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ourdrive.otago.ac.nz/teams/psd2/Operations/Energy/Energy metering/Dunedin Campus/Monthly meter readings/2021-2025 Consumption/"/>
    </mc:Choice>
  </mc:AlternateContent>
  <xr:revisionPtr revIDLastSave="0" documentId="8_{091506DE-ECED-46BE-99B3-9820E0EFAEA4}" xr6:coauthVersionLast="36" xr6:coauthVersionMax="36" xr10:uidLastSave="{00000000-0000-0000-0000-000000000000}"/>
  <bookViews>
    <workbookView xWindow="-108" yWindow="-108" windowWidth="30936" windowHeight="16776" tabRatio="516" firstSheet="3" activeTab="3" xr2:uid="{00000000-000D-0000-FFFF-FFFF00000000}"/>
  </bookViews>
  <sheets>
    <sheet name="Energy Total Dashboard" sheetId="8" r:id="rId1"/>
    <sheet name="Electricity Graphs" sheetId="22" r:id="rId2"/>
    <sheet name="CfI" sheetId="5" r:id="rId3"/>
    <sheet name="Steam and MTHW" sheetId="2" r:id="rId4"/>
    <sheet name="MTHW Data" sheetId="4" r:id="rId5"/>
    <sheet name="LTHW Data" sheetId="16" r:id="rId6"/>
    <sheet name="Gas Data" sheetId="23" r:id="rId7"/>
    <sheet name="Janitza data " sheetId="21" r:id="rId8"/>
    <sheet name="Stream Elec Data" sheetId="18" r:id="rId9"/>
    <sheet name="AKL-WLG-CHC" sheetId="11" r:id="rId10"/>
    <sheet name="(Not in Use) Gas Meter Data" sheetId="15" r:id="rId11"/>
    <sheet name="(Not in Use) NHH Electricity" sheetId="10" r:id="rId12"/>
    <sheet name="(Not in Use) annual readings" sheetId="3" r:id="rId13"/>
    <sheet name="(Not in Use) Water data" sheetId="12" r:id="rId14"/>
    <sheet name="(Not in Use) On charge Elec" sheetId="13" r:id="rId15"/>
    <sheet name="(Not in Use) TOU electricity" sheetId="9" r:id="rId16"/>
  </sheets>
  <definedNames>
    <definedName name="_xlnm._FilterDatabase" localSheetId="12" hidden="1">'(Not in Use) annual readings'!$A$3:$W$20</definedName>
    <definedName name="_xlnm.Print_Area" localSheetId="12">'(Not in Use) annual readings'!$A$1:$J$21</definedName>
    <definedName name="Z_26BC36A8_DEE7_49C3_82FB_804A3B368D65_.wvu.FilterData" localSheetId="12" hidden="1">'(Not in Use) annual readings'!$A$3:$W$20</definedName>
    <definedName name="Z_26BC36A8_DEE7_49C3_82FB_804A3B368D65_.wvu.PrintArea" localSheetId="12" hidden="1">'(Not in Use) annual readings'!$A$1:$J$21</definedName>
    <definedName name="Z_26BC36A8_DEE7_49C3_82FB_804A3B368D65_.wvu.PrintArea" localSheetId="4" hidden="1">'MTHW Data'!$A$1:$BB$73</definedName>
    <definedName name="Z_26BC36A8_DEE7_49C3_82FB_804A3B368D65_.wvu.Rows" localSheetId="3" hidden="1">'Steam and MTHW'!#REF!,'Steam and MTHW'!$5:$59</definedName>
    <definedName name="Z_673E8A68_6A24_44BE_9F14_EEC413B6644E_.wvu.FilterData" localSheetId="12" hidden="1">'(Not in Use) annual readings'!$A$3:$W$20</definedName>
    <definedName name="Z_673E8A68_6A24_44BE_9F14_EEC413B6644E_.wvu.PrintArea" localSheetId="12" hidden="1">'(Not in Use) annual readings'!$A$1:$J$21</definedName>
    <definedName name="Z_673E8A68_6A24_44BE_9F14_EEC413B6644E_.wvu.Rows" localSheetId="3" hidden="1">'Steam and MTHW'!$5:$25</definedName>
    <definedName name="Z_90A42C2A_6CDA_4EAF_9471_F44CF19471E9_.wvu.FilterData" localSheetId="12" hidden="1">'(Not in Use) annual readings'!$A$3:$W$20</definedName>
    <definedName name="Z_90A42C2A_6CDA_4EAF_9471_F44CF19471E9_.wvu.PrintArea" localSheetId="12" hidden="1">'(Not in Use) annual readings'!$A$1:$J$21</definedName>
    <definedName name="Z_D9BD3B37_9C0B_48A1_8A97_047766FF7485_.wvu.FilterData" localSheetId="12" hidden="1">'(Not in Use) annual readings'!$A$3:$W$20</definedName>
    <definedName name="Z_D9BD3B37_9C0B_48A1_8A97_047766FF7485_.wvu.PrintArea" localSheetId="12" hidden="1">'(Not in Use) annual readings'!$A$1:$J$21</definedName>
    <definedName name="Z_D9BD3B37_9C0B_48A1_8A97_047766FF7485_.wvu.Rows" localSheetId="3" hidden="1">'Steam and MTHW'!$5:$25</definedName>
  </definedNames>
  <calcPr calcId="191028" calcCompleted="0"/>
  <customWorkbookViews>
    <customWorkbookView name="Shane Jenkins - Personal View" guid="{673E8A68-6A24-44BE-9F14-EEC413B6644E}" mergeInterval="0" personalView="1" maximized="1" xWindow="1912" yWindow="-8" windowWidth="1936" windowHeight="1056" activeSheetId="4"/>
    <customWorkbookView name="Mark Mason - Personal View" guid="{D9BD3B37-9C0B-48A1-8A97-047766FF7485}" mergeInterval="0" personalView="1" maximized="1" xWindow="1672" yWindow="-8" windowWidth="1696" windowHeight="1026" activeSheetId="4"/>
    <customWorkbookView name="Hans Pietsch - Personal View" guid="{26BC36A8-DEE7-49C3-82FB-804A3B368D65}" mergeInterval="0" personalView="1" maximized="1" xWindow="1912" yWindow="-8" windowWidth="1936" windowHeight="1056" activeSheetId="1"/>
    <customWorkbookView name="Mark Procter - Personal View" guid="{90A42C2A-6CDA-4EAF-9471-F44CF19471E9}" mergeInterval="0" personalView="1" maximized="1" xWindow="1672" yWindow="-8" windowWidth="1696" windowHeight="1026" tabRatio="712" activeSheetId="6"/>
  </customWorkbookViews>
</workbook>
</file>

<file path=xl/calcChain.xml><?xml version="1.0" encoding="utf-8"?>
<calcChain xmlns="http://schemas.openxmlformats.org/spreadsheetml/2006/main">
  <c r="R138" i="2" l="1"/>
  <c r="S138" i="2"/>
  <c r="T138" i="2"/>
  <c r="I162" i="2"/>
  <c r="AK105" i="16"/>
  <c r="AL105" i="16"/>
  <c r="AM105" i="16"/>
  <c r="AI104" i="16"/>
  <c r="AJ103" i="16"/>
  <c r="AK103" i="16"/>
  <c r="AL103" i="16"/>
  <c r="AM103" i="16"/>
  <c r="AN103" i="16"/>
  <c r="AO103" i="16"/>
  <c r="AP103" i="16"/>
  <c r="AJ102" i="16"/>
  <c r="AK102" i="16"/>
  <c r="AL102" i="16"/>
  <c r="AM102" i="16"/>
  <c r="AN102" i="16"/>
  <c r="AO102" i="16"/>
  <c r="AP102" i="16"/>
  <c r="AI102" i="16"/>
  <c r="AK101" i="16"/>
  <c r="AL101" i="16"/>
  <c r="AM101" i="16"/>
  <c r="AN101" i="16"/>
  <c r="AO101" i="16"/>
  <c r="AP101" i="16"/>
  <c r="AJ101" i="16"/>
  <c r="AN92" i="16"/>
  <c r="AO92" i="16"/>
  <c r="AI94" i="16"/>
  <c r="AJ94" i="16"/>
  <c r="AK94" i="16"/>
  <c r="AL94" i="16"/>
  <c r="AM94" i="16"/>
  <c r="AN94" i="16"/>
  <c r="AO94" i="16"/>
  <c r="AP94" i="16"/>
  <c r="AH94" i="16"/>
  <c r="AL95" i="16"/>
  <c r="AM95" i="16"/>
  <c r="AK95" i="16"/>
  <c r="AM99" i="16"/>
  <c r="AN99" i="16"/>
  <c r="AL99" i="16"/>
  <c r="AL96" i="16"/>
  <c r="AL97" i="16"/>
  <c r="AJ98" i="16"/>
  <c r="AK98" i="16"/>
  <c r="AL98" i="16"/>
  <c r="AN98" i="16"/>
  <c r="AO98" i="16"/>
  <c r="AP98" i="16"/>
  <c r="AM98" i="16"/>
  <c r="S79" i="23"/>
  <c r="AN65" i="23"/>
  <c r="AN67" i="23"/>
  <c r="AN66" i="23"/>
  <c r="AN87" i="23"/>
  <c r="AQ76" i="4"/>
  <c r="AQ77" i="4"/>
  <c r="AQ78" i="4"/>
  <c r="AQ79" i="4"/>
  <c r="AQ80" i="4"/>
  <c r="AQ81" i="4"/>
  <c r="AQ82" i="4"/>
  <c r="AQ83" i="4"/>
  <c r="AQ84" i="4"/>
  <c r="AQ85" i="4"/>
  <c r="AQ86" i="4"/>
  <c r="AQ87" i="4"/>
  <c r="AQ88" i="4"/>
  <c r="AQ89" i="4"/>
  <c r="AQ90" i="4"/>
  <c r="AQ91" i="4"/>
  <c r="AQ93" i="4"/>
  <c r="AQ92" i="4"/>
  <c r="AQ94" i="4"/>
  <c r="AQ97" i="4"/>
  <c r="AQ98" i="4"/>
  <c r="AQ99" i="4"/>
  <c r="AQ100" i="4"/>
  <c r="AQ101" i="4"/>
  <c r="AQ103" i="4"/>
  <c r="AQ102" i="4"/>
  <c r="AQ104" i="4"/>
  <c r="AQ37" i="4"/>
  <c r="AQ35" i="4"/>
  <c r="AR35" i="4"/>
  <c r="AS35" i="4"/>
  <c r="AL41" i="11"/>
  <c r="AM41" i="11"/>
  <c r="AN41" i="11"/>
  <c r="AO41" i="11"/>
  <c r="AP41" i="11"/>
  <c r="AQ41" i="11"/>
  <c r="AL42" i="11"/>
  <c r="AM42" i="11"/>
  <c r="AN42" i="11"/>
  <c r="AO42" i="11"/>
  <c r="AP42" i="11"/>
  <c r="AQ42" i="11"/>
  <c r="AL43" i="11"/>
  <c r="AM43" i="11"/>
  <c r="AN43" i="11"/>
  <c r="AO43" i="11"/>
  <c r="AP43" i="11"/>
  <c r="AQ43" i="11"/>
  <c r="AL44" i="11"/>
  <c r="AM44" i="11"/>
  <c r="AN44" i="11"/>
  <c r="AO44" i="11"/>
  <c r="AP44" i="11"/>
  <c r="AQ44" i="11"/>
  <c r="AN29" i="11"/>
  <c r="AO29" i="11"/>
  <c r="AP29" i="11"/>
  <c r="AQ29" i="11"/>
  <c r="AN30" i="11"/>
  <c r="AO30" i="11"/>
  <c r="AP30" i="11"/>
  <c r="AQ30" i="11"/>
  <c r="AN31" i="11"/>
  <c r="AO31" i="11"/>
  <c r="AP31" i="11"/>
  <c r="AQ31" i="11"/>
  <c r="AN32" i="11"/>
  <c r="AO32" i="11"/>
  <c r="AP32" i="11"/>
  <c r="AQ32" i="11"/>
  <c r="AN33" i="11"/>
  <c r="AO33" i="11"/>
  <c r="AP33" i="11"/>
  <c r="AQ33" i="11"/>
  <c r="AN34" i="11"/>
  <c r="AO34" i="11"/>
  <c r="AP34" i="11"/>
  <c r="AQ34" i="11"/>
  <c r="AN35" i="11"/>
  <c r="AO35" i="11"/>
  <c r="AP35" i="11"/>
  <c r="AQ35" i="11"/>
  <c r="AN36" i="11"/>
  <c r="AO36" i="11"/>
  <c r="AP36" i="11"/>
  <c r="AQ36" i="11"/>
  <c r="AN37" i="11"/>
  <c r="AO37" i="11"/>
  <c r="AP37" i="11"/>
  <c r="AQ37" i="11"/>
  <c r="AN38" i="11"/>
  <c r="AO38" i="11"/>
  <c r="AP38" i="11"/>
  <c r="AQ38" i="11"/>
  <c r="AM29" i="11"/>
  <c r="AM30" i="11"/>
  <c r="AM31" i="11"/>
  <c r="AM32" i="11"/>
  <c r="AM33" i="11"/>
  <c r="AM34" i="11"/>
  <c r="AM35" i="11"/>
  <c r="AM36" i="11"/>
  <c r="AM37" i="11"/>
  <c r="AM38" i="11"/>
  <c r="AL29" i="11"/>
  <c r="AL30" i="11"/>
  <c r="AL31" i="11"/>
  <c r="AL32" i="11"/>
  <c r="AL33" i="11"/>
  <c r="AL34" i="11"/>
  <c r="AL35" i="11"/>
  <c r="AL36" i="11"/>
  <c r="AL37" i="11"/>
  <c r="AL38" i="11"/>
  <c r="H69" i="16"/>
  <c r="I69" i="16"/>
  <c r="J69" i="16"/>
  <c r="K69" i="16"/>
  <c r="L69" i="16"/>
  <c r="M69" i="16"/>
  <c r="N69" i="16"/>
  <c r="O69" i="16"/>
  <c r="P69" i="16"/>
  <c r="Q69" i="16"/>
  <c r="R69" i="16"/>
  <c r="S69" i="16"/>
  <c r="T69" i="16"/>
  <c r="U69" i="16"/>
  <c r="V69" i="16"/>
  <c r="W69" i="16"/>
  <c r="X69" i="16"/>
  <c r="Y69" i="16"/>
  <c r="Z69" i="16"/>
  <c r="AA69" i="16"/>
  <c r="AB69" i="16"/>
  <c r="AC69" i="16"/>
  <c r="AD69" i="16"/>
  <c r="H70" i="16"/>
  <c r="I70" i="16"/>
  <c r="J70" i="16"/>
  <c r="K70" i="16"/>
  <c r="L70" i="16"/>
  <c r="M70" i="16"/>
  <c r="N70" i="16"/>
  <c r="O70" i="16"/>
  <c r="P70" i="16"/>
  <c r="Q70" i="16"/>
  <c r="R70" i="16"/>
  <c r="S70" i="16"/>
  <c r="T70" i="16"/>
  <c r="U70" i="16"/>
  <c r="V70" i="16"/>
  <c r="W70" i="16"/>
  <c r="X70" i="16"/>
  <c r="Y70" i="16"/>
  <c r="Z70" i="16"/>
  <c r="AA70" i="16"/>
  <c r="AB70" i="16"/>
  <c r="AC70" i="16"/>
  <c r="AD70" i="16"/>
  <c r="H71" i="16"/>
  <c r="I71" i="16"/>
  <c r="J71" i="16"/>
  <c r="K71" i="16"/>
  <c r="L71" i="16"/>
  <c r="M71" i="16"/>
  <c r="N71" i="16"/>
  <c r="O71" i="16"/>
  <c r="P71" i="16"/>
  <c r="Q71" i="16"/>
  <c r="R71" i="16"/>
  <c r="S71" i="16"/>
  <c r="T71" i="16"/>
  <c r="U71" i="16"/>
  <c r="V71" i="16"/>
  <c r="W71" i="16"/>
  <c r="X71" i="16"/>
  <c r="Y71" i="16"/>
  <c r="Z71" i="16"/>
  <c r="AA71" i="16"/>
  <c r="AB71" i="16"/>
  <c r="AC71" i="16"/>
  <c r="AD71" i="16"/>
  <c r="AE69" i="16"/>
  <c r="AF69" i="16"/>
  <c r="AI40" i="4"/>
  <c r="AI79" i="4"/>
  <c r="AG69" i="16"/>
  <c r="AJ40" i="4"/>
  <c r="AJ79" i="4"/>
  <c r="AH69" i="16"/>
  <c r="AK40" i="4"/>
  <c r="AK79" i="4"/>
  <c r="AI69" i="16"/>
  <c r="AJ69" i="16"/>
  <c r="AK69" i="16"/>
  <c r="AL69" i="16"/>
  <c r="AM69" i="16"/>
  <c r="AE70" i="16"/>
  <c r="AF70" i="16"/>
  <c r="AG70" i="16"/>
  <c r="AH70" i="16"/>
  <c r="AI70" i="16"/>
  <c r="AJ70" i="16"/>
  <c r="AM40" i="4"/>
  <c r="AK70" i="16"/>
  <c r="AN40" i="4"/>
  <c r="AN79" i="4"/>
  <c r="AL70" i="16"/>
  <c r="AM70" i="16"/>
  <c r="AE71" i="16"/>
  <c r="AF71" i="16"/>
  <c r="AG71" i="16"/>
  <c r="AH71" i="16"/>
  <c r="AI71" i="16"/>
  <c r="AJ71" i="16"/>
  <c r="AK71" i="16"/>
  <c r="AL71" i="16"/>
  <c r="AO40" i="4"/>
  <c r="AO79" i="4"/>
  <c r="AM71" i="16"/>
  <c r="AE72" i="16"/>
  <c r="AF72" i="16"/>
  <c r="AG72" i="16"/>
  <c r="AH72" i="16"/>
  <c r="AI72" i="16"/>
  <c r="AJ72" i="16"/>
  <c r="AK72" i="16"/>
  <c r="AL72" i="16"/>
  <c r="AM72" i="16"/>
  <c r="AE73" i="16"/>
  <c r="AF73" i="16"/>
  <c r="AG73" i="16"/>
  <c r="AH73" i="16"/>
  <c r="AI73" i="16"/>
  <c r="AJ73" i="16"/>
  <c r="AK73" i="16"/>
  <c r="AL73" i="16"/>
  <c r="AM73" i="16"/>
  <c r="AE74" i="16"/>
  <c r="AF74" i="16"/>
  <c r="AG74" i="16"/>
  <c r="AH74" i="16"/>
  <c r="AI74" i="16"/>
  <c r="AJ74" i="16"/>
  <c r="AK74" i="16"/>
  <c r="AL74" i="16"/>
  <c r="AM74" i="16"/>
  <c r="AE75" i="16"/>
  <c r="AF75" i="16"/>
  <c r="AG75" i="16"/>
  <c r="AH75" i="16"/>
  <c r="AI75" i="16"/>
  <c r="AJ75" i="16"/>
  <c r="AK75" i="16"/>
  <c r="AL75" i="16"/>
  <c r="AM75" i="16"/>
  <c r="AU45" i="4"/>
  <c r="AU46" i="4"/>
  <c r="B46" i="4"/>
  <c r="AJ60" i="16"/>
  <c r="AK60" i="16"/>
  <c r="AM60" i="16"/>
  <c r="AP35" i="4"/>
  <c r="AH35" i="4"/>
  <c r="AI35" i="4"/>
  <c r="AJ35" i="4"/>
  <c r="AK35" i="4"/>
  <c r="AL35" i="4"/>
  <c r="AM35" i="4"/>
  <c r="AN35" i="4"/>
  <c r="AO35" i="4"/>
  <c r="AC35" i="4"/>
  <c r="AD35" i="4"/>
  <c r="AE35" i="4"/>
  <c r="AF35" i="4"/>
  <c r="AG35" i="4"/>
  <c r="AD73" i="16"/>
  <c r="AN73" i="16"/>
  <c r="AO73" i="16"/>
  <c r="AN69" i="16"/>
  <c r="AO69" i="16"/>
  <c r="AP37" i="4"/>
  <c r="CE38" i="18"/>
  <c r="CE39" i="18"/>
  <c r="CE40" i="18"/>
  <c r="CE41" i="18"/>
  <c r="CE42" i="18"/>
  <c r="CE43" i="18"/>
  <c r="CE44" i="18"/>
  <c r="CE45" i="18"/>
  <c r="CF38" i="18"/>
  <c r="CF39" i="18"/>
  <c r="CF40" i="18"/>
  <c r="CF41" i="18"/>
  <c r="CF42" i="18"/>
  <c r="CF43" i="18"/>
  <c r="CF44" i="18"/>
  <c r="CF45" i="18"/>
  <c r="CG38" i="18"/>
  <c r="CG39" i="18"/>
  <c r="CG40" i="18"/>
  <c r="CG41" i="18"/>
  <c r="CG42" i="18"/>
  <c r="CG43" i="18"/>
  <c r="CG44" i="18"/>
  <c r="CG45" i="18"/>
  <c r="CH38" i="18"/>
  <c r="CH39" i="18"/>
  <c r="CH40" i="18"/>
  <c r="CH41" i="18"/>
  <c r="CH42" i="18"/>
  <c r="CH43" i="18"/>
  <c r="CH44" i="18"/>
  <c r="CH45" i="18"/>
  <c r="CI38" i="18"/>
  <c r="CI39" i="18"/>
  <c r="CI40" i="18"/>
  <c r="CI41" i="18"/>
  <c r="CI42" i="18"/>
  <c r="CI43" i="18"/>
  <c r="CI44" i="18"/>
  <c r="CI45" i="18"/>
  <c r="CJ38" i="18"/>
  <c r="CJ39" i="18"/>
  <c r="CJ40" i="18"/>
  <c r="CJ41" i="18"/>
  <c r="CJ42" i="18"/>
  <c r="CJ43" i="18"/>
  <c r="CJ44" i="18"/>
  <c r="CJ45" i="18"/>
  <c r="CL38" i="18"/>
  <c r="CL39" i="18"/>
  <c r="CL40" i="18"/>
  <c r="CL41" i="18"/>
  <c r="CL42" i="18"/>
  <c r="CL43" i="18"/>
  <c r="CL44" i="18"/>
  <c r="CL45" i="18"/>
  <c r="CM38" i="18"/>
  <c r="CM39" i="18"/>
  <c r="CM40" i="18"/>
  <c r="CM41" i="18"/>
  <c r="CM42" i="18"/>
  <c r="CM43" i="18"/>
  <c r="CM44" i="18"/>
  <c r="CM45" i="18"/>
  <c r="CE46" i="18"/>
  <c r="CE47" i="18"/>
  <c r="CE48" i="18"/>
  <c r="CE49" i="18"/>
  <c r="CF46" i="18"/>
  <c r="CF47" i="18"/>
  <c r="CF48" i="18"/>
  <c r="CF49" i="18"/>
  <c r="CG46" i="18"/>
  <c r="CG47" i="18"/>
  <c r="CG48" i="18"/>
  <c r="CG49" i="18"/>
  <c r="CH46" i="18"/>
  <c r="CH47" i="18"/>
  <c r="CH48" i="18"/>
  <c r="CH49" i="18"/>
  <c r="CI46" i="18"/>
  <c r="CI47" i="18"/>
  <c r="CI48" i="18"/>
  <c r="CI49" i="18"/>
  <c r="CJ46" i="18"/>
  <c r="CJ47" i="18"/>
  <c r="CJ48" i="18"/>
  <c r="CJ49" i="18"/>
  <c r="CL46" i="18"/>
  <c r="CL47" i="18"/>
  <c r="CL48" i="18"/>
  <c r="CL49" i="18"/>
  <c r="CM46" i="18"/>
  <c r="CM47" i="18"/>
  <c r="CM48" i="18"/>
  <c r="CM49" i="18"/>
  <c r="CE50" i="18"/>
  <c r="CE51" i="18"/>
  <c r="CF50" i="18"/>
  <c r="CF51" i="18"/>
  <c r="CG50" i="18"/>
  <c r="CG51" i="18"/>
  <c r="CH50" i="18"/>
  <c r="CH51" i="18"/>
  <c r="CI50" i="18"/>
  <c r="CI51" i="18"/>
  <c r="CJ50" i="18"/>
  <c r="CJ51" i="18"/>
  <c r="CL50" i="18"/>
  <c r="CL51" i="18"/>
  <c r="CM50" i="18"/>
  <c r="CM51" i="18"/>
  <c r="AI563" i="21"/>
  <c r="AJ563" i="21"/>
  <c r="AK563" i="21"/>
  <c r="AL563" i="21"/>
  <c r="AM563" i="21"/>
  <c r="AN563" i="21"/>
  <c r="AO563" i="21"/>
  <c r="AP563" i="21"/>
  <c r="AI564" i="21"/>
  <c r="AJ564" i="21"/>
  <c r="AK564" i="21"/>
  <c r="AL564" i="21"/>
  <c r="AM564" i="21"/>
  <c r="AN564" i="21"/>
  <c r="AO564" i="21"/>
  <c r="AP564" i="21"/>
  <c r="AI565" i="21"/>
  <c r="AJ565" i="21"/>
  <c r="AK565" i="21"/>
  <c r="AL565" i="21"/>
  <c r="AM565" i="21"/>
  <c r="AN565" i="21"/>
  <c r="AO565" i="21"/>
  <c r="AP565" i="21"/>
  <c r="AI567" i="21"/>
  <c r="AJ567" i="21"/>
  <c r="AK567" i="21"/>
  <c r="AL567" i="21"/>
  <c r="AM567" i="21"/>
  <c r="AN567" i="21"/>
  <c r="AO567" i="21"/>
  <c r="AP567" i="21"/>
  <c r="AI568" i="21"/>
  <c r="AJ568" i="21"/>
  <c r="AK568" i="21"/>
  <c r="AL568" i="21"/>
  <c r="AM568" i="21"/>
  <c r="AN568" i="21"/>
  <c r="AO568" i="21"/>
  <c r="AP568" i="21"/>
  <c r="AI569" i="21"/>
  <c r="AJ569" i="21"/>
  <c r="AK569" i="21"/>
  <c r="AL569" i="21"/>
  <c r="AM569" i="21"/>
  <c r="AN569" i="21"/>
  <c r="AO569" i="21"/>
  <c r="AP569" i="21"/>
  <c r="AI570" i="21"/>
  <c r="AJ570" i="21"/>
  <c r="AK570" i="21"/>
  <c r="AL570" i="21"/>
  <c r="AM570" i="21"/>
  <c r="AN570" i="21"/>
  <c r="AO570" i="21"/>
  <c r="AP570" i="21"/>
  <c r="AI571" i="21"/>
  <c r="AJ571" i="21"/>
  <c r="AK571" i="21"/>
  <c r="AL571" i="21"/>
  <c r="AM571" i="21"/>
  <c r="AN571" i="21"/>
  <c r="AO571" i="21"/>
  <c r="AP571" i="21"/>
  <c r="AI572" i="21"/>
  <c r="AI573" i="21"/>
  <c r="AJ572" i="21"/>
  <c r="AJ573" i="21"/>
  <c r="AK572" i="21"/>
  <c r="AL572" i="21"/>
  <c r="AM572" i="21"/>
  <c r="AN572" i="21"/>
  <c r="AO572" i="21"/>
  <c r="AP572" i="21"/>
  <c r="AK573" i="21"/>
  <c r="AL573" i="21"/>
  <c r="AM573" i="21"/>
  <c r="AN573" i="21"/>
  <c r="AO573" i="21"/>
  <c r="AP573" i="21"/>
  <c r="AI574" i="21"/>
  <c r="AJ574" i="21"/>
  <c r="AK574" i="21"/>
  <c r="AL574" i="21"/>
  <c r="AM574" i="21"/>
  <c r="AN574" i="21"/>
  <c r="AO574" i="21"/>
  <c r="AP574" i="21"/>
  <c r="AI575" i="21"/>
  <c r="AJ575" i="21"/>
  <c r="AK575" i="21"/>
  <c r="AL575" i="21"/>
  <c r="AM575" i="21"/>
  <c r="AN575" i="21"/>
  <c r="AO575" i="21"/>
  <c r="AP575" i="21"/>
  <c r="AI576" i="21"/>
  <c r="AJ576" i="21"/>
  <c r="AK576" i="21"/>
  <c r="AL576" i="21"/>
  <c r="AM576" i="21"/>
  <c r="AN576" i="21"/>
  <c r="AO576" i="21"/>
  <c r="AP576" i="21"/>
  <c r="AI578" i="21"/>
  <c r="AJ578" i="21"/>
  <c r="AK578" i="21"/>
  <c r="AL578" i="21"/>
  <c r="AM578" i="21"/>
  <c r="AN578" i="21"/>
  <c r="AO578" i="21"/>
  <c r="AP578" i="21"/>
  <c r="D564" i="21"/>
  <c r="E564" i="21"/>
  <c r="F564" i="21"/>
  <c r="G564" i="21"/>
  <c r="H564" i="21"/>
  <c r="I564" i="21"/>
  <c r="J564" i="21"/>
  <c r="K564" i="21"/>
  <c r="L564" i="21"/>
  <c r="M564" i="21"/>
  <c r="N564" i="21"/>
  <c r="O564" i="21"/>
  <c r="P564" i="21"/>
  <c r="Q564" i="21"/>
  <c r="R564" i="21"/>
  <c r="S564" i="21"/>
  <c r="T564" i="21"/>
  <c r="U564" i="21"/>
  <c r="V564" i="21"/>
  <c r="W564" i="21"/>
  <c r="X564" i="21"/>
  <c r="Y564" i="21"/>
  <c r="Z564" i="21"/>
  <c r="AA564" i="21"/>
  <c r="AB564" i="21"/>
  <c r="AC564" i="21"/>
  <c r="AD564" i="21"/>
  <c r="AE564" i="21"/>
  <c r="AF564" i="21"/>
  <c r="AG564" i="21"/>
  <c r="AH564" i="21"/>
  <c r="AQ564" i="21"/>
  <c r="C564" i="21"/>
  <c r="AK41" i="11"/>
  <c r="AK42" i="11"/>
  <c r="AK43" i="11"/>
  <c r="AK44" i="11"/>
  <c r="AJ29" i="11"/>
  <c r="AK29" i="11"/>
  <c r="AJ30" i="11"/>
  <c r="AK30" i="11"/>
  <c r="AJ31" i="11"/>
  <c r="AK31" i="11"/>
  <c r="AJ32" i="11"/>
  <c r="AK32" i="11"/>
  <c r="AJ33" i="11"/>
  <c r="AK33" i="11"/>
  <c r="AJ34" i="11"/>
  <c r="AK34" i="11"/>
  <c r="AJ35" i="11"/>
  <c r="AK35" i="11"/>
  <c r="AJ36" i="11"/>
  <c r="AK36" i="11"/>
  <c r="AJ37" i="11"/>
  <c r="AK37" i="11"/>
  <c r="AJ38" i="11"/>
  <c r="AK38" i="11"/>
  <c r="AJ41" i="11"/>
  <c r="AJ42" i="11"/>
  <c r="AJ43" i="11"/>
  <c r="AJ44" i="11"/>
  <c r="H135" i="2"/>
  <c r="N135" i="2"/>
  <c r="H136" i="2"/>
  <c r="H137" i="2"/>
  <c r="H138" i="2"/>
  <c r="H139" i="2"/>
  <c r="AO37" i="4"/>
  <c r="AK49" i="16"/>
  <c r="AI95" i="16"/>
  <c r="AI96" i="16"/>
  <c r="AI97" i="16"/>
  <c r="AE600" i="21"/>
  <c r="AI66" i="16"/>
  <c r="F130" i="8"/>
  <c r="AJ95" i="16"/>
  <c r="AK51" i="16"/>
  <c r="CK32" i="18"/>
  <c r="AI557" i="21"/>
  <c r="AI78" i="16"/>
  <c r="AI90" i="16"/>
  <c r="AI100" i="16"/>
  <c r="AJ78" i="16"/>
  <c r="AJ90" i="16"/>
  <c r="AJ100" i="16"/>
  <c r="AK78" i="16"/>
  <c r="AK90" i="16"/>
  <c r="AK100" i="16"/>
  <c r="AN76" i="4"/>
  <c r="AO76" i="4"/>
  <c r="AP76" i="4"/>
  <c r="AO77" i="4"/>
  <c r="AP77" i="4"/>
  <c r="AN78" i="4"/>
  <c r="AO78" i="4"/>
  <c r="AP78" i="4"/>
  <c r="AN80" i="4"/>
  <c r="AO80" i="4"/>
  <c r="AP80" i="4"/>
  <c r="AN81" i="4"/>
  <c r="AO81" i="4"/>
  <c r="AP81" i="4"/>
  <c r="AN82" i="4"/>
  <c r="AO82" i="4"/>
  <c r="AO83" i="4"/>
  <c r="AO84" i="4"/>
  <c r="AP82" i="4"/>
  <c r="AP83" i="4"/>
  <c r="AP84" i="4"/>
  <c r="AN83" i="4"/>
  <c r="AN84" i="4"/>
  <c r="AN85" i="4"/>
  <c r="AO85" i="4"/>
  <c r="AP85" i="4"/>
  <c r="AN86" i="4"/>
  <c r="AO86" i="4"/>
  <c r="AO87" i="4"/>
  <c r="AO88" i="4"/>
  <c r="AP86" i="4"/>
  <c r="AP87" i="4"/>
  <c r="AP88" i="4"/>
  <c r="AN87" i="4"/>
  <c r="AN88" i="4"/>
  <c r="AN89" i="4"/>
  <c r="AO89" i="4"/>
  <c r="AP89" i="4"/>
  <c r="AN90" i="4"/>
  <c r="AO90" i="4"/>
  <c r="AO91" i="4"/>
  <c r="AO92" i="4"/>
  <c r="AO93" i="4"/>
  <c r="AP90" i="4"/>
  <c r="AP93" i="4"/>
  <c r="AN91" i="4"/>
  <c r="AP91" i="4"/>
  <c r="AN92" i="4"/>
  <c r="AN93" i="4"/>
  <c r="AP92" i="4"/>
  <c r="AN94" i="4"/>
  <c r="AO94" i="4"/>
  <c r="AP94" i="4"/>
  <c r="AN97" i="4"/>
  <c r="AO97" i="4"/>
  <c r="AP97" i="4"/>
  <c r="AN98" i="4"/>
  <c r="AO98" i="4"/>
  <c r="AP98" i="4"/>
  <c r="AO99" i="4"/>
  <c r="AP99" i="4"/>
  <c r="AO100" i="4"/>
  <c r="AP100" i="4"/>
  <c r="AN101" i="4"/>
  <c r="AN102" i="4"/>
  <c r="AN103" i="4"/>
  <c r="AO101" i="4"/>
  <c r="AO102" i="4"/>
  <c r="AO103" i="4"/>
  <c r="AP101" i="4"/>
  <c r="AP103" i="4"/>
  <c r="AP102" i="4"/>
  <c r="AN104" i="4"/>
  <c r="AO104" i="4"/>
  <c r="AP104" i="4"/>
  <c r="AR3" i="5"/>
  <c r="AS3" i="5"/>
  <c r="AT3" i="5"/>
  <c r="AU3" i="5"/>
  <c r="AV3" i="5"/>
  <c r="AR5" i="5"/>
  <c r="AS5" i="5"/>
  <c r="AT5" i="5"/>
  <c r="AU5" i="5"/>
  <c r="AV5" i="5"/>
  <c r="AR6" i="5"/>
  <c r="AS6" i="5"/>
  <c r="AT6" i="5"/>
  <c r="AU6" i="5"/>
  <c r="AV6" i="5"/>
  <c r="AR7" i="5"/>
  <c r="AS7" i="5"/>
  <c r="AT7" i="5"/>
  <c r="AU7" i="5"/>
  <c r="AV7" i="5"/>
  <c r="AR8" i="5"/>
  <c r="AS8" i="5"/>
  <c r="AT8" i="5"/>
  <c r="AU8" i="5"/>
  <c r="AV8" i="5"/>
  <c r="AR9" i="5"/>
  <c r="AS9" i="5"/>
  <c r="AT9" i="5"/>
  <c r="AU9" i="5"/>
  <c r="AV9" i="5"/>
  <c r="AR10" i="5"/>
  <c r="AS10" i="5"/>
  <c r="AT10" i="5"/>
  <c r="AU10" i="5"/>
  <c r="AV10" i="5"/>
  <c r="AR11" i="5"/>
  <c r="AS11" i="5"/>
  <c r="AT11" i="5"/>
  <c r="AU11" i="5"/>
  <c r="AV11" i="5"/>
  <c r="AR12" i="5"/>
  <c r="AS12" i="5"/>
  <c r="AT12" i="5"/>
  <c r="AU12" i="5"/>
  <c r="AV12" i="5"/>
  <c r="AR13" i="5"/>
  <c r="AS13" i="5"/>
  <c r="AT13" i="5"/>
  <c r="AU13" i="5"/>
  <c r="AV13" i="5"/>
  <c r="AR14" i="5"/>
  <c r="AS14" i="5"/>
  <c r="AT14" i="5"/>
  <c r="AU14" i="5"/>
  <c r="AV14" i="5"/>
  <c r="AR15" i="5"/>
  <c r="AS15" i="5"/>
  <c r="AT15" i="5"/>
  <c r="AU15" i="5"/>
  <c r="AV15" i="5"/>
  <c r="AR16" i="5"/>
  <c r="AS16" i="5"/>
  <c r="AT16" i="5"/>
  <c r="AU16" i="5"/>
  <c r="AV16" i="5"/>
  <c r="AR17" i="5"/>
  <c r="AS17" i="5"/>
  <c r="AT17" i="5"/>
  <c r="AU17" i="5"/>
  <c r="AV17" i="5"/>
  <c r="AR18" i="5"/>
  <c r="AS18" i="5"/>
  <c r="AT18" i="5"/>
  <c r="AU18" i="5"/>
  <c r="AV18" i="5"/>
  <c r="AR19" i="5"/>
  <c r="AS19" i="5"/>
  <c r="AT19" i="5"/>
  <c r="AU19" i="5"/>
  <c r="AV19" i="5"/>
  <c r="AR20" i="5"/>
  <c r="AS20" i="5"/>
  <c r="AT20" i="5"/>
  <c r="AU20" i="5"/>
  <c r="AV20" i="5"/>
  <c r="AR21" i="5"/>
  <c r="AS21" i="5"/>
  <c r="AT21" i="5"/>
  <c r="AU21" i="5"/>
  <c r="AV21" i="5"/>
  <c r="AR22" i="5"/>
  <c r="AS22" i="5"/>
  <c r="AT22" i="5"/>
  <c r="AU22" i="5"/>
  <c r="AV22" i="5"/>
  <c r="AR23" i="5"/>
  <c r="AS23" i="5"/>
  <c r="AT23" i="5"/>
  <c r="AU23" i="5"/>
  <c r="AV23" i="5"/>
  <c r="AR24" i="5"/>
  <c r="AS24" i="5"/>
  <c r="AS26" i="5"/>
  <c r="AS25" i="5"/>
  <c r="AS27" i="5"/>
  <c r="AT24" i="5"/>
  <c r="AT26" i="5"/>
  <c r="AT25" i="5"/>
  <c r="AT27" i="5"/>
  <c r="AU24" i="5"/>
  <c r="AU25" i="5"/>
  <c r="AV24" i="5"/>
  <c r="AV25" i="5"/>
  <c r="AR26" i="5"/>
  <c r="AR27" i="5"/>
  <c r="AU26" i="5"/>
  <c r="AV26" i="5"/>
  <c r="AU27" i="5"/>
  <c r="AV27" i="5"/>
  <c r="AR28" i="5"/>
  <c r="AS28" i="5"/>
  <c r="AS30" i="5"/>
  <c r="AS31" i="5"/>
  <c r="AS32" i="5"/>
  <c r="AS29" i="5"/>
  <c r="AT28" i="5"/>
  <c r="AT29" i="5"/>
  <c r="AT30" i="5"/>
  <c r="AT31" i="5"/>
  <c r="AT32" i="5"/>
  <c r="AU28" i="5"/>
  <c r="AU29" i="5"/>
  <c r="AV28" i="5"/>
  <c r="AV29" i="5"/>
  <c r="AR30" i="5"/>
  <c r="AR31" i="5"/>
  <c r="AR32" i="5"/>
  <c r="AU30" i="5"/>
  <c r="AV30" i="5"/>
  <c r="AU31" i="5"/>
  <c r="AV31" i="5"/>
  <c r="AU32" i="5"/>
  <c r="AV32" i="5"/>
  <c r="AR34" i="5"/>
  <c r="AR35" i="5"/>
  <c r="AS34" i="5"/>
  <c r="AS36" i="5"/>
  <c r="AS37" i="5"/>
  <c r="AS35" i="5"/>
  <c r="AT34" i="5"/>
  <c r="AT36" i="5"/>
  <c r="AT37" i="5"/>
  <c r="AU34" i="5"/>
  <c r="AU35" i="5"/>
  <c r="AV34" i="5"/>
  <c r="AV35" i="5"/>
  <c r="AR36" i="5"/>
  <c r="AR37" i="5"/>
  <c r="AU36" i="5"/>
  <c r="AV36" i="5"/>
  <c r="AU37" i="5"/>
  <c r="AV37" i="5"/>
  <c r="AR38" i="5"/>
  <c r="AS38" i="5"/>
  <c r="AT38" i="5"/>
  <c r="AU38" i="5"/>
  <c r="AV38" i="5"/>
  <c r="AR39" i="5"/>
  <c r="AS39" i="5"/>
  <c r="AT39" i="5"/>
  <c r="AU39" i="5"/>
  <c r="AV39" i="5"/>
  <c r="AR40" i="5"/>
  <c r="AS40" i="5"/>
  <c r="AS42" i="5"/>
  <c r="AS43" i="5"/>
  <c r="AS44" i="5"/>
  <c r="AT40" i="5"/>
  <c r="AU40" i="5"/>
  <c r="AU41" i="5"/>
  <c r="AV40" i="5"/>
  <c r="AV41" i="5"/>
  <c r="AR42" i="5"/>
  <c r="AR43" i="5"/>
  <c r="AR44" i="5"/>
  <c r="AT42" i="5"/>
  <c r="AT43" i="5"/>
  <c r="AT44" i="5"/>
  <c r="AT41" i="5"/>
  <c r="AU42" i="5"/>
  <c r="AV42" i="5"/>
  <c r="AU43" i="5"/>
  <c r="AV43" i="5"/>
  <c r="AU44" i="5"/>
  <c r="AV44" i="5"/>
  <c r="AP3" i="5"/>
  <c r="AQ3" i="5"/>
  <c r="AP5" i="5"/>
  <c r="AQ5" i="5"/>
  <c r="AP6" i="5"/>
  <c r="AQ6" i="5"/>
  <c r="AP7" i="5"/>
  <c r="AQ7" i="5"/>
  <c r="AP8" i="5"/>
  <c r="AQ8" i="5"/>
  <c r="AP9" i="5"/>
  <c r="AQ9" i="5"/>
  <c r="AP10" i="5"/>
  <c r="AQ10" i="5"/>
  <c r="AP11" i="5"/>
  <c r="AQ11" i="5"/>
  <c r="AP12" i="5"/>
  <c r="AQ12" i="5"/>
  <c r="AP13" i="5"/>
  <c r="AQ13" i="5"/>
  <c r="AP14" i="5"/>
  <c r="AQ14" i="5"/>
  <c r="AP15" i="5"/>
  <c r="AQ15" i="5"/>
  <c r="AP16" i="5"/>
  <c r="AQ16" i="5"/>
  <c r="AP17" i="5"/>
  <c r="AQ17" i="5"/>
  <c r="AP18" i="5"/>
  <c r="AQ18" i="5"/>
  <c r="AP19" i="5"/>
  <c r="AQ19" i="5"/>
  <c r="AP20" i="5"/>
  <c r="AQ20" i="5"/>
  <c r="AP21" i="5"/>
  <c r="AQ21" i="5"/>
  <c r="AP22" i="5"/>
  <c r="AQ22" i="5"/>
  <c r="AP23" i="5"/>
  <c r="AQ23" i="5"/>
  <c r="AP24" i="5"/>
  <c r="AP25" i="5"/>
  <c r="AQ24" i="5"/>
  <c r="AP26" i="5"/>
  <c r="AP27" i="5"/>
  <c r="AQ26" i="5"/>
  <c r="AQ27" i="5"/>
  <c r="AP28" i="5"/>
  <c r="AQ28" i="5"/>
  <c r="AP30" i="5"/>
  <c r="AP31" i="5"/>
  <c r="AP32" i="5"/>
  <c r="AQ30" i="5"/>
  <c r="AQ31" i="5"/>
  <c r="AQ32" i="5"/>
  <c r="AP34" i="5"/>
  <c r="AQ34" i="5"/>
  <c r="AP36" i="5"/>
  <c r="AP37" i="5"/>
  <c r="AQ36" i="5"/>
  <c r="AQ37" i="5"/>
  <c r="AQ35" i="5"/>
  <c r="AP38" i="5"/>
  <c r="AQ38" i="5"/>
  <c r="AP39" i="5"/>
  <c r="AQ39" i="5"/>
  <c r="AP40" i="5"/>
  <c r="AQ40" i="5"/>
  <c r="AP42" i="5"/>
  <c r="AP43" i="5"/>
  <c r="AP44" i="5"/>
  <c r="AQ42" i="5"/>
  <c r="AQ43" i="5"/>
  <c r="AQ44" i="5"/>
  <c r="AK85" i="23"/>
  <c r="AL78" i="23"/>
  <c r="E133" i="8"/>
  <c r="O137" i="8"/>
  <c r="R137" i="8"/>
  <c r="AM78" i="23"/>
  <c r="AN78" i="23"/>
  <c r="AO78" i="23"/>
  <c r="E136" i="8"/>
  <c r="AP78" i="23"/>
  <c r="AL79" i="23"/>
  <c r="AM79" i="23"/>
  <c r="AN79" i="23"/>
  <c r="AO79" i="23"/>
  <c r="AP79" i="23"/>
  <c r="AL80" i="23"/>
  <c r="AM80" i="23"/>
  <c r="AN80" i="23"/>
  <c r="AO80" i="23"/>
  <c r="AP80" i="23"/>
  <c r="AL81" i="23"/>
  <c r="AM81" i="23"/>
  <c r="AN81" i="23"/>
  <c r="AO81" i="23"/>
  <c r="AP81" i="23"/>
  <c r="AL82" i="23"/>
  <c r="AM82" i="23"/>
  <c r="AN82" i="23"/>
  <c r="AO82" i="23"/>
  <c r="AP82" i="23"/>
  <c r="AL83" i="23"/>
  <c r="AM83" i="23"/>
  <c r="AN83" i="23"/>
  <c r="AO83" i="23"/>
  <c r="AP83" i="23"/>
  <c r="AL84" i="23"/>
  <c r="AM84" i="23"/>
  <c r="AN84" i="23"/>
  <c r="AO84" i="23"/>
  <c r="AP84" i="23"/>
  <c r="AL85" i="23"/>
  <c r="AM85" i="23"/>
  <c r="AN85" i="23"/>
  <c r="AO85" i="23"/>
  <c r="AP85" i="23"/>
  <c r="AL86" i="23"/>
  <c r="AM86" i="23"/>
  <c r="AN86" i="23"/>
  <c r="AO86" i="23"/>
  <c r="AP86" i="23"/>
  <c r="AL87" i="23"/>
  <c r="AM87" i="23"/>
  <c r="AO87" i="23"/>
  <c r="AP87" i="23"/>
  <c r="AL88" i="23"/>
  <c r="AM88" i="23"/>
  <c r="AN88" i="23"/>
  <c r="AO88" i="23"/>
  <c r="AP88" i="23"/>
  <c r="AL89" i="23"/>
  <c r="AM89" i="23"/>
  <c r="AN89" i="23"/>
  <c r="AO89" i="23"/>
  <c r="AP89" i="23"/>
  <c r="AL90" i="23"/>
  <c r="AM90" i="23"/>
  <c r="AN90" i="23"/>
  <c r="AO90" i="23"/>
  <c r="AP90" i="23"/>
  <c r="AL91" i="23"/>
  <c r="AM91" i="23"/>
  <c r="AN91" i="23"/>
  <c r="AO91" i="23"/>
  <c r="AP91" i="23"/>
  <c r="AL92" i="23"/>
  <c r="AM92" i="23"/>
  <c r="AN92" i="23"/>
  <c r="AO92" i="23"/>
  <c r="AP92" i="23"/>
  <c r="AK81" i="23"/>
  <c r="AM37" i="4"/>
  <c r="AN37" i="4"/>
  <c r="AK52" i="16"/>
  <c r="AS33" i="4"/>
  <c r="AP33" i="4"/>
  <c r="AQ33" i="4"/>
  <c r="AR33" i="4"/>
  <c r="AO33" i="4"/>
  <c r="AN33" i="4"/>
  <c r="AI78" i="23"/>
  <c r="AJ78" i="23"/>
  <c r="E131" i="8"/>
  <c r="O135" i="8"/>
  <c r="R135" i="8"/>
  <c r="AI79" i="23"/>
  <c r="AJ79" i="23"/>
  <c r="AE519" i="21"/>
  <c r="AF581" i="21"/>
  <c r="AE518" i="21"/>
  <c r="AF518" i="21"/>
  <c r="AG580" i="21"/>
  <c r="AM38" i="4"/>
  <c r="AM60" i="4"/>
  <c r="AM100" i="4"/>
  <c r="AN100" i="4"/>
  <c r="AK59" i="4"/>
  <c r="AL59" i="4"/>
  <c r="AM59" i="4"/>
  <c r="AM84" i="16"/>
  <c r="AL77" i="16"/>
  <c r="AM80" i="16"/>
  <c r="CE32" i="18"/>
  <c r="CE33" i="18"/>
  <c r="CE34" i="18"/>
  <c r="CE35" i="18"/>
  <c r="CF32" i="18"/>
  <c r="CF33" i="18"/>
  <c r="CF34" i="18"/>
  <c r="CF35" i="18"/>
  <c r="CG32" i="18"/>
  <c r="CG33" i="18"/>
  <c r="CG34" i="18"/>
  <c r="CG35" i="18"/>
  <c r="CH32" i="18"/>
  <c r="CH33" i="18"/>
  <c r="CH34" i="18"/>
  <c r="CH35" i="18"/>
  <c r="CI32" i="18"/>
  <c r="CI33" i="18"/>
  <c r="CI34" i="18"/>
  <c r="CI35" i="18"/>
  <c r="CJ32" i="18"/>
  <c r="CJ33" i="18"/>
  <c r="CJ34" i="18"/>
  <c r="CJ35" i="18"/>
  <c r="CL32" i="18"/>
  <c r="CL33" i="18"/>
  <c r="CL34" i="18"/>
  <c r="CL35" i="18"/>
  <c r="CM32" i="18"/>
  <c r="CM33" i="18"/>
  <c r="CM34" i="18"/>
  <c r="CM35" i="18"/>
  <c r="CE36" i="18"/>
  <c r="CE37" i="18"/>
  <c r="CF36" i="18"/>
  <c r="CF37" i="18"/>
  <c r="CG36" i="18"/>
  <c r="CG37" i="18"/>
  <c r="CH36" i="18"/>
  <c r="CH37" i="18"/>
  <c r="CI36" i="18"/>
  <c r="CI37" i="18"/>
  <c r="CJ36" i="18"/>
  <c r="CJ37" i="18"/>
  <c r="CL36" i="18"/>
  <c r="CL37" i="18"/>
  <c r="CM36" i="18"/>
  <c r="CM37" i="18"/>
  <c r="CE52" i="18"/>
  <c r="CF52" i="18"/>
  <c r="CG52" i="18"/>
  <c r="CH52" i="18"/>
  <c r="CI52" i="18"/>
  <c r="CJ52" i="18"/>
  <c r="CL52" i="18"/>
  <c r="CM52" i="18"/>
  <c r="AM76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3" i="4"/>
  <c r="AM92" i="4"/>
  <c r="AM94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L55" i="4"/>
  <c r="P56" i="4"/>
  <c r="Q56" i="4"/>
  <c r="Q96" i="4"/>
  <c r="R56" i="4"/>
  <c r="S56" i="4"/>
  <c r="T56" i="4"/>
  <c r="AM97" i="4"/>
  <c r="AM98" i="4"/>
  <c r="AM101" i="4"/>
  <c r="AM102" i="4"/>
  <c r="AM103" i="4"/>
  <c r="AM104" i="4"/>
  <c r="R131" i="2"/>
  <c r="S131" i="2"/>
  <c r="AG78" i="23"/>
  <c r="AH78" i="23"/>
  <c r="E129" i="8"/>
  <c r="O133" i="8"/>
  <c r="AG79" i="23"/>
  <c r="AH79" i="23"/>
  <c r="AE565" i="21"/>
  <c r="AL80" i="4"/>
  <c r="L132" i="2"/>
  <c r="AD506" i="21"/>
  <c r="AD555" i="21"/>
  <c r="AK104" i="4"/>
  <c r="AG103" i="16"/>
  <c r="AQ99" i="16"/>
  <c r="AR99" i="16"/>
  <c r="AS99" i="16"/>
  <c r="AT99" i="16"/>
  <c r="AU99" i="16"/>
  <c r="AV99" i="16"/>
  <c r="AW99" i="16"/>
  <c r="AX99" i="16"/>
  <c r="AY99" i="16"/>
  <c r="AZ99" i="16"/>
  <c r="BA99" i="16"/>
  <c r="BB99" i="16"/>
  <c r="BC99" i="16"/>
  <c r="AI99" i="16"/>
  <c r="AJ99" i="16"/>
  <c r="AK99" i="16"/>
  <c r="AO99" i="16"/>
  <c r="AP99" i="16"/>
  <c r="AH99" i="16"/>
  <c r="AH96" i="16"/>
  <c r="AH97" i="16"/>
  <c r="AD600" i="21"/>
  <c r="AU61" i="4"/>
  <c r="B61" i="4"/>
  <c r="AE105" i="16"/>
  <c r="AF105" i="16"/>
  <c r="AG105" i="16"/>
  <c r="AH105" i="16"/>
  <c r="AI105" i="16"/>
  <c r="AJ105" i="16"/>
  <c r="AN105" i="16"/>
  <c r="AO105" i="16"/>
  <c r="AP105" i="16"/>
  <c r="AE62" i="16"/>
  <c r="Z509" i="21"/>
  <c r="AA509" i="21"/>
  <c r="Z510" i="21"/>
  <c r="AA510" i="21"/>
  <c r="AB510" i="21"/>
  <c r="P32" i="23"/>
  <c r="H35" i="23"/>
  <c r="I35" i="23"/>
  <c r="J35" i="23"/>
  <c r="K35" i="23"/>
  <c r="L35" i="23"/>
  <c r="P35" i="23"/>
  <c r="Q35" i="23"/>
  <c r="R35" i="23"/>
  <c r="S35" i="23"/>
  <c r="T35" i="23"/>
  <c r="U35" i="23"/>
  <c r="V35" i="23"/>
  <c r="T38" i="23"/>
  <c r="U38" i="23"/>
  <c r="H42" i="23"/>
  <c r="I42" i="23"/>
  <c r="L50" i="23"/>
  <c r="L78" i="23"/>
  <c r="M50" i="23"/>
  <c r="N50" i="23"/>
  <c r="O50" i="23"/>
  <c r="P50" i="23"/>
  <c r="Q50" i="23"/>
  <c r="S50" i="23"/>
  <c r="S78" i="23"/>
  <c r="T50" i="23"/>
  <c r="T49" i="23"/>
  <c r="T79" i="23"/>
  <c r="U49" i="23"/>
  <c r="AG78" i="16"/>
  <c r="AG90" i="16"/>
  <c r="AG95" i="16"/>
  <c r="AG100" i="16"/>
  <c r="AG102" i="16"/>
  <c r="AH78" i="16"/>
  <c r="AH90" i="16"/>
  <c r="AH95" i="16"/>
  <c r="AH100" i="16"/>
  <c r="AH102" i="16"/>
  <c r="AH66" i="16"/>
  <c r="F129" i="8"/>
  <c r="P132" i="8"/>
  <c r="D33" i="8"/>
  <c r="AL78" i="16"/>
  <c r="AL90" i="16"/>
  <c r="AL100" i="16"/>
  <c r="AM78" i="16"/>
  <c r="AM90" i="16"/>
  <c r="AN78" i="16"/>
  <c r="AN90" i="16"/>
  <c r="AN95" i="16"/>
  <c r="AO78" i="16"/>
  <c r="AO66" i="16"/>
  <c r="AF95" i="16"/>
  <c r="AF78" i="16"/>
  <c r="AF66" i="16"/>
  <c r="F127" i="8"/>
  <c r="P130" i="8"/>
  <c r="D31" i="8"/>
  <c r="AF90" i="16"/>
  <c r="AF92" i="16"/>
  <c r="AF100" i="16"/>
  <c r="AF102" i="16"/>
  <c r="AF91" i="16"/>
  <c r="AF87" i="16"/>
  <c r="AF93" i="16"/>
  <c r="AG91" i="16"/>
  <c r="AH91" i="16"/>
  <c r="AH92" i="16"/>
  <c r="AH93" i="16"/>
  <c r="AI91" i="16"/>
  <c r="AI92" i="16"/>
  <c r="AI93" i="16"/>
  <c r="AJ91" i="16"/>
  <c r="AJ92" i="16"/>
  <c r="AJ93" i="16"/>
  <c r="AK91" i="16"/>
  <c r="AK92" i="16"/>
  <c r="AK93" i="16"/>
  <c r="AL91" i="16"/>
  <c r="AM91" i="16"/>
  <c r="AN91" i="16"/>
  <c r="AO91" i="16"/>
  <c r="I131" i="2"/>
  <c r="M131" i="2"/>
  <c r="E131" i="2"/>
  <c r="I132" i="2"/>
  <c r="R132" i="2"/>
  <c r="S132" i="2"/>
  <c r="C131" i="8"/>
  <c r="C132" i="8"/>
  <c r="C133" i="8"/>
  <c r="C128" i="8"/>
  <c r="M131" i="8"/>
  <c r="C129" i="8"/>
  <c r="C130" i="8"/>
  <c r="CL30" i="18"/>
  <c r="B130" i="8"/>
  <c r="CL31" i="18"/>
  <c r="B131" i="8"/>
  <c r="CL28" i="18"/>
  <c r="B128" i="8"/>
  <c r="CL29" i="18"/>
  <c r="B129" i="8"/>
  <c r="CL2" i="18"/>
  <c r="CL3" i="18"/>
  <c r="CL4" i="18"/>
  <c r="CL5" i="18"/>
  <c r="CL6" i="18"/>
  <c r="CL7" i="18"/>
  <c r="CL8" i="18"/>
  <c r="CL9" i="18"/>
  <c r="CL10" i="18"/>
  <c r="CL11" i="18"/>
  <c r="CL12" i="18"/>
  <c r="CL13" i="18"/>
  <c r="CL14" i="18"/>
  <c r="CL15" i="18"/>
  <c r="CL16" i="18"/>
  <c r="CL17" i="18"/>
  <c r="B117" i="8"/>
  <c r="CL18" i="18"/>
  <c r="CL19" i="18"/>
  <c r="CL20" i="18"/>
  <c r="CL21" i="18"/>
  <c r="CL22" i="18"/>
  <c r="B122" i="8"/>
  <c r="L121" i="8"/>
  <c r="CL23" i="18"/>
  <c r="CL24" i="18"/>
  <c r="CL25" i="18"/>
  <c r="CL26" i="18"/>
  <c r="CL27" i="18"/>
  <c r="CL53" i="18"/>
  <c r="AP68" i="16"/>
  <c r="AP67" i="16"/>
  <c r="G137" i="8"/>
  <c r="AO68" i="16"/>
  <c r="AO67" i="16"/>
  <c r="G136" i="8"/>
  <c r="AN68" i="16"/>
  <c r="AM68" i="16"/>
  <c r="AL68" i="16"/>
  <c r="AL79" i="16"/>
  <c r="AK68" i="16"/>
  <c r="AK79" i="16"/>
  <c r="AJ68" i="16"/>
  <c r="AJ67" i="16"/>
  <c r="G131" i="8"/>
  <c r="AJ79" i="16"/>
  <c r="AI68" i="16"/>
  <c r="AI103" i="16"/>
  <c r="AI79" i="16"/>
  <c r="AI101" i="16"/>
  <c r="AH68" i="16"/>
  <c r="AH79" i="16"/>
  <c r="AH101" i="16"/>
  <c r="AH103" i="16"/>
  <c r="AG68" i="16"/>
  <c r="AG79" i="16"/>
  <c r="AG101" i="16"/>
  <c r="S57" i="16"/>
  <c r="T57" i="16"/>
  <c r="U57" i="16"/>
  <c r="V57" i="16"/>
  <c r="W57" i="16"/>
  <c r="X57" i="16"/>
  <c r="AF79" i="16"/>
  <c r="AF101" i="16"/>
  <c r="AE61" i="16"/>
  <c r="AL3" i="5"/>
  <c r="AM3" i="5"/>
  <c r="AN3" i="5"/>
  <c r="AO3" i="5"/>
  <c r="AD59" i="16"/>
  <c r="AE59" i="16"/>
  <c r="AE86" i="16"/>
  <c r="AF59" i="16"/>
  <c r="AG86" i="16"/>
  <c r="U522" i="21"/>
  <c r="V522" i="21"/>
  <c r="W522" i="21"/>
  <c r="X522" i="21"/>
  <c r="Y522" i="21"/>
  <c r="Z522" i="21"/>
  <c r="AA522" i="21"/>
  <c r="AB522" i="21"/>
  <c r="Z516" i="21"/>
  <c r="AA516" i="21"/>
  <c r="Z515" i="21"/>
  <c r="Z577" i="21"/>
  <c r="Z511" i="21"/>
  <c r="AA511" i="21"/>
  <c r="AB565" i="21"/>
  <c r="O571" i="21"/>
  <c r="P571" i="21"/>
  <c r="Q571" i="21"/>
  <c r="R571" i="21"/>
  <c r="S571" i="21"/>
  <c r="T571" i="21"/>
  <c r="U571" i="21"/>
  <c r="V571" i="21"/>
  <c r="W571" i="21"/>
  <c r="X571" i="21"/>
  <c r="Y571" i="21"/>
  <c r="Z571" i="21"/>
  <c r="AA571" i="21"/>
  <c r="AB571" i="21"/>
  <c r="AC571" i="21"/>
  <c r="AD571" i="21"/>
  <c r="AE571" i="21"/>
  <c r="AF571" i="21"/>
  <c r="AG571" i="21"/>
  <c r="AH571" i="21"/>
  <c r="AQ571" i="21"/>
  <c r="C571" i="21"/>
  <c r="D571" i="21"/>
  <c r="E571" i="21"/>
  <c r="F571" i="21"/>
  <c r="G571" i="21"/>
  <c r="H571" i="21"/>
  <c r="I571" i="21"/>
  <c r="J571" i="21"/>
  <c r="K571" i="21"/>
  <c r="L571" i="21"/>
  <c r="M571" i="21"/>
  <c r="N571" i="21"/>
  <c r="AG92" i="16"/>
  <c r="AG93" i="16"/>
  <c r="AG87" i="16"/>
  <c r="AH87" i="16"/>
  <c r="AI87" i="16"/>
  <c r="AK87" i="16"/>
  <c r="AM92" i="16"/>
  <c r="AE91" i="16"/>
  <c r="AE92" i="16"/>
  <c r="AE90" i="16"/>
  <c r="R128" i="2"/>
  <c r="R129" i="2"/>
  <c r="S129" i="2"/>
  <c r="R130" i="2"/>
  <c r="R133" i="2"/>
  <c r="R134" i="2"/>
  <c r="R135" i="2"/>
  <c r="R136" i="2"/>
  <c r="S136" i="2"/>
  <c r="R137" i="2"/>
  <c r="S137" i="2"/>
  <c r="R139" i="2"/>
  <c r="R140" i="2"/>
  <c r="R141" i="2"/>
  <c r="R142" i="2"/>
  <c r="S142" i="2"/>
  <c r="R143" i="2"/>
  <c r="S143" i="2"/>
  <c r="R144" i="2"/>
  <c r="R145" i="2"/>
  <c r="R146" i="2"/>
  <c r="S146" i="2"/>
  <c r="R147" i="2"/>
  <c r="R148" i="2"/>
  <c r="R149" i="2"/>
  <c r="S149" i="2"/>
  <c r="R150" i="2"/>
  <c r="R151" i="2"/>
  <c r="S151" i="2"/>
  <c r="R152" i="2"/>
  <c r="R153" i="2"/>
  <c r="S153" i="2"/>
  <c r="R154" i="2"/>
  <c r="R155" i="2"/>
  <c r="S155" i="2"/>
  <c r="R156" i="2"/>
  <c r="R157" i="2"/>
  <c r="R158" i="2"/>
  <c r="R159" i="2"/>
  <c r="R160" i="2"/>
  <c r="R161" i="2"/>
  <c r="S161" i="2"/>
  <c r="R162" i="2"/>
  <c r="S162" i="2"/>
  <c r="R163" i="2"/>
  <c r="S163" i="2"/>
  <c r="Z524" i="21"/>
  <c r="Z599" i="21"/>
  <c r="AH37" i="4"/>
  <c r="AI37" i="4"/>
  <c r="AJ37" i="4"/>
  <c r="AK37" i="4"/>
  <c r="AL37" i="4"/>
  <c r="AC29" i="11"/>
  <c r="AD29" i="11"/>
  <c r="AE29" i="11"/>
  <c r="AF29" i="11"/>
  <c r="AG29" i="11"/>
  <c r="AH29" i="11"/>
  <c r="AI29" i="11"/>
  <c r="AC30" i="11"/>
  <c r="AD30" i="11"/>
  <c r="AE30" i="11"/>
  <c r="AF30" i="11"/>
  <c r="AG30" i="11"/>
  <c r="AH30" i="11"/>
  <c r="AI30" i="11"/>
  <c r="AC31" i="11"/>
  <c r="AD31" i="11"/>
  <c r="AE31" i="11"/>
  <c r="AF31" i="11"/>
  <c r="AG31" i="11"/>
  <c r="AH31" i="11"/>
  <c r="AI31" i="11"/>
  <c r="AC32" i="11"/>
  <c r="AD32" i="11"/>
  <c r="AE32" i="11"/>
  <c r="AF32" i="11"/>
  <c r="AG32" i="11"/>
  <c r="AH32" i="11"/>
  <c r="AI32" i="11"/>
  <c r="AC33" i="11"/>
  <c r="AD33" i="11"/>
  <c r="AE33" i="11"/>
  <c r="AF33" i="11"/>
  <c r="AG33" i="11"/>
  <c r="AH33" i="11"/>
  <c r="AI33" i="11"/>
  <c r="AC34" i="11"/>
  <c r="AD34" i="11"/>
  <c r="AE34" i="11"/>
  <c r="AF34" i="11"/>
  <c r="AG34" i="11"/>
  <c r="AH34" i="11"/>
  <c r="AI34" i="11"/>
  <c r="AC35" i="11"/>
  <c r="AD35" i="11"/>
  <c r="AE35" i="11"/>
  <c r="AF35" i="11"/>
  <c r="AG35" i="11"/>
  <c r="AH35" i="11"/>
  <c r="AI35" i="11"/>
  <c r="AC36" i="11"/>
  <c r="AD36" i="11"/>
  <c r="AE36" i="11"/>
  <c r="AF36" i="11"/>
  <c r="AG36" i="11"/>
  <c r="AH36" i="11"/>
  <c r="AI36" i="11"/>
  <c r="AC37" i="11"/>
  <c r="AD37" i="11"/>
  <c r="AE37" i="11"/>
  <c r="AF37" i="11"/>
  <c r="AG37" i="11"/>
  <c r="AH37" i="11"/>
  <c r="AI37" i="11"/>
  <c r="AC38" i="11"/>
  <c r="AD38" i="11"/>
  <c r="AE38" i="11"/>
  <c r="AF38" i="11"/>
  <c r="AG38" i="11"/>
  <c r="AH38" i="11"/>
  <c r="AI38" i="11"/>
  <c r="AC41" i="11"/>
  <c r="AD41" i="11"/>
  <c r="AE41" i="11"/>
  <c r="AF41" i="11"/>
  <c r="AG41" i="11"/>
  <c r="AH41" i="11"/>
  <c r="AI41" i="11"/>
  <c r="AC42" i="11"/>
  <c r="AD42" i="11"/>
  <c r="AE42" i="11"/>
  <c r="AF42" i="11"/>
  <c r="AG42" i="11"/>
  <c r="AH42" i="11"/>
  <c r="AI42" i="11"/>
  <c r="AC43" i="11"/>
  <c r="AD43" i="11"/>
  <c r="AE43" i="11"/>
  <c r="AF43" i="11"/>
  <c r="AG43" i="11"/>
  <c r="AH43" i="11"/>
  <c r="AI43" i="11"/>
  <c r="AC44" i="11"/>
  <c r="AD44" i="11"/>
  <c r="AE44" i="11"/>
  <c r="AF44" i="11"/>
  <c r="AG44" i="11"/>
  <c r="AH44" i="11"/>
  <c r="AI44" i="11"/>
  <c r="AE80" i="23"/>
  <c r="AE79" i="23"/>
  <c r="AE78" i="23"/>
  <c r="E126" i="8"/>
  <c r="O129" i="8"/>
  <c r="AF78" i="23"/>
  <c r="E127" i="8"/>
  <c r="O131" i="8"/>
  <c r="E128" i="8"/>
  <c r="O132" i="8"/>
  <c r="R120" i="2"/>
  <c r="S120" i="2"/>
  <c r="W78" i="16"/>
  <c r="W90" i="16"/>
  <c r="W95" i="16"/>
  <c r="W100" i="16"/>
  <c r="W102" i="16"/>
  <c r="E130" i="8"/>
  <c r="O134" i="8"/>
  <c r="R134" i="8"/>
  <c r="R122" i="2"/>
  <c r="S122" i="2"/>
  <c r="Y78" i="16"/>
  <c r="Y90" i="16"/>
  <c r="Y95" i="16"/>
  <c r="Y100" i="16"/>
  <c r="Y102" i="16"/>
  <c r="Y66" i="16"/>
  <c r="R123" i="2"/>
  <c r="S123" i="2"/>
  <c r="Z78" i="16"/>
  <c r="Z90" i="16"/>
  <c r="Z95" i="16"/>
  <c r="Z100" i="16"/>
  <c r="Z66" i="16"/>
  <c r="Z102" i="16"/>
  <c r="AK78" i="23"/>
  <c r="E132" i="8"/>
  <c r="O136" i="8"/>
  <c r="R136" i="8"/>
  <c r="R124" i="2"/>
  <c r="S124" i="2"/>
  <c r="X76" i="16"/>
  <c r="AA78" i="16"/>
  <c r="AA90" i="16"/>
  <c r="AA95" i="16"/>
  <c r="AA100" i="16"/>
  <c r="AA102" i="16"/>
  <c r="R125" i="2"/>
  <c r="S125" i="2"/>
  <c r="E134" i="8"/>
  <c r="O138" i="8"/>
  <c r="R138" i="8"/>
  <c r="R126" i="2"/>
  <c r="S126" i="2"/>
  <c r="E138" i="8"/>
  <c r="AF79" i="23"/>
  <c r="AK79" i="23"/>
  <c r="AF80" i="23"/>
  <c r="AG80" i="23"/>
  <c r="AH80" i="23"/>
  <c r="AI80" i="23"/>
  <c r="AJ80" i="23"/>
  <c r="AK80" i="23"/>
  <c r="AE81" i="23"/>
  <c r="AF81" i="23"/>
  <c r="AG81" i="23"/>
  <c r="AH81" i="23"/>
  <c r="AI81" i="23"/>
  <c r="AJ81" i="23"/>
  <c r="AE82" i="23"/>
  <c r="AF82" i="23"/>
  <c r="AG82" i="23"/>
  <c r="AH82" i="23"/>
  <c r="AI82" i="23"/>
  <c r="AJ82" i="23"/>
  <c r="AK82" i="23"/>
  <c r="AE83" i="23"/>
  <c r="AF83" i="23"/>
  <c r="AG83" i="23"/>
  <c r="AH83" i="23"/>
  <c r="AI83" i="23"/>
  <c r="AJ83" i="23"/>
  <c r="AK83" i="23"/>
  <c r="AE84" i="23"/>
  <c r="AF84" i="23"/>
  <c r="AG84" i="23"/>
  <c r="AH84" i="23"/>
  <c r="AI84" i="23"/>
  <c r="AJ84" i="23"/>
  <c r="AK84" i="23"/>
  <c r="AE85" i="23"/>
  <c r="AF85" i="23"/>
  <c r="AG85" i="23"/>
  <c r="AH85" i="23"/>
  <c r="AI85" i="23"/>
  <c r="AJ85" i="23"/>
  <c r="AE86" i="23"/>
  <c r="AF86" i="23"/>
  <c r="AG86" i="23"/>
  <c r="AH86" i="23"/>
  <c r="AI86" i="23"/>
  <c r="AJ86" i="23"/>
  <c r="AK86" i="23"/>
  <c r="AE87" i="23"/>
  <c r="AF87" i="23"/>
  <c r="AG87" i="23"/>
  <c r="AH87" i="23"/>
  <c r="AI87" i="23"/>
  <c r="AJ87" i="23"/>
  <c r="AK87" i="23"/>
  <c r="AE88" i="23"/>
  <c r="AF88" i="23"/>
  <c r="AG88" i="23"/>
  <c r="AH88" i="23"/>
  <c r="AI88" i="23"/>
  <c r="AJ88" i="23"/>
  <c r="AK88" i="23"/>
  <c r="AE89" i="23"/>
  <c r="AF89" i="23"/>
  <c r="AG89" i="23"/>
  <c r="AH89" i="23"/>
  <c r="AI89" i="23"/>
  <c r="AJ89" i="23"/>
  <c r="AK89" i="23"/>
  <c r="AE90" i="23"/>
  <c r="AF90" i="23"/>
  <c r="AG90" i="23"/>
  <c r="AH90" i="23"/>
  <c r="AI90" i="23"/>
  <c r="AJ90" i="23"/>
  <c r="AK90" i="23"/>
  <c r="AE91" i="23"/>
  <c r="AF91" i="23"/>
  <c r="AG91" i="23"/>
  <c r="AH91" i="23"/>
  <c r="AI91" i="23"/>
  <c r="AJ91" i="23"/>
  <c r="AK91" i="23"/>
  <c r="AE92" i="23"/>
  <c r="AF92" i="23"/>
  <c r="AG92" i="23"/>
  <c r="AH92" i="23"/>
  <c r="AI92" i="23"/>
  <c r="AJ92" i="23"/>
  <c r="AK92" i="23"/>
  <c r="S92" i="23"/>
  <c r="S91" i="23"/>
  <c r="S90" i="23"/>
  <c r="AC89" i="23"/>
  <c r="AC88" i="23"/>
  <c r="AC87" i="23"/>
  <c r="AC86" i="23"/>
  <c r="S85" i="23"/>
  <c r="S84" i="23"/>
  <c r="S83" i="23"/>
  <c r="S82" i="23"/>
  <c r="S81" i="23"/>
  <c r="S80" i="23"/>
  <c r="H90" i="23"/>
  <c r="H91" i="23"/>
  <c r="H83" i="23"/>
  <c r="H89" i="23"/>
  <c r="H92" i="23"/>
  <c r="AC92" i="23"/>
  <c r="AD92" i="23"/>
  <c r="H82" i="23"/>
  <c r="I82" i="23"/>
  <c r="H85" i="23"/>
  <c r="AD87" i="23"/>
  <c r="AD86" i="23"/>
  <c r="H80" i="23"/>
  <c r="E135" i="8"/>
  <c r="O139" i="8"/>
  <c r="R139" i="8"/>
  <c r="R127" i="2"/>
  <c r="S127" i="2"/>
  <c r="I130" i="2"/>
  <c r="O130" i="2"/>
  <c r="M130" i="2"/>
  <c r="S130" i="2"/>
  <c r="R119" i="2"/>
  <c r="S119" i="2"/>
  <c r="V78" i="16"/>
  <c r="V90" i="16"/>
  <c r="V95" i="16"/>
  <c r="V98" i="16"/>
  <c r="V99" i="16"/>
  <c r="V96" i="16"/>
  <c r="V97" i="16"/>
  <c r="R600" i="21"/>
  <c r="V100" i="16"/>
  <c r="V102" i="16"/>
  <c r="L116" i="8"/>
  <c r="G42" i="23"/>
  <c r="G35" i="23"/>
  <c r="G78" i="23"/>
  <c r="O79" i="23"/>
  <c r="AD78" i="23"/>
  <c r="AC78" i="23"/>
  <c r="AD79" i="23"/>
  <c r="AC79" i="23"/>
  <c r="AB79" i="23"/>
  <c r="AA79" i="23"/>
  <c r="Z79" i="23"/>
  <c r="Y79" i="23"/>
  <c r="X79" i="23"/>
  <c r="W79" i="23"/>
  <c r="V79" i="23"/>
  <c r="R79" i="23"/>
  <c r="Q79" i="23"/>
  <c r="P79" i="23"/>
  <c r="N79" i="23"/>
  <c r="M79" i="23"/>
  <c r="L79" i="23"/>
  <c r="K79" i="23"/>
  <c r="J79" i="23"/>
  <c r="I79" i="23"/>
  <c r="H79" i="23"/>
  <c r="G79" i="23"/>
  <c r="I91" i="23"/>
  <c r="J91" i="23"/>
  <c r="K91" i="23"/>
  <c r="L91" i="23"/>
  <c r="M91" i="23"/>
  <c r="N91" i="23"/>
  <c r="O91" i="23"/>
  <c r="P91" i="23"/>
  <c r="Q91" i="23"/>
  <c r="R91" i="23"/>
  <c r="T91" i="23"/>
  <c r="U91" i="23"/>
  <c r="V91" i="23"/>
  <c r="W91" i="23"/>
  <c r="X91" i="23"/>
  <c r="Y91" i="23"/>
  <c r="Z91" i="23"/>
  <c r="AA91" i="23"/>
  <c r="AB91" i="23"/>
  <c r="AC91" i="23"/>
  <c r="AD91" i="23"/>
  <c r="AD90" i="23"/>
  <c r="AD85" i="23"/>
  <c r="AD80" i="23"/>
  <c r="AD93" i="23"/>
  <c r="I92" i="23"/>
  <c r="J92" i="23"/>
  <c r="K92" i="23"/>
  <c r="L92" i="23"/>
  <c r="M92" i="23"/>
  <c r="N92" i="23"/>
  <c r="O92" i="23"/>
  <c r="P92" i="23"/>
  <c r="Q92" i="23"/>
  <c r="R92" i="23"/>
  <c r="T92" i="23"/>
  <c r="U92" i="23"/>
  <c r="V92" i="23"/>
  <c r="W92" i="23"/>
  <c r="X92" i="23"/>
  <c r="Y92" i="23"/>
  <c r="Z92" i="23"/>
  <c r="AA92" i="23"/>
  <c r="AB92" i="23"/>
  <c r="AQ92" i="23"/>
  <c r="I84" i="23"/>
  <c r="J84" i="23"/>
  <c r="K84" i="23"/>
  <c r="L84" i="23"/>
  <c r="M84" i="23"/>
  <c r="N84" i="23"/>
  <c r="O84" i="23"/>
  <c r="P84" i="23"/>
  <c r="Q84" i="23"/>
  <c r="R84" i="23"/>
  <c r="T84" i="23"/>
  <c r="U84" i="23"/>
  <c r="V84" i="23"/>
  <c r="W84" i="23"/>
  <c r="X84" i="23"/>
  <c r="Y84" i="23"/>
  <c r="Z84" i="23"/>
  <c r="AA84" i="23"/>
  <c r="AB84" i="23"/>
  <c r="AC84" i="23"/>
  <c r="AD84" i="23"/>
  <c r="I81" i="23"/>
  <c r="J81" i="23"/>
  <c r="K81" i="23"/>
  <c r="L81" i="23"/>
  <c r="M81" i="23"/>
  <c r="N81" i="23"/>
  <c r="O81" i="23"/>
  <c r="P81" i="23"/>
  <c r="Q81" i="23"/>
  <c r="R81" i="23"/>
  <c r="T81" i="23"/>
  <c r="U81" i="23"/>
  <c r="V81" i="23"/>
  <c r="W81" i="23"/>
  <c r="X81" i="23"/>
  <c r="Y81" i="23"/>
  <c r="Z81" i="23"/>
  <c r="AA81" i="23"/>
  <c r="AB81" i="23"/>
  <c r="AC81" i="23"/>
  <c r="AD81" i="23"/>
  <c r="J82" i="23"/>
  <c r="K82" i="23"/>
  <c r="L82" i="23"/>
  <c r="M82" i="23"/>
  <c r="N82" i="23"/>
  <c r="O82" i="23"/>
  <c r="P82" i="23"/>
  <c r="Q82" i="23"/>
  <c r="R82" i="23"/>
  <c r="T82" i="23"/>
  <c r="U82" i="23"/>
  <c r="B82" i="23"/>
  <c r="V82" i="23"/>
  <c r="W82" i="23"/>
  <c r="X82" i="23"/>
  <c r="Y82" i="23"/>
  <c r="Z82" i="23"/>
  <c r="AA82" i="23"/>
  <c r="AB82" i="23"/>
  <c r="AC82" i="23"/>
  <c r="AD82" i="23"/>
  <c r="I89" i="23"/>
  <c r="J89" i="23"/>
  <c r="K89" i="23"/>
  <c r="L89" i="23"/>
  <c r="M89" i="23"/>
  <c r="N89" i="23"/>
  <c r="O89" i="23"/>
  <c r="P89" i="23"/>
  <c r="Q89" i="23"/>
  <c r="R89" i="23"/>
  <c r="S89" i="23"/>
  <c r="T89" i="23"/>
  <c r="U89" i="23"/>
  <c r="V89" i="23"/>
  <c r="W89" i="23"/>
  <c r="X89" i="23"/>
  <c r="Y89" i="23"/>
  <c r="Z89" i="23"/>
  <c r="AA89" i="23"/>
  <c r="AB89" i="23"/>
  <c r="AD89" i="23"/>
  <c r="I85" i="23"/>
  <c r="J85" i="23"/>
  <c r="K85" i="23"/>
  <c r="L85" i="23"/>
  <c r="M85" i="23"/>
  <c r="N85" i="23"/>
  <c r="O85" i="23"/>
  <c r="P85" i="23"/>
  <c r="Q85" i="23"/>
  <c r="R85" i="23"/>
  <c r="T85" i="23"/>
  <c r="U85" i="23"/>
  <c r="V85" i="23"/>
  <c r="W85" i="23"/>
  <c r="X85" i="23"/>
  <c r="Y85" i="23"/>
  <c r="Z85" i="23"/>
  <c r="AA85" i="23"/>
  <c r="AB85" i="23"/>
  <c r="AC85" i="23"/>
  <c r="I80" i="23"/>
  <c r="J80" i="23"/>
  <c r="K80" i="23"/>
  <c r="L80" i="23"/>
  <c r="M80" i="23"/>
  <c r="N80" i="23"/>
  <c r="O80" i="23"/>
  <c r="P80" i="23"/>
  <c r="Q80" i="23"/>
  <c r="R80" i="23"/>
  <c r="T80" i="23"/>
  <c r="U80" i="23"/>
  <c r="V80" i="23"/>
  <c r="W80" i="23"/>
  <c r="X80" i="23"/>
  <c r="Y80" i="23"/>
  <c r="Z80" i="23"/>
  <c r="AA80" i="23"/>
  <c r="AB80" i="23"/>
  <c r="AC80" i="23"/>
  <c r="I83" i="23"/>
  <c r="J83" i="23"/>
  <c r="K83" i="23"/>
  <c r="L83" i="23"/>
  <c r="M83" i="23"/>
  <c r="N83" i="23"/>
  <c r="O83" i="23"/>
  <c r="P83" i="23"/>
  <c r="Q83" i="23"/>
  <c r="R83" i="23"/>
  <c r="T83" i="23"/>
  <c r="U83" i="23"/>
  <c r="V83" i="23"/>
  <c r="W83" i="23"/>
  <c r="X83" i="23"/>
  <c r="Y83" i="23"/>
  <c r="Z83" i="23"/>
  <c r="AA83" i="23"/>
  <c r="AB83" i="23"/>
  <c r="AC83" i="23"/>
  <c r="AD83" i="23"/>
  <c r="AD88" i="23"/>
  <c r="I93" i="23"/>
  <c r="J93" i="23"/>
  <c r="K93" i="23"/>
  <c r="L93" i="23"/>
  <c r="M93" i="23"/>
  <c r="N93" i="23"/>
  <c r="O93" i="23"/>
  <c r="P93" i="23"/>
  <c r="Q93" i="23"/>
  <c r="R93" i="23"/>
  <c r="S93" i="23"/>
  <c r="T93" i="23"/>
  <c r="U93" i="23"/>
  <c r="V93" i="23"/>
  <c r="W93" i="23"/>
  <c r="X93" i="23"/>
  <c r="Y93" i="23"/>
  <c r="Z93" i="23"/>
  <c r="AA93" i="23"/>
  <c r="AB93" i="23"/>
  <c r="AC93" i="23"/>
  <c r="AE93" i="23"/>
  <c r="AF93" i="23"/>
  <c r="AG93" i="23"/>
  <c r="AH93" i="23"/>
  <c r="AI93" i="23"/>
  <c r="AJ93" i="23"/>
  <c r="AK93" i="23"/>
  <c r="AL93" i="23"/>
  <c r="AM93" i="23"/>
  <c r="AN93" i="23"/>
  <c r="AO93" i="23"/>
  <c r="AP93" i="23"/>
  <c r="H84" i="23"/>
  <c r="H81" i="23"/>
  <c r="H93" i="23"/>
  <c r="I90" i="23"/>
  <c r="J90" i="23"/>
  <c r="K90" i="23"/>
  <c r="L90" i="23"/>
  <c r="M90" i="23"/>
  <c r="N90" i="23"/>
  <c r="O90" i="23"/>
  <c r="P90" i="23"/>
  <c r="Q90" i="23"/>
  <c r="R90" i="23"/>
  <c r="T90" i="23"/>
  <c r="U90" i="23"/>
  <c r="V90" i="23"/>
  <c r="W90" i="23"/>
  <c r="X90" i="23"/>
  <c r="Y90" i="23"/>
  <c r="Z90" i="23"/>
  <c r="AA90" i="23"/>
  <c r="AB90" i="23"/>
  <c r="AC90" i="23"/>
  <c r="AB78" i="23"/>
  <c r="AA78" i="23"/>
  <c r="Z78" i="23"/>
  <c r="Y78" i="23"/>
  <c r="X78" i="23"/>
  <c r="W78" i="23"/>
  <c r="V78" i="23"/>
  <c r="M78" i="23"/>
  <c r="N78" i="23"/>
  <c r="P78" i="23"/>
  <c r="Q78" i="23"/>
  <c r="J78" i="23"/>
  <c r="H78" i="23"/>
  <c r="I78" i="23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M33" i="15"/>
  <c r="N33" i="15"/>
  <c r="O33" i="15"/>
  <c r="P33" i="15"/>
  <c r="Q33" i="15"/>
  <c r="R33" i="15"/>
  <c r="S33" i="15"/>
  <c r="T33" i="15"/>
  <c r="U33" i="15"/>
  <c r="V33" i="15"/>
  <c r="W33" i="15"/>
  <c r="M56" i="15"/>
  <c r="N56" i="15"/>
  <c r="O56" i="15"/>
  <c r="P56" i="15"/>
  <c r="Q56" i="15"/>
  <c r="R56" i="15"/>
  <c r="S56" i="15"/>
  <c r="T56" i="15"/>
  <c r="U56" i="15"/>
  <c r="V56" i="15"/>
  <c r="W56" i="15"/>
  <c r="M93" i="15"/>
  <c r="N93" i="15"/>
  <c r="O93" i="15"/>
  <c r="P93" i="15"/>
  <c r="Q93" i="15"/>
  <c r="R93" i="15"/>
  <c r="S93" i="15"/>
  <c r="T93" i="15"/>
  <c r="U93" i="15"/>
  <c r="V93" i="15"/>
  <c r="W93" i="15"/>
  <c r="X93" i="15"/>
  <c r="AC102" i="15"/>
  <c r="L114" i="15"/>
  <c r="L93" i="15"/>
  <c r="L56" i="15"/>
  <c r="L33" i="15"/>
  <c r="L27" i="15"/>
  <c r="L18" i="15"/>
  <c r="K78" i="23"/>
  <c r="AQ93" i="23"/>
  <c r="AQ91" i="23"/>
  <c r="AQ90" i="23"/>
  <c r="AQ89" i="23"/>
  <c r="AQ88" i="23"/>
  <c r="AQ87" i="23"/>
  <c r="AQ86" i="23"/>
  <c r="AQ85" i="23"/>
  <c r="AQ84" i="23"/>
  <c r="AQ83" i="23"/>
  <c r="AQ82" i="23"/>
  <c r="O130" i="8"/>
  <c r="R130" i="8"/>
  <c r="S130" i="8"/>
  <c r="O98" i="8"/>
  <c r="O124" i="8"/>
  <c r="D35" i="8"/>
  <c r="D36" i="8"/>
  <c r="D37" i="8"/>
  <c r="D38" i="8"/>
  <c r="D39" i="8"/>
  <c r="D40" i="8"/>
  <c r="D41" i="8"/>
  <c r="D34" i="8"/>
  <c r="R133" i="8"/>
  <c r="S133" i="8"/>
  <c r="K99" i="8"/>
  <c r="K100" i="8"/>
  <c r="K101" i="8"/>
  <c r="K102" i="8"/>
  <c r="K103" i="8"/>
  <c r="K104" i="8"/>
  <c r="K105" i="8"/>
  <c r="K106" i="8"/>
  <c r="K107" i="8"/>
  <c r="K108" i="8"/>
  <c r="K109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98" i="8"/>
  <c r="A102" i="8"/>
  <c r="L128" i="8"/>
  <c r="M128" i="8"/>
  <c r="N128" i="8"/>
  <c r="O128" i="8"/>
  <c r="P128" i="8"/>
  <c r="Q128" i="8"/>
  <c r="L112" i="8"/>
  <c r="M112" i="8"/>
  <c r="N112" i="8"/>
  <c r="O112" i="8"/>
  <c r="P112" i="8"/>
  <c r="Q112" i="8"/>
  <c r="M97" i="8"/>
  <c r="N97" i="8"/>
  <c r="O97" i="8"/>
  <c r="P97" i="8"/>
  <c r="Q97" i="8"/>
  <c r="P98" i="8"/>
  <c r="P99" i="8"/>
  <c r="Q99" i="8"/>
  <c r="O99" i="8"/>
  <c r="P100" i="8"/>
  <c r="Q100" i="8"/>
  <c r="O100" i="8"/>
  <c r="P101" i="8"/>
  <c r="Q101" i="8"/>
  <c r="O101" i="8"/>
  <c r="P102" i="8"/>
  <c r="Q102" i="8"/>
  <c r="O102" i="8"/>
  <c r="P103" i="8"/>
  <c r="Q103" i="8"/>
  <c r="O103" i="8"/>
  <c r="P104" i="8"/>
  <c r="Q104" i="8"/>
  <c r="O104" i="8"/>
  <c r="P105" i="8"/>
  <c r="Q105" i="8"/>
  <c r="O105" i="8"/>
  <c r="P106" i="8"/>
  <c r="Q106" i="8"/>
  <c r="O106" i="8"/>
  <c r="P107" i="8"/>
  <c r="Q107" i="8"/>
  <c r="O107" i="8"/>
  <c r="P108" i="8"/>
  <c r="Q108" i="8"/>
  <c r="Q109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AH104" i="15"/>
  <c r="AH105" i="15"/>
  <c r="AG26" i="15"/>
  <c r="AG76" i="4"/>
  <c r="AT39" i="4"/>
  <c r="AA72" i="16"/>
  <c r="AB72" i="16"/>
  <c r="AC72" i="16"/>
  <c r="AD72" i="16"/>
  <c r="AA73" i="16"/>
  <c r="AB73" i="16"/>
  <c r="AC73" i="16"/>
  <c r="AA74" i="16"/>
  <c r="AB74" i="16"/>
  <c r="AC74" i="16"/>
  <c r="AD74" i="16"/>
  <c r="AA75" i="16"/>
  <c r="AB75" i="16"/>
  <c r="AC75" i="16"/>
  <c r="AD75" i="16"/>
  <c r="Z72" i="16"/>
  <c r="Z73" i="16"/>
  <c r="Z74" i="16"/>
  <c r="Z75" i="16"/>
  <c r="AK150" i="15"/>
  <c r="AL150" i="15"/>
  <c r="AK146" i="15"/>
  <c r="AL146" i="15"/>
  <c r="AK148" i="15"/>
  <c r="AL148" i="15"/>
  <c r="AJ146" i="15"/>
  <c r="AJ148" i="15"/>
  <c r="AJ150" i="15"/>
  <c r="AJ132" i="15"/>
  <c r="AJ133" i="15"/>
  <c r="AJ130" i="15"/>
  <c r="AJ131" i="15"/>
  <c r="H67" i="16"/>
  <c r="I67" i="16"/>
  <c r="J67" i="16"/>
  <c r="K67" i="16"/>
  <c r="L67" i="16"/>
  <c r="M67" i="16"/>
  <c r="N67" i="16"/>
  <c r="O67" i="16"/>
  <c r="P67" i="16"/>
  <c r="N66" i="16"/>
  <c r="S102" i="16"/>
  <c r="T102" i="16"/>
  <c r="U102" i="16"/>
  <c r="X102" i="16"/>
  <c r="AB102" i="16"/>
  <c r="AC102" i="16"/>
  <c r="AD102" i="16"/>
  <c r="Z54" i="16"/>
  <c r="Z105" i="16"/>
  <c r="T105" i="16"/>
  <c r="U105" i="16"/>
  <c r="W105" i="16"/>
  <c r="X105" i="16"/>
  <c r="Y105" i="16"/>
  <c r="AD105" i="16"/>
  <c r="V105" i="16"/>
  <c r="V104" i="16"/>
  <c r="W104" i="16"/>
  <c r="Z506" i="21"/>
  <c r="Z523" i="21"/>
  <c r="AA598" i="21"/>
  <c r="Z513" i="21"/>
  <c r="AA569" i="21"/>
  <c r="O577" i="21"/>
  <c r="P577" i="21"/>
  <c r="Q577" i="21"/>
  <c r="R577" i="21"/>
  <c r="S577" i="21"/>
  <c r="T577" i="21"/>
  <c r="U577" i="21"/>
  <c r="V577" i="21"/>
  <c r="W577" i="21"/>
  <c r="X577" i="21"/>
  <c r="Y577" i="21"/>
  <c r="Z518" i="21"/>
  <c r="Z519" i="21"/>
  <c r="Z581" i="21"/>
  <c r="W59" i="16"/>
  <c r="X59" i="16"/>
  <c r="X86" i="16"/>
  <c r="AJ386" i="12"/>
  <c r="C386" i="12"/>
  <c r="AJ388" i="12"/>
  <c r="C388" i="12"/>
  <c r="AJ390" i="12"/>
  <c r="C390" i="12"/>
  <c r="AJ392" i="12"/>
  <c r="C392" i="12"/>
  <c r="AK386" i="12"/>
  <c r="AL386" i="12"/>
  <c r="AM386" i="12"/>
  <c r="AN386" i="12"/>
  <c r="AO386" i="12"/>
  <c r="AP386" i="12"/>
  <c r="AQ386" i="12"/>
  <c r="AR386" i="12"/>
  <c r="AS386" i="12"/>
  <c r="AT386" i="12"/>
  <c r="AU386" i="12"/>
  <c r="AV386" i="12"/>
  <c r="AW386" i="12"/>
  <c r="AK388" i="12"/>
  <c r="AL388" i="12"/>
  <c r="AM388" i="12"/>
  <c r="AN388" i="12"/>
  <c r="AO388" i="12"/>
  <c r="AP388" i="12"/>
  <c r="AQ388" i="12"/>
  <c r="AR388" i="12"/>
  <c r="AS388" i="12"/>
  <c r="AT388" i="12"/>
  <c r="AU388" i="12"/>
  <c r="AV388" i="12"/>
  <c r="AW388" i="12"/>
  <c r="AK390" i="12"/>
  <c r="AL390" i="12"/>
  <c r="AM390" i="12"/>
  <c r="AN390" i="12"/>
  <c r="AO390" i="12"/>
  <c r="AP390" i="12"/>
  <c r="AQ390" i="12"/>
  <c r="AR390" i="12"/>
  <c r="AS390" i="12"/>
  <c r="AT390" i="12"/>
  <c r="AU390" i="12"/>
  <c r="AV390" i="12"/>
  <c r="AW390" i="12"/>
  <c r="AK392" i="12"/>
  <c r="AL392" i="12"/>
  <c r="AM392" i="12"/>
  <c r="AN392" i="12"/>
  <c r="AO392" i="12"/>
  <c r="AP392" i="12"/>
  <c r="AQ392" i="12"/>
  <c r="AR392" i="12"/>
  <c r="AS392" i="12"/>
  <c r="AT392" i="12"/>
  <c r="AU392" i="12"/>
  <c r="AV392" i="12"/>
  <c r="AW392" i="12"/>
  <c r="AW359" i="12"/>
  <c r="AV359" i="12"/>
  <c r="AU359" i="12"/>
  <c r="AT359" i="12"/>
  <c r="AS359" i="12"/>
  <c r="AR359" i="12"/>
  <c r="AQ359" i="12"/>
  <c r="AP359" i="12"/>
  <c r="AO359" i="12"/>
  <c r="AN359" i="12"/>
  <c r="AM359" i="12"/>
  <c r="AL359" i="12"/>
  <c r="AK359" i="12"/>
  <c r="AJ359" i="12"/>
  <c r="AD359" i="12"/>
  <c r="AC359" i="12"/>
  <c r="AB359" i="12"/>
  <c r="AA359" i="12"/>
  <c r="Z359" i="12"/>
  <c r="Y359" i="12"/>
  <c r="X359" i="12"/>
  <c r="W359" i="12"/>
  <c r="V359" i="12"/>
  <c r="U359" i="12"/>
  <c r="T359" i="12"/>
  <c r="S359" i="12"/>
  <c r="R359" i="12"/>
  <c r="Q359" i="12"/>
  <c r="P359" i="12"/>
  <c r="O359" i="12"/>
  <c r="N359" i="12"/>
  <c r="L359" i="12"/>
  <c r="M359" i="12"/>
  <c r="AG359" i="12"/>
  <c r="AF359" i="12"/>
  <c r="C335" i="12"/>
  <c r="AK128" i="15"/>
  <c r="AL128" i="15"/>
  <c r="AJ121" i="15"/>
  <c r="AK121" i="15"/>
  <c r="AL121" i="15"/>
  <c r="AJ123" i="15"/>
  <c r="AK123" i="15"/>
  <c r="AL123" i="15"/>
  <c r="AJ125" i="15"/>
  <c r="AK125" i="15"/>
  <c r="AL125" i="15"/>
  <c r="AJ127" i="15"/>
  <c r="AK127" i="15"/>
  <c r="AL127" i="15"/>
  <c r="AK131" i="15"/>
  <c r="AL131" i="15"/>
  <c r="AK133" i="15"/>
  <c r="AL133" i="15"/>
  <c r="AJ137" i="15"/>
  <c r="AK137" i="15"/>
  <c r="AL137" i="15"/>
  <c r="AJ139" i="15"/>
  <c r="AK139" i="15"/>
  <c r="AL139" i="15"/>
  <c r="AJ141" i="15"/>
  <c r="AK141" i="15"/>
  <c r="AL141" i="15"/>
  <c r="AJ143" i="15"/>
  <c r="AK143" i="15"/>
  <c r="AL143" i="15"/>
  <c r="AE359" i="12"/>
  <c r="AH359" i="12"/>
  <c r="AD78" i="15"/>
  <c r="AC107" i="15"/>
  <c r="AC108" i="15"/>
  <c r="AD107" i="15"/>
  <c r="AD108" i="15"/>
  <c r="AE107" i="15"/>
  <c r="AE108" i="15"/>
  <c r="AF107" i="15"/>
  <c r="AF108" i="15"/>
  <c r="AG107" i="15"/>
  <c r="AG108" i="15"/>
  <c r="AH107" i="15"/>
  <c r="AH108" i="15"/>
  <c r="AI107" i="15"/>
  <c r="AJ107" i="15"/>
  <c r="Y14" i="15"/>
  <c r="Z14" i="15"/>
  <c r="AA14" i="15"/>
  <c r="AB14" i="15"/>
  <c r="AF37" i="4"/>
  <c r="AG37" i="4"/>
  <c r="AI110" i="15"/>
  <c r="AJ110" i="15"/>
  <c r="AG364" i="12"/>
  <c r="Y13" i="5"/>
  <c r="AL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M13" i="5"/>
  <c r="AN13" i="5"/>
  <c r="AO13" i="5"/>
  <c r="Y14" i="5"/>
  <c r="Z14" i="5"/>
  <c r="AA14" i="5"/>
  <c r="AB14" i="5"/>
  <c r="AC14" i="5"/>
  <c r="AD14" i="5"/>
  <c r="AE14" i="5"/>
  <c r="AF14" i="5"/>
  <c r="AL14" i="5"/>
  <c r="AG14" i="5"/>
  <c r="AH14" i="5"/>
  <c r="AI14" i="5"/>
  <c r="AJ14" i="5"/>
  <c r="AK14" i="5"/>
  <c r="AM14" i="5"/>
  <c r="AN14" i="5"/>
  <c r="AO14" i="5"/>
  <c r="Y15" i="5"/>
  <c r="Z15" i="5"/>
  <c r="AL15" i="5"/>
  <c r="AA15" i="5"/>
  <c r="AB15" i="5"/>
  <c r="AC15" i="5"/>
  <c r="AD15" i="5"/>
  <c r="AE15" i="5"/>
  <c r="AF15" i="5"/>
  <c r="AG15" i="5"/>
  <c r="AH15" i="5"/>
  <c r="AI15" i="5"/>
  <c r="AJ15" i="5"/>
  <c r="AK15" i="5"/>
  <c r="AM15" i="5"/>
  <c r="AN15" i="5"/>
  <c r="AO15" i="5"/>
  <c r="Y16" i="5"/>
  <c r="Z16" i="5"/>
  <c r="AA16" i="5"/>
  <c r="AL16" i="5"/>
  <c r="AB16" i="5"/>
  <c r="AC16" i="5"/>
  <c r="AD16" i="5"/>
  <c r="AE16" i="5"/>
  <c r="AF16" i="5"/>
  <c r="AG16" i="5"/>
  <c r="AH16" i="5"/>
  <c r="AI16" i="5"/>
  <c r="AJ16" i="5"/>
  <c r="AK16" i="5"/>
  <c r="AM16" i="5"/>
  <c r="AN16" i="5"/>
  <c r="AO16" i="5"/>
  <c r="Y17" i="5"/>
  <c r="Z17" i="5"/>
  <c r="AA17" i="5"/>
  <c r="AB17" i="5"/>
  <c r="AC17" i="5"/>
  <c r="AL17" i="5"/>
  <c r="AD17" i="5"/>
  <c r="AE17" i="5"/>
  <c r="AF17" i="5"/>
  <c r="AG17" i="5"/>
  <c r="AH17" i="5"/>
  <c r="AI17" i="5"/>
  <c r="AJ17" i="5"/>
  <c r="AK17" i="5"/>
  <c r="AM17" i="5"/>
  <c r="AN17" i="5"/>
  <c r="AO17" i="5"/>
  <c r="Y18" i="5"/>
  <c r="Z18" i="5"/>
  <c r="AL18" i="5"/>
  <c r="AA18" i="5"/>
  <c r="AB18" i="5"/>
  <c r="AC18" i="5"/>
  <c r="AD18" i="5"/>
  <c r="AE18" i="5"/>
  <c r="AF18" i="5"/>
  <c r="AG18" i="5"/>
  <c r="AH18" i="5"/>
  <c r="AI18" i="5"/>
  <c r="AJ18" i="5"/>
  <c r="AK18" i="5"/>
  <c r="AM18" i="5"/>
  <c r="AN18" i="5"/>
  <c r="AO18" i="5"/>
  <c r="Y19" i="5"/>
  <c r="Z19" i="5"/>
  <c r="AA19" i="5"/>
  <c r="AB19" i="5"/>
  <c r="AC19" i="5"/>
  <c r="AD19" i="5"/>
  <c r="AE19" i="5"/>
  <c r="AL19" i="5"/>
  <c r="AF19" i="5"/>
  <c r="AG19" i="5"/>
  <c r="AH19" i="5"/>
  <c r="AI19" i="5"/>
  <c r="AJ19" i="5"/>
  <c r="AK19" i="5"/>
  <c r="AM19" i="5"/>
  <c r="AN19" i="5"/>
  <c r="AO19" i="5"/>
  <c r="Y20" i="5"/>
  <c r="AL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M20" i="5"/>
  <c r="AN20" i="5"/>
  <c r="AO20" i="5"/>
  <c r="Y21" i="5"/>
  <c r="Z21" i="5"/>
  <c r="AL21" i="5"/>
  <c r="AA21" i="5"/>
  <c r="AB21" i="5"/>
  <c r="AC21" i="5"/>
  <c r="AD21" i="5"/>
  <c r="AE21" i="5"/>
  <c r="AF21" i="5"/>
  <c r="AG21" i="5"/>
  <c r="AH21" i="5"/>
  <c r="AI21" i="5"/>
  <c r="AJ21" i="5"/>
  <c r="AK21" i="5"/>
  <c r="AM21" i="5"/>
  <c r="AN21" i="5"/>
  <c r="AO21" i="5"/>
  <c r="Y22" i="5"/>
  <c r="Z22" i="5"/>
  <c r="AA22" i="5"/>
  <c r="AL22" i="5"/>
  <c r="AB22" i="5"/>
  <c r="AC22" i="5"/>
  <c r="AD22" i="5"/>
  <c r="AE22" i="5"/>
  <c r="AF22" i="5"/>
  <c r="AG22" i="5"/>
  <c r="AH22" i="5"/>
  <c r="AI22" i="5"/>
  <c r="AJ22" i="5"/>
  <c r="AK22" i="5"/>
  <c r="AM22" i="5"/>
  <c r="AN22" i="5"/>
  <c r="AO22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Y24" i="5"/>
  <c r="Z24" i="5"/>
  <c r="AA24" i="5"/>
  <c r="AA26" i="5"/>
  <c r="AA27" i="5"/>
  <c r="AB24" i="5"/>
  <c r="AB26" i="5"/>
  <c r="AB27" i="5"/>
  <c r="AC24" i="5"/>
  <c r="AC25" i="5"/>
  <c r="AC26" i="5"/>
  <c r="AC27" i="5"/>
  <c r="AD24" i="5"/>
  <c r="AD26" i="5"/>
  <c r="AD25" i="5"/>
  <c r="AD27" i="5"/>
  <c r="AE24" i="5"/>
  <c r="AF24" i="5"/>
  <c r="AG24" i="5"/>
  <c r="AH24" i="5"/>
  <c r="AI24" i="5"/>
  <c r="AJ24" i="5"/>
  <c r="AJ25" i="5"/>
  <c r="AK24" i="5"/>
  <c r="AK26" i="5"/>
  <c r="AK27" i="5"/>
  <c r="AL24" i="5"/>
  <c r="AL25" i="5"/>
  <c r="AL26" i="5"/>
  <c r="AL27" i="5"/>
  <c r="AM24" i="5"/>
  <c r="AM25" i="5"/>
  <c r="AM26" i="5"/>
  <c r="AM27" i="5"/>
  <c r="AN24" i="5"/>
  <c r="AN26" i="5"/>
  <c r="AN27" i="5"/>
  <c r="AO24" i="5"/>
  <c r="AO26" i="5"/>
  <c r="AO27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6" i="5"/>
  <c r="Y27" i="5"/>
  <c r="Z26" i="5"/>
  <c r="Z27" i="5"/>
  <c r="AE26" i="5"/>
  <c r="AE27" i="5"/>
  <c r="AF26" i="5"/>
  <c r="AF27" i="5"/>
  <c r="AG26" i="5"/>
  <c r="AG25" i="5"/>
  <c r="AG27" i="5"/>
  <c r="AH26" i="5"/>
  <c r="AH27" i="5"/>
  <c r="AI26" i="5"/>
  <c r="AI25" i="5"/>
  <c r="AJ26" i="5"/>
  <c r="AI27" i="5"/>
  <c r="AJ27" i="5"/>
  <c r="Y28" i="5"/>
  <c r="Z28" i="5"/>
  <c r="AA28" i="5"/>
  <c r="AB28" i="5"/>
  <c r="AC28" i="5"/>
  <c r="AD28" i="5"/>
  <c r="AD29" i="5"/>
  <c r="AE28" i="5"/>
  <c r="AF28" i="5"/>
  <c r="AF30" i="5"/>
  <c r="AF31" i="5"/>
  <c r="AF32" i="5"/>
  <c r="AG28" i="5"/>
  <c r="AG30" i="5"/>
  <c r="AG31" i="5"/>
  <c r="AG32" i="5"/>
  <c r="AH28" i="5"/>
  <c r="AI28" i="5"/>
  <c r="AI30" i="5"/>
  <c r="AI31" i="5"/>
  <c r="AI32" i="5"/>
  <c r="AI29" i="5"/>
  <c r="AJ28" i="5"/>
  <c r="AK28" i="5"/>
  <c r="AL28" i="5"/>
  <c r="AL30" i="5"/>
  <c r="AL31" i="5"/>
  <c r="AL32" i="5"/>
  <c r="AM28" i="5"/>
  <c r="AM30" i="5"/>
  <c r="AM31" i="5"/>
  <c r="AM32" i="5"/>
  <c r="AN28" i="5"/>
  <c r="AN30" i="5"/>
  <c r="AN31" i="5"/>
  <c r="AN32" i="5"/>
  <c r="AO28" i="5"/>
  <c r="AO30" i="5"/>
  <c r="AO29" i="5"/>
  <c r="AO31" i="5"/>
  <c r="AO32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30" i="5"/>
  <c r="Y31" i="5"/>
  <c r="Y32" i="5"/>
  <c r="Z30" i="5"/>
  <c r="Z31" i="5"/>
  <c r="Z32" i="5"/>
  <c r="AA30" i="5"/>
  <c r="AA31" i="5"/>
  <c r="AA32" i="5"/>
  <c r="AB30" i="5"/>
  <c r="AB31" i="5"/>
  <c r="AB32" i="5"/>
  <c r="AB29" i="5"/>
  <c r="AC30" i="5"/>
  <c r="AC31" i="5"/>
  <c r="AC32" i="5"/>
  <c r="AD30" i="5"/>
  <c r="AD31" i="5"/>
  <c r="AD32" i="5"/>
  <c r="AE30" i="5"/>
  <c r="AE31" i="5"/>
  <c r="AE32" i="5"/>
  <c r="AH31" i="5"/>
  <c r="AJ31" i="5"/>
  <c r="AK31" i="5"/>
  <c r="AH30" i="5"/>
  <c r="AH32" i="5"/>
  <c r="AJ30" i="5"/>
  <c r="AK30" i="5"/>
  <c r="AJ32" i="5"/>
  <c r="AK32" i="5"/>
  <c r="C33" i="5"/>
  <c r="Y34" i="5"/>
  <c r="Z34" i="5"/>
  <c r="AA34" i="5"/>
  <c r="AB34" i="5"/>
  <c r="AC34" i="5"/>
  <c r="AD34" i="5"/>
  <c r="AL34" i="5"/>
  <c r="AE34" i="5"/>
  <c r="AE35" i="5"/>
  <c r="AF34" i="5"/>
  <c r="AG34" i="5"/>
  <c r="AH34" i="5"/>
  <c r="AH36" i="5"/>
  <c r="AH37" i="5"/>
  <c r="AI34" i="5"/>
  <c r="AJ34" i="5"/>
  <c r="AK34" i="5"/>
  <c r="AM34" i="5"/>
  <c r="AM36" i="5"/>
  <c r="AM37" i="5"/>
  <c r="AN34" i="5"/>
  <c r="AN35" i="5"/>
  <c r="AO34" i="5"/>
  <c r="AO35" i="5"/>
  <c r="AE36" i="5"/>
  <c r="AE37" i="5"/>
  <c r="AF36" i="5"/>
  <c r="AF37" i="5"/>
  <c r="AI36" i="5"/>
  <c r="AI35" i="5"/>
  <c r="AI37" i="5"/>
  <c r="AJ36" i="5"/>
  <c r="AJ37" i="5"/>
  <c r="AL36" i="5"/>
  <c r="AL37" i="5"/>
  <c r="AN36" i="5"/>
  <c r="AN37" i="5"/>
  <c r="AO36" i="5"/>
  <c r="AO37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6" i="5"/>
  <c r="Y37" i="5"/>
  <c r="Z36" i="5"/>
  <c r="Z37" i="5"/>
  <c r="AA36" i="5"/>
  <c r="AA37" i="5"/>
  <c r="AB36" i="5"/>
  <c r="AB37" i="5"/>
  <c r="AC36" i="5"/>
  <c r="AC37" i="5"/>
  <c r="AD36" i="5"/>
  <c r="AD37" i="5"/>
  <c r="AG36" i="5"/>
  <c r="AG37" i="5"/>
  <c r="AK36" i="5"/>
  <c r="AK37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Y39" i="5"/>
  <c r="C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Y40" i="5"/>
  <c r="Z40" i="5"/>
  <c r="AA40" i="5"/>
  <c r="AA41" i="5"/>
  <c r="AB40" i="5"/>
  <c r="AB42" i="5"/>
  <c r="AB43" i="5"/>
  <c r="AB44" i="5"/>
  <c r="AC40" i="5"/>
  <c r="AC41" i="5"/>
  <c r="AD40" i="5"/>
  <c r="AE40" i="5"/>
  <c r="AF40" i="5"/>
  <c r="AG40" i="5"/>
  <c r="C40" i="5"/>
  <c r="AG42" i="5"/>
  <c r="AG43" i="5"/>
  <c r="AG44" i="5"/>
  <c r="AH40" i="5"/>
  <c r="AI40" i="5"/>
  <c r="AI42" i="5"/>
  <c r="AI43" i="5"/>
  <c r="AI44" i="5"/>
  <c r="AJ40" i="5"/>
  <c r="AK40" i="5"/>
  <c r="AL40" i="5"/>
  <c r="AM40" i="5"/>
  <c r="AM42" i="5"/>
  <c r="AM43" i="5"/>
  <c r="AM44" i="5"/>
  <c r="AN40" i="5"/>
  <c r="AN41" i="5"/>
  <c r="AN42" i="5"/>
  <c r="AN43" i="5"/>
  <c r="AN44" i="5"/>
  <c r="AO40" i="5"/>
  <c r="AO42" i="5"/>
  <c r="AO43" i="5"/>
  <c r="AO44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2" i="5"/>
  <c r="Y43" i="5"/>
  <c r="Y44" i="5"/>
  <c r="Z42" i="5"/>
  <c r="Z43" i="5"/>
  <c r="Z44" i="5"/>
  <c r="AA42" i="5"/>
  <c r="AA43" i="5"/>
  <c r="AA44" i="5"/>
  <c r="AC42" i="5"/>
  <c r="AC43" i="5"/>
  <c r="AC44" i="5"/>
  <c r="AD42" i="5"/>
  <c r="AD43" i="5"/>
  <c r="AD44" i="5"/>
  <c r="AD41" i="5"/>
  <c r="AE42" i="5"/>
  <c r="AE43" i="5"/>
  <c r="AE44" i="5"/>
  <c r="AF42" i="5"/>
  <c r="AF43" i="5"/>
  <c r="AL43" i="5"/>
  <c r="AH43" i="5"/>
  <c r="AJ43" i="5"/>
  <c r="AK43" i="5"/>
  <c r="AF44" i="5"/>
  <c r="AH42" i="5"/>
  <c r="AH44" i="5"/>
  <c r="AL42" i="5"/>
  <c r="AL44" i="5"/>
  <c r="AJ42" i="5"/>
  <c r="AK42" i="5"/>
  <c r="AK41" i="5"/>
  <c r="AK44" i="5"/>
  <c r="AJ44" i="5"/>
  <c r="Y6" i="5"/>
  <c r="Z6" i="5"/>
  <c r="AA6" i="5"/>
  <c r="AB6" i="5"/>
  <c r="AC6" i="5"/>
  <c r="AL6" i="5"/>
  <c r="AD6" i="5"/>
  <c r="AE6" i="5"/>
  <c r="AF6" i="5"/>
  <c r="AG6" i="5"/>
  <c r="AH6" i="5"/>
  <c r="AI6" i="5"/>
  <c r="AJ6" i="5"/>
  <c r="AK6" i="5"/>
  <c r="AM6" i="5"/>
  <c r="AN6" i="5"/>
  <c r="AO6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Y9" i="5"/>
  <c r="Z9" i="5"/>
  <c r="AA9" i="5"/>
  <c r="AL9" i="5"/>
  <c r="AB9" i="5"/>
  <c r="AC9" i="5"/>
  <c r="AD9" i="5"/>
  <c r="AE9" i="5"/>
  <c r="AF9" i="5"/>
  <c r="AG9" i="5"/>
  <c r="AH9" i="5"/>
  <c r="AI9" i="5"/>
  <c r="AJ9" i="5"/>
  <c r="AK9" i="5"/>
  <c r="AM9" i="5"/>
  <c r="AN9" i="5"/>
  <c r="AO9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Y12" i="5"/>
  <c r="Z12" i="5"/>
  <c r="AL12" i="5"/>
  <c r="AA12" i="5"/>
  <c r="AB12" i="5"/>
  <c r="AC12" i="5"/>
  <c r="AD12" i="5"/>
  <c r="AE12" i="5"/>
  <c r="AF12" i="5"/>
  <c r="AG12" i="5"/>
  <c r="AH12" i="5"/>
  <c r="AI12" i="5"/>
  <c r="AJ12" i="5"/>
  <c r="AK12" i="5"/>
  <c r="AM12" i="5"/>
  <c r="AN12" i="5"/>
  <c r="AO12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I163" i="2"/>
  <c r="O163" i="2"/>
  <c r="T163" i="2"/>
  <c r="M163" i="2"/>
  <c r="L163" i="2"/>
  <c r="H163" i="2"/>
  <c r="N163" i="2"/>
  <c r="E163" i="2"/>
  <c r="M162" i="2"/>
  <c r="L162" i="2"/>
  <c r="O162" i="2"/>
  <c r="T162" i="2"/>
  <c r="H162" i="2"/>
  <c r="N162" i="2"/>
  <c r="E162" i="2"/>
  <c r="I161" i="2"/>
  <c r="O161" i="2"/>
  <c r="T161" i="2"/>
  <c r="H161" i="2"/>
  <c r="N161" i="2"/>
  <c r="M161" i="2"/>
  <c r="L161" i="2"/>
  <c r="E161" i="2"/>
  <c r="S160" i="2"/>
  <c r="M160" i="2"/>
  <c r="L160" i="2"/>
  <c r="I160" i="2"/>
  <c r="O160" i="2"/>
  <c r="T160" i="2"/>
  <c r="H160" i="2"/>
  <c r="N160" i="2"/>
  <c r="E160" i="2"/>
  <c r="S159" i="2"/>
  <c r="I159" i="2"/>
  <c r="O159" i="2"/>
  <c r="T159" i="2"/>
  <c r="H159" i="2"/>
  <c r="N159" i="2"/>
  <c r="M159" i="2"/>
  <c r="L159" i="2"/>
  <c r="E159" i="2"/>
  <c r="S158" i="2"/>
  <c r="M158" i="2"/>
  <c r="L158" i="2"/>
  <c r="I158" i="2"/>
  <c r="O158" i="2"/>
  <c r="T158" i="2"/>
  <c r="H158" i="2"/>
  <c r="N158" i="2"/>
  <c r="E158" i="2"/>
  <c r="S157" i="2"/>
  <c r="I157" i="2"/>
  <c r="O157" i="2"/>
  <c r="T157" i="2"/>
  <c r="H157" i="2"/>
  <c r="N157" i="2"/>
  <c r="M157" i="2"/>
  <c r="L157" i="2"/>
  <c r="E157" i="2"/>
  <c r="S156" i="2"/>
  <c r="M156" i="2"/>
  <c r="L156" i="2"/>
  <c r="I156" i="2"/>
  <c r="O156" i="2"/>
  <c r="T156" i="2"/>
  <c r="H156" i="2"/>
  <c r="N156" i="2"/>
  <c r="E156" i="2"/>
  <c r="I155" i="2"/>
  <c r="O155" i="2"/>
  <c r="T155" i="2"/>
  <c r="H155" i="2"/>
  <c r="N155" i="2"/>
  <c r="M155" i="2"/>
  <c r="L155" i="2"/>
  <c r="E155" i="2"/>
  <c r="S154" i="2"/>
  <c r="M154" i="2"/>
  <c r="L154" i="2"/>
  <c r="I154" i="2"/>
  <c r="O154" i="2"/>
  <c r="T154" i="2"/>
  <c r="H154" i="2"/>
  <c r="N154" i="2"/>
  <c r="E154" i="2"/>
  <c r="I153" i="2"/>
  <c r="O153" i="2"/>
  <c r="T153" i="2"/>
  <c r="H153" i="2"/>
  <c r="N153" i="2"/>
  <c r="M153" i="2"/>
  <c r="L153" i="2"/>
  <c r="E153" i="2"/>
  <c r="S152" i="2"/>
  <c r="M152" i="2"/>
  <c r="L152" i="2"/>
  <c r="I152" i="2"/>
  <c r="O152" i="2"/>
  <c r="T152" i="2"/>
  <c r="H152" i="2"/>
  <c r="N152" i="2"/>
  <c r="E152" i="2"/>
  <c r="E140" i="2"/>
  <c r="H140" i="2"/>
  <c r="N140" i="2"/>
  <c r="I140" i="2"/>
  <c r="O140" i="2"/>
  <c r="T140" i="2"/>
  <c r="L140" i="2"/>
  <c r="M140" i="2"/>
  <c r="S140" i="2"/>
  <c r="E141" i="2"/>
  <c r="H141" i="2"/>
  <c r="N141" i="2"/>
  <c r="I141" i="2"/>
  <c r="O141" i="2"/>
  <c r="T141" i="2"/>
  <c r="L141" i="2"/>
  <c r="M141" i="2"/>
  <c r="S141" i="2"/>
  <c r="E142" i="2"/>
  <c r="H142" i="2"/>
  <c r="N142" i="2"/>
  <c r="I142" i="2"/>
  <c r="O142" i="2"/>
  <c r="T142" i="2"/>
  <c r="L142" i="2"/>
  <c r="M142" i="2"/>
  <c r="E143" i="2"/>
  <c r="H143" i="2"/>
  <c r="N143" i="2"/>
  <c r="I143" i="2"/>
  <c r="O143" i="2"/>
  <c r="T143" i="2"/>
  <c r="L143" i="2"/>
  <c r="M143" i="2"/>
  <c r="E144" i="2"/>
  <c r="H144" i="2"/>
  <c r="N144" i="2"/>
  <c r="I144" i="2"/>
  <c r="O144" i="2"/>
  <c r="T144" i="2"/>
  <c r="L144" i="2"/>
  <c r="M144" i="2"/>
  <c r="S144" i="2"/>
  <c r="E145" i="2"/>
  <c r="H145" i="2"/>
  <c r="N145" i="2"/>
  <c r="I145" i="2"/>
  <c r="O145" i="2"/>
  <c r="T145" i="2"/>
  <c r="L145" i="2"/>
  <c r="M145" i="2"/>
  <c r="S145" i="2"/>
  <c r="E146" i="2"/>
  <c r="H146" i="2"/>
  <c r="N146" i="2"/>
  <c r="I146" i="2"/>
  <c r="O146" i="2"/>
  <c r="T146" i="2"/>
  <c r="L146" i="2"/>
  <c r="M146" i="2"/>
  <c r="E147" i="2"/>
  <c r="H147" i="2"/>
  <c r="N147" i="2"/>
  <c r="I147" i="2"/>
  <c r="O147" i="2"/>
  <c r="T147" i="2"/>
  <c r="L147" i="2"/>
  <c r="M147" i="2"/>
  <c r="S147" i="2"/>
  <c r="E148" i="2"/>
  <c r="H148" i="2"/>
  <c r="N148" i="2"/>
  <c r="I148" i="2"/>
  <c r="O148" i="2"/>
  <c r="T148" i="2"/>
  <c r="L148" i="2"/>
  <c r="M148" i="2"/>
  <c r="S148" i="2"/>
  <c r="E149" i="2"/>
  <c r="H149" i="2"/>
  <c r="N149" i="2"/>
  <c r="I149" i="2"/>
  <c r="O149" i="2"/>
  <c r="T149" i="2"/>
  <c r="L149" i="2"/>
  <c r="M149" i="2"/>
  <c r="E150" i="2"/>
  <c r="H150" i="2"/>
  <c r="N150" i="2"/>
  <c r="I150" i="2"/>
  <c r="O150" i="2"/>
  <c r="T150" i="2"/>
  <c r="L150" i="2"/>
  <c r="M150" i="2"/>
  <c r="S150" i="2"/>
  <c r="E151" i="2"/>
  <c r="H151" i="2"/>
  <c r="N151" i="2"/>
  <c r="I151" i="2"/>
  <c r="O151" i="2"/>
  <c r="T151" i="2"/>
  <c r="L151" i="2"/>
  <c r="M151" i="2"/>
  <c r="AF76" i="4"/>
  <c r="AH76" i="4"/>
  <c r="AI76" i="4"/>
  <c r="AJ76" i="4"/>
  <c r="AK76" i="4"/>
  <c r="AL76" i="4"/>
  <c r="AF77" i="4"/>
  <c r="AG77" i="4"/>
  <c r="AH77" i="4"/>
  <c r="AI77" i="4"/>
  <c r="AJ77" i="4"/>
  <c r="AK77" i="4"/>
  <c r="AL77" i="4"/>
  <c r="AF78" i="4"/>
  <c r="AG78" i="4"/>
  <c r="AH78" i="4"/>
  <c r="AI78" i="4"/>
  <c r="AJ78" i="4"/>
  <c r="AK78" i="4"/>
  <c r="AL78" i="4"/>
  <c r="AF80" i="4"/>
  <c r="AG80" i="4"/>
  <c r="AH80" i="4"/>
  <c r="AI80" i="4"/>
  <c r="AJ80" i="4"/>
  <c r="AK80" i="4"/>
  <c r="AF81" i="4"/>
  <c r="AG81" i="4"/>
  <c r="AH81" i="4"/>
  <c r="AI81" i="4"/>
  <c r="AJ81" i="4"/>
  <c r="AK81" i="4"/>
  <c r="AL81" i="4"/>
  <c r="AF82" i="4"/>
  <c r="AF84" i="4"/>
  <c r="AF83" i="4"/>
  <c r="AG82" i="4"/>
  <c r="AG83" i="4"/>
  <c r="AH82" i="4"/>
  <c r="AI82" i="4"/>
  <c r="AI83" i="4"/>
  <c r="AI84" i="4"/>
  <c r="AJ82" i="4"/>
  <c r="AJ84" i="4"/>
  <c r="AJ83" i="4"/>
  <c r="AK82" i="4"/>
  <c r="AK84" i="4"/>
  <c r="AK83" i="4"/>
  <c r="AL82" i="4"/>
  <c r="AL83" i="4"/>
  <c r="AL84" i="4"/>
  <c r="AH83" i="4"/>
  <c r="AF85" i="4"/>
  <c r="AG85" i="4"/>
  <c r="AH85" i="4"/>
  <c r="AI85" i="4"/>
  <c r="AJ85" i="4"/>
  <c r="AK85" i="4"/>
  <c r="AL85" i="4"/>
  <c r="AF86" i="4"/>
  <c r="AF88" i="4"/>
  <c r="AF87" i="4"/>
  <c r="AG86" i="4"/>
  <c r="AG88" i="4"/>
  <c r="AG87" i="4"/>
  <c r="AH86" i="4"/>
  <c r="AH87" i="4"/>
  <c r="AH88" i="4"/>
  <c r="AI86" i="4"/>
  <c r="AI88" i="4"/>
  <c r="AI87" i="4"/>
  <c r="AJ86" i="4"/>
  <c r="AJ88" i="4"/>
  <c r="AJ87" i="4"/>
  <c r="AK86" i="4"/>
  <c r="AK88" i="4"/>
  <c r="AK87" i="4"/>
  <c r="AL86" i="4"/>
  <c r="AL87" i="4"/>
  <c r="AL88" i="4"/>
  <c r="AF89" i="4"/>
  <c r="AG89" i="4"/>
  <c r="AH89" i="4"/>
  <c r="AI89" i="4"/>
  <c r="AJ89" i="4"/>
  <c r="AK89" i="4"/>
  <c r="AL89" i="4"/>
  <c r="AF90" i="4"/>
  <c r="AF91" i="4"/>
  <c r="AE53" i="4"/>
  <c r="AF92" i="4"/>
  <c r="AG90" i="4"/>
  <c r="AG91" i="4"/>
  <c r="AG92" i="4"/>
  <c r="AG93" i="4"/>
  <c r="AH90" i="4"/>
  <c r="AI90" i="4"/>
  <c r="AI93" i="4"/>
  <c r="AI91" i="4"/>
  <c r="AI92" i="4"/>
  <c r="AJ90" i="4"/>
  <c r="AJ91" i="4"/>
  <c r="AJ92" i="4"/>
  <c r="AJ93" i="4"/>
  <c r="AK90" i="4"/>
  <c r="AK91" i="4"/>
  <c r="AK92" i="4"/>
  <c r="AK93" i="4"/>
  <c r="AL90" i="4"/>
  <c r="AL91" i="4"/>
  <c r="AL92" i="4"/>
  <c r="AH91" i="4"/>
  <c r="AH92" i="4"/>
  <c r="AF94" i="4"/>
  <c r="AG94" i="4"/>
  <c r="AH94" i="4"/>
  <c r="AI94" i="4"/>
  <c r="AJ94" i="4"/>
  <c r="AK94" i="4"/>
  <c r="AL94" i="4"/>
  <c r="AF97" i="4"/>
  <c r="AG97" i="4"/>
  <c r="AH97" i="4"/>
  <c r="AI97" i="4"/>
  <c r="AJ97" i="4"/>
  <c r="AK97" i="4"/>
  <c r="AL97" i="4"/>
  <c r="AF98" i="4"/>
  <c r="AG98" i="4"/>
  <c r="AH98" i="4"/>
  <c r="AI98" i="4"/>
  <c r="AJ98" i="4"/>
  <c r="AK98" i="4"/>
  <c r="AL98" i="4"/>
  <c r="AF99" i="4"/>
  <c r="AG99" i="4"/>
  <c r="AH99" i="4"/>
  <c r="AI99" i="4"/>
  <c r="AJ99" i="4"/>
  <c r="AK99" i="4"/>
  <c r="AL99" i="4"/>
  <c r="AF100" i="4"/>
  <c r="AG100" i="4"/>
  <c r="AH100" i="4"/>
  <c r="AI100" i="4"/>
  <c r="AJ100" i="4"/>
  <c r="AK100" i="4"/>
  <c r="AL100" i="4"/>
  <c r="AF101" i="4"/>
  <c r="AG101" i="4"/>
  <c r="AH101" i="4"/>
  <c r="AH102" i="4"/>
  <c r="AH103" i="4"/>
  <c r="AI101" i="4"/>
  <c r="AI102" i="4"/>
  <c r="AJ101" i="4"/>
  <c r="AJ103" i="4"/>
  <c r="AJ102" i="4"/>
  <c r="AK101" i="4"/>
  <c r="AK102" i="4"/>
  <c r="AK103" i="4"/>
  <c r="AL101" i="4"/>
  <c r="AL102" i="4"/>
  <c r="AL103" i="4"/>
  <c r="AF102" i="4"/>
  <c r="AG102" i="4"/>
  <c r="AF104" i="4"/>
  <c r="AG104" i="4"/>
  <c r="AH104" i="4"/>
  <c r="AI104" i="4"/>
  <c r="AJ104" i="4"/>
  <c r="AL104" i="4"/>
  <c r="O21" i="4"/>
  <c r="AH21" i="4"/>
  <c r="AJ21" i="4"/>
  <c r="E21" i="4"/>
  <c r="O20" i="4"/>
  <c r="AH20" i="4"/>
  <c r="AJ20" i="4"/>
  <c r="E20" i="4"/>
  <c r="Z570" i="21"/>
  <c r="AB551" i="21"/>
  <c r="AC551" i="21"/>
  <c r="AD551" i="21"/>
  <c r="AE551" i="21"/>
  <c r="AF551" i="21"/>
  <c r="AG551" i="21"/>
  <c r="AH551" i="21"/>
  <c r="AI551" i="21"/>
  <c r="AJ551" i="21"/>
  <c r="AK551" i="21"/>
  <c r="AL551" i="21"/>
  <c r="AM551" i="21"/>
  <c r="AN551" i="21"/>
  <c r="AO551" i="21"/>
  <c r="AP551" i="21"/>
  <c r="AQ551" i="21"/>
  <c r="AB552" i="21"/>
  <c r="AC552" i="21"/>
  <c r="AD552" i="21"/>
  <c r="AE552" i="21"/>
  <c r="AF552" i="21"/>
  <c r="AG552" i="21"/>
  <c r="AH552" i="21"/>
  <c r="AI552" i="21"/>
  <c r="AJ552" i="21"/>
  <c r="AK552" i="21"/>
  <c r="AL552" i="21"/>
  <c r="AM552" i="21"/>
  <c r="AN552" i="21"/>
  <c r="AO552" i="21"/>
  <c r="AP552" i="21"/>
  <c r="AQ552" i="21"/>
  <c r="AB553" i="21"/>
  <c r="AC553" i="21"/>
  <c r="AD553" i="21"/>
  <c r="AE553" i="21"/>
  <c r="AF553" i="21"/>
  <c r="AG553" i="21"/>
  <c r="AH553" i="21"/>
  <c r="AI553" i="21"/>
  <c r="AJ553" i="21"/>
  <c r="AK553" i="21"/>
  <c r="AL553" i="21"/>
  <c r="AM553" i="21"/>
  <c r="AN553" i="21"/>
  <c r="AO553" i="21"/>
  <c r="AP553" i="21"/>
  <c r="AQ553" i="21"/>
  <c r="AB555" i="21"/>
  <c r="AC555" i="21"/>
  <c r="AF555" i="21"/>
  <c r="AG555" i="21"/>
  <c r="AH555" i="21"/>
  <c r="AI555" i="21"/>
  <c r="AJ555" i="21"/>
  <c r="AK555" i="21"/>
  <c r="AL555" i="21"/>
  <c r="AM555" i="21"/>
  <c r="AN555" i="21"/>
  <c r="AO555" i="21"/>
  <c r="AP555" i="21"/>
  <c r="AQ555" i="21"/>
  <c r="AB556" i="21"/>
  <c r="AC556" i="21"/>
  <c r="AD556" i="21"/>
  <c r="AE556" i="21"/>
  <c r="AF556" i="21"/>
  <c r="AG556" i="21"/>
  <c r="AH556" i="21"/>
  <c r="AI556" i="21"/>
  <c r="AJ556" i="21"/>
  <c r="AK556" i="21"/>
  <c r="AL556" i="21"/>
  <c r="AM556" i="21"/>
  <c r="AN556" i="21"/>
  <c r="AO556" i="21"/>
  <c r="AP556" i="21"/>
  <c r="AQ556" i="21"/>
  <c r="AB557" i="21"/>
  <c r="AC557" i="21"/>
  <c r="AD557" i="21"/>
  <c r="AE557" i="21"/>
  <c r="AF557" i="21"/>
  <c r="AG557" i="21"/>
  <c r="AH557" i="21"/>
  <c r="AJ557" i="21"/>
  <c r="AK557" i="21"/>
  <c r="AL557" i="21"/>
  <c r="AM557" i="21"/>
  <c r="AN557" i="21"/>
  <c r="AO557" i="21"/>
  <c r="AP557" i="21"/>
  <c r="AQ557" i="21"/>
  <c r="AB558" i="21"/>
  <c r="AC558" i="21"/>
  <c r="AD558" i="21"/>
  <c r="AE558" i="21"/>
  <c r="AF558" i="21"/>
  <c r="AG558" i="21"/>
  <c r="AH558" i="21"/>
  <c r="AI558" i="21"/>
  <c r="AJ558" i="21"/>
  <c r="AK558" i="21"/>
  <c r="AL558" i="21"/>
  <c r="AM558" i="21"/>
  <c r="AN558" i="21"/>
  <c r="AO558" i="21"/>
  <c r="AP558" i="21"/>
  <c r="AQ558" i="21"/>
  <c r="AB559" i="21"/>
  <c r="AC559" i="21"/>
  <c r="AD559" i="21"/>
  <c r="AE559" i="21"/>
  <c r="AF559" i="21"/>
  <c r="AG559" i="21"/>
  <c r="AH559" i="21"/>
  <c r="AI559" i="21"/>
  <c r="AJ559" i="21"/>
  <c r="AK559" i="21"/>
  <c r="AL559" i="21"/>
  <c r="AM559" i="21"/>
  <c r="AN559" i="21"/>
  <c r="AO559" i="21"/>
  <c r="AP559" i="21"/>
  <c r="AQ559" i="21"/>
  <c r="AB560" i="21"/>
  <c r="AB561" i="21"/>
  <c r="AC560" i="21"/>
  <c r="AD560" i="21"/>
  <c r="AD561" i="21"/>
  <c r="AE560" i="21"/>
  <c r="AE561" i="21"/>
  <c r="AF560" i="21"/>
  <c r="AF561" i="21"/>
  <c r="AG560" i="21"/>
  <c r="AG561" i="21"/>
  <c r="AH560" i="21"/>
  <c r="AH561" i="21"/>
  <c r="AI560" i="21"/>
  <c r="AI561" i="21"/>
  <c r="AJ560" i="21"/>
  <c r="AJ561" i="21"/>
  <c r="AK560" i="21"/>
  <c r="AL560" i="21"/>
  <c r="AM560" i="21"/>
  <c r="AN560" i="21"/>
  <c r="AO560" i="21"/>
  <c r="AP560" i="21"/>
  <c r="AQ560" i="21"/>
  <c r="AC561" i="21"/>
  <c r="AK561" i="21"/>
  <c r="AL561" i="21"/>
  <c r="AM561" i="21"/>
  <c r="AN561" i="21"/>
  <c r="AO561" i="21"/>
  <c r="AP561" i="21"/>
  <c r="AQ561" i="21"/>
  <c r="AD562" i="21"/>
  <c r="AE562" i="21"/>
  <c r="AF562" i="21"/>
  <c r="AG562" i="21"/>
  <c r="AH562" i="21"/>
  <c r="AI562" i="21"/>
  <c r="AJ562" i="21"/>
  <c r="AK562" i="21"/>
  <c r="AL562" i="21"/>
  <c r="AM562" i="21"/>
  <c r="AN562" i="21"/>
  <c r="AO562" i="21"/>
  <c r="AP562" i="21"/>
  <c r="AQ562" i="21"/>
  <c r="AD563" i="21"/>
  <c r="AE563" i="21"/>
  <c r="AF563" i="21"/>
  <c r="AG563" i="21"/>
  <c r="AH563" i="21"/>
  <c r="AQ563" i="21"/>
  <c r="AC565" i="21"/>
  <c r="AD565" i="21"/>
  <c r="AF565" i="21"/>
  <c r="AG565" i="21"/>
  <c r="AH565" i="21"/>
  <c r="AQ565" i="21"/>
  <c r="O512" i="21"/>
  <c r="P512" i="21"/>
  <c r="Q512" i="21"/>
  <c r="R512" i="21"/>
  <c r="S512" i="21"/>
  <c r="AB567" i="21"/>
  <c r="AC567" i="21"/>
  <c r="AD567" i="21"/>
  <c r="AE567" i="21"/>
  <c r="AF567" i="21"/>
  <c r="AG567" i="21"/>
  <c r="AH567" i="21"/>
  <c r="AQ567" i="21"/>
  <c r="AB568" i="21"/>
  <c r="AC568" i="21"/>
  <c r="AD568" i="21"/>
  <c r="AE568" i="21"/>
  <c r="AF568" i="21"/>
  <c r="AG568" i="21"/>
  <c r="AH568" i="21"/>
  <c r="AQ568" i="21"/>
  <c r="AB569" i="21"/>
  <c r="AC569" i="21"/>
  <c r="AD569" i="21"/>
  <c r="AE569" i="21"/>
  <c r="AF569" i="21"/>
  <c r="AG569" i="21"/>
  <c r="AH569" i="21"/>
  <c r="AQ569" i="21"/>
  <c r="AB570" i="21"/>
  <c r="AC570" i="21"/>
  <c r="AD570" i="21"/>
  <c r="AE570" i="21"/>
  <c r="AF570" i="21"/>
  <c r="AG570" i="21"/>
  <c r="AH570" i="21"/>
  <c r="AQ570" i="21"/>
  <c r="AB572" i="21"/>
  <c r="AB573" i="21"/>
  <c r="AC572" i="21"/>
  <c r="AC573" i="21"/>
  <c r="AD572" i="21"/>
  <c r="AD573" i="21"/>
  <c r="AE572" i="21"/>
  <c r="AE573" i="21"/>
  <c r="AF572" i="21"/>
  <c r="AF573" i="21"/>
  <c r="AG572" i="21"/>
  <c r="AG573" i="21"/>
  <c r="AH572" i="21"/>
  <c r="AH573" i="21"/>
  <c r="AQ572" i="21"/>
  <c r="AQ573" i="21"/>
  <c r="AB574" i="21"/>
  <c r="AB575" i="21"/>
  <c r="AC574" i="21"/>
  <c r="CF28" i="18"/>
  <c r="AD574" i="21"/>
  <c r="AD575" i="21"/>
  <c r="AE574" i="21"/>
  <c r="AE575" i="21"/>
  <c r="AF574" i="21"/>
  <c r="AF575" i="21"/>
  <c r="AG574" i="21"/>
  <c r="AG575" i="21"/>
  <c r="AH574" i="21"/>
  <c r="AQ574" i="21"/>
  <c r="AC575" i="21"/>
  <c r="AH575" i="21"/>
  <c r="AQ575" i="21"/>
  <c r="AB576" i="21"/>
  <c r="AC576" i="21"/>
  <c r="AD576" i="21"/>
  <c r="AE576" i="21"/>
  <c r="AF576" i="21"/>
  <c r="AG576" i="21"/>
  <c r="AH576" i="21"/>
  <c r="AQ576" i="21"/>
  <c r="AC578" i="21"/>
  <c r="AD578" i="21"/>
  <c r="AE578" i="21"/>
  <c r="AF578" i="21"/>
  <c r="AG578" i="21"/>
  <c r="AH578" i="21"/>
  <c r="AQ578" i="21"/>
  <c r="AB579" i="21"/>
  <c r="AC579" i="21"/>
  <c r="AD579" i="21"/>
  <c r="AE579" i="21"/>
  <c r="AF579" i="21"/>
  <c r="AG579" i="21"/>
  <c r="AH579" i="21"/>
  <c r="AI579" i="21"/>
  <c r="AJ579" i="21"/>
  <c r="AK579" i="21"/>
  <c r="AL579" i="21"/>
  <c r="AM579" i="21"/>
  <c r="AN579" i="21"/>
  <c r="AO579" i="21"/>
  <c r="AP579" i="21"/>
  <c r="AQ579" i="21"/>
  <c r="AB580" i="21"/>
  <c r="AC580" i="21"/>
  <c r="AD580" i="21"/>
  <c r="AE580" i="21"/>
  <c r="AF580" i="21"/>
  <c r="AH580" i="21"/>
  <c r="AI580" i="21"/>
  <c r="AJ580" i="21"/>
  <c r="AK580" i="21"/>
  <c r="AL580" i="21"/>
  <c r="AM580" i="21"/>
  <c r="AN580" i="21"/>
  <c r="AO580" i="21"/>
  <c r="AP580" i="21"/>
  <c r="AQ580" i="21"/>
  <c r="AB581" i="21"/>
  <c r="AC581" i="21"/>
  <c r="AD581" i="21"/>
  <c r="AG581" i="21"/>
  <c r="AH581" i="21"/>
  <c r="AI581" i="21"/>
  <c r="AJ581" i="21"/>
  <c r="AK581" i="21"/>
  <c r="AL581" i="21"/>
  <c r="AM581" i="21"/>
  <c r="AN581" i="21"/>
  <c r="AO581" i="21"/>
  <c r="AP581" i="21"/>
  <c r="AQ581" i="21"/>
  <c r="AB582" i="21"/>
  <c r="AC582" i="21"/>
  <c r="AD582" i="21"/>
  <c r="AE582" i="21"/>
  <c r="AF582" i="21"/>
  <c r="AG582" i="21"/>
  <c r="AH582" i="21"/>
  <c r="AI582" i="21"/>
  <c r="AJ582" i="21"/>
  <c r="AK582" i="21"/>
  <c r="AL582" i="21"/>
  <c r="AM582" i="21"/>
  <c r="AN582" i="21"/>
  <c r="AO582" i="21"/>
  <c r="AP582" i="21"/>
  <c r="AQ582" i="21"/>
  <c r="AB583" i="21"/>
  <c r="AC583" i="21"/>
  <c r="AD583" i="21"/>
  <c r="AE583" i="21"/>
  <c r="AF583" i="21"/>
  <c r="AG583" i="21"/>
  <c r="AH583" i="21"/>
  <c r="AI583" i="21"/>
  <c r="AJ583" i="21"/>
  <c r="AK583" i="21"/>
  <c r="AL583" i="21"/>
  <c r="AM583" i="21"/>
  <c r="AN583" i="21"/>
  <c r="AO583" i="21"/>
  <c r="AP583" i="21"/>
  <c r="AQ583" i="21"/>
  <c r="AD584" i="21"/>
  <c r="AE584" i="21"/>
  <c r="AF584" i="21"/>
  <c r="AG584" i="21"/>
  <c r="AH584" i="21"/>
  <c r="AI584" i="21"/>
  <c r="AJ584" i="21"/>
  <c r="AK584" i="21"/>
  <c r="AL584" i="21"/>
  <c r="AM584" i="21"/>
  <c r="AN584" i="21"/>
  <c r="AO584" i="21"/>
  <c r="AP584" i="21"/>
  <c r="AQ584" i="21"/>
  <c r="AB585" i="21"/>
  <c r="AC585" i="21"/>
  <c r="AD585" i="21"/>
  <c r="AE585" i="21"/>
  <c r="AF585" i="21"/>
  <c r="AG585" i="21"/>
  <c r="AH585" i="21"/>
  <c r="AI585" i="21"/>
  <c r="AJ585" i="21"/>
  <c r="AK585" i="21"/>
  <c r="AL585" i="21"/>
  <c r="AM585" i="21"/>
  <c r="AN585" i="21"/>
  <c r="AO585" i="21"/>
  <c r="AP585" i="21"/>
  <c r="AQ585" i="21"/>
  <c r="AB586" i="21"/>
  <c r="AC586" i="21"/>
  <c r="AD586" i="21"/>
  <c r="AE586" i="21"/>
  <c r="AF586" i="21"/>
  <c r="AG586" i="21"/>
  <c r="AH586" i="21"/>
  <c r="AI586" i="21"/>
  <c r="AJ586" i="21"/>
  <c r="AK586" i="21"/>
  <c r="AL586" i="21"/>
  <c r="AM586" i="21"/>
  <c r="AN586" i="21"/>
  <c r="AO586" i="21"/>
  <c r="AP586" i="21"/>
  <c r="AQ586" i="21"/>
  <c r="AE589" i="21"/>
  <c r="AE591" i="21"/>
  <c r="AJ589" i="21"/>
  <c r="AJ591" i="21"/>
  <c r="AJ590" i="21"/>
  <c r="AK590" i="21"/>
  <c r="AK587" i="21"/>
  <c r="AK588" i="21"/>
  <c r="AL590" i="21"/>
  <c r="AQ590" i="21"/>
  <c r="AQ587" i="21"/>
  <c r="AB589" i="21"/>
  <c r="AC589" i="21"/>
  <c r="AD589" i="21"/>
  <c r="AD590" i="21"/>
  <c r="AD587" i="21"/>
  <c r="AF589" i="21"/>
  <c r="AG589" i="21"/>
  <c r="AH589" i="21"/>
  <c r="AI589" i="21"/>
  <c r="AK589" i="21"/>
  <c r="AL589" i="21"/>
  <c r="AM589" i="21"/>
  <c r="AN589" i="21"/>
  <c r="AO589" i="21"/>
  <c r="AP589" i="21"/>
  <c r="AQ589" i="21"/>
  <c r="AB591" i="21"/>
  <c r="AC591" i="21"/>
  <c r="AD591" i="21"/>
  <c r="AF591" i="21"/>
  <c r="AG591" i="21"/>
  <c r="AG590" i="21"/>
  <c r="AG588" i="21"/>
  <c r="AH591" i="21"/>
  <c r="AI591" i="21"/>
  <c r="AM590" i="21"/>
  <c r="AM588" i="21"/>
  <c r="AN590" i="21"/>
  <c r="AN588" i="21"/>
  <c r="AO590" i="21"/>
  <c r="AP590" i="21"/>
  <c r="AJ592" i="21"/>
  <c r="AK591" i="21"/>
  <c r="AK592" i="21"/>
  <c r="AL591" i="21"/>
  <c r="AL592" i="21"/>
  <c r="AM591" i="21"/>
  <c r="AM592" i="21"/>
  <c r="AN591" i="21"/>
  <c r="AN592" i="21"/>
  <c r="AO591" i="21"/>
  <c r="AO592" i="21"/>
  <c r="AP591" i="21"/>
  <c r="AP592" i="21"/>
  <c r="AQ591" i="21"/>
  <c r="AQ592" i="21"/>
  <c r="AB593" i="21"/>
  <c r="AC593" i="21"/>
  <c r="AD593" i="21"/>
  <c r="AE593" i="21"/>
  <c r="AF593" i="21"/>
  <c r="AG593" i="21"/>
  <c r="AH593" i="21"/>
  <c r="AI593" i="21"/>
  <c r="AJ593" i="21"/>
  <c r="AK593" i="21"/>
  <c r="AL593" i="21"/>
  <c r="AM593" i="21"/>
  <c r="AN593" i="21"/>
  <c r="AO593" i="21"/>
  <c r="AP593" i="21"/>
  <c r="AQ593" i="21"/>
  <c r="AB594" i="21"/>
  <c r="AC594" i="21"/>
  <c r="AD594" i="21"/>
  <c r="AE594" i="21"/>
  <c r="AF594" i="21"/>
  <c r="AG594" i="21"/>
  <c r="AH594" i="21"/>
  <c r="AI594" i="21"/>
  <c r="AJ594" i="21"/>
  <c r="AK594" i="21"/>
  <c r="AL594" i="21"/>
  <c r="AM594" i="21"/>
  <c r="AN594" i="21"/>
  <c r="AO594" i="21"/>
  <c r="AP594" i="21"/>
  <c r="AQ594" i="21"/>
  <c r="AB595" i="21"/>
  <c r="AC595" i="21"/>
  <c r="AD595" i="21"/>
  <c r="AE595" i="21"/>
  <c r="AF595" i="21"/>
  <c r="AG595" i="21"/>
  <c r="AH595" i="21"/>
  <c r="AI595" i="21"/>
  <c r="AJ595" i="21"/>
  <c r="AK595" i="21"/>
  <c r="AL595" i="21"/>
  <c r="AM595" i="21"/>
  <c r="AN595" i="21"/>
  <c r="AO595" i="21"/>
  <c r="AP595" i="21"/>
  <c r="AQ595" i="21"/>
  <c r="AB596" i="21"/>
  <c r="AC596" i="21"/>
  <c r="AD596" i="21"/>
  <c r="AE596" i="21"/>
  <c r="AF596" i="21"/>
  <c r="AG596" i="21"/>
  <c r="AH596" i="21"/>
  <c r="AI596" i="21"/>
  <c r="AJ596" i="21"/>
  <c r="AK596" i="21"/>
  <c r="AL596" i="21"/>
  <c r="AM596" i="21"/>
  <c r="AN596" i="21"/>
  <c r="AO596" i="21"/>
  <c r="AP596" i="21"/>
  <c r="AQ596" i="21"/>
  <c r="AB597" i="21"/>
  <c r="AC597" i="21"/>
  <c r="AD597" i="21"/>
  <c r="AE597" i="21"/>
  <c r="AF597" i="21"/>
  <c r="AG597" i="21"/>
  <c r="AH597" i="21"/>
  <c r="AI597" i="21"/>
  <c r="AJ597" i="21"/>
  <c r="AK597" i="21"/>
  <c r="AL597" i="21"/>
  <c r="AM597" i="21"/>
  <c r="AN597" i="21"/>
  <c r="AO597" i="21"/>
  <c r="AP597" i="21"/>
  <c r="AQ597" i="21"/>
  <c r="AB598" i="21"/>
  <c r="AC598" i="21"/>
  <c r="AD598" i="21"/>
  <c r="AE598" i="21"/>
  <c r="AF598" i="21"/>
  <c r="AG598" i="21"/>
  <c r="AH598" i="21"/>
  <c r="AI598" i="21"/>
  <c r="AJ598" i="21"/>
  <c r="AK598" i="21"/>
  <c r="AL598" i="21"/>
  <c r="AM598" i="21"/>
  <c r="AN598" i="21"/>
  <c r="AO598" i="21"/>
  <c r="AP598" i="21"/>
  <c r="AQ598" i="21"/>
  <c r="AB599" i="21"/>
  <c r="AC599" i="21"/>
  <c r="AD599" i="21"/>
  <c r="AE599" i="21"/>
  <c r="AF599" i="21"/>
  <c r="AG599" i="21"/>
  <c r="AH599" i="21"/>
  <c r="AI599" i="21"/>
  <c r="AJ599" i="21"/>
  <c r="AK599" i="21"/>
  <c r="AL599" i="21"/>
  <c r="AM599" i="21"/>
  <c r="AN599" i="21"/>
  <c r="AO599" i="21"/>
  <c r="AP599" i="21"/>
  <c r="AQ599" i="21"/>
  <c r="AF98" i="16"/>
  <c r="AF99" i="16"/>
  <c r="AF96" i="16"/>
  <c r="AF97" i="16"/>
  <c r="AB600" i="21"/>
  <c r="AG98" i="16"/>
  <c r="AG99" i="16"/>
  <c r="AI98" i="16"/>
  <c r="AJ96" i="16"/>
  <c r="AJ97" i="16"/>
  <c r="AF600" i="21"/>
  <c r="AK96" i="16"/>
  <c r="AK97" i="16"/>
  <c r="AG600" i="21"/>
  <c r="AK600" i="21"/>
  <c r="AL600" i="21"/>
  <c r="AM600" i="21"/>
  <c r="AN600" i="21"/>
  <c r="AO600" i="21"/>
  <c r="AP600" i="21"/>
  <c r="AQ600" i="21"/>
  <c r="AB601" i="21"/>
  <c r="AC601" i="21"/>
  <c r="AD601" i="21"/>
  <c r="AE601" i="21"/>
  <c r="AF601" i="21"/>
  <c r="AG601" i="21"/>
  <c r="AH601" i="21"/>
  <c r="AI601" i="21"/>
  <c r="AJ601" i="21"/>
  <c r="AK601" i="21"/>
  <c r="AL601" i="21"/>
  <c r="AM601" i="21"/>
  <c r="AN601" i="21"/>
  <c r="AO601" i="21"/>
  <c r="AP601" i="21"/>
  <c r="AQ601" i="21"/>
  <c r="AR76" i="4"/>
  <c r="AS76" i="4"/>
  <c r="AT76" i="4"/>
  <c r="AR77" i="4"/>
  <c r="AS77" i="4"/>
  <c r="AT77" i="4"/>
  <c r="AR78" i="4"/>
  <c r="AS78" i="4"/>
  <c r="AT78" i="4"/>
  <c r="AR80" i="4"/>
  <c r="AS80" i="4"/>
  <c r="AT80" i="4"/>
  <c r="AR81" i="4"/>
  <c r="AS81" i="4"/>
  <c r="AT81" i="4"/>
  <c r="AR82" i="4"/>
  <c r="AR84" i="4"/>
  <c r="AS82" i="4"/>
  <c r="AS84" i="4"/>
  <c r="AT82" i="4"/>
  <c r="AT84" i="4"/>
  <c r="AR83" i="4"/>
  <c r="AS83" i="4"/>
  <c r="AT83" i="4"/>
  <c r="AR85" i="4"/>
  <c r="AS85" i="4"/>
  <c r="AT85" i="4"/>
  <c r="AR86" i="4"/>
  <c r="AR88" i="4"/>
  <c r="AS86" i="4"/>
  <c r="AS88" i="4"/>
  <c r="AT86" i="4"/>
  <c r="AT88" i="4"/>
  <c r="AR87" i="4"/>
  <c r="AS87" i="4"/>
  <c r="AT87" i="4"/>
  <c r="AR89" i="4"/>
  <c r="AS89" i="4"/>
  <c r="AT89" i="4"/>
  <c r="AR90" i="4"/>
  <c r="AR93" i="4"/>
  <c r="AS90" i="4"/>
  <c r="AS93" i="4"/>
  <c r="AT90" i="4"/>
  <c r="AT93" i="4"/>
  <c r="AR91" i="4"/>
  <c r="AS91" i="4"/>
  <c r="AT91" i="4"/>
  <c r="AR92" i="4"/>
  <c r="AS92" i="4"/>
  <c r="AT92" i="4"/>
  <c r="AR94" i="4"/>
  <c r="AS94" i="4"/>
  <c r="AT94" i="4"/>
  <c r="AR95" i="4"/>
  <c r="AS95" i="4"/>
  <c r="AT95" i="4"/>
  <c r="AR96" i="4"/>
  <c r="AS96" i="4"/>
  <c r="AT96" i="4"/>
  <c r="AR97" i="4"/>
  <c r="AS97" i="4"/>
  <c r="AT97" i="4"/>
  <c r="AR98" i="4"/>
  <c r="AS98" i="4"/>
  <c r="AT98" i="4"/>
  <c r="AR99" i="4"/>
  <c r="AS99" i="4"/>
  <c r="AT99" i="4"/>
  <c r="AR100" i="4"/>
  <c r="AS100" i="4"/>
  <c r="AT100" i="4"/>
  <c r="AR101" i="4"/>
  <c r="AR103" i="4"/>
  <c r="AS101" i="4"/>
  <c r="AS103" i="4"/>
  <c r="AT101" i="4"/>
  <c r="AT103" i="4"/>
  <c r="AR102" i="4"/>
  <c r="AS102" i="4"/>
  <c r="AT102" i="4"/>
  <c r="AR104" i="4"/>
  <c r="AS104" i="4"/>
  <c r="AT104" i="4"/>
  <c r="AQ68" i="16"/>
  <c r="AL40" i="4"/>
  <c r="AL79" i="4"/>
  <c r="G69" i="16"/>
  <c r="AP69" i="16"/>
  <c r="AQ69" i="16"/>
  <c r="G70" i="16"/>
  <c r="AN70" i="16"/>
  <c r="AO70" i="16"/>
  <c r="AP70" i="16"/>
  <c r="AQ70" i="16"/>
  <c r="AN71" i="16"/>
  <c r="AO71" i="16"/>
  <c r="AP71" i="16"/>
  <c r="AQ71" i="16"/>
  <c r="G72" i="16"/>
  <c r="AN72" i="16"/>
  <c r="AO72" i="16"/>
  <c r="H72" i="16"/>
  <c r="I72" i="16"/>
  <c r="J72" i="16"/>
  <c r="K72" i="16"/>
  <c r="L72" i="16"/>
  <c r="M72" i="16"/>
  <c r="N72" i="16"/>
  <c r="O72" i="16"/>
  <c r="P72" i="16"/>
  <c r="Q72" i="16"/>
  <c r="R72" i="16"/>
  <c r="S72" i="16"/>
  <c r="T72" i="16"/>
  <c r="U72" i="16"/>
  <c r="V72" i="16"/>
  <c r="W72" i="16"/>
  <c r="X72" i="16"/>
  <c r="Y72" i="16"/>
  <c r="AP72" i="16"/>
  <c r="AQ72" i="16"/>
  <c r="H73" i="16"/>
  <c r="I73" i="16"/>
  <c r="J73" i="16"/>
  <c r="K73" i="16"/>
  <c r="L73" i="16"/>
  <c r="M73" i="16"/>
  <c r="N73" i="16"/>
  <c r="O73" i="16"/>
  <c r="P73" i="16"/>
  <c r="Q73" i="16"/>
  <c r="R73" i="16"/>
  <c r="S73" i="16"/>
  <c r="T73" i="16"/>
  <c r="U73" i="16"/>
  <c r="V73" i="16"/>
  <c r="W73" i="16"/>
  <c r="X73" i="16"/>
  <c r="Y73" i="16"/>
  <c r="AP73" i="16"/>
  <c r="AQ73" i="16"/>
  <c r="H74" i="16"/>
  <c r="I74" i="16"/>
  <c r="J74" i="16"/>
  <c r="K74" i="16"/>
  <c r="L74" i="16"/>
  <c r="M74" i="16"/>
  <c r="N74" i="16"/>
  <c r="O74" i="16"/>
  <c r="P74" i="16"/>
  <c r="Q74" i="16"/>
  <c r="R74" i="16"/>
  <c r="S74" i="16"/>
  <c r="T74" i="16"/>
  <c r="U74" i="16"/>
  <c r="V74" i="16"/>
  <c r="W74" i="16"/>
  <c r="X74" i="16"/>
  <c r="Y74" i="16"/>
  <c r="AN74" i="16"/>
  <c r="AO74" i="16"/>
  <c r="AP74" i="16"/>
  <c r="AQ74" i="16"/>
  <c r="AN75" i="16"/>
  <c r="AO75" i="16"/>
  <c r="AP75" i="16"/>
  <c r="AQ75" i="16"/>
  <c r="AD76" i="16"/>
  <c r="AE76" i="16"/>
  <c r="AF76" i="16"/>
  <c r="AG76" i="16"/>
  <c r="AH76" i="16"/>
  <c r="R76" i="16"/>
  <c r="S76" i="16"/>
  <c r="T76" i="16"/>
  <c r="U76" i="16"/>
  <c r="V76" i="16"/>
  <c r="W76" i="16"/>
  <c r="Y76" i="16"/>
  <c r="Z76" i="16"/>
  <c r="AA76" i="16"/>
  <c r="AB76" i="16"/>
  <c r="AC76" i="16"/>
  <c r="AI76" i="16"/>
  <c r="AJ76" i="16"/>
  <c r="AK76" i="16"/>
  <c r="AL76" i="16"/>
  <c r="AM76" i="16"/>
  <c r="AN76" i="16"/>
  <c r="AO76" i="16"/>
  <c r="AP76" i="16"/>
  <c r="AQ76" i="16"/>
  <c r="AD77" i="16"/>
  <c r="AE77" i="16"/>
  <c r="AF77" i="16"/>
  <c r="AG77" i="16"/>
  <c r="AH77" i="16"/>
  <c r="AI77" i="16"/>
  <c r="AJ77" i="16"/>
  <c r="AK77" i="16"/>
  <c r="AM77" i="16"/>
  <c r="AN77" i="16"/>
  <c r="AO77" i="16"/>
  <c r="AP77" i="16"/>
  <c r="AQ77" i="16"/>
  <c r="AD78" i="16"/>
  <c r="AE78" i="16"/>
  <c r="AP78" i="16"/>
  <c r="AP66" i="16"/>
  <c r="AQ78" i="16"/>
  <c r="AQ66" i="16"/>
  <c r="AD79" i="16"/>
  <c r="R79" i="16"/>
  <c r="S79" i="16"/>
  <c r="T79" i="16"/>
  <c r="U79" i="16"/>
  <c r="V79" i="16"/>
  <c r="W79" i="16"/>
  <c r="X79" i="16"/>
  <c r="Y79" i="16"/>
  <c r="Z79" i="16"/>
  <c r="AA79" i="16"/>
  <c r="AB79" i="16"/>
  <c r="AC79" i="16"/>
  <c r="AE79" i="16"/>
  <c r="AM79" i="16"/>
  <c r="AM67" i="16"/>
  <c r="G134" i="8"/>
  <c r="AN79" i="16"/>
  <c r="AO79" i="16"/>
  <c r="AP79" i="16"/>
  <c r="AQ79" i="16"/>
  <c r="AD80" i="16"/>
  <c r="AE80" i="16"/>
  <c r="AF80" i="16"/>
  <c r="AG80" i="16"/>
  <c r="AH80" i="16"/>
  <c r="AI80" i="16"/>
  <c r="AJ80" i="16"/>
  <c r="AK80" i="16"/>
  <c r="AL80" i="16"/>
  <c r="R80" i="16"/>
  <c r="S80" i="16"/>
  <c r="T80" i="16"/>
  <c r="U80" i="16"/>
  <c r="V80" i="16"/>
  <c r="W80" i="16"/>
  <c r="X80" i="16"/>
  <c r="Y80" i="16"/>
  <c r="Z80" i="16"/>
  <c r="AA80" i="16"/>
  <c r="AB80" i="16"/>
  <c r="AN80" i="16"/>
  <c r="AO80" i="16"/>
  <c r="AC80" i="16"/>
  <c r="AP80" i="16"/>
  <c r="AQ80" i="16"/>
  <c r="AD81" i="16"/>
  <c r="AE81" i="16"/>
  <c r="AF81" i="16"/>
  <c r="R81" i="16"/>
  <c r="S81" i="16"/>
  <c r="T81" i="16"/>
  <c r="U81" i="16"/>
  <c r="V81" i="16"/>
  <c r="W81" i="16"/>
  <c r="X81" i="16"/>
  <c r="Y81" i="16"/>
  <c r="Z81" i="16"/>
  <c r="AA81" i="16"/>
  <c r="AB81" i="16"/>
  <c r="AC81" i="16"/>
  <c r="AG81" i="16"/>
  <c r="AH81" i="16"/>
  <c r="AI81" i="16"/>
  <c r="AJ81" i="16"/>
  <c r="AK81" i="16"/>
  <c r="AL81" i="16"/>
  <c r="AM81" i="16"/>
  <c r="AN81" i="16"/>
  <c r="AO81" i="16"/>
  <c r="AP81" i="16"/>
  <c r="AQ81" i="16"/>
  <c r="AD82" i="16"/>
  <c r="AE82" i="16"/>
  <c r="AF82" i="16"/>
  <c r="AG82" i="16"/>
  <c r="AH82" i="16"/>
  <c r="Q82" i="16"/>
  <c r="R82" i="16"/>
  <c r="S82" i="16"/>
  <c r="T82" i="16"/>
  <c r="U82" i="16"/>
  <c r="V82" i="16"/>
  <c r="W82" i="16"/>
  <c r="X82" i="16"/>
  <c r="Y82" i="16"/>
  <c r="Z82" i="16"/>
  <c r="AA82" i="16"/>
  <c r="AB82" i="16"/>
  <c r="AC82" i="16"/>
  <c r="AI82" i="16"/>
  <c r="AJ82" i="16"/>
  <c r="AK82" i="16"/>
  <c r="AL82" i="16"/>
  <c r="AM82" i="16"/>
  <c r="AN82" i="16"/>
  <c r="AO82" i="16"/>
  <c r="AP82" i="16"/>
  <c r="AQ82" i="16"/>
  <c r="AD83" i="16"/>
  <c r="AE83" i="16"/>
  <c r="Q83" i="16"/>
  <c r="AM83" i="16"/>
  <c r="AN83" i="16"/>
  <c r="AO83" i="16"/>
  <c r="R83" i="16"/>
  <c r="B83" i="16"/>
  <c r="S83" i="16"/>
  <c r="T83" i="16"/>
  <c r="U83" i="16"/>
  <c r="V83" i="16"/>
  <c r="W83" i="16"/>
  <c r="X83" i="16"/>
  <c r="Y83" i="16"/>
  <c r="Z83" i="16"/>
  <c r="AA83" i="16"/>
  <c r="AB83" i="16"/>
  <c r="AC83" i="16"/>
  <c r="AF83" i="16"/>
  <c r="AG83" i="16"/>
  <c r="AH83" i="16"/>
  <c r="AI83" i="16"/>
  <c r="AJ83" i="16"/>
  <c r="AK83" i="16"/>
  <c r="AL83" i="16"/>
  <c r="AP83" i="16"/>
  <c r="AQ83" i="16"/>
  <c r="AD84" i="16"/>
  <c r="AE84" i="16"/>
  <c r="AF84" i="16"/>
  <c r="AG84" i="16"/>
  <c r="R84" i="16"/>
  <c r="S84" i="16"/>
  <c r="T84" i="16"/>
  <c r="U84" i="16"/>
  <c r="V84" i="16"/>
  <c r="W84" i="16"/>
  <c r="X84" i="16"/>
  <c r="Y84" i="16"/>
  <c r="Z84" i="16"/>
  <c r="AA84" i="16"/>
  <c r="AB84" i="16"/>
  <c r="AC84" i="16"/>
  <c r="AH84" i="16"/>
  <c r="AI84" i="16"/>
  <c r="AJ84" i="16"/>
  <c r="AK84" i="16"/>
  <c r="AL84" i="16"/>
  <c r="AN84" i="16"/>
  <c r="AO84" i="16"/>
  <c r="AP84" i="16"/>
  <c r="AQ84" i="16"/>
  <c r="AD85" i="16"/>
  <c r="AE85" i="16"/>
  <c r="AF85" i="16"/>
  <c r="AG85" i="16"/>
  <c r="AH85" i="16"/>
  <c r="AI85" i="16"/>
  <c r="AJ85" i="16"/>
  <c r="AK85" i="16"/>
  <c r="AL85" i="16"/>
  <c r="AM85" i="16"/>
  <c r="AN85" i="16"/>
  <c r="R85" i="16"/>
  <c r="S85" i="16"/>
  <c r="T85" i="16"/>
  <c r="U85" i="16"/>
  <c r="V85" i="16"/>
  <c r="W85" i="16"/>
  <c r="X85" i="16"/>
  <c r="Y85" i="16"/>
  <c r="Z85" i="16"/>
  <c r="AA85" i="16"/>
  <c r="AB85" i="16"/>
  <c r="AC85" i="16"/>
  <c r="AO85" i="16"/>
  <c r="AP85" i="16"/>
  <c r="AQ85" i="16"/>
  <c r="AD86" i="16"/>
  <c r="AH86" i="16"/>
  <c r="AI86" i="16"/>
  <c r="AJ86" i="16"/>
  <c r="AK86" i="16"/>
  <c r="AL86" i="16"/>
  <c r="AM86" i="16"/>
  <c r="AN86" i="16"/>
  <c r="AO86" i="16"/>
  <c r="AP86" i="16"/>
  <c r="AQ86" i="16"/>
  <c r="AD87" i="16"/>
  <c r="AD90" i="16"/>
  <c r="AE87" i="16"/>
  <c r="AJ87" i="16"/>
  <c r="O87" i="16"/>
  <c r="P87" i="16"/>
  <c r="Q87" i="16"/>
  <c r="R87" i="16"/>
  <c r="S87" i="16"/>
  <c r="T87" i="16"/>
  <c r="U87" i="16"/>
  <c r="V87" i="16"/>
  <c r="V93" i="16"/>
  <c r="W87" i="16"/>
  <c r="X87" i="16"/>
  <c r="Y87" i="16"/>
  <c r="Z87" i="16"/>
  <c r="AA87" i="16"/>
  <c r="AB87" i="16"/>
  <c r="AC87" i="16"/>
  <c r="AL87" i="16"/>
  <c r="AM87" i="16"/>
  <c r="AM93" i="16"/>
  <c r="AN87" i="16"/>
  <c r="AO87" i="16"/>
  <c r="AP87" i="16"/>
  <c r="AQ87" i="16"/>
  <c r="AD88" i="16"/>
  <c r="AE88" i="16"/>
  <c r="AF88" i="16"/>
  <c r="AG88" i="16"/>
  <c r="AH88" i="16"/>
  <c r="AI88" i="16"/>
  <c r="AJ88" i="16"/>
  <c r="P88" i="16"/>
  <c r="AM88" i="16"/>
  <c r="AN88" i="16"/>
  <c r="AO88" i="16"/>
  <c r="Q88" i="16"/>
  <c r="R88" i="16"/>
  <c r="S88" i="16"/>
  <c r="T88" i="16"/>
  <c r="U88" i="16"/>
  <c r="V88" i="16"/>
  <c r="W88" i="16"/>
  <c r="X88" i="16"/>
  <c r="Y88" i="16"/>
  <c r="Z88" i="16"/>
  <c r="AA88" i="16"/>
  <c r="AB88" i="16"/>
  <c r="AC88" i="16"/>
  <c r="AK88" i="16"/>
  <c r="AL88" i="16"/>
  <c r="AP88" i="16"/>
  <c r="AQ88" i="16"/>
  <c r="R90" i="16"/>
  <c r="S90" i="16"/>
  <c r="AO90" i="16"/>
  <c r="AO93" i="16"/>
  <c r="T90" i="16"/>
  <c r="U90" i="16"/>
  <c r="X90" i="16"/>
  <c r="X92" i="16"/>
  <c r="X93" i="16"/>
  <c r="AB90" i="16"/>
  <c r="AC90" i="16"/>
  <c r="AP90" i="16"/>
  <c r="AP92" i="16"/>
  <c r="AP93" i="16"/>
  <c r="AQ90" i="16"/>
  <c r="AQ92" i="16"/>
  <c r="AQ93" i="16"/>
  <c r="AD94" i="16"/>
  <c r="AE94" i="16"/>
  <c r="AF94" i="16"/>
  <c r="AG94" i="16"/>
  <c r="AQ94" i="16"/>
  <c r="AD95" i="16"/>
  <c r="AE95" i="16"/>
  <c r="AH98" i="16"/>
  <c r="AM96" i="16"/>
  <c r="AM97" i="16"/>
  <c r="AI600" i="21"/>
  <c r="AN96" i="16"/>
  <c r="AN97" i="16"/>
  <c r="AJ600" i="21"/>
  <c r="AO95" i="16"/>
  <c r="AO96" i="16"/>
  <c r="AO97" i="16"/>
  <c r="AP95" i="16"/>
  <c r="AP96" i="16"/>
  <c r="AP97" i="16"/>
  <c r="AQ95" i="16"/>
  <c r="AQ96" i="16"/>
  <c r="AQ97" i="16"/>
  <c r="AD98" i="16"/>
  <c r="AE98" i="16"/>
  <c r="AQ98" i="16"/>
  <c r="AD99" i="16"/>
  <c r="AE99" i="16"/>
  <c r="AD100" i="16"/>
  <c r="AE100" i="16"/>
  <c r="AM100" i="16"/>
  <c r="AN100" i="16"/>
  <c r="AO100" i="16"/>
  <c r="AP100" i="16"/>
  <c r="AQ100" i="16"/>
  <c r="AD101" i="16"/>
  <c r="AE101" i="16"/>
  <c r="Q101" i="16"/>
  <c r="Q67" i="16"/>
  <c r="R55" i="16"/>
  <c r="R101" i="16"/>
  <c r="T101" i="16"/>
  <c r="U101" i="16"/>
  <c r="V101" i="16"/>
  <c r="W101" i="16"/>
  <c r="X101" i="16"/>
  <c r="Y101" i="16"/>
  <c r="Z101" i="16"/>
  <c r="AA101" i="16"/>
  <c r="AB101" i="16"/>
  <c r="AC101" i="16"/>
  <c r="AQ101" i="16"/>
  <c r="AE102" i="16"/>
  <c r="AQ102" i="16"/>
  <c r="AD103" i="16"/>
  <c r="R103" i="16"/>
  <c r="S103" i="16"/>
  <c r="T103" i="16"/>
  <c r="U61" i="16"/>
  <c r="V103" i="16"/>
  <c r="AC103" i="16"/>
  <c r="W103" i="16"/>
  <c r="X103" i="16"/>
  <c r="Y103" i="16"/>
  <c r="Z61" i="16"/>
  <c r="AA103" i="16"/>
  <c r="Z103" i="16"/>
  <c r="AA61" i="16"/>
  <c r="AQ103" i="16"/>
  <c r="AD104" i="16"/>
  <c r="AE104" i="16"/>
  <c r="AJ104" i="16"/>
  <c r="AK104" i="16"/>
  <c r="AN104" i="16"/>
  <c r="AO104" i="16"/>
  <c r="AP104" i="16"/>
  <c r="AQ104" i="16"/>
  <c r="H75" i="16"/>
  <c r="I75" i="16"/>
  <c r="J75" i="16"/>
  <c r="K75" i="16"/>
  <c r="L75" i="16"/>
  <c r="M75" i="16"/>
  <c r="N75" i="16"/>
  <c r="O75" i="16"/>
  <c r="P75" i="16"/>
  <c r="Q75" i="16"/>
  <c r="R75" i="16"/>
  <c r="S75" i="16"/>
  <c r="T75" i="16"/>
  <c r="U75" i="16"/>
  <c r="V75" i="16"/>
  <c r="W75" i="16"/>
  <c r="X75" i="16"/>
  <c r="Y75" i="16"/>
  <c r="AC77" i="16"/>
  <c r="AC78" i="16"/>
  <c r="AC86" i="16"/>
  <c r="Q86" i="16"/>
  <c r="R86" i="16"/>
  <c r="S86" i="16"/>
  <c r="T86" i="16"/>
  <c r="U86" i="16"/>
  <c r="V86" i="16"/>
  <c r="Z86" i="16"/>
  <c r="AA86" i="16"/>
  <c r="AB86" i="16"/>
  <c r="AC92" i="16"/>
  <c r="AC94" i="16"/>
  <c r="AC95" i="16"/>
  <c r="AC96" i="16"/>
  <c r="AC97" i="16"/>
  <c r="Y600" i="21"/>
  <c r="AC98" i="16"/>
  <c r="AC99" i="16"/>
  <c r="R98" i="16"/>
  <c r="S98" i="16"/>
  <c r="T98" i="16"/>
  <c r="U98" i="16"/>
  <c r="W98" i="16"/>
  <c r="X98" i="16"/>
  <c r="Y98" i="16"/>
  <c r="Z98" i="16"/>
  <c r="Z96" i="16"/>
  <c r="Z97" i="16"/>
  <c r="V600" i="21"/>
  <c r="AA98" i="16"/>
  <c r="AA99" i="16"/>
  <c r="AB98" i="16"/>
  <c r="R99" i="16"/>
  <c r="S99" i="16"/>
  <c r="T99" i="16"/>
  <c r="U99" i="16"/>
  <c r="W99" i="16"/>
  <c r="X99" i="16"/>
  <c r="Y99" i="16"/>
  <c r="Z99" i="16"/>
  <c r="AB99" i="16"/>
  <c r="AC100" i="16"/>
  <c r="AC104" i="16"/>
  <c r="AB95" i="16"/>
  <c r="B89" i="16"/>
  <c r="M6" i="15"/>
  <c r="M7" i="15"/>
  <c r="G92" i="16"/>
  <c r="G93" i="16"/>
  <c r="N6" i="15"/>
  <c r="N7" i="15"/>
  <c r="H92" i="16"/>
  <c r="H93" i="16"/>
  <c r="O6" i="15"/>
  <c r="O7" i="15"/>
  <c r="P6" i="15"/>
  <c r="P7" i="15"/>
  <c r="Q6" i="15"/>
  <c r="Q7" i="15"/>
  <c r="R6" i="15"/>
  <c r="R7" i="15"/>
  <c r="L92" i="16"/>
  <c r="L93" i="16"/>
  <c r="S6" i="15"/>
  <c r="S7" i="15"/>
  <c r="T6" i="15"/>
  <c r="T7" i="15"/>
  <c r="N92" i="16"/>
  <c r="N93" i="16"/>
  <c r="U6" i="15"/>
  <c r="U7" i="15"/>
  <c r="O92" i="16"/>
  <c r="V6" i="15"/>
  <c r="W6" i="15"/>
  <c r="W7" i="15"/>
  <c r="X6" i="15"/>
  <c r="X7" i="15"/>
  <c r="I62" i="16"/>
  <c r="J104" i="16"/>
  <c r="K104" i="16"/>
  <c r="L104" i="16"/>
  <c r="M104" i="16"/>
  <c r="N104" i="16"/>
  <c r="O104" i="16"/>
  <c r="P104" i="16"/>
  <c r="Q104" i="16"/>
  <c r="R104" i="16"/>
  <c r="S62" i="16"/>
  <c r="X104" i="16"/>
  <c r="Y104" i="16"/>
  <c r="Z104" i="16"/>
  <c r="AA104" i="16"/>
  <c r="AB104" i="16"/>
  <c r="AR100" i="16"/>
  <c r="AB100" i="16"/>
  <c r="AM307" i="12"/>
  <c r="AN307" i="12"/>
  <c r="AO307" i="12"/>
  <c r="AP307" i="12"/>
  <c r="AQ307" i="12"/>
  <c r="AR307" i="12"/>
  <c r="AS307" i="12"/>
  <c r="AT307" i="12"/>
  <c r="AU307" i="12"/>
  <c r="AV307" i="12"/>
  <c r="AW307" i="12"/>
  <c r="AM309" i="12"/>
  <c r="AN309" i="12"/>
  <c r="AO309" i="12"/>
  <c r="AP309" i="12"/>
  <c r="AQ309" i="12"/>
  <c r="AR309" i="12"/>
  <c r="AS309" i="12"/>
  <c r="AT309" i="12"/>
  <c r="AU309" i="12"/>
  <c r="AV309" i="12"/>
  <c r="AW309" i="12"/>
  <c r="AM311" i="12"/>
  <c r="AN311" i="12"/>
  <c r="AO311" i="12"/>
  <c r="AP311" i="12"/>
  <c r="AQ311" i="12"/>
  <c r="AR311" i="12"/>
  <c r="AS311" i="12"/>
  <c r="AT311" i="12"/>
  <c r="AU311" i="12"/>
  <c r="AV311" i="12"/>
  <c r="AW311" i="12"/>
  <c r="AM336" i="12"/>
  <c r="AN336" i="12"/>
  <c r="AO336" i="12"/>
  <c r="AP336" i="12"/>
  <c r="AQ336" i="12"/>
  <c r="AR336" i="12"/>
  <c r="AS336" i="12"/>
  <c r="AT336" i="12"/>
  <c r="AU336" i="12"/>
  <c r="AV336" i="12"/>
  <c r="AW336" i="12"/>
  <c r="AM338" i="12"/>
  <c r="AN338" i="12"/>
  <c r="AO338" i="12"/>
  <c r="AP338" i="12"/>
  <c r="AQ338" i="12"/>
  <c r="AR338" i="12"/>
  <c r="AS338" i="12"/>
  <c r="AT338" i="12"/>
  <c r="AU338" i="12"/>
  <c r="AV338" i="12"/>
  <c r="AW338" i="12"/>
  <c r="AM340" i="12"/>
  <c r="AN340" i="12"/>
  <c r="AO340" i="12"/>
  <c r="AP340" i="12"/>
  <c r="AQ340" i="12"/>
  <c r="AR340" i="12"/>
  <c r="AS340" i="12"/>
  <c r="AT340" i="12"/>
  <c r="AU340" i="12"/>
  <c r="AV340" i="12"/>
  <c r="AW340" i="12"/>
  <c r="AM348" i="12"/>
  <c r="AN348" i="12"/>
  <c r="AO348" i="12"/>
  <c r="AP348" i="12"/>
  <c r="AQ348" i="12"/>
  <c r="AR348" i="12"/>
  <c r="AS348" i="12"/>
  <c r="AT348" i="12"/>
  <c r="AU348" i="12"/>
  <c r="AV348" i="12"/>
  <c r="AW348" i="12"/>
  <c r="AM350" i="12"/>
  <c r="AN350" i="12"/>
  <c r="AO350" i="12"/>
  <c r="AP350" i="12"/>
  <c r="AQ350" i="12"/>
  <c r="AR350" i="12"/>
  <c r="AS350" i="12"/>
  <c r="AT350" i="12"/>
  <c r="AU350" i="12"/>
  <c r="AV350" i="12"/>
  <c r="AW350" i="12"/>
  <c r="AM352" i="12"/>
  <c r="AN352" i="12"/>
  <c r="AO352" i="12"/>
  <c r="AP352" i="12"/>
  <c r="AQ352" i="12"/>
  <c r="AR352" i="12"/>
  <c r="AS352" i="12"/>
  <c r="AT352" i="12"/>
  <c r="AU352" i="12"/>
  <c r="AV352" i="12"/>
  <c r="AW352" i="12"/>
  <c r="AM354" i="12"/>
  <c r="AN354" i="12"/>
  <c r="AO354" i="12"/>
  <c r="AP354" i="12"/>
  <c r="AQ354" i="12"/>
  <c r="AR354" i="12"/>
  <c r="AS354" i="12"/>
  <c r="AT354" i="12"/>
  <c r="AU354" i="12"/>
  <c r="AV354" i="12"/>
  <c r="AW354" i="12"/>
  <c r="AM356" i="12"/>
  <c r="AN356" i="12"/>
  <c r="AO356" i="12"/>
  <c r="AP356" i="12"/>
  <c r="AQ356" i="12"/>
  <c r="AR356" i="12"/>
  <c r="AS356" i="12"/>
  <c r="AT356" i="12"/>
  <c r="AU356" i="12"/>
  <c r="AV356" i="12"/>
  <c r="AW356" i="12"/>
  <c r="AM361" i="12"/>
  <c r="AN361" i="12"/>
  <c r="AO361" i="12"/>
  <c r="AP361" i="12"/>
  <c r="AQ361" i="12"/>
  <c r="AR361" i="12"/>
  <c r="AS361" i="12"/>
  <c r="AT361" i="12"/>
  <c r="AU361" i="12"/>
  <c r="AV361" i="12"/>
  <c r="AW361" i="12"/>
  <c r="AM363" i="12"/>
  <c r="AN363" i="12"/>
  <c r="AO363" i="12"/>
  <c r="AP363" i="12"/>
  <c r="AQ363" i="12"/>
  <c r="AR363" i="12"/>
  <c r="AS363" i="12"/>
  <c r="AT363" i="12"/>
  <c r="AU363" i="12"/>
  <c r="AV363" i="12"/>
  <c r="AW363" i="12"/>
  <c r="AM365" i="12"/>
  <c r="AN365" i="12"/>
  <c r="AO365" i="12"/>
  <c r="AP365" i="12"/>
  <c r="AQ365" i="12"/>
  <c r="AR365" i="12"/>
  <c r="AS365" i="12"/>
  <c r="AT365" i="12"/>
  <c r="AU365" i="12"/>
  <c r="AV365" i="12"/>
  <c r="AW365" i="12"/>
  <c r="AM367" i="12"/>
  <c r="AN367" i="12"/>
  <c r="AO367" i="12"/>
  <c r="AP367" i="12"/>
  <c r="AQ367" i="12"/>
  <c r="AR367" i="12"/>
  <c r="AS367" i="12"/>
  <c r="AT367" i="12"/>
  <c r="AU367" i="12"/>
  <c r="AV367" i="12"/>
  <c r="AW367" i="12"/>
  <c r="AM369" i="12"/>
  <c r="AN369" i="12"/>
  <c r="AO369" i="12"/>
  <c r="AP369" i="12"/>
  <c r="AQ369" i="12"/>
  <c r="AR369" i="12"/>
  <c r="AS369" i="12"/>
  <c r="AT369" i="12"/>
  <c r="AU369" i="12"/>
  <c r="AV369" i="12"/>
  <c r="AW369" i="12"/>
  <c r="AM372" i="12"/>
  <c r="AN372" i="12"/>
  <c r="AO372" i="12"/>
  <c r="AP372" i="12"/>
  <c r="AQ372" i="12"/>
  <c r="AR372" i="12"/>
  <c r="AS372" i="12"/>
  <c r="AT372" i="12"/>
  <c r="AU372" i="12"/>
  <c r="AV372" i="12"/>
  <c r="AW372" i="12"/>
  <c r="AM374" i="12"/>
  <c r="AN374" i="12"/>
  <c r="AO374" i="12"/>
  <c r="AP374" i="12"/>
  <c r="AQ374" i="12"/>
  <c r="AR374" i="12"/>
  <c r="AS374" i="12"/>
  <c r="AT374" i="12"/>
  <c r="AU374" i="12"/>
  <c r="AV374" i="12"/>
  <c r="AW374" i="12"/>
  <c r="AM376" i="12"/>
  <c r="AN376" i="12"/>
  <c r="AO376" i="12"/>
  <c r="AP376" i="12"/>
  <c r="AQ376" i="12"/>
  <c r="AR376" i="12"/>
  <c r="AS376" i="12"/>
  <c r="AT376" i="12"/>
  <c r="AU376" i="12"/>
  <c r="AV376" i="12"/>
  <c r="AW376" i="12"/>
  <c r="AM378" i="12"/>
  <c r="AN378" i="12"/>
  <c r="AO378" i="12"/>
  <c r="AP378" i="12"/>
  <c r="AQ378" i="12"/>
  <c r="AR378" i="12"/>
  <c r="AS378" i="12"/>
  <c r="AT378" i="12"/>
  <c r="AU378" i="12"/>
  <c r="AV378" i="12"/>
  <c r="AW378" i="12"/>
  <c r="AM380" i="12"/>
  <c r="AN380" i="12"/>
  <c r="AO380" i="12"/>
  <c r="AP380" i="12"/>
  <c r="AQ380" i="12"/>
  <c r="AR380" i="12"/>
  <c r="AS380" i="12"/>
  <c r="AT380" i="12"/>
  <c r="AU380" i="12"/>
  <c r="AV380" i="12"/>
  <c r="AW380" i="12"/>
  <c r="AM382" i="12"/>
  <c r="AN382" i="12"/>
  <c r="AO382" i="12"/>
  <c r="AP382" i="12"/>
  <c r="AQ382" i="12"/>
  <c r="AR382" i="12"/>
  <c r="AS382" i="12"/>
  <c r="AT382" i="12"/>
  <c r="AU382" i="12"/>
  <c r="AV382" i="12"/>
  <c r="AW382" i="12"/>
  <c r="AM384" i="12"/>
  <c r="AN384" i="12"/>
  <c r="AO384" i="12"/>
  <c r="AP384" i="12"/>
  <c r="AQ384" i="12"/>
  <c r="AR384" i="12"/>
  <c r="AS384" i="12"/>
  <c r="AT384" i="12"/>
  <c r="AU384" i="12"/>
  <c r="AV384" i="12"/>
  <c r="AW384" i="12"/>
  <c r="AM394" i="12"/>
  <c r="AN394" i="12"/>
  <c r="AO394" i="12"/>
  <c r="AP394" i="12"/>
  <c r="AQ394" i="12"/>
  <c r="AR394" i="12"/>
  <c r="AS394" i="12"/>
  <c r="AT394" i="12"/>
  <c r="AU394" i="12"/>
  <c r="AV394" i="12"/>
  <c r="AW394" i="12"/>
  <c r="AM396" i="12"/>
  <c r="AN396" i="12"/>
  <c r="AO396" i="12"/>
  <c r="AP396" i="12"/>
  <c r="AQ396" i="12"/>
  <c r="AR396" i="12"/>
  <c r="AS396" i="12"/>
  <c r="AT396" i="12"/>
  <c r="AU396" i="12"/>
  <c r="AV396" i="12"/>
  <c r="AW396" i="12"/>
  <c r="AL307" i="12"/>
  <c r="AL309" i="12"/>
  <c r="AL311" i="12"/>
  <c r="AL336" i="12"/>
  <c r="AL338" i="12"/>
  <c r="AL340" i="12"/>
  <c r="AI348" i="12"/>
  <c r="AJ348" i="12"/>
  <c r="AK348" i="12"/>
  <c r="AL348" i="12"/>
  <c r="AI350" i="12"/>
  <c r="AJ350" i="12"/>
  <c r="AK350" i="12"/>
  <c r="AL350" i="12"/>
  <c r="AI352" i="12"/>
  <c r="AJ352" i="12"/>
  <c r="AK352" i="12"/>
  <c r="AL352" i="12"/>
  <c r="AI354" i="12"/>
  <c r="AJ354" i="12"/>
  <c r="AK354" i="12"/>
  <c r="AL354" i="12"/>
  <c r="AI356" i="12"/>
  <c r="AJ356" i="12"/>
  <c r="AK356" i="12"/>
  <c r="AL356" i="12"/>
  <c r="AJ396" i="12"/>
  <c r="AK396" i="12"/>
  <c r="AL396" i="12"/>
  <c r="AJ361" i="12"/>
  <c r="AK361" i="12"/>
  <c r="AL361" i="12"/>
  <c r="AJ363" i="12"/>
  <c r="AK363" i="12"/>
  <c r="AL363" i="12"/>
  <c r="AJ365" i="12"/>
  <c r="AK365" i="12"/>
  <c r="AL365" i="12"/>
  <c r="AJ367" i="12"/>
  <c r="AK367" i="12"/>
  <c r="AL367" i="12"/>
  <c r="AJ369" i="12"/>
  <c r="AK369" i="12"/>
  <c r="AL369" i="12"/>
  <c r="AI372" i="12"/>
  <c r="AJ372" i="12"/>
  <c r="AK372" i="12"/>
  <c r="AL372" i="12"/>
  <c r="AI374" i="12"/>
  <c r="AJ374" i="12"/>
  <c r="AK374" i="12"/>
  <c r="AL374" i="12"/>
  <c r="AI376" i="12"/>
  <c r="AJ376" i="12"/>
  <c r="AK376" i="12"/>
  <c r="AL376" i="12"/>
  <c r="AI378" i="12"/>
  <c r="AJ378" i="12"/>
  <c r="AK378" i="12"/>
  <c r="AL378" i="12"/>
  <c r="AI380" i="12"/>
  <c r="AJ380" i="12"/>
  <c r="AK380" i="12"/>
  <c r="AL380" i="12"/>
  <c r="AI382" i="12"/>
  <c r="AJ382" i="12"/>
  <c r="AK382" i="12"/>
  <c r="AL382" i="12"/>
  <c r="AI384" i="12"/>
  <c r="AJ384" i="12"/>
  <c r="AK384" i="12"/>
  <c r="AL384" i="12"/>
  <c r="AI394" i="12"/>
  <c r="AJ394" i="12"/>
  <c r="AK394" i="12"/>
  <c r="AL394" i="12"/>
  <c r="AF395" i="12"/>
  <c r="S92" i="16"/>
  <c r="T92" i="16"/>
  <c r="T93" i="16"/>
  <c r="V92" i="16"/>
  <c r="W92" i="16"/>
  <c r="W93" i="16"/>
  <c r="Z92" i="16"/>
  <c r="AA92" i="16"/>
  <c r="AA93" i="16"/>
  <c r="G66" i="16"/>
  <c r="H66" i="16"/>
  <c r="I66" i="16"/>
  <c r="J66" i="16"/>
  <c r="K66" i="16"/>
  <c r="L66" i="16"/>
  <c r="M66" i="16"/>
  <c r="O66" i="16"/>
  <c r="P66" i="16"/>
  <c r="Q66" i="16"/>
  <c r="R78" i="16"/>
  <c r="B78" i="16"/>
  <c r="R95" i="16"/>
  <c r="R100" i="16"/>
  <c r="S78" i="16"/>
  <c r="S95" i="16"/>
  <c r="S100" i="16"/>
  <c r="T78" i="16"/>
  <c r="T95" i="16"/>
  <c r="T100" i="16"/>
  <c r="U78" i="16"/>
  <c r="U95" i="16"/>
  <c r="U100" i="16"/>
  <c r="W96" i="16"/>
  <c r="W97" i="16"/>
  <c r="S600" i="21"/>
  <c r="X78" i="16"/>
  <c r="X95" i="16"/>
  <c r="X100" i="16"/>
  <c r="AB78" i="16"/>
  <c r="Q77" i="16"/>
  <c r="R77" i="16"/>
  <c r="S77" i="16"/>
  <c r="B77" i="16"/>
  <c r="T77" i="16"/>
  <c r="U77" i="16"/>
  <c r="V77" i="16"/>
  <c r="W77" i="16"/>
  <c r="X77" i="16"/>
  <c r="Y77" i="16"/>
  <c r="Z77" i="16"/>
  <c r="AA77" i="16"/>
  <c r="AB77" i="16"/>
  <c r="P94" i="16"/>
  <c r="Q94" i="16"/>
  <c r="R94" i="16"/>
  <c r="S94" i="16"/>
  <c r="T94" i="16"/>
  <c r="U94" i="16"/>
  <c r="V94" i="16"/>
  <c r="W94" i="16"/>
  <c r="X94" i="16"/>
  <c r="Y94" i="16"/>
  <c r="Z94" i="16"/>
  <c r="AA94" i="16"/>
  <c r="AB94" i="16"/>
  <c r="P97" i="16"/>
  <c r="Q96" i="16"/>
  <c r="Q97" i="16"/>
  <c r="M600" i="21"/>
  <c r="AG362" i="12"/>
  <c r="AH362" i="12"/>
  <c r="AH363" i="12"/>
  <c r="AG368" i="12"/>
  <c r="AH368" i="12"/>
  <c r="AI369" i="12"/>
  <c r="AG366" i="12"/>
  <c r="AG360" i="12"/>
  <c r="AH360" i="12"/>
  <c r="AH361" i="12"/>
  <c r="C572" i="21"/>
  <c r="C573" i="21"/>
  <c r="D572" i="21"/>
  <c r="D573" i="21"/>
  <c r="E572" i="21"/>
  <c r="E573" i="21"/>
  <c r="F572" i="21"/>
  <c r="F573" i="21"/>
  <c r="G572" i="21"/>
  <c r="G573" i="21"/>
  <c r="H572" i="21"/>
  <c r="H573" i="21"/>
  <c r="I572" i="21"/>
  <c r="I573" i="21"/>
  <c r="J572" i="21"/>
  <c r="J573" i="21"/>
  <c r="K572" i="21"/>
  <c r="K573" i="21"/>
  <c r="L572" i="21"/>
  <c r="L573" i="21"/>
  <c r="C574" i="21"/>
  <c r="D574" i="21"/>
  <c r="E574" i="21"/>
  <c r="E575" i="21"/>
  <c r="F574" i="21"/>
  <c r="F575" i="21"/>
  <c r="G574" i="21"/>
  <c r="G575" i="21"/>
  <c r="H574" i="21"/>
  <c r="I574" i="21"/>
  <c r="J574" i="21"/>
  <c r="J575" i="21"/>
  <c r="K574" i="21"/>
  <c r="K575" i="21"/>
  <c r="L574" i="21"/>
  <c r="L575" i="21"/>
  <c r="C576" i="21"/>
  <c r="D576" i="21"/>
  <c r="E576" i="21"/>
  <c r="F576" i="21"/>
  <c r="G576" i="21"/>
  <c r="H576" i="21"/>
  <c r="I576" i="21"/>
  <c r="J576" i="21"/>
  <c r="K576" i="21"/>
  <c r="L576" i="21"/>
  <c r="L577" i="21"/>
  <c r="L578" i="21"/>
  <c r="C582" i="21"/>
  <c r="D582" i="21"/>
  <c r="E582" i="21"/>
  <c r="F582" i="21"/>
  <c r="G582" i="21"/>
  <c r="H582" i="21"/>
  <c r="I582" i="21"/>
  <c r="J582" i="21"/>
  <c r="K582" i="21"/>
  <c r="L582" i="21"/>
  <c r="C583" i="21"/>
  <c r="D583" i="21"/>
  <c r="E583" i="21"/>
  <c r="F583" i="21"/>
  <c r="G583" i="21"/>
  <c r="H583" i="21"/>
  <c r="I583" i="21"/>
  <c r="J583" i="21"/>
  <c r="K583" i="21"/>
  <c r="L583" i="21"/>
  <c r="K584" i="21"/>
  <c r="L584" i="21"/>
  <c r="D589" i="21"/>
  <c r="D591" i="21"/>
  <c r="H589" i="21"/>
  <c r="H591" i="21"/>
  <c r="E589" i="21"/>
  <c r="E591" i="21"/>
  <c r="E590" i="21"/>
  <c r="E587" i="21"/>
  <c r="J589" i="21"/>
  <c r="J590" i="21"/>
  <c r="J587" i="21"/>
  <c r="J591" i="21"/>
  <c r="K589" i="21"/>
  <c r="K590" i="21"/>
  <c r="K591" i="21"/>
  <c r="C589" i="21"/>
  <c r="F589" i="21"/>
  <c r="G589" i="21"/>
  <c r="G591" i="21"/>
  <c r="I589" i="21"/>
  <c r="I590" i="21"/>
  <c r="I587" i="21"/>
  <c r="L589" i="21"/>
  <c r="L590" i="21"/>
  <c r="C591" i="21"/>
  <c r="C590" i="21"/>
  <c r="C587" i="21"/>
  <c r="F591" i="21"/>
  <c r="I591" i="21"/>
  <c r="L591" i="21"/>
  <c r="C593" i="21"/>
  <c r="D593" i="21"/>
  <c r="E593" i="21"/>
  <c r="F593" i="21"/>
  <c r="G593" i="21"/>
  <c r="H593" i="21"/>
  <c r="I593" i="21"/>
  <c r="J593" i="21"/>
  <c r="K593" i="21"/>
  <c r="L593" i="21"/>
  <c r="C594" i="21"/>
  <c r="D594" i="21"/>
  <c r="E594" i="21"/>
  <c r="F594" i="21"/>
  <c r="G594" i="21"/>
  <c r="H594" i="21"/>
  <c r="I594" i="21"/>
  <c r="J594" i="21"/>
  <c r="K594" i="21"/>
  <c r="L594" i="21"/>
  <c r="C595" i="21"/>
  <c r="D595" i="21"/>
  <c r="E595" i="21"/>
  <c r="F595" i="21"/>
  <c r="G595" i="21"/>
  <c r="H595" i="21"/>
  <c r="I595" i="21"/>
  <c r="J595" i="21"/>
  <c r="K595" i="21"/>
  <c r="L595" i="21"/>
  <c r="O569" i="21"/>
  <c r="P569" i="21"/>
  <c r="Q569" i="21"/>
  <c r="R569" i="21"/>
  <c r="S569" i="21"/>
  <c r="T513" i="21"/>
  <c r="V513" i="21"/>
  <c r="V569" i="21"/>
  <c r="X569" i="21"/>
  <c r="N570" i="21"/>
  <c r="O570" i="21"/>
  <c r="P570" i="21"/>
  <c r="Q570" i="21"/>
  <c r="R570" i="21"/>
  <c r="S570" i="21"/>
  <c r="T570" i="21"/>
  <c r="U570" i="21"/>
  <c r="V570" i="21"/>
  <c r="W570" i="21"/>
  <c r="X570" i="21"/>
  <c r="Y570" i="21"/>
  <c r="AA570" i="21"/>
  <c r="M572" i="21"/>
  <c r="M573" i="21"/>
  <c r="N572" i="21"/>
  <c r="N573" i="21"/>
  <c r="O572" i="21"/>
  <c r="O573" i="21"/>
  <c r="P572" i="21"/>
  <c r="P573" i="21"/>
  <c r="Q572" i="21"/>
  <c r="Q573" i="21"/>
  <c r="R572" i="21"/>
  <c r="R573" i="21"/>
  <c r="S572" i="21"/>
  <c r="S573" i="21"/>
  <c r="T572" i="21"/>
  <c r="T573" i="21"/>
  <c r="U572" i="21"/>
  <c r="U573" i="21"/>
  <c r="V572" i="21"/>
  <c r="V573" i="21"/>
  <c r="W572" i="21"/>
  <c r="W573" i="21"/>
  <c r="X572" i="21"/>
  <c r="X573" i="21"/>
  <c r="Y572" i="21"/>
  <c r="Y573" i="21"/>
  <c r="Z572" i="21"/>
  <c r="Z573" i="21"/>
  <c r="AA572" i="21"/>
  <c r="AA573" i="21"/>
  <c r="M574" i="21"/>
  <c r="M575" i="21"/>
  <c r="N574" i="21"/>
  <c r="CF13" i="18"/>
  <c r="N575" i="21"/>
  <c r="O574" i="21"/>
  <c r="P574" i="21"/>
  <c r="P575" i="21"/>
  <c r="Q574" i="21"/>
  <c r="Q575" i="21"/>
  <c r="R574" i="21"/>
  <c r="R575" i="21"/>
  <c r="S574" i="21"/>
  <c r="S575" i="21"/>
  <c r="T574" i="21"/>
  <c r="T575" i="21"/>
  <c r="U574" i="21"/>
  <c r="CF20" i="18"/>
  <c r="V574" i="21"/>
  <c r="W574" i="21"/>
  <c r="W575" i="21"/>
  <c r="X574" i="21"/>
  <c r="Y574" i="21"/>
  <c r="CF24" i="18"/>
  <c r="Z574" i="21"/>
  <c r="Z575" i="21"/>
  <c r="CF25" i="18"/>
  <c r="AA574" i="21"/>
  <c r="AA575" i="21"/>
  <c r="M576" i="21"/>
  <c r="N576" i="21"/>
  <c r="O576" i="21"/>
  <c r="P576" i="21"/>
  <c r="Q576" i="21"/>
  <c r="R576" i="21"/>
  <c r="S576" i="21"/>
  <c r="T576" i="21"/>
  <c r="U576" i="21"/>
  <c r="V576" i="21"/>
  <c r="W576" i="21"/>
  <c r="X576" i="21"/>
  <c r="Y576" i="21"/>
  <c r="Z576" i="21"/>
  <c r="AA576" i="21"/>
  <c r="M577" i="21"/>
  <c r="N577" i="21"/>
  <c r="M578" i="21"/>
  <c r="N578" i="21"/>
  <c r="O578" i="21"/>
  <c r="P578" i="21"/>
  <c r="Q578" i="21"/>
  <c r="R578" i="21"/>
  <c r="S578" i="21"/>
  <c r="T578" i="21"/>
  <c r="U578" i="21"/>
  <c r="V578" i="21"/>
  <c r="W578" i="21"/>
  <c r="X578" i="21"/>
  <c r="Y578" i="21"/>
  <c r="M579" i="21"/>
  <c r="N579" i="21"/>
  <c r="O579" i="21"/>
  <c r="P579" i="21"/>
  <c r="Q579" i="21"/>
  <c r="R579" i="21"/>
  <c r="S579" i="21"/>
  <c r="T579" i="21"/>
  <c r="U579" i="21"/>
  <c r="V579" i="21"/>
  <c r="W579" i="21"/>
  <c r="X579" i="21"/>
  <c r="Y579" i="21"/>
  <c r="Z579" i="21"/>
  <c r="AA579" i="21"/>
  <c r="N580" i="21"/>
  <c r="R580" i="21"/>
  <c r="S580" i="21"/>
  <c r="T580" i="21"/>
  <c r="U580" i="21"/>
  <c r="V580" i="21"/>
  <c r="W580" i="21"/>
  <c r="X580" i="21"/>
  <c r="Y580" i="21"/>
  <c r="CG19" i="18"/>
  <c r="CG2" i="18"/>
  <c r="CG3" i="18"/>
  <c r="CG4" i="18"/>
  <c r="CG5" i="18"/>
  <c r="CG6" i="18"/>
  <c r="CG7" i="18"/>
  <c r="CG8" i="18"/>
  <c r="CG9" i="18"/>
  <c r="CG10" i="18"/>
  <c r="CG11" i="18"/>
  <c r="CG12" i="18"/>
  <c r="CG13" i="18"/>
  <c r="CG14" i="18"/>
  <c r="CG15" i="18"/>
  <c r="CG16" i="18"/>
  <c r="CG17" i="18"/>
  <c r="CG18" i="18"/>
  <c r="CG20" i="18"/>
  <c r="CG21" i="18"/>
  <c r="CG22" i="18"/>
  <c r="CG23" i="18"/>
  <c r="CG24" i="18"/>
  <c r="CG25" i="18"/>
  <c r="CG26" i="18"/>
  <c r="CG27" i="18"/>
  <c r="CG28" i="18"/>
  <c r="CG29" i="18"/>
  <c r="CG30" i="18"/>
  <c r="CG31" i="18"/>
  <c r="CG53" i="18"/>
  <c r="W510" i="21"/>
  <c r="X563" i="21"/>
  <c r="W509" i="21"/>
  <c r="X562" i="21"/>
  <c r="CH29" i="18"/>
  <c r="CH28" i="18"/>
  <c r="CH27" i="18"/>
  <c r="CH26" i="18"/>
  <c r="CH25" i="18"/>
  <c r="CH24" i="18"/>
  <c r="CH23" i="18"/>
  <c r="CH22" i="18"/>
  <c r="CH21" i="18"/>
  <c r="CH20" i="18"/>
  <c r="CH19" i="18"/>
  <c r="CH18" i="18"/>
  <c r="CH17" i="18"/>
  <c r="CH16" i="18"/>
  <c r="CF27" i="18"/>
  <c r="CF26" i="18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F121" i="8"/>
  <c r="P120" i="8"/>
  <c r="AB104" i="4"/>
  <c r="AC104" i="4"/>
  <c r="AD104" i="4"/>
  <c r="AE104" i="4"/>
  <c r="AT61" i="4"/>
  <c r="AD60" i="4"/>
  <c r="AT60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I82" i="4"/>
  <c r="I84" i="4"/>
  <c r="I83" i="4"/>
  <c r="J82" i="4"/>
  <c r="K82" i="4"/>
  <c r="K83" i="4"/>
  <c r="L82" i="4"/>
  <c r="L83" i="4"/>
  <c r="L84" i="4"/>
  <c r="M82" i="4"/>
  <c r="M83" i="4"/>
  <c r="M84" i="4"/>
  <c r="N82" i="4"/>
  <c r="O82" i="4"/>
  <c r="O83" i="4"/>
  <c r="P82" i="4"/>
  <c r="Q82" i="4"/>
  <c r="R82" i="4"/>
  <c r="S82" i="4"/>
  <c r="S84" i="4"/>
  <c r="T82" i="4"/>
  <c r="U82" i="4"/>
  <c r="V82" i="4"/>
  <c r="V83" i="4"/>
  <c r="W82" i="4"/>
  <c r="W83" i="4"/>
  <c r="X82" i="4"/>
  <c r="X83" i="4"/>
  <c r="X84" i="4"/>
  <c r="Y82" i="4"/>
  <c r="Z82" i="4"/>
  <c r="AA82" i="4"/>
  <c r="AA84" i="4"/>
  <c r="AA83" i="4"/>
  <c r="AB82" i="4"/>
  <c r="AC82" i="4"/>
  <c r="AC83" i="4"/>
  <c r="AC84" i="4"/>
  <c r="AD82" i="4"/>
  <c r="AE82" i="4"/>
  <c r="J83" i="4"/>
  <c r="N83" i="4"/>
  <c r="P83" i="4"/>
  <c r="P84" i="4"/>
  <c r="Q83" i="4"/>
  <c r="R83" i="4"/>
  <c r="S83" i="4"/>
  <c r="T83" i="4"/>
  <c r="U83" i="4"/>
  <c r="Y83" i="4"/>
  <c r="Z83" i="4"/>
  <c r="AB83" i="4"/>
  <c r="AD83" i="4"/>
  <c r="AE83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I86" i="4"/>
  <c r="J86" i="4"/>
  <c r="K86" i="4"/>
  <c r="L86" i="4"/>
  <c r="L88" i="4"/>
  <c r="M86" i="4"/>
  <c r="M88" i="4"/>
  <c r="M87" i="4"/>
  <c r="N86" i="4"/>
  <c r="N87" i="4"/>
  <c r="O86" i="4"/>
  <c r="O87" i="4"/>
  <c r="O88" i="4"/>
  <c r="P86" i="4"/>
  <c r="Q86" i="4"/>
  <c r="R86" i="4"/>
  <c r="R87" i="4"/>
  <c r="S86" i="4"/>
  <c r="S88" i="4"/>
  <c r="T86" i="4"/>
  <c r="U86" i="4"/>
  <c r="V86" i="4"/>
  <c r="V88" i="4"/>
  <c r="V87" i="4"/>
  <c r="W86" i="4"/>
  <c r="W87" i="4"/>
  <c r="X86" i="4"/>
  <c r="X87" i="4"/>
  <c r="X88" i="4"/>
  <c r="Y86" i="4"/>
  <c r="Y87" i="4"/>
  <c r="Z86" i="4"/>
  <c r="AA86" i="4"/>
  <c r="AA88" i="4"/>
  <c r="AA87" i="4"/>
  <c r="AB86" i="4"/>
  <c r="AC86" i="4"/>
  <c r="AC87" i="4"/>
  <c r="AC88" i="4"/>
  <c r="AD86" i="4"/>
  <c r="AD87" i="4"/>
  <c r="AE86" i="4"/>
  <c r="AE88" i="4"/>
  <c r="AE87" i="4"/>
  <c r="I87" i="4"/>
  <c r="I88" i="4"/>
  <c r="J87" i="4"/>
  <c r="K87" i="4"/>
  <c r="K88" i="4"/>
  <c r="L87" i="4"/>
  <c r="P87" i="4"/>
  <c r="Q87" i="4"/>
  <c r="S87" i="4"/>
  <c r="T87" i="4"/>
  <c r="T88" i="4"/>
  <c r="U87" i="4"/>
  <c r="Z87" i="4"/>
  <c r="Z88" i="4"/>
  <c r="AB87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I90" i="4"/>
  <c r="J90" i="4"/>
  <c r="K90" i="4"/>
  <c r="L90" i="4"/>
  <c r="M90" i="4"/>
  <c r="M91" i="4"/>
  <c r="M92" i="4"/>
  <c r="M93" i="4"/>
  <c r="N90" i="4"/>
  <c r="N93" i="4"/>
  <c r="N91" i="4"/>
  <c r="N92" i="4"/>
  <c r="O90" i="4"/>
  <c r="P90" i="4"/>
  <c r="Q90" i="4"/>
  <c r="R90" i="4"/>
  <c r="S90" i="4"/>
  <c r="T90" i="4"/>
  <c r="U90" i="4"/>
  <c r="V90" i="4"/>
  <c r="W90" i="4"/>
  <c r="W91" i="4"/>
  <c r="W92" i="4"/>
  <c r="X90" i="4"/>
  <c r="Y90" i="4"/>
  <c r="Z90" i="4"/>
  <c r="Z93" i="4"/>
  <c r="Z91" i="4"/>
  <c r="Z92" i="4"/>
  <c r="AA90" i="4"/>
  <c r="AA91" i="4"/>
  <c r="AA93" i="4"/>
  <c r="AA92" i="4"/>
  <c r="AB90" i="4"/>
  <c r="AC90" i="4"/>
  <c r="AD90" i="4"/>
  <c r="AE90" i="4"/>
  <c r="I91" i="4"/>
  <c r="J91" i="4"/>
  <c r="K91" i="4"/>
  <c r="L91" i="4"/>
  <c r="O91" i="4"/>
  <c r="P91" i="4"/>
  <c r="P93" i="4"/>
  <c r="Q91" i="4"/>
  <c r="R91" i="4"/>
  <c r="S91" i="4"/>
  <c r="T91" i="4"/>
  <c r="T92" i="4"/>
  <c r="U91" i="4"/>
  <c r="V91" i="4"/>
  <c r="X91" i="4"/>
  <c r="Y91" i="4"/>
  <c r="AB91" i="4"/>
  <c r="AC91" i="4"/>
  <c r="AD91" i="4"/>
  <c r="AE91" i="4"/>
  <c r="I92" i="4"/>
  <c r="J92" i="4"/>
  <c r="K92" i="4"/>
  <c r="L92" i="4"/>
  <c r="O92" i="4"/>
  <c r="P92" i="4"/>
  <c r="Q92" i="4"/>
  <c r="R92" i="4"/>
  <c r="S92" i="4"/>
  <c r="U92" i="4"/>
  <c r="V92" i="4"/>
  <c r="X92" i="4"/>
  <c r="Y92" i="4"/>
  <c r="AB92" i="4"/>
  <c r="AC92" i="4"/>
  <c r="AD92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I95" i="4"/>
  <c r="J95" i="4"/>
  <c r="K95" i="4"/>
  <c r="L95" i="4"/>
  <c r="M95" i="4"/>
  <c r="N95" i="4"/>
  <c r="O95" i="4"/>
  <c r="I96" i="4"/>
  <c r="J96" i="4"/>
  <c r="K96" i="4"/>
  <c r="L96" i="4"/>
  <c r="M96" i="4"/>
  <c r="N96" i="4"/>
  <c r="O96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I99" i="4"/>
  <c r="J99" i="4"/>
  <c r="K99" i="4"/>
  <c r="L99" i="4"/>
  <c r="M99" i="4"/>
  <c r="N99" i="4"/>
  <c r="O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I101" i="4"/>
  <c r="I103" i="4"/>
  <c r="J101" i="4"/>
  <c r="J103" i="4"/>
  <c r="J102" i="4"/>
  <c r="M101" i="4"/>
  <c r="N101" i="4"/>
  <c r="O101" i="4"/>
  <c r="O103" i="4"/>
  <c r="O102" i="4"/>
  <c r="P101" i="4"/>
  <c r="P102" i="4"/>
  <c r="P103" i="4"/>
  <c r="Q101" i="4"/>
  <c r="R101" i="4"/>
  <c r="R103" i="4"/>
  <c r="S101" i="4"/>
  <c r="X101" i="4"/>
  <c r="X103" i="4"/>
  <c r="Y101" i="4"/>
  <c r="Z101" i="4"/>
  <c r="Z102" i="4"/>
  <c r="AA101" i="4"/>
  <c r="AB101" i="4"/>
  <c r="AC101" i="4"/>
  <c r="AC102" i="4"/>
  <c r="AD101" i="4"/>
  <c r="AE101" i="4"/>
  <c r="I102" i="4"/>
  <c r="M102" i="4"/>
  <c r="N102" i="4"/>
  <c r="Q102" i="4"/>
  <c r="R102" i="4"/>
  <c r="S102" i="4"/>
  <c r="Y102" i="4"/>
  <c r="AA102" i="4"/>
  <c r="AB102" i="4"/>
  <c r="AD102" i="4"/>
  <c r="AE102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I77" i="4"/>
  <c r="L76" i="4"/>
  <c r="M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W506" i="21"/>
  <c r="CE2" i="18"/>
  <c r="CE3" i="18"/>
  <c r="CE4" i="18"/>
  <c r="CE5" i="18"/>
  <c r="CE6" i="18"/>
  <c r="CE7" i="18"/>
  <c r="CE8" i="18"/>
  <c r="CE9" i="18"/>
  <c r="CE10" i="18"/>
  <c r="CE11" i="18"/>
  <c r="CE12" i="18"/>
  <c r="CE13" i="18"/>
  <c r="CE14" i="18"/>
  <c r="CE15" i="18"/>
  <c r="CE16" i="18"/>
  <c r="CE17" i="18"/>
  <c r="CE18" i="18"/>
  <c r="CE19" i="18"/>
  <c r="CE20" i="18"/>
  <c r="CE21" i="18"/>
  <c r="CE22" i="18"/>
  <c r="CE23" i="18"/>
  <c r="CE24" i="18"/>
  <c r="CE25" i="18"/>
  <c r="CE26" i="18"/>
  <c r="CE27" i="18"/>
  <c r="CE28" i="18"/>
  <c r="CE29" i="18"/>
  <c r="CE30" i="18"/>
  <c r="CE31" i="18"/>
  <c r="CE53" i="18"/>
  <c r="CK2" i="18"/>
  <c r="CK31" i="18"/>
  <c r="CK30" i="18"/>
  <c r="CK29" i="18"/>
  <c r="CK28" i="18"/>
  <c r="CK27" i="18"/>
  <c r="CK26" i="18"/>
  <c r="CK25" i="18"/>
  <c r="CK24" i="18"/>
  <c r="CK23" i="18"/>
  <c r="CK22" i="18"/>
  <c r="CK21" i="18"/>
  <c r="CK20" i="18"/>
  <c r="CK19" i="18"/>
  <c r="CK18" i="18"/>
  <c r="CK17" i="18"/>
  <c r="CK16" i="18"/>
  <c r="CK15" i="18"/>
  <c r="CK14" i="18"/>
  <c r="CK13" i="18"/>
  <c r="CK12" i="18"/>
  <c r="CK11" i="18"/>
  <c r="CK10" i="18"/>
  <c r="CK9" i="18"/>
  <c r="CK8" i="18"/>
  <c r="CK7" i="18"/>
  <c r="CK6" i="18"/>
  <c r="CK5" i="18"/>
  <c r="CK4" i="18"/>
  <c r="CK3" i="18"/>
  <c r="CK58" i="18"/>
  <c r="CK57" i="18"/>
  <c r="E334" i="12"/>
  <c r="C334" i="12"/>
  <c r="E333" i="12"/>
  <c r="C333" i="12"/>
  <c r="E332" i="12"/>
  <c r="C332" i="12"/>
  <c r="E331" i="12"/>
  <c r="C331" i="12"/>
  <c r="E330" i="12"/>
  <c r="C330" i="12"/>
  <c r="E329" i="12"/>
  <c r="C329" i="12"/>
  <c r="E328" i="12"/>
  <c r="C328" i="12"/>
  <c r="E327" i="12"/>
  <c r="C327" i="12"/>
  <c r="E326" i="12"/>
  <c r="C326" i="12"/>
  <c r="E325" i="12"/>
  <c r="C325" i="12"/>
  <c r="E324" i="12"/>
  <c r="C324" i="12"/>
  <c r="E323" i="12"/>
  <c r="C323" i="12"/>
  <c r="E322" i="12"/>
  <c r="C322" i="12"/>
  <c r="E321" i="12"/>
  <c r="C321" i="12"/>
  <c r="E320" i="12"/>
  <c r="C320" i="12"/>
  <c r="E319" i="12"/>
  <c r="C319" i="12"/>
  <c r="E318" i="12"/>
  <c r="C318" i="12"/>
  <c r="AG127" i="15"/>
  <c r="AH127" i="15"/>
  <c r="AI127" i="15"/>
  <c r="AG125" i="15"/>
  <c r="AH125" i="15"/>
  <c r="AI125" i="15"/>
  <c r="AG123" i="15"/>
  <c r="AH123" i="15"/>
  <c r="AI123" i="15"/>
  <c r="AG121" i="15"/>
  <c r="AH121" i="15"/>
  <c r="AI121" i="15"/>
  <c r="AF141" i="15"/>
  <c r="AG141" i="15"/>
  <c r="AH141" i="15"/>
  <c r="AI141" i="15"/>
  <c r="AG143" i="15"/>
  <c r="AH143" i="15"/>
  <c r="AI143" i="15"/>
  <c r="AG139" i="15"/>
  <c r="AH139" i="15"/>
  <c r="AI139" i="15"/>
  <c r="AG137" i="15"/>
  <c r="AH137" i="15"/>
  <c r="AI137" i="15"/>
  <c r="AG133" i="15"/>
  <c r="AH133" i="15"/>
  <c r="AI133" i="15"/>
  <c r="AG131" i="15"/>
  <c r="AH131" i="15"/>
  <c r="AI131" i="15"/>
  <c r="E312" i="12"/>
  <c r="C312" i="12"/>
  <c r="C313" i="12"/>
  <c r="E316" i="12"/>
  <c r="E314" i="12"/>
  <c r="E317" i="12"/>
  <c r="C316" i="12"/>
  <c r="E315" i="12"/>
  <c r="C314" i="12"/>
  <c r="E313" i="12"/>
  <c r="C315" i="12"/>
  <c r="C317" i="12"/>
  <c r="V511" i="21"/>
  <c r="AE362" i="12"/>
  <c r="AE363" i="12"/>
  <c r="AE360" i="12"/>
  <c r="AE361" i="12"/>
  <c r="AI340" i="12"/>
  <c r="AJ340" i="12"/>
  <c r="AK340" i="12"/>
  <c r="AI338" i="12"/>
  <c r="AJ338" i="12"/>
  <c r="AK338" i="12"/>
  <c r="AI336" i="12"/>
  <c r="AJ336" i="12"/>
  <c r="AK336" i="12"/>
  <c r="AI311" i="12"/>
  <c r="AJ311" i="12"/>
  <c r="AK311" i="12"/>
  <c r="AI309" i="12"/>
  <c r="AJ309" i="12"/>
  <c r="AK309" i="12"/>
  <c r="AI307" i="12"/>
  <c r="AJ307" i="12"/>
  <c r="AK307" i="12"/>
  <c r="AE309" i="12"/>
  <c r="AF309" i="12"/>
  <c r="AG309" i="12"/>
  <c r="AH309" i="12"/>
  <c r="AE307" i="12"/>
  <c r="AF307" i="12"/>
  <c r="AG307" i="12"/>
  <c r="AH307" i="12"/>
  <c r="AF340" i="12"/>
  <c r="AG340" i="12"/>
  <c r="AH340" i="12"/>
  <c r="AF338" i="12"/>
  <c r="AG338" i="12"/>
  <c r="AH338" i="12"/>
  <c r="AF336" i="12"/>
  <c r="AG336" i="12"/>
  <c r="AH336" i="12"/>
  <c r="AG372" i="12"/>
  <c r="AF311" i="12"/>
  <c r="AG311" i="12"/>
  <c r="AH311" i="12"/>
  <c r="AE369" i="12"/>
  <c r="AF369" i="12"/>
  <c r="AE365" i="12"/>
  <c r="AF365" i="12"/>
  <c r="AE367" i="12"/>
  <c r="AF367" i="12"/>
  <c r="AG363" i="12"/>
  <c r="AG361" i="12"/>
  <c r="AF356" i="12"/>
  <c r="AG356" i="12"/>
  <c r="AH356" i="12"/>
  <c r="AF354" i="12"/>
  <c r="AG354" i="12"/>
  <c r="AH354" i="12"/>
  <c r="AF352" i="12"/>
  <c r="AG352" i="12"/>
  <c r="AH352" i="12"/>
  <c r="AF350" i="12"/>
  <c r="AG350" i="12"/>
  <c r="AH350" i="12"/>
  <c r="AF348" i="12"/>
  <c r="AG348" i="12"/>
  <c r="AH348" i="12"/>
  <c r="AD348" i="12"/>
  <c r="AE372" i="12"/>
  <c r="AF372" i="12"/>
  <c r="AH372" i="12"/>
  <c r="AE374" i="12"/>
  <c r="AF374" i="12"/>
  <c r="AG374" i="12"/>
  <c r="AH374" i="12"/>
  <c r="AE376" i="12"/>
  <c r="AF376" i="12"/>
  <c r="AG376" i="12"/>
  <c r="AH376" i="12"/>
  <c r="AF378" i="12"/>
  <c r="AG378" i="12"/>
  <c r="AH378" i="12"/>
  <c r="AF380" i="12"/>
  <c r="AG380" i="12"/>
  <c r="AH380" i="12"/>
  <c r="AF394" i="12"/>
  <c r="AG394" i="12"/>
  <c r="AH394" i="12"/>
  <c r="AF384" i="12"/>
  <c r="AG384" i="12"/>
  <c r="AH384" i="12"/>
  <c r="AF382" i="12"/>
  <c r="AG382" i="12"/>
  <c r="AH382" i="12"/>
  <c r="AJ20" i="15"/>
  <c r="AI20" i="15"/>
  <c r="AG20" i="15"/>
  <c r="AF20" i="15"/>
  <c r="AE20" i="15"/>
  <c r="AD20" i="15"/>
  <c r="AC20" i="15"/>
  <c r="AC21" i="15"/>
  <c r="AJ113" i="15"/>
  <c r="AI113" i="15"/>
  <c r="AH113" i="15"/>
  <c r="AG113" i="15"/>
  <c r="AF113" i="15"/>
  <c r="AF114" i="15"/>
  <c r="AE113" i="15"/>
  <c r="AE114" i="15"/>
  <c r="AD113" i="15"/>
  <c r="AD114" i="15"/>
  <c r="AC113" i="15"/>
  <c r="AC114" i="15"/>
  <c r="AJ104" i="15"/>
  <c r="AI104" i="15"/>
  <c r="AI105" i="15"/>
  <c r="AG104" i="15"/>
  <c r="AG105" i="15"/>
  <c r="AF104" i="15"/>
  <c r="AF105" i="15"/>
  <c r="AE104" i="15"/>
  <c r="AE105" i="15"/>
  <c r="AD104" i="15"/>
  <c r="AC104" i="15"/>
  <c r="AC105" i="15"/>
  <c r="AJ101" i="15"/>
  <c r="AI101" i="15"/>
  <c r="AH101" i="15"/>
  <c r="AH102" i="15"/>
  <c r="AG101" i="15"/>
  <c r="AG102" i="15"/>
  <c r="AF101" i="15"/>
  <c r="AF102" i="15"/>
  <c r="AE101" i="15"/>
  <c r="AE102" i="15"/>
  <c r="AD101" i="15"/>
  <c r="AD102" i="15"/>
  <c r="AJ98" i="15"/>
  <c r="AI98" i="15"/>
  <c r="AI99" i="15"/>
  <c r="AH98" i="15"/>
  <c r="AH99" i="15"/>
  <c r="AG98" i="15"/>
  <c r="AG99" i="15"/>
  <c r="AF98" i="15"/>
  <c r="AF99" i="15"/>
  <c r="AE98" i="15"/>
  <c r="AE99" i="15"/>
  <c r="AD98" i="15"/>
  <c r="AD99" i="15"/>
  <c r="AC98" i="15"/>
  <c r="AC99" i="15"/>
  <c r="AJ95" i="15"/>
  <c r="AI95" i="15"/>
  <c r="AI96" i="15"/>
  <c r="AH95" i="15"/>
  <c r="AH96" i="15"/>
  <c r="AG95" i="15"/>
  <c r="AG96" i="15"/>
  <c r="AF95" i="15"/>
  <c r="AF96" i="15"/>
  <c r="AE95" i="15"/>
  <c r="AE96" i="15"/>
  <c r="AD95" i="15"/>
  <c r="AD96" i="15"/>
  <c r="AC95" i="15"/>
  <c r="AC96" i="15"/>
  <c r="AJ92" i="15"/>
  <c r="AI92" i="15"/>
  <c r="AH92" i="15"/>
  <c r="AG92" i="15"/>
  <c r="AF92" i="15"/>
  <c r="AF93" i="15"/>
  <c r="AE92" i="15"/>
  <c r="AE93" i="15"/>
  <c r="AD92" i="15"/>
  <c r="AD93" i="15"/>
  <c r="AC92" i="15"/>
  <c r="AC93" i="15"/>
  <c r="AB92" i="15"/>
  <c r="AB93" i="15"/>
  <c r="AA92" i="15"/>
  <c r="AA93" i="15"/>
  <c r="Z92" i="15"/>
  <c r="Z93" i="15"/>
  <c r="Y92" i="15"/>
  <c r="Y93" i="15"/>
  <c r="AJ84" i="15"/>
  <c r="AI84" i="15"/>
  <c r="AH84" i="15"/>
  <c r="AG84" i="15"/>
  <c r="AF84" i="15"/>
  <c r="AE84" i="15"/>
  <c r="AD84" i="15"/>
  <c r="AD85" i="15"/>
  <c r="AC84" i="15"/>
  <c r="AC85" i="15"/>
  <c r="AJ81" i="15"/>
  <c r="AI81" i="15"/>
  <c r="AH81" i="15"/>
  <c r="AG81" i="15"/>
  <c r="AF81" i="15"/>
  <c r="AE81" i="15"/>
  <c r="AD81" i="15"/>
  <c r="AC81" i="15"/>
  <c r="AC82" i="15"/>
  <c r="AJ78" i="15"/>
  <c r="AI78" i="15"/>
  <c r="AH78" i="15"/>
  <c r="AG78" i="15"/>
  <c r="AF78" i="15"/>
  <c r="L78" i="15"/>
  <c r="L79" i="15"/>
  <c r="M78" i="15"/>
  <c r="M79" i="15"/>
  <c r="N78" i="15"/>
  <c r="N79" i="15"/>
  <c r="O78" i="15"/>
  <c r="P78" i="15"/>
  <c r="P79" i="15"/>
  <c r="Q78" i="15"/>
  <c r="Q79" i="15"/>
  <c r="R78" i="15"/>
  <c r="R79" i="15"/>
  <c r="S78" i="15"/>
  <c r="S79" i="15"/>
  <c r="T78" i="15"/>
  <c r="T79" i="15"/>
  <c r="U78" i="15"/>
  <c r="U79" i="15"/>
  <c r="V78" i="15"/>
  <c r="V79" i="15"/>
  <c r="W78" i="15"/>
  <c r="W79" i="15"/>
  <c r="X78" i="15"/>
  <c r="X79" i="15"/>
  <c r="Y78" i="15"/>
  <c r="Y79" i="15"/>
  <c r="Z78" i="15"/>
  <c r="Z79" i="15"/>
  <c r="AA78" i="15"/>
  <c r="AA79" i="15"/>
  <c r="AB78" i="15"/>
  <c r="AB79" i="15"/>
  <c r="AC78" i="15"/>
  <c r="AC79" i="15"/>
  <c r="AE78" i="15"/>
  <c r="AJ75" i="15"/>
  <c r="AI75" i="15"/>
  <c r="AH75" i="15"/>
  <c r="AG75" i="15"/>
  <c r="AF75" i="15"/>
  <c r="AE75" i="15"/>
  <c r="AD75" i="15"/>
  <c r="AC75" i="15"/>
  <c r="AC76" i="15"/>
  <c r="AJ72" i="15"/>
  <c r="AI72" i="15"/>
  <c r="AH72" i="15"/>
  <c r="AG72" i="15"/>
  <c r="AF72" i="15"/>
  <c r="AE72" i="15"/>
  <c r="AD72" i="15"/>
  <c r="AC72" i="15"/>
  <c r="AC73" i="15"/>
  <c r="AJ69" i="15"/>
  <c r="AI69" i="15"/>
  <c r="AH69" i="15"/>
  <c r="AG69" i="15"/>
  <c r="AF69" i="15"/>
  <c r="AE69" i="15"/>
  <c r="AD69" i="15"/>
  <c r="AC69" i="15"/>
  <c r="AC70" i="15"/>
  <c r="AB69" i="15"/>
  <c r="AB70" i="15"/>
  <c r="AA69" i="15"/>
  <c r="AA70" i="15"/>
  <c r="Z69" i="15"/>
  <c r="Z70" i="15"/>
  <c r="Y69" i="15"/>
  <c r="Y70" i="15"/>
  <c r="X69" i="15"/>
  <c r="X70" i="15"/>
  <c r="W69" i="15"/>
  <c r="W70" i="15"/>
  <c r="V69" i="15"/>
  <c r="V70" i="15"/>
  <c r="U69" i="15"/>
  <c r="U70" i="15"/>
  <c r="T69" i="15"/>
  <c r="T70" i="15"/>
  <c r="S69" i="15"/>
  <c r="S70" i="15"/>
  <c r="AJ66" i="15"/>
  <c r="AI66" i="15"/>
  <c r="AH66" i="15"/>
  <c r="AG66" i="15"/>
  <c r="AF66" i="15"/>
  <c r="AE66" i="15"/>
  <c r="AD66" i="15"/>
  <c r="AC66" i="15"/>
  <c r="AC67" i="15"/>
  <c r="AJ63" i="15"/>
  <c r="AI63" i="15"/>
  <c r="AH63" i="15"/>
  <c r="AG63" i="15"/>
  <c r="AF63" i="15"/>
  <c r="AE63" i="15"/>
  <c r="AD63" i="15"/>
  <c r="AC63" i="15"/>
  <c r="AC64" i="15"/>
  <c r="AJ58" i="15"/>
  <c r="AI58" i="15"/>
  <c r="AH58" i="15"/>
  <c r="AG58" i="15"/>
  <c r="AF58" i="15"/>
  <c r="C57" i="15"/>
  <c r="C58" i="15"/>
  <c r="AE58" i="15"/>
  <c r="AD58" i="15"/>
  <c r="AC58" i="15"/>
  <c r="AC59" i="15"/>
  <c r="AJ55" i="15"/>
  <c r="AK54" i="15"/>
  <c r="AL54" i="15"/>
  <c r="AI55" i="15"/>
  <c r="AH55" i="15"/>
  <c r="AG55" i="15"/>
  <c r="AF55" i="15"/>
  <c r="AE55" i="15"/>
  <c r="AD55" i="15"/>
  <c r="AC55" i="15"/>
  <c r="AC56" i="15"/>
  <c r="AB55" i="15"/>
  <c r="AB56" i="15"/>
  <c r="AA55" i="15"/>
  <c r="AA56" i="15"/>
  <c r="Z55" i="15"/>
  <c r="Z56" i="15"/>
  <c r="Y55" i="15"/>
  <c r="Y56" i="15"/>
  <c r="X55" i="15"/>
  <c r="X56" i="15"/>
  <c r="AJ47" i="15"/>
  <c r="AI47" i="15"/>
  <c r="AF47" i="15"/>
  <c r="AE47" i="15"/>
  <c r="AD47" i="15"/>
  <c r="AC47" i="15"/>
  <c r="AC48" i="15"/>
  <c r="AB47" i="15"/>
  <c r="AB48" i="15"/>
  <c r="AJ44" i="15"/>
  <c r="AI44" i="15"/>
  <c r="AH44" i="15"/>
  <c r="AG44" i="15"/>
  <c r="AF44" i="15"/>
  <c r="AE44" i="15"/>
  <c r="AD44" i="15"/>
  <c r="AC44" i="15"/>
  <c r="AC45" i="15"/>
  <c r="AJ41" i="15"/>
  <c r="AJ128" i="15"/>
  <c r="AI41" i="15"/>
  <c r="AI128" i="15"/>
  <c r="AH41" i="15"/>
  <c r="AH128" i="15"/>
  <c r="AG41" i="15"/>
  <c r="AF41" i="15"/>
  <c r="AE41" i="15"/>
  <c r="AE128" i="15"/>
  <c r="AD41" i="15"/>
  <c r="AC41" i="15"/>
  <c r="AC42" i="15"/>
  <c r="AJ38" i="15"/>
  <c r="AI38" i="15"/>
  <c r="AH38" i="15"/>
  <c r="AG38" i="15"/>
  <c r="AF38" i="15"/>
  <c r="L38" i="15"/>
  <c r="L39" i="15"/>
  <c r="M38" i="15"/>
  <c r="N38" i="15"/>
  <c r="N39" i="15"/>
  <c r="O38" i="15"/>
  <c r="O39" i="15"/>
  <c r="P38" i="15"/>
  <c r="P39" i="15"/>
  <c r="Q38" i="15"/>
  <c r="R38" i="15"/>
  <c r="R39" i="15"/>
  <c r="S38" i="15"/>
  <c r="T38" i="15"/>
  <c r="T39" i="15"/>
  <c r="U38" i="15"/>
  <c r="U39" i="15"/>
  <c r="V38" i="15"/>
  <c r="V39" i="15"/>
  <c r="W38" i="15"/>
  <c r="W39" i="15"/>
  <c r="X38" i="15"/>
  <c r="X39" i="15"/>
  <c r="Y38" i="15"/>
  <c r="Y39" i="15"/>
  <c r="Z38" i="15"/>
  <c r="Z39" i="15"/>
  <c r="AA38" i="15"/>
  <c r="AA39" i="15"/>
  <c r="AB38" i="15"/>
  <c r="AB39" i="15"/>
  <c r="AC38" i="15"/>
  <c r="AC39" i="15"/>
  <c r="AD38" i="15"/>
  <c r="AE38" i="15"/>
  <c r="AJ35" i="15"/>
  <c r="AI35" i="15"/>
  <c r="AH35" i="15"/>
  <c r="AG35" i="15"/>
  <c r="AF35" i="15"/>
  <c r="O120" i="8"/>
  <c r="L35" i="15"/>
  <c r="M35" i="15"/>
  <c r="M36" i="15"/>
  <c r="N35" i="15"/>
  <c r="O35" i="15"/>
  <c r="O36" i="15"/>
  <c r="P35" i="15"/>
  <c r="P36" i="15"/>
  <c r="Q35" i="15"/>
  <c r="Q36" i="15"/>
  <c r="R35" i="15"/>
  <c r="R36" i="15"/>
  <c r="S35" i="15"/>
  <c r="S36" i="15"/>
  <c r="T35" i="15"/>
  <c r="T36" i="15"/>
  <c r="U35" i="15"/>
  <c r="U36" i="15"/>
  <c r="V35" i="15"/>
  <c r="V36" i="15"/>
  <c r="W35" i="15"/>
  <c r="W36" i="15"/>
  <c r="X35" i="15"/>
  <c r="X36" i="15"/>
  <c r="Y35" i="15"/>
  <c r="Y36" i="15"/>
  <c r="Z35" i="15"/>
  <c r="Z36" i="15"/>
  <c r="AA35" i="15"/>
  <c r="AA36" i="15"/>
  <c r="AB35" i="15"/>
  <c r="AB36" i="15"/>
  <c r="AC35" i="15"/>
  <c r="AC36" i="15"/>
  <c r="AD35" i="15"/>
  <c r="AE35" i="15"/>
  <c r="AJ32" i="15"/>
  <c r="AI32" i="15"/>
  <c r="AH32" i="15"/>
  <c r="AG32" i="15"/>
  <c r="AF32" i="15"/>
  <c r="AE32" i="15"/>
  <c r="AD32" i="15"/>
  <c r="AC32" i="15"/>
  <c r="AC33" i="15"/>
  <c r="AB32" i="15"/>
  <c r="AB33" i="15"/>
  <c r="AA32" i="15"/>
  <c r="AA33" i="15"/>
  <c r="Z32" i="15"/>
  <c r="Z33" i="15"/>
  <c r="Y32" i="15"/>
  <c r="Y33" i="15"/>
  <c r="X32" i="15"/>
  <c r="X33" i="15"/>
  <c r="AJ26" i="15"/>
  <c r="AI26" i="15"/>
  <c r="AH26" i="15"/>
  <c r="AF26" i="15"/>
  <c r="AE26" i="15"/>
  <c r="AD26" i="15"/>
  <c r="AA26" i="15"/>
  <c r="AA27" i="15"/>
  <c r="AB26" i="15"/>
  <c r="AB27" i="15"/>
  <c r="AC26" i="15"/>
  <c r="AC27" i="15"/>
  <c r="AJ17" i="15"/>
  <c r="AJ115" i="15"/>
  <c r="AJ116" i="15"/>
  <c r="AI17" i="15"/>
  <c r="AH17" i="15"/>
  <c r="AG17" i="15"/>
  <c r="AF17" i="15"/>
  <c r="AA17" i="15"/>
  <c r="AB17" i="15"/>
  <c r="AB18" i="15"/>
  <c r="AC17" i="15"/>
  <c r="AC18" i="15"/>
  <c r="AD17" i="15"/>
  <c r="AE17" i="15"/>
  <c r="Z17" i="15"/>
  <c r="Z18" i="15"/>
  <c r="AJ9" i="15"/>
  <c r="AI9" i="15"/>
  <c r="AH9" i="15"/>
  <c r="AH115" i="15"/>
  <c r="AG9" i="15"/>
  <c r="L9" i="15"/>
  <c r="L10" i="15"/>
  <c r="M9" i="15"/>
  <c r="M10" i="15"/>
  <c r="N9" i="15"/>
  <c r="N10" i="15"/>
  <c r="O9" i="15"/>
  <c r="P9" i="15"/>
  <c r="P10" i="15"/>
  <c r="Q9" i="15"/>
  <c r="Q10" i="15"/>
  <c r="R9" i="15"/>
  <c r="R10" i="15"/>
  <c r="S9" i="15"/>
  <c r="S10" i="15"/>
  <c r="T9" i="15"/>
  <c r="T10" i="15"/>
  <c r="U9" i="15"/>
  <c r="U10" i="15"/>
  <c r="V9" i="15"/>
  <c r="V10" i="15"/>
  <c r="W9" i="15"/>
  <c r="W10" i="15"/>
  <c r="X9" i="15"/>
  <c r="X10" i="15"/>
  <c r="Y9" i="15"/>
  <c r="Y10" i="15"/>
  <c r="Z9" i="15"/>
  <c r="Z10" i="15"/>
  <c r="AA9" i="15"/>
  <c r="AA10" i="15"/>
  <c r="AB9" i="15"/>
  <c r="AB10" i="15"/>
  <c r="AC9" i="15"/>
  <c r="AC10" i="15"/>
  <c r="AD9" i="15"/>
  <c r="AD10" i="15"/>
  <c r="AE9" i="15"/>
  <c r="AF9" i="15"/>
  <c r="AF10" i="15"/>
  <c r="AJ6" i="15"/>
  <c r="AI6" i="15"/>
  <c r="AH6" i="15"/>
  <c r="AG6" i="15"/>
  <c r="AF6" i="15"/>
  <c r="L6" i="15"/>
  <c r="Y6" i="15"/>
  <c r="Y7" i="15"/>
  <c r="Z6" i="15"/>
  <c r="Z7" i="15"/>
  <c r="AA6" i="15"/>
  <c r="AA7" i="15"/>
  <c r="AB6" i="15"/>
  <c r="AC6" i="15"/>
  <c r="AC7" i="15"/>
  <c r="AD6" i="15"/>
  <c r="AE6" i="15"/>
  <c r="AD7" i="15"/>
  <c r="AD132" i="15"/>
  <c r="AD133" i="15"/>
  <c r="AD130" i="15"/>
  <c r="AE131" i="15"/>
  <c r="AC138" i="15"/>
  <c r="AD393" i="12"/>
  <c r="AE110" i="15"/>
  <c r="AE111" i="15"/>
  <c r="AF110" i="15"/>
  <c r="AF111" i="15"/>
  <c r="AG110" i="15"/>
  <c r="AG111" i="15"/>
  <c r="AH110" i="15"/>
  <c r="AD37" i="4"/>
  <c r="AE37" i="4"/>
  <c r="AC37" i="4"/>
  <c r="AB35" i="4"/>
  <c r="AB37" i="4"/>
  <c r="C122" i="2"/>
  <c r="L35" i="4"/>
  <c r="M35" i="4"/>
  <c r="P35" i="4"/>
  <c r="Q35" i="4"/>
  <c r="R35" i="4"/>
  <c r="S35" i="4"/>
  <c r="T35" i="4"/>
  <c r="U35" i="4"/>
  <c r="V35" i="4"/>
  <c r="W35" i="4"/>
  <c r="X35" i="4"/>
  <c r="Y35" i="4"/>
  <c r="Z35" i="4"/>
  <c r="AA35" i="4"/>
  <c r="AA37" i="4"/>
  <c r="S520" i="21"/>
  <c r="T585" i="21"/>
  <c r="X365" i="12"/>
  <c r="T365" i="12"/>
  <c r="T511" i="21"/>
  <c r="S510" i="21"/>
  <c r="T510" i="21"/>
  <c r="S509" i="21"/>
  <c r="AD122" i="15"/>
  <c r="AE123" i="15"/>
  <c r="AE143" i="15"/>
  <c r="AF143" i="15"/>
  <c r="AC136" i="15"/>
  <c r="AC379" i="12"/>
  <c r="AD379" i="12"/>
  <c r="AD380" i="12"/>
  <c r="AC381" i="12"/>
  <c r="AC382" i="12"/>
  <c r="AC383" i="12"/>
  <c r="AD383" i="12"/>
  <c r="AD376" i="12"/>
  <c r="AD369" i="12"/>
  <c r="AD365" i="12"/>
  <c r="AC365" i="12"/>
  <c r="AB365" i="12"/>
  <c r="AA365" i="12"/>
  <c r="Z365" i="12"/>
  <c r="Y365" i="12"/>
  <c r="W365" i="12"/>
  <c r="V365" i="12"/>
  <c r="U365" i="12"/>
  <c r="S365" i="12"/>
  <c r="R365" i="12"/>
  <c r="Q365" i="12"/>
  <c r="P365" i="12"/>
  <c r="O365" i="12"/>
  <c r="N365" i="12"/>
  <c r="E365" i="12"/>
  <c r="M365" i="12"/>
  <c r="L365" i="12"/>
  <c r="C346" i="12"/>
  <c r="AD363" i="12"/>
  <c r="AC363" i="12"/>
  <c r="AB363" i="12"/>
  <c r="AA363" i="12"/>
  <c r="Z363" i="12"/>
  <c r="Y363" i="12"/>
  <c r="X363" i="12"/>
  <c r="W363" i="12"/>
  <c r="V363" i="12"/>
  <c r="U363" i="12"/>
  <c r="T363" i="12"/>
  <c r="S363" i="12"/>
  <c r="R363" i="12"/>
  <c r="Q363" i="12"/>
  <c r="P363" i="12"/>
  <c r="O363" i="12"/>
  <c r="N363" i="12"/>
  <c r="M363" i="12"/>
  <c r="L363" i="12"/>
  <c r="AD361" i="12"/>
  <c r="AC361" i="12"/>
  <c r="AB361" i="12"/>
  <c r="AA361" i="12"/>
  <c r="Z361" i="12"/>
  <c r="Y361" i="12"/>
  <c r="X361" i="12"/>
  <c r="W361" i="12"/>
  <c r="V361" i="12"/>
  <c r="U361" i="12"/>
  <c r="T361" i="12"/>
  <c r="S361" i="12"/>
  <c r="R361" i="12"/>
  <c r="Q361" i="12"/>
  <c r="P361" i="12"/>
  <c r="O361" i="12"/>
  <c r="N361" i="12"/>
  <c r="M361" i="12"/>
  <c r="L361" i="12"/>
  <c r="AD141" i="15"/>
  <c r="AE141" i="15"/>
  <c r="AD121" i="15"/>
  <c r="AE121" i="15"/>
  <c r="AD125" i="15"/>
  <c r="AE125" i="15"/>
  <c r="AE127" i="15"/>
  <c r="AD127" i="15"/>
  <c r="AD110" i="15"/>
  <c r="AD111" i="15"/>
  <c r="S521" i="21"/>
  <c r="AU43" i="4"/>
  <c r="B43" i="4"/>
  <c r="AU44" i="4"/>
  <c r="B44" i="4"/>
  <c r="AU47" i="4"/>
  <c r="B47" i="4"/>
  <c r="AU48" i="4"/>
  <c r="B48" i="4"/>
  <c r="AU49" i="4"/>
  <c r="B49" i="4"/>
  <c r="AU50" i="4"/>
  <c r="B50" i="4"/>
  <c r="AU51" i="4"/>
  <c r="AU52" i="4"/>
  <c r="AU54" i="4"/>
  <c r="B54" i="4"/>
  <c r="AU57" i="4"/>
  <c r="B57" i="4"/>
  <c r="AU58" i="4"/>
  <c r="B58" i="4"/>
  <c r="AC121" i="15"/>
  <c r="AF121" i="15"/>
  <c r="AC123" i="15"/>
  <c r="AF123" i="15"/>
  <c r="AC125" i="15"/>
  <c r="AF125" i="15"/>
  <c r="AC127" i="15"/>
  <c r="AF127" i="15"/>
  <c r="AC131" i="15"/>
  <c r="AF131" i="15"/>
  <c r="AC133" i="15"/>
  <c r="AF133" i="15"/>
  <c r="AF137" i="15"/>
  <c r="AF139" i="15"/>
  <c r="AC143" i="15"/>
  <c r="AD143" i="15"/>
  <c r="AC141" i="15"/>
  <c r="AC110" i="15"/>
  <c r="AC111" i="15"/>
  <c r="Z37" i="4"/>
  <c r="T72" i="15"/>
  <c r="T73" i="15"/>
  <c r="U72" i="15"/>
  <c r="U73" i="15"/>
  <c r="S37" i="4"/>
  <c r="T37" i="4"/>
  <c r="W37" i="4"/>
  <c r="X37" i="4"/>
  <c r="Y37" i="4"/>
  <c r="C567" i="21"/>
  <c r="D600" i="21"/>
  <c r="E600" i="21"/>
  <c r="F600" i="21"/>
  <c r="G600" i="21"/>
  <c r="H600" i="21"/>
  <c r="I600" i="21"/>
  <c r="J600" i="21"/>
  <c r="K600" i="21"/>
  <c r="C600" i="21"/>
  <c r="W32" i="4"/>
  <c r="Q511" i="21"/>
  <c r="R565" i="21"/>
  <c r="T44" i="11"/>
  <c r="T42" i="11"/>
  <c r="T30" i="11"/>
  <c r="T34" i="11"/>
  <c r="T37" i="11"/>
  <c r="T35" i="11"/>
  <c r="T33" i="11"/>
  <c r="T32" i="11"/>
  <c r="T36" i="11"/>
  <c r="T38" i="11"/>
  <c r="T31" i="11"/>
  <c r="T29" i="11"/>
  <c r="R551" i="21"/>
  <c r="AA347" i="12"/>
  <c r="AA353" i="12"/>
  <c r="AA354" i="12"/>
  <c r="S34" i="1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103" i="2"/>
  <c r="S104" i="2"/>
  <c r="S105" i="2"/>
  <c r="S106" i="2"/>
  <c r="S107" i="2"/>
  <c r="S108" i="2"/>
  <c r="S109" i="2"/>
  <c r="S110" i="2"/>
  <c r="S111" i="2"/>
  <c r="S112" i="2"/>
  <c r="S128" i="2"/>
  <c r="S133" i="2"/>
  <c r="S134" i="2"/>
  <c r="S135" i="2"/>
  <c r="Z26" i="15"/>
  <c r="Z27" i="15"/>
  <c r="Y23" i="15"/>
  <c r="Y24" i="15"/>
  <c r="Y58" i="15"/>
  <c r="Y59" i="15"/>
  <c r="T62" i="4"/>
  <c r="T101" i="4"/>
  <c r="AA396" i="12"/>
  <c r="AB396" i="12"/>
  <c r="AC396" i="12"/>
  <c r="AD396" i="12"/>
  <c r="AE396" i="12"/>
  <c r="AA394" i="12"/>
  <c r="AB394" i="12"/>
  <c r="AC394" i="12"/>
  <c r="AA384" i="12"/>
  <c r="AB384" i="12"/>
  <c r="AA382" i="12"/>
  <c r="AB382" i="12"/>
  <c r="AA380" i="12"/>
  <c r="AB380" i="12"/>
  <c r="AA378" i="12"/>
  <c r="AB378" i="12"/>
  <c r="AC378" i="12"/>
  <c r="AD378" i="12"/>
  <c r="AE378" i="12"/>
  <c r="AA376" i="12"/>
  <c r="AB376" i="12"/>
  <c r="AC376" i="12"/>
  <c r="AA374" i="12"/>
  <c r="AB374" i="12"/>
  <c r="AC374" i="12"/>
  <c r="AD374" i="12"/>
  <c r="AA372" i="12"/>
  <c r="AB372" i="12"/>
  <c r="AC372" i="12"/>
  <c r="AD372" i="12"/>
  <c r="AA369" i="12"/>
  <c r="AB369" i="12"/>
  <c r="AC369" i="12"/>
  <c r="AA367" i="12"/>
  <c r="AB367" i="12"/>
  <c r="AC367" i="12"/>
  <c r="AD367" i="12"/>
  <c r="AA356" i="12"/>
  <c r="AB356" i="12"/>
  <c r="AC356" i="12"/>
  <c r="AD356" i="12"/>
  <c r="AE356" i="12"/>
  <c r="Z350" i="12"/>
  <c r="AA350" i="12"/>
  <c r="AB350" i="12"/>
  <c r="AC350" i="12"/>
  <c r="AD350" i="12"/>
  <c r="AE350" i="12"/>
  <c r="AA352" i="12"/>
  <c r="AB352" i="12"/>
  <c r="AC352" i="12"/>
  <c r="AD352" i="12"/>
  <c r="AE352" i="12"/>
  <c r="Z352" i="12"/>
  <c r="AC354" i="12"/>
  <c r="AD354" i="12"/>
  <c r="AE354" i="12"/>
  <c r="AC348" i="12"/>
  <c r="AE348" i="12"/>
  <c r="AA340" i="12"/>
  <c r="AB340" i="12"/>
  <c r="AC340" i="12"/>
  <c r="AD340" i="12"/>
  <c r="AE340" i="12"/>
  <c r="AA338" i="12"/>
  <c r="AB338" i="12"/>
  <c r="AC338" i="12"/>
  <c r="AD338" i="12"/>
  <c r="AE338" i="12"/>
  <c r="AA336" i="12"/>
  <c r="AB336" i="12"/>
  <c r="AC336" i="12"/>
  <c r="AD336" i="12"/>
  <c r="AE336" i="12"/>
  <c r="AA311" i="12"/>
  <c r="AB311" i="12"/>
  <c r="AC311" i="12"/>
  <c r="AD311" i="12"/>
  <c r="AE311" i="12"/>
  <c r="AA309" i="12"/>
  <c r="AB309" i="12"/>
  <c r="AC309" i="12"/>
  <c r="AD309" i="12"/>
  <c r="AA307" i="12"/>
  <c r="AB307" i="12"/>
  <c r="AC307" i="12"/>
  <c r="AD307" i="12"/>
  <c r="C551" i="21"/>
  <c r="D551" i="21"/>
  <c r="E551" i="21"/>
  <c r="F551" i="21"/>
  <c r="G551" i="21"/>
  <c r="H551" i="21"/>
  <c r="I551" i="21"/>
  <c r="J551" i="21"/>
  <c r="K551" i="21"/>
  <c r="L551" i="21"/>
  <c r="M551" i="21"/>
  <c r="C552" i="21"/>
  <c r="D552" i="21"/>
  <c r="E552" i="21"/>
  <c r="F552" i="21"/>
  <c r="G552" i="21"/>
  <c r="H552" i="21"/>
  <c r="I552" i="21"/>
  <c r="J552" i="21"/>
  <c r="K552" i="21"/>
  <c r="L552" i="21"/>
  <c r="M552" i="21"/>
  <c r="C553" i="21"/>
  <c r="D553" i="21"/>
  <c r="E553" i="21"/>
  <c r="F553" i="21"/>
  <c r="G553" i="21"/>
  <c r="H553" i="21"/>
  <c r="I553" i="21"/>
  <c r="J553" i="21"/>
  <c r="K553" i="21"/>
  <c r="L553" i="21"/>
  <c r="M553" i="21"/>
  <c r="M555" i="21"/>
  <c r="M556" i="21"/>
  <c r="M557" i="21"/>
  <c r="C558" i="21"/>
  <c r="D558" i="21"/>
  <c r="E558" i="21"/>
  <c r="F558" i="21"/>
  <c r="G558" i="21"/>
  <c r="H558" i="21"/>
  <c r="I558" i="21"/>
  <c r="J558" i="21"/>
  <c r="K558" i="21"/>
  <c r="L558" i="21"/>
  <c r="M558" i="21"/>
  <c r="C559" i="21"/>
  <c r="D559" i="21"/>
  <c r="E559" i="21"/>
  <c r="F559" i="21"/>
  <c r="G559" i="21"/>
  <c r="H559" i="21"/>
  <c r="I559" i="21"/>
  <c r="J559" i="21"/>
  <c r="K559" i="21"/>
  <c r="L559" i="21"/>
  <c r="M559" i="21"/>
  <c r="Z369" i="12"/>
  <c r="L369" i="12"/>
  <c r="M369" i="12"/>
  <c r="N369" i="12"/>
  <c r="O369" i="12"/>
  <c r="P369" i="12"/>
  <c r="Q369" i="12"/>
  <c r="R369" i="12"/>
  <c r="S369" i="12"/>
  <c r="T369" i="12"/>
  <c r="U369" i="12"/>
  <c r="V369" i="12"/>
  <c r="W369" i="12"/>
  <c r="X369" i="12"/>
  <c r="Y369" i="12"/>
  <c r="AG369" i="12"/>
  <c r="AH369" i="12"/>
  <c r="T63" i="4"/>
  <c r="P506" i="21"/>
  <c r="P115" i="2"/>
  <c r="P116" i="2"/>
  <c r="Q115" i="2"/>
  <c r="J99" i="2"/>
  <c r="L100" i="2"/>
  <c r="H100" i="2"/>
  <c r="R552" i="21"/>
  <c r="Z143" i="15"/>
  <c r="AA143" i="15"/>
  <c r="AB143" i="15"/>
  <c r="Z141" i="15"/>
  <c r="AA141" i="15"/>
  <c r="AB141" i="15"/>
  <c r="Z139" i="15"/>
  <c r="AA139" i="15"/>
  <c r="AB139" i="15"/>
  <c r="Z137" i="15"/>
  <c r="AA137" i="15"/>
  <c r="AB137" i="15"/>
  <c r="Z133" i="15"/>
  <c r="AA133" i="15"/>
  <c r="AB133" i="15"/>
  <c r="Z131" i="15"/>
  <c r="AA131" i="15"/>
  <c r="AB131" i="15"/>
  <c r="Z127" i="15"/>
  <c r="AA127" i="15"/>
  <c r="AB127" i="15"/>
  <c r="AB41" i="15"/>
  <c r="AB42" i="15"/>
  <c r="Z125" i="15"/>
  <c r="AA125" i="15"/>
  <c r="AB125" i="15"/>
  <c r="Z123" i="15"/>
  <c r="AA123" i="15"/>
  <c r="AB123" i="15"/>
  <c r="AB121" i="15"/>
  <c r="Z121" i="15"/>
  <c r="AA121" i="15"/>
  <c r="AA113" i="15"/>
  <c r="AA114" i="15"/>
  <c r="AB113" i="15"/>
  <c r="AB114" i="15"/>
  <c r="Z113" i="15"/>
  <c r="Z114" i="15"/>
  <c r="X113" i="15"/>
  <c r="X114" i="15"/>
  <c r="Y113" i="15"/>
  <c r="Y114" i="15"/>
  <c r="Z110" i="15"/>
  <c r="Z111" i="15"/>
  <c r="AA110" i="15"/>
  <c r="AA111" i="15"/>
  <c r="AB110" i="15"/>
  <c r="AB111" i="15"/>
  <c r="Y107" i="15"/>
  <c r="Y108" i="15"/>
  <c r="Z107" i="15"/>
  <c r="Z108" i="15"/>
  <c r="AA107" i="15"/>
  <c r="AA108" i="15"/>
  <c r="AB107" i="15"/>
  <c r="AB108" i="15"/>
  <c r="Y104" i="15"/>
  <c r="Y105" i="15"/>
  <c r="Z104" i="15"/>
  <c r="Z105" i="15"/>
  <c r="AA104" i="15"/>
  <c r="AB104" i="15"/>
  <c r="AB105" i="15"/>
  <c r="Y101" i="15"/>
  <c r="Y102" i="15"/>
  <c r="Z101" i="15"/>
  <c r="Z102" i="15"/>
  <c r="AA101" i="15"/>
  <c r="AA102" i="15"/>
  <c r="AB101" i="15"/>
  <c r="AB102" i="15"/>
  <c r="Y98" i="15"/>
  <c r="Y99" i="15"/>
  <c r="Z98" i="15"/>
  <c r="Z99" i="15"/>
  <c r="AA98" i="15"/>
  <c r="AA99" i="15"/>
  <c r="AB98" i="15"/>
  <c r="AB99" i="15"/>
  <c r="Y95" i="15"/>
  <c r="Y96" i="15"/>
  <c r="Z95" i="15"/>
  <c r="Z96" i="15"/>
  <c r="AA95" i="15"/>
  <c r="AA96" i="15"/>
  <c r="AB95" i="15"/>
  <c r="AB96" i="15"/>
  <c r="Y89" i="15"/>
  <c r="Y90" i="15"/>
  <c r="Z89" i="15"/>
  <c r="AA89" i="15"/>
  <c r="AB89" i="15"/>
  <c r="Y84" i="15"/>
  <c r="Y85" i="15"/>
  <c r="Z84" i="15"/>
  <c r="Z85" i="15"/>
  <c r="AA84" i="15"/>
  <c r="AA85" i="15"/>
  <c r="AB84" i="15"/>
  <c r="AB85" i="15"/>
  <c r="Y81" i="15"/>
  <c r="Y82" i="15"/>
  <c r="Z81" i="15"/>
  <c r="Z82" i="15"/>
  <c r="AA81" i="15"/>
  <c r="AA82" i="15"/>
  <c r="AB81" i="15"/>
  <c r="AB82" i="15"/>
  <c r="Y75" i="15"/>
  <c r="Y76" i="15"/>
  <c r="Z75" i="15"/>
  <c r="Z76" i="15"/>
  <c r="AA75" i="15"/>
  <c r="AA76" i="15"/>
  <c r="AB75" i="15"/>
  <c r="AB76" i="15"/>
  <c r="Y72" i="15"/>
  <c r="Y73" i="15"/>
  <c r="Z72" i="15"/>
  <c r="Z73" i="15"/>
  <c r="AA72" i="15"/>
  <c r="AA73" i="15"/>
  <c r="AB72" i="15"/>
  <c r="AB73" i="15"/>
  <c r="Y66" i="15"/>
  <c r="Y67" i="15"/>
  <c r="Z66" i="15"/>
  <c r="Z67" i="15"/>
  <c r="AA66" i="15"/>
  <c r="AA67" i="15"/>
  <c r="AB66" i="15"/>
  <c r="AB67" i="15"/>
  <c r="Y63" i="15"/>
  <c r="Y64" i="15"/>
  <c r="Z63" i="15"/>
  <c r="AA63" i="15"/>
  <c r="AA64" i="15"/>
  <c r="AB63" i="15"/>
  <c r="AB64" i="15"/>
  <c r="Z58" i="15"/>
  <c r="Z59" i="15"/>
  <c r="AA58" i="15"/>
  <c r="AA59" i="15"/>
  <c r="AB58" i="15"/>
  <c r="AB59" i="15"/>
  <c r="Y52" i="15"/>
  <c r="Y53" i="15"/>
  <c r="Z52" i="15"/>
  <c r="AA52" i="15"/>
  <c r="AB52" i="15"/>
  <c r="Y47" i="15"/>
  <c r="Y48" i="15"/>
  <c r="Z47" i="15"/>
  <c r="Z48" i="15"/>
  <c r="AA47" i="15"/>
  <c r="AA48" i="15"/>
  <c r="Y44" i="15"/>
  <c r="Y45" i="15"/>
  <c r="Z44" i="15"/>
  <c r="Z45" i="15"/>
  <c r="AA44" i="15"/>
  <c r="AA45" i="15"/>
  <c r="AB44" i="15"/>
  <c r="AB45" i="15"/>
  <c r="Y41" i="15"/>
  <c r="Y127" i="15"/>
  <c r="Z41" i="15"/>
  <c r="Z42" i="15"/>
  <c r="AA41" i="15"/>
  <c r="AA128" i="15"/>
  <c r="Y29" i="15"/>
  <c r="Z29" i="15"/>
  <c r="AA29" i="15"/>
  <c r="AB29" i="15"/>
  <c r="Z23" i="15"/>
  <c r="Z24" i="15"/>
  <c r="AA23" i="15"/>
  <c r="AB23" i="15"/>
  <c r="Y20" i="15"/>
  <c r="Y21" i="15"/>
  <c r="Z20" i="15"/>
  <c r="Z21" i="15"/>
  <c r="AA20" i="15"/>
  <c r="AA21" i="15"/>
  <c r="AB20" i="15"/>
  <c r="AB21" i="15"/>
  <c r="X46" i="9"/>
  <c r="Y46" i="9"/>
  <c r="Z46" i="9"/>
  <c r="AA46" i="9"/>
  <c r="AB46" i="9"/>
  <c r="AC46" i="9"/>
  <c r="AD46" i="9"/>
  <c r="AE46" i="9"/>
  <c r="AF46" i="9"/>
  <c r="AG46" i="9"/>
  <c r="AH46" i="9"/>
  <c r="AI46" i="9"/>
  <c r="F4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AV67" i="4"/>
  <c r="AX67" i="4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3" i="9"/>
  <c r="F3" i="9"/>
  <c r="X20" i="15"/>
  <c r="Q32" i="11"/>
  <c r="AT44" i="4"/>
  <c r="AT45" i="4"/>
  <c r="AT46" i="4"/>
  <c r="AT47" i="4"/>
  <c r="AT48" i="4"/>
  <c r="AT49" i="4"/>
  <c r="AT50" i="4"/>
  <c r="AT51" i="4"/>
  <c r="AT52" i="4"/>
  <c r="AT54" i="4"/>
  <c r="AT57" i="4"/>
  <c r="AT58" i="4"/>
  <c r="AT43" i="4"/>
  <c r="AT38" i="4"/>
  <c r="Z26" i="4"/>
  <c r="Y26" i="4"/>
  <c r="AU38" i="4"/>
  <c r="B38" i="4"/>
  <c r="AU39" i="4"/>
  <c r="B39" i="4"/>
  <c r="AU41" i="4"/>
  <c r="B41" i="4"/>
  <c r="U36" i="4"/>
  <c r="U32" i="4"/>
  <c r="Z33" i="4"/>
  <c r="AA33" i="4"/>
  <c r="AB33" i="4"/>
  <c r="AC33" i="4"/>
  <c r="AD33" i="4"/>
  <c r="AE33" i="4"/>
  <c r="AM33" i="4"/>
  <c r="CM53" i="18"/>
  <c r="CM31" i="18"/>
  <c r="CM30" i="18"/>
  <c r="CJ17" i="18"/>
  <c r="CJ15" i="18"/>
  <c r="CJ16" i="18"/>
  <c r="CJ14" i="18"/>
  <c r="CJ18" i="18"/>
  <c r="CJ19" i="18"/>
  <c r="CJ20" i="18"/>
  <c r="CJ21" i="18"/>
  <c r="CJ22" i="18"/>
  <c r="CJ23" i="18"/>
  <c r="CJ24" i="18"/>
  <c r="CJ25" i="18"/>
  <c r="CJ26" i="18"/>
  <c r="CJ27" i="18"/>
  <c r="CJ28" i="18"/>
  <c r="CJ29" i="18"/>
  <c r="CJ30" i="18"/>
  <c r="CJ31" i="18"/>
  <c r="CJ53" i="18"/>
  <c r="CJ13" i="18"/>
  <c r="CH15" i="18"/>
  <c r="CH14" i="18"/>
  <c r="CH13" i="18"/>
  <c r="P567" i="21"/>
  <c r="Q567" i="21"/>
  <c r="R567" i="21"/>
  <c r="S567" i="21"/>
  <c r="T567" i="21"/>
  <c r="U567" i="21"/>
  <c r="V567" i="21"/>
  <c r="W567" i="21"/>
  <c r="X567" i="21"/>
  <c r="Y567" i="21"/>
  <c r="Z567" i="21"/>
  <c r="AA567" i="21"/>
  <c r="D567" i="21"/>
  <c r="E567" i="21"/>
  <c r="F567" i="21"/>
  <c r="G567" i="21"/>
  <c r="H567" i="21"/>
  <c r="I567" i="21"/>
  <c r="J567" i="21"/>
  <c r="K567" i="21"/>
  <c r="L567" i="21"/>
  <c r="M567" i="21"/>
  <c r="N567" i="21"/>
  <c r="O567" i="21"/>
  <c r="O522" i="21"/>
  <c r="P522" i="21"/>
  <c r="Q584" i="21"/>
  <c r="Y110" i="15"/>
  <c r="Y396" i="12"/>
  <c r="Z396" i="12"/>
  <c r="Y394" i="12"/>
  <c r="Z394" i="12"/>
  <c r="Y384" i="12"/>
  <c r="Z384" i="12"/>
  <c r="Y382" i="12"/>
  <c r="Z382" i="12"/>
  <c r="Y380" i="12"/>
  <c r="Z380" i="12"/>
  <c r="Y378" i="12"/>
  <c r="Z378" i="12"/>
  <c r="Y376" i="12"/>
  <c r="Z376" i="12"/>
  <c r="Y374" i="12"/>
  <c r="Z374" i="12"/>
  <c r="Y372" i="12"/>
  <c r="Z372" i="12"/>
  <c r="Y367" i="12"/>
  <c r="Z367" i="12"/>
  <c r="Z356" i="12"/>
  <c r="Z354" i="12"/>
  <c r="Y352" i="12"/>
  <c r="Z348" i="12"/>
  <c r="Z340" i="12"/>
  <c r="Z338" i="12"/>
  <c r="Z336" i="12"/>
  <c r="Z307" i="12"/>
  <c r="Z309" i="12"/>
  <c r="Z311" i="12"/>
  <c r="Y141" i="15"/>
  <c r="Y143" i="15"/>
  <c r="AM128" i="15"/>
  <c r="Y133" i="15"/>
  <c r="Y131" i="15"/>
  <c r="E128" i="2"/>
  <c r="E129" i="2"/>
  <c r="E130" i="2"/>
  <c r="E132" i="2"/>
  <c r="E133" i="2"/>
  <c r="E134" i="2"/>
  <c r="E135" i="2"/>
  <c r="E136" i="2"/>
  <c r="E137" i="2"/>
  <c r="E138" i="2"/>
  <c r="E139" i="2"/>
  <c r="H128" i="2"/>
  <c r="H129" i="2"/>
  <c r="N129" i="2"/>
  <c r="L129" i="2"/>
  <c r="H130" i="2"/>
  <c r="L130" i="2"/>
  <c r="H131" i="2"/>
  <c r="N131" i="2"/>
  <c r="L131" i="2"/>
  <c r="H132" i="2"/>
  <c r="N132" i="2"/>
  <c r="H133" i="2"/>
  <c r="L133" i="2"/>
  <c r="H134" i="2"/>
  <c r="N134" i="2"/>
  <c r="L134" i="2"/>
  <c r="L136" i="2"/>
  <c r="N136" i="2"/>
  <c r="L137" i="2"/>
  <c r="N137" i="2"/>
  <c r="L138" i="2"/>
  <c r="N138" i="2"/>
  <c r="N139" i="2"/>
  <c r="I128" i="2"/>
  <c r="I129" i="2"/>
  <c r="O129" i="2"/>
  <c r="T129" i="2"/>
  <c r="M129" i="2"/>
  <c r="I133" i="2"/>
  <c r="O133" i="2"/>
  <c r="M133" i="2"/>
  <c r="I134" i="2"/>
  <c r="O134" i="2"/>
  <c r="M134" i="2"/>
  <c r="I135" i="2"/>
  <c r="O135" i="2"/>
  <c r="T135" i="2"/>
  <c r="M135" i="2"/>
  <c r="I136" i="2"/>
  <c r="O136" i="2"/>
  <c r="T136" i="2"/>
  <c r="M136" i="2"/>
  <c r="I137" i="2"/>
  <c r="M137" i="2"/>
  <c r="O137" i="2"/>
  <c r="T137" i="2"/>
  <c r="I138" i="2"/>
  <c r="O138" i="2"/>
  <c r="I139" i="2"/>
  <c r="O139" i="2"/>
  <c r="T139" i="2"/>
  <c r="L128" i="2"/>
  <c r="L135" i="2"/>
  <c r="L139" i="2"/>
  <c r="M128" i="2"/>
  <c r="M132" i="2"/>
  <c r="O132" i="2"/>
  <c r="M138" i="2"/>
  <c r="M139" i="2"/>
  <c r="AB129" i="2"/>
  <c r="V131" i="2"/>
  <c r="W131" i="2"/>
  <c r="V132" i="2"/>
  <c r="W132" i="2"/>
  <c r="Y340" i="12"/>
  <c r="Y338" i="12"/>
  <c r="Y336" i="12"/>
  <c r="Y311" i="12"/>
  <c r="Y309" i="12"/>
  <c r="Y307" i="12"/>
  <c r="Y348" i="12"/>
  <c r="Y350" i="12"/>
  <c r="Y354" i="12"/>
  <c r="Y356" i="12"/>
  <c r="R68" i="16"/>
  <c r="X125" i="15"/>
  <c r="Y125" i="15"/>
  <c r="X123" i="15"/>
  <c r="Y123" i="15"/>
  <c r="X121" i="15"/>
  <c r="Y121" i="15"/>
  <c r="X131" i="15"/>
  <c r="X133" i="15"/>
  <c r="X141" i="15"/>
  <c r="X143" i="15"/>
  <c r="H4" i="4"/>
  <c r="N14" i="4"/>
  <c r="L14" i="4"/>
  <c r="H6" i="4"/>
  <c r="I6" i="4"/>
  <c r="I10" i="4"/>
  <c r="H10" i="4"/>
  <c r="H14" i="4"/>
  <c r="I14" i="4"/>
  <c r="N10" i="4"/>
  <c r="N12" i="4"/>
  <c r="L10" i="4"/>
  <c r="L12" i="4"/>
  <c r="N6" i="4"/>
  <c r="L6" i="4"/>
  <c r="R118" i="2"/>
  <c r="S118" i="2"/>
  <c r="R121" i="2"/>
  <c r="S121" i="2"/>
  <c r="R114" i="2"/>
  <c r="S114" i="2"/>
  <c r="R113" i="2"/>
  <c r="S113" i="2"/>
  <c r="C102" i="8"/>
  <c r="M98" i="8"/>
  <c r="C103" i="8"/>
  <c r="M99" i="8"/>
  <c r="C104" i="8"/>
  <c r="M100" i="8"/>
  <c r="C105" i="8"/>
  <c r="M101" i="8"/>
  <c r="C106" i="8"/>
  <c r="M102" i="8"/>
  <c r="C107" i="8"/>
  <c r="M103" i="8"/>
  <c r="C108" i="8"/>
  <c r="M104" i="8"/>
  <c r="C109" i="8"/>
  <c r="M105" i="8"/>
  <c r="C110" i="8"/>
  <c r="M106" i="8"/>
  <c r="C111" i="8"/>
  <c r="M107" i="8"/>
  <c r="C112" i="8"/>
  <c r="M108" i="8"/>
  <c r="C113" i="8"/>
  <c r="M109" i="8"/>
  <c r="C115" i="8"/>
  <c r="M114" i="8"/>
  <c r="C116" i="8"/>
  <c r="M115" i="8"/>
  <c r="C117" i="8"/>
  <c r="M116" i="8"/>
  <c r="C118" i="8"/>
  <c r="M117" i="8"/>
  <c r="C119" i="8"/>
  <c r="M118" i="8"/>
  <c r="C120" i="8"/>
  <c r="M119" i="8"/>
  <c r="C121" i="8"/>
  <c r="M120" i="8"/>
  <c r="C122" i="8"/>
  <c r="M121" i="8"/>
  <c r="C123" i="8"/>
  <c r="M122" i="8"/>
  <c r="C124" i="8"/>
  <c r="M123" i="8"/>
  <c r="C125" i="8"/>
  <c r="M124" i="8"/>
  <c r="C126" i="8"/>
  <c r="M129" i="8"/>
  <c r="C127" i="8"/>
  <c r="M130" i="8"/>
  <c r="M141" i="8"/>
  <c r="C114" i="8"/>
  <c r="M113" i="8"/>
  <c r="A115" i="8"/>
  <c r="A116" i="8"/>
  <c r="A122" i="8"/>
  <c r="A123" i="8"/>
  <c r="A124" i="8"/>
  <c r="A68" i="8"/>
  <c r="A69" i="8"/>
  <c r="A70" i="8"/>
  <c r="A114" i="8"/>
  <c r="A103" i="8"/>
  <c r="A104" i="8"/>
  <c r="A105" i="8"/>
  <c r="A106" i="8"/>
  <c r="A107" i="8"/>
  <c r="A108" i="8"/>
  <c r="A109" i="8"/>
  <c r="A110" i="8"/>
  <c r="A111" i="8"/>
  <c r="A112" i="8"/>
  <c r="A113" i="8"/>
  <c r="B127" i="8"/>
  <c r="L130" i="8"/>
  <c r="B126" i="8"/>
  <c r="L129" i="8"/>
  <c r="B101" i="8"/>
  <c r="L97" i="8"/>
  <c r="Q41" i="11"/>
  <c r="R41" i="11"/>
  <c r="S41" i="11"/>
  <c r="T41" i="11"/>
  <c r="U41" i="11"/>
  <c r="V41" i="11"/>
  <c r="W41" i="11"/>
  <c r="X41" i="11"/>
  <c r="Y41" i="11"/>
  <c r="Z41" i="11"/>
  <c r="AA41" i="11"/>
  <c r="AB41" i="11"/>
  <c r="Q42" i="11"/>
  <c r="R42" i="11"/>
  <c r="S42" i="11"/>
  <c r="U42" i="11"/>
  <c r="V42" i="11"/>
  <c r="W42" i="11"/>
  <c r="X42" i="11"/>
  <c r="Y42" i="11"/>
  <c r="Z42" i="11"/>
  <c r="AA42" i="11"/>
  <c r="AB42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Q44" i="11"/>
  <c r="R44" i="11"/>
  <c r="S44" i="11"/>
  <c r="U44" i="11"/>
  <c r="V44" i="11"/>
  <c r="W44" i="11"/>
  <c r="X44" i="11"/>
  <c r="Y44" i="11"/>
  <c r="Z44" i="11"/>
  <c r="AA44" i="11"/>
  <c r="AB44" i="11"/>
  <c r="P41" i="11"/>
  <c r="P43" i="11"/>
  <c r="P42" i="11"/>
  <c r="P44" i="11"/>
  <c r="Q29" i="11"/>
  <c r="R29" i="11"/>
  <c r="S29" i="11"/>
  <c r="U29" i="11"/>
  <c r="V29" i="11"/>
  <c r="W29" i="11"/>
  <c r="X29" i="11"/>
  <c r="Y29" i="11"/>
  <c r="Z29" i="11"/>
  <c r="AA29" i="11"/>
  <c r="AB29" i="11"/>
  <c r="Q30" i="11"/>
  <c r="R30" i="11"/>
  <c r="S30" i="11"/>
  <c r="U30" i="11"/>
  <c r="V30" i="11"/>
  <c r="W30" i="11"/>
  <c r="X30" i="11"/>
  <c r="Y30" i="11"/>
  <c r="Z30" i="11"/>
  <c r="AA30" i="11"/>
  <c r="AB30" i="11"/>
  <c r="Q31" i="11"/>
  <c r="R31" i="11"/>
  <c r="S31" i="11"/>
  <c r="U31" i="11"/>
  <c r="V31" i="11"/>
  <c r="W31" i="11"/>
  <c r="X31" i="11"/>
  <c r="Y31" i="11"/>
  <c r="Z31" i="11"/>
  <c r="AA31" i="11"/>
  <c r="AB31" i="11"/>
  <c r="R32" i="11"/>
  <c r="S32" i="11"/>
  <c r="U32" i="11"/>
  <c r="V32" i="11"/>
  <c r="W32" i="11"/>
  <c r="X32" i="11"/>
  <c r="Y32" i="11"/>
  <c r="Z32" i="11"/>
  <c r="AA32" i="11"/>
  <c r="AB32" i="11"/>
  <c r="Q33" i="11"/>
  <c r="R33" i="11"/>
  <c r="S33" i="11"/>
  <c r="U33" i="11"/>
  <c r="V33" i="11"/>
  <c r="W33" i="11"/>
  <c r="X33" i="11"/>
  <c r="Y33" i="11"/>
  <c r="Z33" i="11"/>
  <c r="AA33" i="11"/>
  <c r="AB33" i="11"/>
  <c r="Q34" i="11"/>
  <c r="R34" i="11"/>
  <c r="U34" i="11"/>
  <c r="V34" i="11"/>
  <c r="W34" i="11"/>
  <c r="X34" i="11"/>
  <c r="Y34" i="11"/>
  <c r="Z34" i="11"/>
  <c r="AA34" i="11"/>
  <c r="AB34" i="11"/>
  <c r="Q35" i="11"/>
  <c r="R35" i="11"/>
  <c r="S35" i="11"/>
  <c r="U35" i="11"/>
  <c r="V35" i="11"/>
  <c r="W35" i="11"/>
  <c r="X35" i="11"/>
  <c r="Y35" i="11"/>
  <c r="Z35" i="11"/>
  <c r="AA35" i="11"/>
  <c r="AB35" i="11"/>
  <c r="Q36" i="11"/>
  <c r="R36" i="11"/>
  <c r="S36" i="11"/>
  <c r="U36" i="11"/>
  <c r="V36" i="11"/>
  <c r="W36" i="11"/>
  <c r="X36" i="11"/>
  <c r="Y36" i="11"/>
  <c r="Z36" i="11"/>
  <c r="AA36" i="11"/>
  <c r="AB36" i="11"/>
  <c r="Q37" i="11"/>
  <c r="R37" i="11"/>
  <c r="S37" i="11"/>
  <c r="U37" i="11"/>
  <c r="V37" i="11"/>
  <c r="W37" i="11"/>
  <c r="X37" i="11"/>
  <c r="Y37" i="11"/>
  <c r="Z37" i="11"/>
  <c r="AA37" i="11"/>
  <c r="AB37" i="11"/>
  <c r="Q38" i="11"/>
  <c r="R38" i="11"/>
  <c r="S38" i="11"/>
  <c r="U38" i="11"/>
  <c r="V38" i="11"/>
  <c r="W38" i="11"/>
  <c r="X38" i="11"/>
  <c r="Y38" i="11"/>
  <c r="Z38" i="11"/>
  <c r="AA38" i="11"/>
  <c r="AB38" i="11"/>
  <c r="P38" i="11"/>
  <c r="P35" i="11"/>
  <c r="P36" i="11"/>
  <c r="P37" i="11"/>
  <c r="P34" i="11"/>
  <c r="P31" i="11"/>
  <c r="P32" i="11"/>
  <c r="P33" i="11"/>
  <c r="P30" i="11"/>
  <c r="P29" i="11"/>
  <c r="D601" i="21"/>
  <c r="E601" i="21"/>
  <c r="F601" i="21"/>
  <c r="G601" i="21"/>
  <c r="H601" i="21"/>
  <c r="I601" i="21"/>
  <c r="J601" i="21"/>
  <c r="K601" i="21"/>
  <c r="L601" i="21"/>
  <c r="M601" i="21"/>
  <c r="N601" i="21"/>
  <c r="O601" i="21"/>
  <c r="P601" i="21"/>
  <c r="Q601" i="21"/>
  <c r="R601" i="21"/>
  <c r="S601" i="21"/>
  <c r="T601" i="21"/>
  <c r="U601" i="21"/>
  <c r="V601" i="21"/>
  <c r="W601" i="21"/>
  <c r="X601" i="21"/>
  <c r="Y601" i="21"/>
  <c r="Z601" i="21"/>
  <c r="AA601" i="21"/>
  <c r="C601" i="21"/>
  <c r="L69" i="15"/>
  <c r="L70" i="15"/>
  <c r="M69" i="15"/>
  <c r="M70" i="15"/>
  <c r="N69" i="15"/>
  <c r="N70" i="15"/>
  <c r="O69" i="15"/>
  <c r="P69" i="15"/>
  <c r="P70" i="15"/>
  <c r="Q69" i="15"/>
  <c r="Q70" i="15"/>
  <c r="L58" i="15"/>
  <c r="L59" i="15"/>
  <c r="M58" i="15"/>
  <c r="M59" i="15"/>
  <c r="N58" i="15"/>
  <c r="N59" i="15"/>
  <c r="O58" i="15"/>
  <c r="O59" i="15"/>
  <c r="P58" i="15"/>
  <c r="P59" i="15"/>
  <c r="Q58" i="15"/>
  <c r="Q59" i="15"/>
  <c r="M107" i="15"/>
  <c r="K116" i="15"/>
  <c r="G27" i="13"/>
  <c r="G19" i="13"/>
  <c r="G21" i="13"/>
  <c r="G8" i="13"/>
  <c r="G9" i="13"/>
  <c r="F21" i="10"/>
  <c r="E21" i="10"/>
  <c r="H16" i="10"/>
  <c r="D13" i="10"/>
  <c r="H12" i="10"/>
  <c r="F11" i="10"/>
  <c r="E11" i="10"/>
  <c r="F10" i="10"/>
  <c r="E10" i="10"/>
  <c r="F9" i="10"/>
  <c r="W58" i="15"/>
  <c r="W59" i="15"/>
  <c r="V58" i="15"/>
  <c r="V59" i="15"/>
  <c r="U58" i="15"/>
  <c r="T58" i="15"/>
  <c r="T59" i="15"/>
  <c r="S58" i="15"/>
  <c r="S59" i="15"/>
  <c r="R58" i="15"/>
  <c r="R59" i="15"/>
  <c r="X58" i="15"/>
  <c r="W113" i="15"/>
  <c r="W114" i="15"/>
  <c r="W104" i="15"/>
  <c r="W105" i="15"/>
  <c r="W101" i="15"/>
  <c r="W98" i="15"/>
  <c r="W95" i="15"/>
  <c r="W96" i="15"/>
  <c r="W89" i="15"/>
  <c r="W90" i="15"/>
  <c r="W81" i="15"/>
  <c r="W82" i="15"/>
  <c r="W75" i="15"/>
  <c r="W76" i="15"/>
  <c r="W72" i="15"/>
  <c r="W73" i="15"/>
  <c r="W66" i="15"/>
  <c r="W67" i="15"/>
  <c r="W63" i="15"/>
  <c r="W64" i="15"/>
  <c r="W52" i="15"/>
  <c r="W53" i="15"/>
  <c r="W47" i="15"/>
  <c r="W48" i="15"/>
  <c r="W44" i="15"/>
  <c r="W45" i="15"/>
  <c r="W41" i="15"/>
  <c r="W115" i="15"/>
  <c r="W116" i="15"/>
  <c r="W29" i="15"/>
  <c r="W30" i="15"/>
  <c r="W23" i="15"/>
  <c r="W24" i="15"/>
  <c r="W20" i="15"/>
  <c r="W21" i="15"/>
  <c r="W84" i="15"/>
  <c r="W85" i="15"/>
  <c r="W107" i="15"/>
  <c r="W108" i="15"/>
  <c r="W110" i="15"/>
  <c r="W111" i="15"/>
  <c r="O599" i="21"/>
  <c r="P599" i="21"/>
  <c r="Q599" i="21"/>
  <c r="R599" i="21"/>
  <c r="S599" i="21"/>
  <c r="T599" i="21"/>
  <c r="U599" i="21"/>
  <c r="V599" i="21"/>
  <c r="W599" i="21"/>
  <c r="X599" i="21"/>
  <c r="Y599" i="21"/>
  <c r="AA599" i="21"/>
  <c r="L599" i="21"/>
  <c r="M599" i="21"/>
  <c r="N599" i="21"/>
  <c r="O598" i="21"/>
  <c r="P598" i="21"/>
  <c r="Q598" i="21"/>
  <c r="R598" i="21"/>
  <c r="S598" i="21"/>
  <c r="T598" i="21"/>
  <c r="U598" i="21"/>
  <c r="V598" i="21"/>
  <c r="W598" i="21"/>
  <c r="X598" i="21"/>
  <c r="Y598" i="21"/>
  <c r="Z598" i="21"/>
  <c r="M598" i="21"/>
  <c r="N598" i="21"/>
  <c r="O597" i="21"/>
  <c r="P597" i="21"/>
  <c r="Q597" i="21"/>
  <c r="R597" i="21"/>
  <c r="S597" i="21"/>
  <c r="T597" i="21"/>
  <c r="U597" i="21"/>
  <c r="V597" i="21"/>
  <c r="W597" i="21"/>
  <c r="X597" i="21"/>
  <c r="Y597" i="21"/>
  <c r="Z597" i="21"/>
  <c r="AA597" i="21"/>
  <c r="N597" i="21"/>
  <c r="X139" i="15"/>
  <c r="Y139" i="15"/>
  <c r="X137" i="15"/>
  <c r="Y137" i="15"/>
  <c r="X127" i="15"/>
  <c r="O562" i="21"/>
  <c r="P562" i="21"/>
  <c r="Q562" i="21"/>
  <c r="R562" i="21"/>
  <c r="V562" i="21"/>
  <c r="Y562" i="21"/>
  <c r="Z562" i="21"/>
  <c r="N562" i="21"/>
  <c r="O563" i="21"/>
  <c r="P563" i="21"/>
  <c r="Q563" i="21"/>
  <c r="R563" i="21"/>
  <c r="V563" i="21"/>
  <c r="Y563" i="21"/>
  <c r="Z563" i="21"/>
  <c r="AA563" i="21"/>
  <c r="N563" i="21"/>
  <c r="O581" i="21"/>
  <c r="O518" i="21"/>
  <c r="P581" i="21"/>
  <c r="Q581" i="21"/>
  <c r="R581" i="21"/>
  <c r="S581" i="21"/>
  <c r="T581" i="21"/>
  <c r="U581" i="21"/>
  <c r="V581" i="21"/>
  <c r="W581" i="21"/>
  <c r="X581" i="21"/>
  <c r="Y581" i="21"/>
  <c r="N581" i="21"/>
  <c r="N584" i="21"/>
  <c r="R584" i="21"/>
  <c r="S584" i="21"/>
  <c r="T584" i="21"/>
  <c r="M584" i="21"/>
  <c r="O585" i="21"/>
  <c r="P585" i="21"/>
  <c r="Q585" i="21"/>
  <c r="R585" i="21"/>
  <c r="U585" i="21"/>
  <c r="V585" i="21"/>
  <c r="W585" i="21"/>
  <c r="X585" i="21"/>
  <c r="Y585" i="21"/>
  <c r="Z585" i="21"/>
  <c r="AA585" i="21"/>
  <c r="O586" i="21"/>
  <c r="P586" i="21"/>
  <c r="Q586" i="21"/>
  <c r="R586" i="21"/>
  <c r="U586" i="21"/>
  <c r="V586" i="21"/>
  <c r="W586" i="21"/>
  <c r="X586" i="21"/>
  <c r="Y586" i="21"/>
  <c r="Z586" i="21"/>
  <c r="AA586" i="21"/>
  <c r="N586" i="21"/>
  <c r="N585" i="21"/>
  <c r="N506" i="21"/>
  <c r="K565" i="21"/>
  <c r="L565" i="21"/>
  <c r="N565" i="21"/>
  <c r="O565" i="21"/>
  <c r="P565" i="21"/>
  <c r="S565" i="21"/>
  <c r="X565" i="21"/>
  <c r="Y565" i="21"/>
  <c r="Z565" i="21"/>
  <c r="AA565" i="21"/>
  <c r="M565" i="21"/>
  <c r="N566" i="21"/>
  <c r="K566" i="21"/>
  <c r="L566" i="21"/>
  <c r="M566" i="21"/>
  <c r="F48" i="13"/>
  <c r="F47" i="13"/>
  <c r="F49" i="13"/>
  <c r="CF61" i="18"/>
  <c r="CF60" i="18"/>
  <c r="N556" i="21"/>
  <c r="R555" i="21"/>
  <c r="S555" i="21"/>
  <c r="T555" i="21"/>
  <c r="U555" i="21"/>
  <c r="V555" i="21"/>
  <c r="Y555" i="21"/>
  <c r="Z555" i="21"/>
  <c r="AA555" i="21"/>
  <c r="O556" i="21"/>
  <c r="P556" i="21"/>
  <c r="Q556" i="21"/>
  <c r="R556" i="21"/>
  <c r="S556" i="21"/>
  <c r="T556" i="21"/>
  <c r="U556" i="21"/>
  <c r="V556" i="21"/>
  <c r="W556" i="21"/>
  <c r="X556" i="21"/>
  <c r="Y556" i="21"/>
  <c r="Z556" i="21"/>
  <c r="AA556" i="21"/>
  <c r="O557" i="21"/>
  <c r="P557" i="21"/>
  <c r="Q557" i="21"/>
  <c r="R557" i="21"/>
  <c r="S557" i="21"/>
  <c r="T557" i="21"/>
  <c r="U557" i="21"/>
  <c r="V557" i="21"/>
  <c r="W557" i="21"/>
  <c r="X557" i="21"/>
  <c r="Y557" i="21"/>
  <c r="Z557" i="21"/>
  <c r="AA557" i="21"/>
  <c r="N557" i="21"/>
  <c r="N558" i="21"/>
  <c r="O558" i="21"/>
  <c r="P558" i="21"/>
  <c r="Q558" i="21"/>
  <c r="R558" i="21"/>
  <c r="S558" i="21"/>
  <c r="T558" i="21"/>
  <c r="U558" i="21"/>
  <c r="V558" i="21"/>
  <c r="W558" i="21"/>
  <c r="X558" i="21"/>
  <c r="Y558" i="21"/>
  <c r="Z558" i="21"/>
  <c r="AA558" i="21"/>
  <c r="O560" i="21"/>
  <c r="O561" i="21"/>
  <c r="P560" i="21"/>
  <c r="P561" i="21"/>
  <c r="Q560" i="21"/>
  <c r="Q561" i="21"/>
  <c r="R560" i="21"/>
  <c r="R561" i="21"/>
  <c r="S560" i="21"/>
  <c r="S561" i="21"/>
  <c r="T560" i="21"/>
  <c r="T561" i="21"/>
  <c r="U560" i="21"/>
  <c r="U561" i="21"/>
  <c r="V560" i="21"/>
  <c r="V561" i="21"/>
  <c r="W560" i="21"/>
  <c r="W561" i="21"/>
  <c r="X560" i="21"/>
  <c r="X561" i="21"/>
  <c r="Y560" i="21"/>
  <c r="Y561" i="21"/>
  <c r="Z560" i="21"/>
  <c r="Z561" i="21"/>
  <c r="AA560" i="21"/>
  <c r="AA561" i="21"/>
  <c r="N560" i="21"/>
  <c r="N561" i="21"/>
  <c r="CM13" i="18"/>
  <c r="CI13" i="18"/>
  <c r="B113" i="8"/>
  <c r="L109" i="8"/>
  <c r="E50" i="13"/>
  <c r="F46" i="13"/>
  <c r="F50" i="13"/>
  <c r="D596" i="21"/>
  <c r="E596" i="21"/>
  <c r="F596" i="21"/>
  <c r="G596" i="21"/>
  <c r="H596" i="21"/>
  <c r="I596" i="21"/>
  <c r="J596" i="21"/>
  <c r="K596" i="21"/>
  <c r="L596" i="21"/>
  <c r="M596" i="21"/>
  <c r="N596" i="21"/>
  <c r="O596" i="21"/>
  <c r="P596" i="21"/>
  <c r="Q596" i="21"/>
  <c r="R596" i="21"/>
  <c r="S596" i="21"/>
  <c r="T596" i="21"/>
  <c r="U596" i="21"/>
  <c r="V596" i="21"/>
  <c r="W596" i="21"/>
  <c r="X596" i="21"/>
  <c r="Y596" i="21"/>
  <c r="Z596" i="21"/>
  <c r="AA596" i="21"/>
  <c r="C596" i="21"/>
  <c r="M595" i="21"/>
  <c r="N595" i="21"/>
  <c r="O595" i="21"/>
  <c r="P595" i="21"/>
  <c r="Q595" i="21"/>
  <c r="R595" i="21"/>
  <c r="S595" i="21"/>
  <c r="T595" i="21"/>
  <c r="U595" i="21"/>
  <c r="V595" i="21"/>
  <c r="W595" i="21"/>
  <c r="X595" i="21"/>
  <c r="Y595" i="21"/>
  <c r="Z595" i="21"/>
  <c r="AA595" i="21"/>
  <c r="M594" i="21"/>
  <c r="N594" i="21"/>
  <c r="O594" i="21"/>
  <c r="P594" i="21"/>
  <c r="Q594" i="21"/>
  <c r="R594" i="21"/>
  <c r="S594" i="21"/>
  <c r="T594" i="21"/>
  <c r="U594" i="21"/>
  <c r="V594" i="21"/>
  <c r="W594" i="21"/>
  <c r="X594" i="21"/>
  <c r="Y594" i="21"/>
  <c r="Z594" i="21"/>
  <c r="AA594" i="21"/>
  <c r="M593" i="21"/>
  <c r="N593" i="21"/>
  <c r="O593" i="21"/>
  <c r="P593" i="21"/>
  <c r="Q593" i="21"/>
  <c r="R593" i="21"/>
  <c r="S593" i="21"/>
  <c r="T593" i="21"/>
  <c r="U593" i="21"/>
  <c r="V593" i="21"/>
  <c r="W593" i="21"/>
  <c r="X593" i="21"/>
  <c r="Y593" i="21"/>
  <c r="Z593" i="21"/>
  <c r="AA593" i="21"/>
  <c r="M589" i="21"/>
  <c r="M590" i="21"/>
  <c r="M591" i="21"/>
  <c r="N589" i="21"/>
  <c r="O589" i="21"/>
  <c r="P589" i="21"/>
  <c r="P590" i="21"/>
  <c r="P591" i="21"/>
  <c r="Q589" i="21"/>
  <c r="Q590" i="21"/>
  <c r="Q592" i="21"/>
  <c r="Q591" i="21"/>
  <c r="R589" i="21"/>
  <c r="R591" i="21"/>
  <c r="S589" i="21"/>
  <c r="S590" i="21"/>
  <c r="T589" i="21"/>
  <c r="T587" i="21"/>
  <c r="T591" i="21"/>
  <c r="T590" i="21"/>
  <c r="U589" i="21"/>
  <c r="U591" i="21"/>
  <c r="V589" i="21"/>
  <c r="W589" i="21"/>
  <c r="X589" i="21"/>
  <c r="X591" i="21"/>
  <c r="Y589" i="21"/>
  <c r="Z589" i="21"/>
  <c r="Z590" i="21"/>
  <c r="Z587" i="21"/>
  <c r="AA589" i="21"/>
  <c r="AA591" i="21"/>
  <c r="AA590" i="21"/>
  <c r="AA588" i="21"/>
  <c r="M583" i="21"/>
  <c r="N583" i="21"/>
  <c r="O583" i="21"/>
  <c r="P583" i="21"/>
  <c r="Q583" i="21"/>
  <c r="R583" i="21"/>
  <c r="S583" i="21"/>
  <c r="T583" i="21"/>
  <c r="U583" i="21"/>
  <c r="V583" i="21"/>
  <c r="W583" i="21"/>
  <c r="X583" i="21"/>
  <c r="Y583" i="21"/>
  <c r="Z583" i="21"/>
  <c r="AA583" i="21"/>
  <c r="M582" i="21"/>
  <c r="N582" i="21"/>
  <c r="O582" i="21"/>
  <c r="P582" i="21"/>
  <c r="Q582" i="21"/>
  <c r="R582" i="21"/>
  <c r="S582" i="21"/>
  <c r="T582" i="21"/>
  <c r="U582" i="21"/>
  <c r="V582" i="21"/>
  <c r="W582" i="21"/>
  <c r="X582" i="21"/>
  <c r="Y582" i="21"/>
  <c r="Z582" i="21"/>
  <c r="AA582" i="21"/>
  <c r="D568" i="21"/>
  <c r="E568" i="21"/>
  <c r="F568" i="21"/>
  <c r="G568" i="21"/>
  <c r="H568" i="21"/>
  <c r="I568" i="21"/>
  <c r="J568" i="21"/>
  <c r="K568" i="21"/>
  <c r="L568" i="21"/>
  <c r="M568" i="21"/>
  <c r="N568" i="21"/>
  <c r="O568" i="21"/>
  <c r="P568" i="21"/>
  <c r="Q568" i="21"/>
  <c r="R568" i="21"/>
  <c r="S568" i="21"/>
  <c r="T568" i="21"/>
  <c r="U568" i="21"/>
  <c r="V568" i="21"/>
  <c r="W568" i="21"/>
  <c r="X568" i="21"/>
  <c r="Y568" i="21"/>
  <c r="Z568" i="21"/>
  <c r="AA568" i="21"/>
  <c r="C568" i="21"/>
  <c r="N591" i="21"/>
  <c r="O591" i="21"/>
  <c r="O590" i="21"/>
  <c r="O587" i="21"/>
  <c r="S591" i="21"/>
  <c r="V591" i="21"/>
  <c r="W591" i="21"/>
  <c r="Y591" i="21"/>
  <c r="Y590" i="21"/>
  <c r="Z591" i="21"/>
  <c r="D561" i="21"/>
  <c r="E561" i="21"/>
  <c r="F561" i="21"/>
  <c r="G561" i="21"/>
  <c r="H561" i="21"/>
  <c r="I561" i="21"/>
  <c r="J561" i="21"/>
  <c r="K561" i="21"/>
  <c r="L561" i="21"/>
  <c r="M561" i="21"/>
  <c r="C561" i="21"/>
  <c r="N553" i="21"/>
  <c r="O553" i="21"/>
  <c r="P553" i="21"/>
  <c r="Q553" i="21"/>
  <c r="R553" i="21"/>
  <c r="S553" i="21"/>
  <c r="T553" i="21"/>
  <c r="U553" i="21"/>
  <c r="V553" i="21"/>
  <c r="W553" i="21"/>
  <c r="X553" i="21"/>
  <c r="Y553" i="21"/>
  <c r="Z553" i="21"/>
  <c r="AA553" i="21"/>
  <c r="N559" i="21"/>
  <c r="O559" i="21"/>
  <c r="P559" i="21"/>
  <c r="Q559" i="21"/>
  <c r="R559" i="21"/>
  <c r="S559" i="21"/>
  <c r="T559" i="21"/>
  <c r="U559" i="21"/>
  <c r="V559" i="21"/>
  <c r="W559" i="21"/>
  <c r="X559" i="21"/>
  <c r="Y559" i="21"/>
  <c r="Z559" i="21"/>
  <c r="AA559" i="21"/>
  <c r="N552" i="21"/>
  <c r="O552" i="21"/>
  <c r="P552" i="21"/>
  <c r="Q552" i="21"/>
  <c r="S552" i="21"/>
  <c r="T552" i="21"/>
  <c r="U552" i="21"/>
  <c r="V552" i="21"/>
  <c r="W552" i="21"/>
  <c r="X552" i="21"/>
  <c r="Y552" i="21"/>
  <c r="Z552" i="21"/>
  <c r="AA552" i="21"/>
  <c r="N551" i="21"/>
  <c r="O551" i="21"/>
  <c r="P551" i="21"/>
  <c r="Q551" i="21"/>
  <c r="S551" i="21"/>
  <c r="T551" i="21"/>
  <c r="U551" i="21"/>
  <c r="V551" i="21"/>
  <c r="W551" i="21"/>
  <c r="X551" i="21"/>
  <c r="Y551" i="21"/>
  <c r="Z551" i="21"/>
  <c r="AA551" i="21"/>
  <c r="CM56" i="18"/>
  <c r="E134" i="15"/>
  <c r="G118" i="15"/>
  <c r="G119" i="15"/>
  <c r="Q112" i="15"/>
  <c r="P112" i="15"/>
  <c r="S113" i="15"/>
  <c r="S114" i="15"/>
  <c r="T113" i="15"/>
  <c r="T114" i="15"/>
  <c r="U113" i="15"/>
  <c r="U114" i="15"/>
  <c r="V113" i="15"/>
  <c r="V114" i="15"/>
  <c r="E123" i="15"/>
  <c r="CJ2" i="18"/>
  <c r="CJ3" i="18"/>
  <c r="CJ4" i="18"/>
  <c r="CJ5" i="18"/>
  <c r="CJ6" i="18"/>
  <c r="CJ7" i="18"/>
  <c r="CJ8" i="18"/>
  <c r="CJ9" i="18"/>
  <c r="CJ10" i="18"/>
  <c r="CJ11" i="18"/>
  <c r="CJ12" i="18"/>
  <c r="CJ60" i="18"/>
  <c r="CH2" i="18"/>
  <c r="CH3" i="18"/>
  <c r="CH4" i="18"/>
  <c r="CH5" i="18"/>
  <c r="CH6" i="18"/>
  <c r="CH7" i="18"/>
  <c r="CH8" i="18"/>
  <c r="CH9" i="18"/>
  <c r="CH10" i="18"/>
  <c r="CH11" i="18"/>
  <c r="CH12" i="18"/>
  <c r="CH30" i="18"/>
  <c r="CH31" i="18"/>
  <c r="CH53" i="18"/>
  <c r="CH65" i="18"/>
  <c r="CH66" i="18"/>
  <c r="CF58" i="18"/>
  <c r="CF59" i="18"/>
  <c r="B54" i="18"/>
  <c r="C54" i="18"/>
  <c r="E54" i="18"/>
  <c r="G54" i="18"/>
  <c r="I54" i="18"/>
  <c r="K54" i="18"/>
  <c r="M54" i="18"/>
  <c r="O54" i="18"/>
  <c r="Q54" i="18"/>
  <c r="S54" i="18"/>
  <c r="W54" i="18"/>
  <c r="Y54" i="18"/>
  <c r="AA54" i="18"/>
  <c r="AC54" i="18"/>
  <c r="AE54" i="18"/>
  <c r="AG54" i="18"/>
  <c r="AI54" i="18"/>
  <c r="AK54" i="18"/>
  <c r="AM54" i="18"/>
  <c r="AO54" i="18"/>
  <c r="AQ54" i="18"/>
  <c r="AS54" i="18"/>
  <c r="AU54" i="18"/>
  <c r="AW54" i="18"/>
  <c r="AY54" i="18"/>
  <c r="BA54" i="18"/>
  <c r="BC54" i="18"/>
  <c r="BE54" i="18"/>
  <c r="BG54" i="18"/>
  <c r="BI54" i="18"/>
  <c r="BK54" i="18"/>
  <c r="BM54" i="18"/>
  <c r="BO54" i="18"/>
  <c r="BQ54" i="18"/>
  <c r="BS54" i="18"/>
  <c r="BU54" i="18"/>
  <c r="BW54" i="18"/>
  <c r="BY54" i="18"/>
  <c r="CA54" i="18"/>
  <c r="CC54" i="18"/>
  <c r="CK56" i="18"/>
  <c r="CJ59" i="18"/>
  <c r="CJ58" i="18"/>
  <c r="CJ57" i="18"/>
  <c r="CI61" i="18"/>
  <c r="CI60" i="18"/>
  <c r="CI59" i="18"/>
  <c r="CI58" i="18"/>
  <c r="CI57" i="18"/>
  <c r="CI56" i="18"/>
  <c r="CJ56" i="18"/>
  <c r="CF57" i="18"/>
  <c r="CF56" i="18"/>
  <c r="CG68" i="18"/>
  <c r="CG67" i="18"/>
  <c r="CG66" i="18"/>
  <c r="CG65" i="18"/>
  <c r="CG64" i="18"/>
  <c r="CG63" i="18"/>
  <c r="CG62" i="18"/>
  <c r="CG61" i="18"/>
  <c r="CG60" i="18"/>
  <c r="CG59" i="18"/>
  <c r="CG58" i="18"/>
  <c r="CG57" i="18"/>
  <c r="CG56" i="18"/>
  <c r="CH64" i="18"/>
  <c r="CH63" i="18"/>
  <c r="CH62" i="18"/>
  <c r="CH61" i="18"/>
  <c r="CH60" i="18"/>
  <c r="CH59" i="18"/>
  <c r="CH58" i="18"/>
  <c r="CH57" i="18"/>
  <c r="CH56" i="18"/>
  <c r="CM29" i="18"/>
  <c r="CM28" i="18"/>
  <c r="CM27" i="18"/>
  <c r="CM26" i="18"/>
  <c r="CM25" i="18"/>
  <c r="CM24" i="18"/>
  <c r="CM23" i="18"/>
  <c r="CM22" i="18"/>
  <c r="CM21" i="18"/>
  <c r="CM20" i="18"/>
  <c r="CM19" i="18"/>
  <c r="CM18" i="18"/>
  <c r="CM17" i="18"/>
  <c r="CM16" i="18"/>
  <c r="CM15" i="18"/>
  <c r="CM14" i="18"/>
  <c r="CM2" i="18"/>
  <c r="CM3" i="18"/>
  <c r="CM4" i="18"/>
  <c r="CM5" i="18"/>
  <c r="CM6" i="18"/>
  <c r="CM7" i="18"/>
  <c r="CM8" i="18"/>
  <c r="CM9" i="18"/>
  <c r="CM10" i="18"/>
  <c r="CM11" i="18"/>
  <c r="CM12" i="18"/>
  <c r="B103" i="8"/>
  <c r="B104" i="8"/>
  <c r="L100" i="8"/>
  <c r="B105" i="8"/>
  <c r="L101" i="8"/>
  <c r="B106" i="8"/>
  <c r="L102" i="8"/>
  <c r="B107" i="8"/>
  <c r="L103" i="8"/>
  <c r="B108" i="8"/>
  <c r="L104" i="8"/>
  <c r="B109" i="8"/>
  <c r="L105" i="8"/>
  <c r="L110" i="8"/>
  <c r="B110" i="8"/>
  <c r="L106" i="8"/>
  <c r="B112" i="8"/>
  <c r="L108" i="8"/>
  <c r="B114" i="8"/>
  <c r="L113" i="8"/>
  <c r="B115" i="8"/>
  <c r="L114" i="8"/>
  <c r="B116" i="8"/>
  <c r="L115" i="8"/>
  <c r="B118" i="8"/>
  <c r="L117" i="8"/>
  <c r="B119" i="8"/>
  <c r="L118" i="8"/>
  <c r="B120" i="8"/>
  <c r="L119" i="8"/>
  <c r="B121" i="8"/>
  <c r="L120" i="8"/>
  <c r="B123" i="8"/>
  <c r="L122" i="8"/>
  <c r="B124" i="8"/>
  <c r="L123" i="8"/>
  <c r="B125" i="8"/>
  <c r="L124" i="8"/>
  <c r="CI2" i="18"/>
  <c r="CI3" i="18"/>
  <c r="CI4" i="18"/>
  <c r="CI5" i="18"/>
  <c r="CI6" i="18"/>
  <c r="CI7" i="18"/>
  <c r="CI8" i="18"/>
  <c r="CI9" i="18"/>
  <c r="CI10" i="18"/>
  <c r="CI11" i="18"/>
  <c r="CI12" i="18"/>
  <c r="CI14" i="18"/>
  <c r="CI15" i="18"/>
  <c r="CI16" i="18"/>
  <c r="CI17" i="18"/>
  <c r="CI18" i="18"/>
  <c r="CI19" i="18"/>
  <c r="CI20" i="18"/>
  <c r="CI21" i="18"/>
  <c r="CI22" i="18"/>
  <c r="CI23" i="18"/>
  <c r="CI24" i="18"/>
  <c r="CI25" i="18"/>
  <c r="CI26" i="18"/>
  <c r="CI27" i="18"/>
  <c r="CI28" i="18"/>
  <c r="CI29" i="18"/>
  <c r="CI30" i="18"/>
  <c r="CI31" i="18"/>
  <c r="CI53" i="18"/>
  <c r="CF29" i="18"/>
  <c r="CF30" i="18"/>
  <c r="CF31" i="18"/>
  <c r="CF53" i="18"/>
  <c r="L380" i="12"/>
  <c r="M380" i="12"/>
  <c r="N380" i="12"/>
  <c r="O380" i="12"/>
  <c r="P380" i="12"/>
  <c r="Q380" i="12"/>
  <c r="R379" i="12"/>
  <c r="T380" i="12"/>
  <c r="U380" i="12"/>
  <c r="V380" i="12"/>
  <c r="W380" i="12"/>
  <c r="X380" i="12"/>
  <c r="W396" i="12"/>
  <c r="W394" i="12"/>
  <c r="W384" i="12"/>
  <c r="W382" i="12"/>
  <c r="W378" i="12"/>
  <c r="W376" i="12"/>
  <c r="W374" i="12"/>
  <c r="W372" i="12"/>
  <c r="W367" i="12"/>
  <c r="W356" i="12"/>
  <c r="W354" i="12"/>
  <c r="W352" i="12"/>
  <c r="W350" i="12"/>
  <c r="W348" i="12"/>
  <c r="W340" i="12"/>
  <c r="W338" i="12"/>
  <c r="W336" i="12"/>
  <c r="W311" i="12"/>
  <c r="W309" i="12"/>
  <c r="W307" i="12"/>
  <c r="W143" i="15"/>
  <c r="W141" i="15"/>
  <c r="W139" i="15"/>
  <c r="W137" i="15"/>
  <c r="W133" i="15"/>
  <c r="W131" i="15"/>
  <c r="W127" i="15"/>
  <c r="W125" i="15"/>
  <c r="W123" i="15"/>
  <c r="L123" i="15"/>
  <c r="C122" i="15"/>
  <c r="C123" i="15"/>
  <c r="M123" i="15"/>
  <c r="N123" i="15"/>
  <c r="O123" i="15"/>
  <c r="P123" i="15"/>
  <c r="Q123" i="15"/>
  <c r="R123" i="15"/>
  <c r="S123" i="15"/>
  <c r="T123" i="15"/>
  <c r="U123" i="15"/>
  <c r="V123" i="15"/>
  <c r="W121" i="15"/>
  <c r="M114" i="2"/>
  <c r="L114" i="2"/>
  <c r="H114" i="2"/>
  <c r="I114" i="2"/>
  <c r="O114" i="2"/>
  <c r="E114" i="2"/>
  <c r="T33" i="4"/>
  <c r="B14" i="4"/>
  <c r="U8" i="4"/>
  <c r="U4" i="4"/>
  <c r="T4" i="4"/>
  <c r="S4" i="4"/>
  <c r="I4" i="4"/>
  <c r="J4" i="4"/>
  <c r="K4" i="4"/>
  <c r="L4" i="4"/>
  <c r="M4" i="4"/>
  <c r="N4" i="4"/>
  <c r="O4" i="4"/>
  <c r="P4" i="4"/>
  <c r="Q4" i="4"/>
  <c r="R4" i="4"/>
  <c r="X396" i="12"/>
  <c r="V396" i="12"/>
  <c r="U396" i="12"/>
  <c r="T396" i="12"/>
  <c r="S396" i="12"/>
  <c r="R396" i="12"/>
  <c r="Q396" i="12"/>
  <c r="P396" i="12"/>
  <c r="O396" i="12"/>
  <c r="N396" i="12"/>
  <c r="M396" i="12"/>
  <c r="L396" i="12"/>
  <c r="X394" i="12"/>
  <c r="V394" i="12"/>
  <c r="U394" i="12"/>
  <c r="T394" i="12"/>
  <c r="S394" i="12"/>
  <c r="R394" i="12"/>
  <c r="Q394" i="12"/>
  <c r="P394" i="12"/>
  <c r="O394" i="12"/>
  <c r="N394" i="12"/>
  <c r="M394" i="12"/>
  <c r="L394" i="12"/>
  <c r="X384" i="12"/>
  <c r="V384" i="12"/>
  <c r="U384" i="12"/>
  <c r="T384" i="12"/>
  <c r="R383" i="12"/>
  <c r="S384" i="12"/>
  <c r="R384" i="12"/>
  <c r="C384" i="12"/>
  <c r="Q384" i="12"/>
  <c r="P384" i="12"/>
  <c r="O384" i="12"/>
  <c r="N384" i="12"/>
  <c r="M384" i="12"/>
  <c r="L384" i="12"/>
  <c r="X382" i="12"/>
  <c r="V382" i="12"/>
  <c r="U382" i="12"/>
  <c r="T382" i="12"/>
  <c r="R381" i="12"/>
  <c r="Q382" i="12"/>
  <c r="P382" i="12"/>
  <c r="O382" i="12"/>
  <c r="N382" i="12"/>
  <c r="M382" i="12"/>
  <c r="L382" i="12"/>
  <c r="X378" i="12"/>
  <c r="V378" i="12"/>
  <c r="U378" i="12"/>
  <c r="T378" i="12"/>
  <c r="S378" i="12"/>
  <c r="E378" i="12"/>
  <c r="R378" i="12"/>
  <c r="Q378" i="12"/>
  <c r="L378" i="12"/>
  <c r="M378" i="12"/>
  <c r="N378" i="12"/>
  <c r="O378" i="12"/>
  <c r="P378" i="12"/>
  <c r="K378" i="12"/>
  <c r="X376" i="12"/>
  <c r="L376" i="12"/>
  <c r="M376" i="12"/>
  <c r="N376" i="12"/>
  <c r="O376" i="12"/>
  <c r="P376" i="12"/>
  <c r="Q376" i="12"/>
  <c r="R376" i="12"/>
  <c r="S376" i="12"/>
  <c r="T376" i="12"/>
  <c r="U376" i="12"/>
  <c r="V376" i="12"/>
  <c r="K376" i="12"/>
  <c r="X374" i="12"/>
  <c r="V374" i="12"/>
  <c r="U374" i="12"/>
  <c r="T374" i="12"/>
  <c r="S374" i="12"/>
  <c r="R374" i="12"/>
  <c r="Q374" i="12"/>
  <c r="P374" i="12"/>
  <c r="O374" i="12"/>
  <c r="L374" i="12"/>
  <c r="M373" i="12"/>
  <c r="X372" i="12"/>
  <c r="V372" i="12"/>
  <c r="U372" i="12"/>
  <c r="T372" i="12"/>
  <c r="S372" i="12"/>
  <c r="R372" i="12"/>
  <c r="Q372" i="12"/>
  <c r="P372" i="12"/>
  <c r="O372" i="12"/>
  <c r="L372" i="12"/>
  <c r="M371" i="12"/>
  <c r="X367" i="12"/>
  <c r="L367" i="12"/>
  <c r="M367" i="12"/>
  <c r="N367" i="12"/>
  <c r="O367" i="12"/>
  <c r="P367" i="12"/>
  <c r="Q367" i="12"/>
  <c r="R367" i="12"/>
  <c r="S367" i="12"/>
  <c r="T367" i="12"/>
  <c r="U367" i="12"/>
  <c r="V367" i="12"/>
  <c r="X356" i="12"/>
  <c r="V356" i="12"/>
  <c r="U356" i="12"/>
  <c r="T356" i="12"/>
  <c r="S356" i="12"/>
  <c r="R356" i="12"/>
  <c r="Q356" i="12"/>
  <c r="P356" i="12"/>
  <c r="L356" i="12"/>
  <c r="M356" i="12"/>
  <c r="N356" i="12"/>
  <c r="O356" i="12"/>
  <c r="X354" i="12"/>
  <c r="T354" i="12"/>
  <c r="S354" i="12"/>
  <c r="R354" i="12"/>
  <c r="Q354" i="12"/>
  <c r="P354" i="12"/>
  <c r="O354" i="12"/>
  <c r="N354" i="12"/>
  <c r="M354" i="12"/>
  <c r="E354" i="12"/>
  <c r="L354" i="12"/>
  <c r="U353" i="12"/>
  <c r="V354" i="12"/>
  <c r="X352" i="12"/>
  <c r="U351" i="12"/>
  <c r="V352" i="12"/>
  <c r="U352" i="12"/>
  <c r="T352" i="12"/>
  <c r="S352" i="12"/>
  <c r="L352" i="12"/>
  <c r="M352" i="12"/>
  <c r="N352" i="12"/>
  <c r="O352" i="12"/>
  <c r="P352" i="12"/>
  <c r="Q352" i="12"/>
  <c r="R352" i="12"/>
  <c r="X350" i="12"/>
  <c r="V350" i="12"/>
  <c r="U350" i="12"/>
  <c r="T350" i="12"/>
  <c r="S350" i="12"/>
  <c r="R350" i="12"/>
  <c r="Q350" i="12"/>
  <c r="C350" i="12"/>
  <c r="P350" i="12"/>
  <c r="O350" i="12"/>
  <c r="L350" i="12"/>
  <c r="M350" i="12"/>
  <c r="N350" i="12"/>
  <c r="X348" i="12"/>
  <c r="T348" i="12"/>
  <c r="S348" i="12"/>
  <c r="R348" i="12"/>
  <c r="Q348" i="12"/>
  <c r="L347" i="12"/>
  <c r="L348" i="12"/>
  <c r="M348" i="12"/>
  <c r="N348" i="12"/>
  <c r="O348" i="12"/>
  <c r="P348" i="12"/>
  <c r="U347" i="12"/>
  <c r="V348" i="12"/>
  <c r="X340" i="12"/>
  <c r="V340" i="12"/>
  <c r="U340" i="12"/>
  <c r="T340" i="12"/>
  <c r="S340" i="12"/>
  <c r="R340" i="12"/>
  <c r="Q340" i="12"/>
  <c r="P340" i="12"/>
  <c r="O340" i="12"/>
  <c r="N340" i="12"/>
  <c r="C340" i="12"/>
  <c r="M340" i="12"/>
  <c r="L340" i="12"/>
  <c r="X338" i="12"/>
  <c r="V338" i="12"/>
  <c r="U338" i="12"/>
  <c r="T338" i="12"/>
  <c r="S338" i="12"/>
  <c r="R338" i="12"/>
  <c r="Q338" i="12"/>
  <c r="P338" i="12"/>
  <c r="O338" i="12"/>
  <c r="N338" i="12"/>
  <c r="M338" i="12"/>
  <c r="L338" i="12"/>
  <c r="X336" i="12"/>
  <c r="V336" i="12"/>
  <c r="L336" i="12"/>
  <c r="M336" i="12"/>
  <c r="N336" i="12"/>
  <c r="O336" i="12"/>
  <c r="P336" i="12"/>
  <c r="Q336" i="12"/>
  <c r="R336" i="12"/>
  <c r="S336" i="12"/>
  <c r="T336" i="12"/>
  <c r="U336" i="12"/>
  <c r="X311" i="12"/>
  <c r="V311" i="12"/>
  <c r="U311" i="12"/>
  <c r="T311" i="12"/>
  <c r="S311" i="12"/>
  <c r="R311" i="12"/>
  <c r="Q311" i="12"/>
  <c r="P311" i="12"/>
  <c r="O311" i="12"/>
  <c r="N311" i="12"/>
  <c r="M311" i="12"/>
  <c r="L311" i="12"/>
  <c r="X309" i="12"/>
  <c r="V309" i="12"/>
  <c r="U309" i="12"/>
  <c r="T309" i="12"/>
  <c r="S309" i="12"/>
  <c r="R309" i="12"/>
  <c r="Q309" i="12"/>
  <c r="P309" i="12"/>
  <c r="O309" i="12"/>
  <c r="N309" i="12"/>
  <c r="M309" i="12"/>
  <c r="L309" i="12"/>
  <c r="X307" i="12"/>
  <c r="V307" i="12"/>
  <c r="U307" i="12"/>
  <c r="T307" i="12"/>
  <c r="S307" i="12"/>
  <c r="R307" i="12"/>
  <c r="Q307" i="12"/>
  <c r="P307" i="12"/>
  <c r="O307" i="12"/>
  <c r="N307" i="12"/>
  <c r="M307" i="12"/>
  <c r="L307" i="12"/>
  <c r="H143" i="15"/>
  <c r="V143" i="15"/>
  <c r="U143" i="15"/>
  <c r="T143" i="15"/>
  <c r="S143" i="15"/>
  <c r="R143" i="15"/>
  <c r="Q143" i="15"/>
  <c r="P143" i="15"/>
  <c r="O143" i="15"/>
  <c r="L143" i="15"/>
  <c r="M143" i="15"/>
  <c r="N143" i="15"/>
  <c r="G143" i="15"/>
  <c r="H141" i="15"/>
  <c r="V141" i="15"/>
  <c r="U141" i="15"/>
  <c r="T141" i="15"/>
  <c r="S141" i="15"/>
  <c r="R141" i="15"/>
  <c r="Q141" i="15"/>
  <c r="P141" i="15"/>
  <c r="O141" i="15"/>
  <c r="N141" i="15"/>
  <c r="M141" i="15"/>
  <c r="L141" i="15"/>
  <c r="H139" i="15"/>
  <c r="V139" i="15"/>
  <c r="U139" i="15"/>
  <c r="T139" i="15"/>
  <c r="R138" i="15"/>
  <c r="Q139" i="15"/>
  <c r="P139" i="15"/>
  <c r="O139" i="15"/>
  <c r="N139" i="15"/>
  <c r="M139" i="15"/>
  <c r="L139" i="15"/>
  <c r="H137" i="15"/>
  <c r="V137" i="15"/>
  <c r="U137" i="15"/>
  <c r="T137" i="15"/>
  <c r="R136" i="15"/>
  <c r="Q137" i="15"/>
  <c r="P137" i="15"/>
  <c r="O137" i="15"/>
  <c r="N137" i="15"/>
  <c r="M137" i="15"/>
  <c r="L137" i="15"/>
  <c r="G135" i="15"/>
  <c r="G134" i="15"/>
  <c r="H133" i="15"/>
  <c r="V133" i="15"/>
  <c r="U133" i="15"/>
  <c r="T133" i="15"/>
  <c r="Q133" i="15"/>
  <c r="P133" i="15"/>
  <c r="O133" i="15"/>
  <c r="N133" i="15"/>
  <c r="M133" i="15"/>
  <c r="L133" i="15"/>
  <c r="R132" i="15"/>
  <c r="G133" i="15"/>
  <c r="G132" i="15"/>
  <c r="H131" i="15"/>
  <c r="V131" i="15"/>
  <c r="U131" i="15"/>
  <c r="T131" i="15"/>
  <c r="R130" i="15"/>
  <c r="S131" i="15"/>
  <c r="Q131" i="15"/>
  <c r="P131" i="15"/>
  <c r="O131" i="15"/>
  <c r="L131" i="15"/>
  <c r="M131" i="15"/>
  <c r="N131" i="15"/>
  <c r="G131" i="15"/>
  <c r="G130" i="15"/>
  <c r="H127" i="15"/>
  <c r="V127" i="15"/>
  <c r="V41" i="15"/>
  <c r="V128" i="15"/>
  <c r="U127" i="15"/>
  <c r="T127" i="15"/>
  <c r="S127" i="15"/>
  <c r="R127" i="15"/>
  <c r="L127" i="15"/>
  <c r="L128" i="15"/>
  <c r="M127" i="15"/>
  <c r="E126" i="15"/>
  <c r="N127" i="15"/>
  <c r="O127" i="15"/>
  <c r="P127" i="15"/>
  <c r="Q127" i="15"/>
  <c r="H125" i="15"/>
  <c r="V125" i="15"/>
  <c r="U125" i="15"/>
  <c r="L125" i="15"/>
  <c r="M125" i="15"/>
  <c r="N125" i="15"/>
  <c r="O125" i="15"/>
  <c r="P125" i="15"/>
  <c r="Q125" i="15"/>
  <c r="R125" i="15"/>
  <c r="S125" i="15"/>
  <c r="T125" i="15"/>
  <c r="H123" i="15"/>
  <c r="H121" i="15"/>
  <c r="V121" i="15"/>
  <c r="U121" i="15"/>
  <c r="T121" i="15"/>
  <c r="S121" i="15"/>
  <c r="R121" i="15"/>
  <c r="Q121" i="15"/>
  <c r="P121" i="15"/>
  <c r="O121" i="15"/>
  <c r="L121" i="15"/>
  <c r="X110" i="15"/>
  <c r="X111" i="15"/>
  <c r="V110" i="15"/>
  <c r="V111" i="15"/>
  <c r="U110" i="15"/>
  <c r="U111" i="15"/>
  <c r="T110" i="15"/>
  <c r="T111" i="15"/>
  <c r="S110" i="15"/>
  <c r="S111" i="15"/>
  <c r="R110" i="15"/>
  <c r="R111" i="15"/>
  <c r="Q110" i="15"/>
  <c r="Q111" i="15"/>
  <c r="N110" i="15"/>
  <c r="N111" i="15"/>
  <c r="O109" i="15"/>
  <c r="O110" i="15"/>
  <c r="O111" i="15"/>
  <c r="M110" i="15"/>
  <c r="M111" i="15"/>
  <c r="L110" i="15"/>
  <c r="L111" i="15"/>
  <c r="X107" i="15"/>
  <c r="X108" i="15"/>
  <c r="V107" i="15"/>
  <c r="V108" i="15"/>
  <c r="U107" i="15"/>
  <c r="U108" i="15"/>
  <c r="T107" i="15"/>
  <c r="T108" i="15"/>
  <c r="S107" i="15"/>
  <c r="S108" i="15"/>
  <c r="R107" i="15"/>
  <c r="R108" i="15"/>
  <c r="Q107" i="15"/>
  <c r="Q108" i="15"/>
  <c r="L107" i="15"/>
  <c r="AK106" i="15"/>
  <c r="AL106" i="15"/>
  <c r="N107" i="15"/>
  <c r="O107" i="15"/>
  <c r="O108" i="15"/>
  <c r="P107" i="15"/>
  <c r="P108" i="15"/>
  <c r="K107" i="15"/>
  <c r="X104" i="15"/>
  <c r="X105" i="15"/>
  <c r="O109" i="8"/>
  <c r="V104" i="15"/>
  <c r="V105" i="15"/>
  <c r="U104" i="15"/>
  <c r="T104" i="15"/>
  <c r="T105" i="15"/>
  <c r="S104" i="15"/>
  <c r="S105" i="15"/>
  <c r="R104" i="15"/>
  <c r="R105" i="15"/>
  <c r="L104" i="15"/>
  <c r="L105" i="15"/>
  <c r="M104" i="15"/>
  <c r="M105" i="15"/>
  <c r="N104" i="15"/>
  <c r="N105" i="15"/>
  <c r="O104" i="15"/>
  <c r="P104" i="15"/>
  <c r="P105" i="15"/>
  <c r="Q104" i="15"/>
  <c r="Q105" i="15"/>
  <c r="X101" i="15"/>
  <c r="X102" i="15"/>
  <c r="V101" i="15"/>
  <c r="V102" i="15"/>
  <c r="U101" i="15"/>
  <c r="U102" i="15"/>
  <c r="T101" i="15"/>
  <c r="T102" i="15"/>
  <c r="S101" i="15"/>
  <c r="S102" i="15"/>
  <c r="R101" i="15"/>
  <c r="R102" i="15"/>
  <c r="Q101" i="15"/>
  <c r="Q102" i="15"/>
  <c r="P101" i="15"/>
  <c r="P102" i="15"/>
  <c r="L101" i="15"/>
  <c r="L102" i="15"/>
  <c r="M101" i="15"/>
  <c r="N101" i="15"/>
  <c r="N102" i="15"/>
  <c r="O101" i="15"/>
  <c r="O102" i="15"/>
  <c r="X98" i="15"/>
  <c r="X99" i="15"/>
  <c r="V98" i="15"/>
  <c r="V99" i="15"/>
  <c r="U98" i="15"/>
  <c r="U99" i="15"/>
  <c r="T98" i="15"/>
  <c r="T99" i="15"/>
  <c r="S98" i="15"/>
  <c r="S99" i="15"/>
  <c r="R98" i="15"/>
  <c r="R99" i="15"/>
  <c r="Q98" i="15"/>
  <c r="Q99" i="15"/>
  <c r="P98" i="15"/>
  <c r="L98" i="15"/>
  <c r="M98" i="15"/>
  <c r="M99" i="15"/>
  <c r="N98" i="15"/>
  <c r="N99" i="15"/>
  <c r="O98" i="15"/>
  <c r="O99" i="15"/>
  <c r="X95" i="15"/>
  <c r="X96" i="15"/>
  <c r="V95" i="15"/>
  <c r="V96" i="15"/>
  <c r="U95" i="15"/>
  <c r="U96" i="15"/>
  <c r="T95" i="15"/>
  <c r="T96" i="15"/>
  <c r="S95" i="15"/>
  <c r="S96" i="15"/>
  <c r="R95" i="15"/>
  <c r="R96" i="15"/>
  <c r="Q95" i="15"/>
  <c r="Q96" i="15"/>
  <c r="L95" i="15"/>
  <c r="L96" i="15"/>
  <c r="M95" i="15"/>
  <c r="N95" i="15"/>
  <c r="N96" i="15"/>
  <c r="O95" i="15"/>
  <c r="P95" i="15"/>
  <c r="X89" i="15"/>
  <c r="X90" i="15"/>
  <c r="V89" i="15"/>
  <c r="V90" i="15"/>
  <c r="U89" i="15"/>
  <c r="U90" i="15"/>
  <c r="T89" i="15"/>
  <c r="T90" i="15"/>
  <c r="S89" i="15"/>
  <c r="AK88" i="15"/>
  <c r="S90" i="15"/>
  <c r="R89" i="15"/>
  <c r="R90" i="15"/>
  <c r="L89" i="15"/>
  <c r="L90" i="15"/>
  <c r="M89" i="15"/>
  <c r="M90" i="15"/>
  <c r="N89" i="15"/>
  <c r="O89" i="15"/>
  <c r="O90" i="15"/>
  <c r="P89" i="15"/>
  <c r="P90" i="15"/>
  <c r="Q89" i="15"/>
  <c r="Q90" i="15"/>
  <c r="X84" i="15"/>
  <c r="X85" i="15"/>
  <c r="V84" i="15"/>
  <c r="V85" i="15"/>
  <c r="U84" i="15"/>
  <c r="U85" i="15"/>
  <c r="T84" i="15"/>
  <c r="T85" i="15"/>
  <c r="S84" i="15"/>
  <c r="S85" i="15"/>
  <c r="L84" i="15"/>
  <c r="L85" i="15"/>
  <c r="M84" i="15"/>
  <c r="M85" i="15"/>
  <c r="N84" i="15"/>
  <c r="N85" i="15"/>
  <c r="O84" i="15"/>
  <c r="E83" i="15"/>
  <c r="P84" i="15"/>
  <c r="P85" i="15"/>
  <c r="Q84" i="15"/>
  <c r="R84" i="15"/>
  <c r="R85" i="15"/>
  <c r="X81" i="15"/>
  <c r="X82" i="15"/>
  <c r="V81" i="15"/>
  <c r="V82" i="15"/>
  <c r="U81" i="15"/>
  <c r="U82" i="15"/>
  <c r="T81" i="15"/>
  <c r="T82" i="15"/>
  <c r="S81" i="15"/>
  <c r="S82" i="15"/>
  <c r="L81" i="15"/>
  <c r="L82" i="15"/>
  <c r="M81" i="15"/>
  <c r="M82" i="15"/>
  <c r="N81" i="15"/>
  <c r="N82" i="15"/>
  <c r="O81" i="15"/>
  <c r="P81" i="15"/>
  <c r="P82" i="15"/>
  <c r="Q81" i="15"/>
  <c r="R81" i="15"/>
  <c r="R82" i="15"/>
  <c r="X75" i="15"/>
  <c r="X76" i="15"/>
  <c r="V75" i="15"/>
  <c r="V76" i="15"/>
  <c r="U75" i="15"/>
  <c r="U76" i="15"/>
  <c r="T75" i="15"/>
  <c r="T76" i="15"/>
  <c r="S75" i="15"/>
  <c r="S76" i="15"/>
  <c r="L75" i="15"/>
  <c r="M75" i="15"/>
  <c r="M76" i="15"/>
  <c r="N75" i="15"/>
  <c r="E74" i="15"/>
  <c r="O75" i="15"/>
  <c r="P75" i="15"/>
  <c r="P76" i="15"/>
  <c r="Q75" i="15"/>
  <c r="R75" i="15"/>
  <c r="X72" i="15"/>
  <c r="X73" i="15"/>
  <c r="V72" i="15"/>
  <c r="V73" i="15"/>
  <c r="S72" i="15"/>
  <c r="S73" i="15"/>
  <c r="S14" i="15"/>
  <c r="S15" i="15"/>
  <c r="S20" i="15"/>
  <c r="S21" i="15"/>
  <c r="S23" i="15"/>
  <c r="S24" i="15"/>
  <c r="S29" i="15"/>
  <c r="S30" i="15"/>
  <c r="S41" i="15"/>
  <c r="S44" i="15"/>
  <c r="S45" i="15"/>
  <c r="S47" i="15"/>
  <c r="S50" i="15"/>
  <c r="S52" i="15"/>
  <c r="S53" i="15"/>
  <c r="S63" i="15"/>
  <c r="S64" i="15"/>
  <c r="S66" i="15"/>
  <c r="R72" i="15"/>
  <c r="R73" i="15"/>
  <c r="Q72" i="15"/>
  <c r="Q73" i="15"/>
  <c r="P72" i="15"/>
  <c r="P73" i="15"/>
  <c r="O72" i="15"/>
  <c r="C71" i="15"/>
  <c r="C72" i="15"/>
  <c r="N72" i="15"/>
  <c r="N73" i="15"/>
  <c r="M72" i="15"/>
  <c r="M73" i="15"/>
  <c r="L72" i="15"/>
  <c r="R69" i="15"/>
  <c r="R70" i="15"/>
  <c r="X66" i="15"/>
  <c r="X67" i="15"/>
  <c r="V66" i="15"/>
  <c r="V67" i="15"/>
  <c r="U66" i="15"/>
  <c r="U67" i="15"/>
  <c r="T66" i="15"/>
  <c r="T67" i="15"/>
  <c r="R66" i="15"/>
  <c r="R67" i="15"/>
  <c r="Q66" i="15"/>
  <c r="P66" i="15"/>
  <c r="P67" i="15"/>
  <c r="L66" i="15"/>
  <c r="L67" i="15"/>
  <c r="M66" i="15"/>
  <c r="M67" i="15"/>
  <c r="N66" i="15"/>
  <c r="O66" i="15"/>
  <c r="X63" i="15"/>
  <c r="V63" i="15"/>
  <c r="V64" i="15"/>
  <c r="U63" i="15"/>
  <c r="U64" i="15"/>
  <c r="T63" i="15"/>
  <c r="T64" i="15"/>
  <c r="T14" i="15"/>
  <c r="T15" i="15"/>
  <c r="T20" i="15"/>
  <c r="T21" i="15"/>
  <c r="T23" i="15"/>
  <c r="T24" i="15"/>
  <c r="T29" i="15"/>
  <c r="T30" i="15"/>
  <c r="T41" i="15"/>
  <c r="T44" i="15"/>
  <c r="T45" i="15"/>
  <c r="T47" i="15"/>
  <c r="T48" i="15"/>
  <c r="T50" i="15"/>
  <c r="T52" i="15"/>
  <c r="R63" i="15"/>
  <c r="Q63" i="15"/>
  <c r="Q64" i="15"/>
  <c r="P63" i="15"/>
  <c r="P64" i="15"/>
  <c r="O63" i="15"/>
  <c r="O64" i="15"/>
  <c r="N63" i="15"/>
  <c r="M63" i="15"/>
  <c r="M64" i="15"/>
  <c r="L63" i="15"/>
  <c r="X52" i="15"/>
  <c r="X53" i="15"/>
  <c r="L52" i="15"/>
  <c r="L53" i="15"/>
  <c r="M52" i="15"/>
  <c r="N52" i="15"/>
  <c r="N53" i="15"/>
  <c r="O52" i="15"/>
  <c r="P52" i="15"/>
  <c r="P53" i="15"/>
  <c r="Q52" i="15"/>
  <c r="Q53" i="15"/>
  <c r="R52" i="15"/>
  <c r="R53" i="15"/>
  <c r="U52" i="15"/>
  <c r="U53" i="15"/>
  <c r="V52" i="15"/>
  <c r="V53" i="15"/>
  <c r="L50" i="15"/>
  <c r="M50" i="15"/>
  <c r="N50" i="15"/>
  <c r="O50" i="15"/>
  <c r="P50" i="15"/>
  <c r="Q50" i="15"/>
  <c r="R50" i="15"/>
  <c r="U50" i="15"/>
  <c r="X47" i="15"/>
  <c r="X48" i="15"/>
  <c r="L47" i="15"/>
  <c r="L48" i="15"/>
  <c r="M47" i="15"/>
  <c r="N47" i="15"/>
  <c r="N48" i="15"/>
  <c r="O47" i="15"/>
  <c r="O48" i="15"/>
  <c r="P47" i="15"/>
  <c r="Q47" i="15"/>
  <c r="Q48" i="15"/>
  <c r="R47" i="15"/>
  <c r="R48" i="15"/>
  <c r="U47" i="15"/>
  <c r="V47" i="15"/>
  <c r="X44" i="15"/>
  <c r="X45" i="15"/>
  <c r="V44" i="15"/>
  <c r="V45" i="15"/>
  <c r="U44" i="15"/>
  <c r="U45" i="15"/>
  <c r="R44" i="15"/>
  <c r="R45" i="15"/>
  <c r="Q44" i="15"/>
  <c r="Q45" i="15"/>
  <c r="P44" i="15"/>
  <c r="P45" i="15"/>
  <c r="L44" i="15"/>
  <c r="M44" i="15"/>
  <c r="N44" i="15"/>
  <c r="N45" i="15"/>
  <c r="O44" i="15"/>
  <c r="O45" i="15"/>
  <c r="X41" i="15"/>
  <c r="U41" i="15"/>
  <c r="R41" i="15"/>
  <c r="Q41" i="15"/>
  <c r="Q42" i="15"/>
  <c r="P41" i="15"/>
  <c r="O41" i="15"/>
  <c r="N41" i="15"/>
  <c r="N42" i="15"/>
  <c r="M41" i="15"/>
  <c r="M128" i="15"/>
  <c r="M42" i="15"/>
  <c r="L41" i="15"/>
  <c r="L42" i="15"/>
  <c r="X29" i="15"/>
  <c r="X30" i="15"/>
  <c r="V29" i="15"/>
  <c r="V30" i="15"/>
  <c r="U29" i="15"/>
  <c r="U30" i="15"/>
  <c r="R29" i="15"/>
  <c r="Q29" i="15"/>
  <c r="Q30" i="15"/>
  <c r="P29" i="15"/>
  <c r="P30" i="15"/>
  <c r="L29" i="15"/>
  <c r="M29" i="15"/>
  <c r="M30" i="15"/>
  <c r="N29" i="15"/>
  <c r="N30" i="15"/>
  <c r="O29" i="15"/>
  <c r="O30" i="15"/>
  <c r="X23" i="15"/>
  <c r="X24" i="15"/>
  <c r="V23" i="15"/>
  <c r="V24" i="15"/>
  <c r="U23" i="15"/>
  <c r="R23" i="15"/>
  <c r="R24" i="15"/>
  <c r="Q23" i="15"/>
  <c r="Q24" i="15"/>
  <c r="P23" i="15"/>
  <c r="P24" i="15"/>
  <c r="O23" i="15"/>
  <c r="L23" i="15"/>
  <c r="M23" i="15"/>
  <c r="M24" i="15"/>
  <c r="N23" i="15"/>
  <c r="N24" i="15"/>
  <c r="V20" i="15"/>
  <c r="V21" i="15"/>
  <c r="U20" i="15"/>
  <c r="U21" i="15"/>
  <c r="R20" i="15"/>
  <c r="R21" i="15"/>
  <c r="Q20" i="15"/>
  <c r="Q21" i="15"/>
  <c r="P20" i="15"/>
  <c r="O20" i="15"/>
  <c r="O21" i="15"/>
  <c r="N20" i="15"/>
  <c r="N21" i="15"/>
  <c r="M20" i="15"/>
  <c r="M21" i="15"/>
  <c r="L20" i="15"/>
  <c r="L21" i="15"/>
  <c r="V14" i="15"/>
  <c r="V15" i="15"/>
  <c r="U14" i="15"/>
  <c r="U15" i="15"/>
  <c r="R14" i="15"/>
  <c r="Q14" i="15"/>
  <c r="P14" i="15"/>
  <c r="P15" i="15"/>
  <c r="L14" i="15"/>
  <c r="L15" i="15"/>
  <c r="M14" i="15"/>
  <c r="N14" i="15"/>
  <c r="N15" i="15"/>
  <c r="O14" i="15"/>
  <c r="O15" i="15"/>
  <c r="AI8" i="4"/>
  <c r="O8" i="4"/>
  <c r="AH8" i="4"/>
  <c r="L8" i="4"/>
  <c r="AH2" i="4"/>
  <c r="AJ2" i="4"/>
  <c r="R2" i="4"/>
  <c r="H8" i="4"/>
  <c r="R8" i="4"/>
  <c r="D8" i="4"/>
  <c r="T8" i="4"/>
  <c r="S8" i="4"/>
  <c r="O32" i="4"/>
  <c r="O33" i="4"/>
  <c r="N32" i="4"/>
  <c r="N33" i="4"/>
  <c r="P59" i="4"/>
  <c r="E118" i="2"/>
  <c r="M127" i="2"/>
  <c r="L127" i="2"/>
  <c r="I127" i="2"/>
  <c r="O127" i="2"/>
  <c r="H127" i="2"/>
  <c r="N127" i="2"/>
  <c r="E127" i="2"/>
  <c r="M126" i="2"/>
  <c r="O126" i="2"/>
  <c r="I126" i="2"/>
  <c r="L126" i="2"/>
  <c r="H126" i="2"/>
  <c r="E126" i="2"/>
  <c r="I125" i="2"/>
  <c r="M125" i="2"/>
  <c r="L125" i="2"/>
  <c r="H125" i="2"/>
  <c r="N125" i="2"/>
  <c r="E125" i="2"/>
  <c r="T125" i="2"/>
  <c r="D123" i="8"/>
  <c r="N122" i="8"/>
  <c r="R122" i="8"/>
  <c r="H124" i="2"/>
  <c r="N124" i="2"/>
  <c r="L124" i="2"/>
  <c r="M124" i="2"/>
  <c r="I124" i="2"/>
  <c r="E124" i="2"/>
  <c r="I123" i="2"/>
  <c r="O123" i="2"/>
  <c r="M123" i="2"/>
  <c r="L123" i="2"/>
  <c r="H123" i="2"/>
  <c r="N123" i="2"/>
  <c r="E123" i="2"/>
  <c r="M122" i="2"/>
  <c r="L122" i="2"/>
  <c r="N122" i="2"/>
  <c r="I122" i="2"/>
  <c r="O122" i="2"/>
  <c r="E122" i="2"/>
  <c r="H122" i="2"/>
  <c r="M121" i="2"/>
  <c r="L121" i="2"/>
  <c r="I121" i="2"/>
  <c r="O121" i="2"/>
  <c r="E121" i="2"/>
  <c r="H121" i="2"/>
  <c r="N121" i="2"/>
  <c r="M120" i="2"/>
  <c r="O120" i="2"/>
  <c r="L120" i="2"/>
  <c r="N120" i="2"/>
  <c r="I120" i="2"/>
  <c r="H120" i="2"/>
  <c r="E120" i="2"/>
  <c r="H119" i="2"/>
  <c r="N119" i="2"/>
  <c r="L119" i="2"/>
  <c r="M119" i="2"/>
  <c r="I119" i="2"/>
  <c r="E119" i="2"/>
  <c r="M118" i="2"/>
  <c r="L118" i="2"/>
  <c r="H118" i="2"/>
  <c r="N118" i="2"/>
  <c r="I118" i="2"/>
  <c r="O118" i="2"/>
  <c r="M117" i="2"/>
  <c r="L117" i="2"/>
  <c r="I117" i="2"/>
  <c r="H117" i="2"/>
  <c r="N117" i="2"/>
  <c r="E117" i="2"/>
  <c r="M116" i="2"/>
  <c r="L116" i="2"/>
  <c r="I116" i="2"/>
  <c r="O116" i="2"/>
  <c r="H116" i="2"/>
  <c r="E116" i="2"/>
  <c r="N36" i="4"/>
  <c r="AU36" i="4"/>
  <c r="N34" i="4"/>
  <c r="H8" i="12"/>
  <c r="I8" i="12"/>
  <c r="J8" i="12"/>
  <c r="K8" i="12"/>
  <c r="L8" i="12"/>
  <c r="M8" i="12"/>
  <c r="N8" i="12"/>
  <c r="O8" i="12"/>
  <c r="P8" i="12"/>
  <c r="Q8" i="12"/>
  <c r="H6" i="12"/>
  <c r="I6" i="12"/>
  <c r="J6" i="12"/>
  <c r="K6" i="12"/>
  <c r="L6" i="12"/>
  <c r="M6" i="12"/>
  <c r="N6" i="12"/>
  <c r="O6" i="12"/>
  <c r="P6" i="12"/>
  <c r="Q6" i="12"/>
  <c r="I280" i="12"/>
  <c r="J280" i="12"/>
  <c r="K280" i="12"/>
  <c r="L280" i="12"/>
  <c r="M280" i="12"/>
  <c r="N280" i="12"/>
  <c r="O280" i="12"/>
  <c r="P280" i="12"/>
  <c r="Q280" i="12"/>
  <c r="R280" i="12"/>
  <c r="S280" i="12"/>
  <c r="I282" i="12"/>
  <c r="J282" i="12"/>
  <c r="K282" i="12"/>
  <c r="L282" i="12"/>
  <c r="M282" i="12"/>
  <c r="N282" i="12"/>
  <c r="O282" i="12"/>
  <c r="P282" i="12"/>
  <c r="Q282" i="12"/>
  <c r="R282" i="12"/>
  <c r="S282" i="12"/>
  <c r="I284" i="12"/>
  <c r="J284" i="12"/>
  <c r="K284" i="12"/>
  <c r="L284" i="12"/>
  <c r="M284" i="12"/>
  <c r="N284" i="12"/>
  <c r="O284" i="12"/>
  <c r="P284" i="12"/>
  <c r="Q284" i="12"/>
  <c r="R284" i="12"/>
  <c r="S284" i="12"/>
  <c r="I286" i="12"/>
  <c r="J286" i="12"/>
  <c r="K286" i="12"/>
  <c r="L286" i="12"/>
  <c r="M286" i="12"/>
  <c r="N286" i="12"/>
  <c r="O286" i="12"/>
  <c r="P286" i="12"/>
  <c r="Q286" i="12"/>
  <c r="R286" i="12"/>
  <c r="S286" i="12"/>
  <c r="I288" i="12"/>
  <c r="J288" i="12"/>
  <c r="K288" i="12"/>
  <c r="L288" i="12"/>
  <c r="M288" i="12"/>
  <c r="N288" i="12"/>
  <c r="O288" i="12"/>
  <c r="P288" i="12"/>
  <c r="Q288" i="12"/>
  <c r="R288" i="12"/>
  <c r="S288" i="12"/>
  <c r="I290" i="12"/>
  <c r="J290" i="12"/>
  <c r="K290" i="12"/>
  <c r="L290" i="12"/>
  <c r="M290" i="12"/>
  <c r="N290" i="12"/>
  <c r="O290" i="12"/>
  <c r="P290" i="12"/>
  <c r="Q290" i="12"/>
  <c r="R290" i="12"/>
  <c r="S290" i="12"/>
  <c r="I292" i="12"/>
  <c r="J292" i="12"/>
  <c r="K292" i="12"/>
  <c r="L292" i="12"/>
  <c r="M292" i="12"/>
  <c r="N292" i="12"/>
  <c r="O292" i="12"/>
  <c r="P292" i="12"/>
  <c r="Q292" i="12"/>
  <c r="R292" i="12"/>
  <c r="S292" i="12"/>
  <c r="I294" i="12"/>
  <c r="J294" i="12"/>
  <c r="K294" i="12"/>
  <c r="L294" i="12"/>
  <c r="M294" i="12"/>
  <c r="N294" i="12"/>
  <c r="O294" i="12"/>
  <c r="P294" i="12"/>
  <c r="Q294" i="12"/>
  <c r="R294" i="12"/>
  <c r="S294" i="12"/>
  <c r="I296" i="12"/>
  <c r="J296" i="12"/>
  <c r="K296" i="12"/>
  <c r="L296" i="12"/>
  <c r="M296" i="12"/>
  <c r="N296" i="12"/>
  <c r="O296" i="12"/>
  <c r="P296" i="12"/>
  <c r="Q296" i="12"/>
  <c r="R296" i="12"/>
  <c r="S296" i="12"/>
  <c r="I298" i="12"/>
  <c r="J298" i="12"/>
  <c r="K298" i="12"/>
  <c r="L298" i="12"/>
  <c r="M298" i="12"/>
  <c r="N298" i="12"/>
  <c r="O298" i="12"/>
  <c r="P298" i="12"/>
  <c r="Q298" i="12"/>
  <c r="R298" i="12"/>
  <c r="S298" i="12"/>
  <c r="I300" i="12"/>
  <c r="J300" i="12"/>
  <c r="K300" i="12"/>
  <c r="L300" i="12"/>
  <c r="M300" i="12"/>
  <c r="N300" i="12"/>
  <c r="O300" i="12"/>
  <c r="P300" i="12"/>
  <c r="Q300" i="12"/>
  <c r="R300" i="12"/>
  <c r="S300" i="12"/>
  <c r="I302" i="12"/>
  <c r="J302" i="12"/>
  <c r="K302" i="12"/>
  <c r="L302" i="12"/>
  <c r="M302" i="12"/>
  <c r="N302" i="12"/>
  <c r="O302" i="12"/>
  <c r="P302" i="12"/>
  <c r="Q302" i="12"/>
  <c r="R302" i="12"/>
  <c r="S302" i="12"/>
  <c r="H302" i="12"/>
  <c r="H300" i="12"/>
  <c r="H298" i="12"/>
  <c r="H296" i="12"/>
  <c r="H294" i="12"/>
  <c r="H292" i="12"/>
  <c r="H290" i="12"/>
  <c r="H288" i="12"/>
  <c r="H286" i="12"/>
  <c r="H284" i="12"/>
  <c r="H282" i="12"/>
  <c r="H280" i="12"/>
  <c r="H278" i="12"/>
  <c r="H276" i="12"/>
  <c r="H274" i="12"/>
  <c r="H272" i="12"/>
  <c r="H270" i="12"/>
  <c r="H268" i="12"/>
  <c r="H266" i="12"/>
  <c r="H264" i="12"/>
  <c r="H262" i="12"/>
  <c r="H260" i="12"/>
  <c r="H258" i="12"/>
  <c r="H256" i="12"/>
  <c r="H254" i="12"/>
  <c r="H252" i="12"/>
  <c r="H250" i="12"/>
  <c r="H248" i="12"/>
  <c r="H246" i="12"/>
  <c r="H244" i="12"/>
  <c r="H242" i="12"/>
  <c r="H240" i="12"/>
  <c r="H238" i="12"/>
  <c r="H236" i="12"/>
  <c r="H234" i="12"/>
  <c r="H232" i="12"/>
  <c r="H230" i="12"/>
  <c r="H228" i="12"/>
  <c r="H226" i="12"/>
  <c r="H224" i="12"/>
  <c r="H222" i="12"/>
  <c r="H220" i="12"/>
  <c r="H218" i="12"/>
  <c r="H216" i="12"/>
  <c r="H214" i="12"/>
  <c r="H212" i="12"/>
  <c r="H210" i="12"/>
  <c r="H208" i="12"/>
  <c r="H206" i="12"/>
  <c r="H204" i="12"/>
  <c r="H202" i="12"/>
  <c r="H200" i="12"/>
  <c r="H198" i="12"/>
  <c r="H196" i="12"/>
  <c r="H194" i="12"/>
  <c r="H192" i="12"/>
  <c r="H190" i="12"/>
  <c r="H188" i="12"/>
  <c r="H186" i="12"/>
  <c r="H184" i="12"/>
  <c r="H182" i="12"/>
  <c r="G180" i="12"/>
  <c r="G178" i="12"/>
  <c r="G176" i="12"/>
  <c r="G174" i="12"/>
  <c r="G172" i="12"/>
  <c r="G170" i="12"/>
  <c r="G168" i="12"/>
  <c r="F166" i="12"/>
  <c r="F164" i="12"/>
  <c r="F162" i="12"/>
  <c r="F160" i="12"/>
  <c r="G158" i="12"/>
  <c r="F158" i="12"/>
  <c r="F156" i="12"/>
  <c r="G156" i="12"/>
  <c r="G154" i="12"/>
  <c r="G152" i="12"/>
  <c r="F152" i="12"/>
  <c r="G150" i="12"/>
  <c r="F150" i="12"/>
  <c r="G148" i="12"/>
  <c r="F148" i="12"/>
  <c r="G146" i="12"/>
  <c r="F146" i="12"/>
  <c r="G144" i="12"/>
  <c r="F144" i="12"/>
  <c r="F142" i="12"/>
  <c r="G142" i="12"/>
  <c r="F140" i="12"/>
  <c r="F138" i="12"/>
  <c r="F136" i="12"/>
  <c r="F134" i="12"/>
  <c r="G132" i="12"/>
  <c r="F132" i="12"/>
  <c r="F130" i="12"/>
  <c r="G130" i="12"/>
  <c r="G128" i="12"/>
  <c r="G126" i="12"/>
  <c r="G124" i="12"/>
  <c r="F124" i="12"/>
  <c r="G122" i="12"/>
  <c r="F122" i="12"/>
  <c r="G120" i="12"/>
  <c r="F120" i="12"/>
  <c r="G118" i="12"/>
  <c r="F118" i="12"/>
  <c r="G116" i="12"/>
  <c r="F116" i="12"/>
  <c r="G114" i="12"/>
  <c r="F114" i="12"/>
  <c r="G112" i="12"/>
  <c r="F112" i="12"/>
  <c r="G110" i="12"/>
  <c r="F110" i="12"/>
  <c r="G108" i="12"/>
  <c r="G106" i="12"/>
  <c r="G104" i="12"/>
  <c r="F104" i="12"/>
  <c r="G102" i="12"/>
  <c r="F102" i="12"/>
  <c r="G100" i="12"/>
  <c r="F100" i="12"/>
  <c r="G98" i="12"/>
  <c r="F98" i="12"/>
  <c r="G96" i="12"/>
  <c r="G94" i="12"/>
  <c r="F94" i="12"/>
  <c r="G92" i="12"/>
  <c r="F92" i="12"/>
  <c r="G90" i="12"/>
  <c r="F90" i="12"/>
  <c r="G88" i="12"/>
  <c r="F88" i="12"/>
  <c r="F86" i="12"/>
  <c r="G86" i="12"/>
  <c r="G84" i="12"/>
  <c r="F84" i="12"/>
  <c r="F82" i="12"/>
  <c r="G82" i="12"/>
  <c r="G80" i="12"/>
  <c r="F80" i="12"/>
  <c r="G78" i="12"/>
  <c r="F78" i="12"/>
  <c r="F76" i="12"/>
  <c r="G76" i="12"/>
  <c r="G74" i="12"/>
  <c r="G72" i="12"/>
  <c r="G70" i="12"/>
  <c r="F70" i="12"/>
  <c r="G68" i="12"/>
  <c r="F68" i="12"/>
  <c r="G66" i="12"/>
  <c r="F66" i="12"/>
  <c r="G64" i="12"/>
  <c r="F64" i="12"/>
  <c r="G62" i="12"/>
  <c r="F62" i="12"/>
  <c r="F60" i="12"/>
  <c r="F58" i="12"/>
  <c r="F56" i="12"/>
  <c r="F54" i="12"/>
  <c r="F52" i="12"/>
  <c r="F50" i="12"/>
  <c r="F48" i="12"/>
  <c r="F46" i="12"/>
  <c r="G44" i="12"/>
  <c r="F44" i="12"/>
  <c r="G42" i="12"/>
  <c r="F42" i="12"/>
  <c r="G40" i="12"/>
  <c r="F40" i="12"/>
  <c r="G38" i="12"/>
  <c r="F38" i="12"/>
  <c r="G36" i="12"/>
  <c r="F36" i="12"/>
  <c r="G34" i="12"/>
  <c r="F34" i="12"/>
  <c r="G32" i="12"/>
  <c r="F32" i="12"/>
  <c r="G30" i="12"/>
  <c r="F30" i="12"/>
  <c r="G28" i="12"/>
  <c r="F28" i="12"/>
  <c r="G26" i="12"/>
  <c r="F26" i="12"/>
  <c r="G24" i="12"/>
  <c r="F24" i="12"/>
  <c r="G22" i="12"/>
  <c r="F22" i="12"/>
  <c r="G20" i="12"/>
  <c r="F20" i="12"/>
  <c r="G18" i="12"/>
  <c r="F18" i="12"/>
  <c r="F16" i="12"/>
  <c r="G16" i="12"/>
  <c r="G14" i="12"/>
  <c r="F14" i="12"/>
  <c r="F12" i="12"/>
  <c r="G12" i="12"/>
  <c r="G10" i="12"/>
  <c r="F10" i="12"/>
  <c r="G8" i="12"/>
  <c r="G6" i="12"/>
  <c r="F6" i="12"/>
  <c r="K63" i="4"/>
  <c r="K102" i="4"/>
  <c r="K62" i="4"/>
  <c r="L101" i="4"/>
  <c r="W46" i="9"/>
  <c r="V46" i="9"/>
  <c r="I32" i="4"/>
  <c r="H105" i="2"/>
  <c r="I34" i="4"/>
  <c r="J34" i="4"/>
  <c r="K76" i="4"/>
  <c r="I36" i="4"/>
  <c r="L33" i="4"/>
  <c r="M33" i="4"/>
  <c r="Q33" i="4"/>
  <c r="R33" i="4"/>
  <c r="S33" i="4"/>
  <c r="E104" i="2"/>
  <c r="E105" i="2"/>
  <c r="L104" i="2"/>
  <c r="M104" i="2"/>
  <c r="I104" i="2"/>
  <c r="L105" i="2"/>
  <c r="N105" i="2"/>
  <c r="M105" i="2"/>
  <c r="L106" i="2"/>
  <c r="M106" i="2"/>
  <c r="O106" i="2"/>
  <c r="I106" i="2"/>
  <c r="I105" i="2"/>
  <c r="I107" i="2"/>
  <c r="M107" i="2"/>
  <c r="O107" i="2"/>
  <c r="T107" i="2"/>
  <c r="E107" i="2"/>
  <c r="H104" i="2"/>
  <c r="N104" i="2"/>
  <c r="H106" i="2"/>
  <c r="N106" i="2"/>
  <c r="H107" i="2"/>
  <c r="N107" i="2"/>
  <c r="L107" i="2"/>
  <c r="E103" i="2"/>
  <c r="J46" i="9"/>
  <c r="K46" i="9"/>
  <c r="L46" i="9"/>
  <c r="M46" i="9"/>
  <c r="N46" i="9"/>
  <c r="O46" i="9"/>
  <c r="P46" i="9"/>
  <c r="Q46" i="9"/>
  <c r="R46" i="9"/>
  <c r="S46" i="9"/>
  <c r="T46" i="9"/>
  <c r="U46" i="9"/>
  <c r="H46" i="9"/>
  <c r="I46" i="9"/>
  <c r="M96" i="2"/>
  <c r="I96" i="2"/>
  <c r="O96" i="2"/>
  <c r="E96" i="2"/>
  <c r="L96" i="2"/>
  <c r="H96" i="2"/>
  <c r="N96" i="2"/>
  <c r="BJ63" i="4"/>
  <c r="M115" i="2"/>
  <c r="I115" i="2"/>
  <c r="O115" i="2"/>
  <c r="E115" i="2"/>
  <c r="R115" i="2"/>
  <c r="S115" i="2"/>
  <c r="R66" i="16"/>
  <c r="F113" i="8"/>
  <c r="P109" i="8"/>
  <c r="P110" i="8"/>
  <c r="L115" i="2"/>
  <c r="H115" i="2"/>
  <c r="N115" i="2"/>
  <c r="M113" i="2"/>
  <c r="L113" i="2"/>
  <c r="I113" i="2"/>
  <c r="O113" i="2"/>
  <c r="H113" i="2"/>
  <c r="N113" i="2"/>
  <c r="E113" i="2"/>
  <c r="M112" i="2"/>
  <c r="O112" i="2"/>
  <c r="L112" i="2"/>
  <c r="N112" i="2"/>
  <c r="I112" i="2"/>
  <c r="H112" i="2"/>
  <c r="E112" i="2"/>
  <c r="M111" i="2"/>
  <c r="L111" i="2"/>
  <c r="I111" i="2"/>
  <c r="O111" i="2"/>
  <c r="H111" i="2"/>
  <c r="N111" i="2"/>
  <c r="E111" i="2"/>
  <c r="M110" i="2"/>
  <c r="I110" i="2"/>
  <c r="O110" i="2"/>
  <c r="L110" i="2"/>
  <c r="H110" i="2"/>
  <c r="N110" i="2"/>
  <c r="E110" i="2"/>
  <c r="T110" i="2"/>
  <c r="D108" i="8"/>
  <c r="N104" i="8"/>
  <c r="M109" i="2"/>
  <c r="I109" i="2"/>
  <c r="O109" i="2"/>
  <c r="T109" i="2"/>
  <c r="L109" i="2"/>
  <c r="N109" i="2"/>
  <c r="H109" i="2"/>
  <c r="E109" i="2"/>
  <c r="M108" i="2"/>
  <c r="L108" i="2"/>
  <c r="H108" i="2"/>
  <c r="I108" i="2"/>
  <c r="E108" i="2"/>
  <c r="E92" i="2"/>
  <c r="E93" i="2"/>
  <c r="E94" i="2"/>
  <c r="E95" i="2"/>
  <c r="E97" i="2"/>
  <c r="E98" i="2"/>
  <c r="E99" i="2"/>
  <c r="M92" i="2"/>
  <c r="M93" i="2"/>
  <c r="I93" i="2"/>
  <c r="M94" i="2"/>
  <c r="O94" i="2"/>
  <c r="M95" i="2"/>
  <c r="O95" i="2"/>
  <c r="T95" i="2"/>
  <c r="I95" i="2"/>
  <c r="M97" i="2"/>
  <c r="I97" i="2"/>
  <c r="O97" i="2"/>
  <c r="T97" i="2"/>
  <c r="M98" i="2"/>
  <c r="O98" i="2"/>
  <c r="T98" i="2"/>
  <c r="I98" i="2"/>
  <c r="M99" i="2"/>
  <c r="L92" i="2"/>
  <c r="L93" i="2"/>
  <c r="H93" i="2"/>
  <c r="N93" i="2"/>
  <c r="L94" i="2"/>
  <c r="H94" i="2"/>
  <c r="N94" i="2"/>
  <c r="L95" i="2"/>
  <c r="H95" i="2"/>
  <c r="N95" i="2"/>
  <c r="L97" i="2"/>
  <c r="H97" i="2"/>
  <c r="L98" i="2"/>
  <c r="H98" i="2"/>
  <c r="N98" i="2"/>
  <c r="M100" i="2"/>
  <c r="I92" i="2"/>
  <c r="O92" i="2"/>
  <c r="T92" i="2"/>
  <c r="I94" i="2"/>
  <c r="I99" i="2"/>
  <c r="O99" i="2"/>
  <c r="H92" i="2"/>
  <c r="N92" i="2"/>
  <c r="H99" i="2"/>
  <c r="I100" i="2"/>
  <c r="O100" i="2"/>
  <c r="T100" i="2"/>
  <c r="E100" i="2"/>
  <c r="E102" i="2"/>
  <c r="M103" i="2"/>
  <c r="L103" i="2"/>
  <c r="H103" i="2"/>
  <c r="N103" i="2"/>
  <c r="I103" i="2"/>
  <c r="O103" i="2"/>
  <c r="M102" i="2"/>
  <c r="I102" i="2"/>
  <c r="O102" i="2"/>
  <c r="L102" i="2"/>
  <c r="N102" i="2"/>
  <c r="H102" i="2"/>
  <c r="M101" i="2"/>
  <c r="I101" i="2"/>
  <c r="O101" i="2"/>
  <c r="T101" i="2"/>
  <c r="E101" i="2"/>
  <c r="L101" i="2"/>
  <c r="H101" i="2"/>
  <c r="H18" i="3"/>
  <c r="H16" i="3"/>
  <c r="H12" i="3"/>
  <c r="H10" i="3"/>
  <c r="H9" i="3"/>
  <c r="H8" i="3"/>
  <c r="H6" i="3"/>
  <c r="H4" i="3"/>
  <c r="M90" i="2"/>
  <c r="O90" i="2"/>
  <c r="T90" i="2"/>
  <c r="L90" i="2"/>
  <c r="N90" i="2"/>
  <c r="H90" i="2"/>
  <c r="I90" i="2"/>
  <c r="E90" i="2"/>
  <c r="M89" i="2"/>
  <c r="O89" i="2"/>
  <c r="T89" i="2"/>
  <c r="I89" i="2"/>
  <c r="E89" i="2"/>
  <c r="L89" i="2"/>
  <c r="N89" i="2"/>
  <c r="H89" i="2"/>
  <c r="M91" i="2"/>
  <c r="O91" i="2"/>
  <c r="I91" i="2"/>
  <c r="T91" i="2"/>
  <c r="E91" i="2"/>
  <c r="L91" i="2"/>
  <c r="H91" i="2"/>
  <c r="N91" i="2"/>
  <c r="L88" i="2"/>
  <c r="N88" i="2"/>
  <c r="H88" i="2"/>
  <c r="E88" i="2"/>
  <c r="M86" i="2"/>
  <c r="I86" i="2"/>
  <c r="O86" i="2"/>
  <c r="E86" i="2"/>
  <c r="H87" i="2"/>
  <c r="L87" i="2"/>
  <c r="M87" i="2"/>
  <c r="E87" i="2"/>
  <c r="L86" i="2"/>
  <c r="H86" i="2"/>
  <c r="M85" i="2"/>
  <c r="L85" i="2"/>
  <c r="N85" i="2"/>
  <c r="I85" i="2"/>
  <c r="O85" i="2"/>
  <c r="T85" i="2"/>
  <c r="H85" i="2"/>
  <c r="E85" i="2"/>
  <c r="E84" i="2"/>
  <c r="M84" i="2"/>
  <c r="I84" i="2"/>
  <c r="O84" i="2"/>
  <c r="T84" i="2"/>
  <c r="L84" i="2"/>
  <c r="H84" i="2"/>
  <c r="N84" i="2"/>
  <c r="L83" i="2"/>
  <c r="H83" i="2"/>
  <c r="N83" i="2"/>
  <c r="M83" i="2"/>
  <c r="O83" i="2"/>
  <c r="I83" i="2"/>
  <c r="E83" i="2"/>
  <c r="T83" i="2"/>
  <c r="L82" i="2"/>
  <c r="H82" i="2"/>
  <c r="L80" i="2"/>
  <c r="H80" i="2"/>
  <c r="N80" i="2"/>
  <c r="E82" i="2"/>
  <c r="I82" i="2"/>
  <c r="O82" i="2"/>
  <c r="T82" i="2"/>
  <c r="M82" i="2"/>
  <c r="M81" i="2"/>
  <c r="I81" i="2"/>
  <c r="O81" i="2"/>
  <c r="T81" i="2"/>
  <c r="E81" i="2"/>
  <c r="E80" i="2"/>
  <c r="H81" i="2"/>
  <c r="L81" i="2"/>
  <c r="N81" i="2"/>
  <c r="I80" i="2"/>
  <c r="M80" i="2"/>
  <c r="O80" i="2"/>
  <c r="E79" i="2"/>
  <c r="H79" i="2"/>
  <c r="L79" i="2"/>
  <c r="N79" i="2"/>
  <c r="I79" i="2"/>
  <c r="O79" i="2"/>
  <c r="T79" i="2"/>
  <c r="M79" i="2"/>
  <c r="E78" i="2"/>
  <c r="L78" i="2"/>
  <c r="H78" i="2"/>
  <c r="N78" i="2"/>
  <c r="M78" i="2"/>
  <c r="I78" i="2"/>
  <c r="O78" i="2"/>
  <c r="H77" i="2"/>
  <c r="N77" i="2"/>
  <c r="L77" i="2"/>
  <c r="I77" i="2"/>
  <c r="M77" i="2"/>
  <c r="O77" i="2"/>
  <c r="T77" i="2"/>
  <c r="E77" i="2"/>
  <c r="E76" i="2"/>
  <c r="L76" i="2"/>
  <c r="H76" i="2"/>
  <c r="N76" i="2"/>
  <c r="M76" i="2"/>
  <c r="I76" i="2"/>
  <c r="O76" i="2"/>
  <c r="T76" i="2"/>
  <c r="E75" i="2"/>
  <c r="H75" i="2"/>
  <c r="L75" i="2"/>
  <c r="N75" i="2"/>
  <c r="I75" i="2"/>
  <c r="O75" i="2"/>
  <c r="T75" i="2"/>
  <c r="M75" i="2"/>
  <c r="E74" i="2"/>
  <c r="L74" i="2"/>
  <c r="N74" i="2"/>
  <c r="H74" i="2"/>
  <c r="M74" i="2"/>
  <c r="I74" i="2"/>
  <c r="O74" i="2"/>
  <c r="T74" i="2"/>
  <c r="E73" i="2"/>
  <c r="L73" i="2"/>
  <c r="H73" i="2"/>
  <c r="N73" i="2"/>
  <c r="M73" i="2"/>
  <c r="I73" i="2"/>
  <c r="O73" i="2"/>
  <c r="E72" i="2"/>
  <c r="L72" i="2"/>
  <c r="H72" i="2"/>
  <c r="N72" i="2"/>
  <c r="M72" i="2"/>
  <c r="I72" i="2"/>
  <c r="O72" i="2"/>
  <c r="T72" i="2"/>
  <c r="E71" i="2"/>
  <c r="L71" i="2"/>
  <c r="H71" i="2"/>
  <c r="N71" i="2"/>
  <c r="M71" i="2"/>
  <c r="O71" i="2"/>
  <c r="I71" i="2"/>
  <c r="T71" i="2"/>
  <c r="L70" i="2"/>
  <c r="N70" i="2"/>
  <c r="H70" i="2"/>
  <c r="M70" i="2"/>
  <c r="O70" i="2"/>
  <c r="I70" i="2"/>
  <c r="E70" i="2"/>
  <c r="L69" i="2"/>
  <c r="H69" i="2"/>
  <c r="M69" i="2"/>
  <c r="I69" i="2"/>
  <c r="O69" i="2"/>
  <c r="T69" i="2"/>
  <c r="E69" i="2"/>
  <c r="E68" i="2"/>
  <c r="L68" i="2"/>
  <c r="H68" i="2"/>
  <c r="N68" i="2"/>
  <c r="M68" i="2"/>
  <c r="I68" i="2"/>
  <c r="E67" i="2"/>
  <c r="L67" i="2"/>
  <c r="H67" i="2"/>
  <c r="N67" i="2"/>
  <c r="M67" i="2"/>
  <c r="I67" i="2"/>
  <c r="O67" i="2"/>
  <c r="T67" i="2"/>
  <c r="L66" i="2"/>
  <c r="H66" i="2"/>
  <c r="N66" i="2"/>
  <c r="M66" i="2"/>
  <c r="O66" i="2"/>
  <c r="T66" i="2"/>
  <c r="I66" i="2"/>
  <c r="E66" i="2"/>
  <c r="L65" i="2"/>
  <c r="H65" i="2"/>
  <c r="N65" i="2"/>
  <c r="M65" i="2"/>
  <c r="I65" i="2"/>
  <c r="O65" i="2"/>
  <c r="T65" i="2"/>
  <c r="E65" i="2"/>
  <c r="H64" i="2"/>
  <c r="L64" i="2"/>
  <c r="I64" i="2"/>
  <c r="O64" i="2"/>
  <c r="T64" i="2"/>
  <c r="M64" i="2"/>
  <c r="E64" i="2"/>
  <c r="H63" i="2"/>
  <c r="N63" i="2"/>
  <c r="L63" i="2"/>
  <c r="I63" i="2"/>
  <c r="O63" i="2"/>
  <c r="T63" i="2"/>
  <c r="M63" i="2"/>
  <c r="E63" i="2"/>
  <c r="E62" i="2"/>
  <c r="L62" i="2"/>
  <c r="H62" i="2"/>
  <c r="N62" i="2"/>
  <c r="M62" i="2"/>
  <c r="I62" i="2"/>
  <c r="E61" i="2"/>
  <c r="L61" i="2"/>
  <c r="M61" i="2"/>
  <c r="H61" i="2"/>
  <c r="N61" i="2"/>
  <c r="I61" i="2"/>
  <c r="E60" i="2"/>
  <c r="L60" i="2"/>
  <c r="H60" i="2"/>
  <c r="M60" i="2"/>
  <c r="O60" i="2"/>
  <c r="T60" i="2"/>
  <c r="I60" i="2"/>
  <c r="H59" i="2"/>
  <c r="N59" i="2"/>
  <c r="L59" i="2"/>
  <c r="I59" i="2"/>
  <c r="M59" i="2"/>
  <c r="O59" i="2"/>
  <c r="T59" i="2"/>
  <c r="E59" i="2"/>
  <c r="E58" i="2"/>
  <c r="H58" i="2"/>
  <c r="L58" i="2"/>
  <c r="I58" i="2"/>
  <c r="M58" i="2"/>
  <c r="O58" i="2"/>
  <c r="H57" i="2"/>
  <c r="N57" i="2"/>
  <c r="L57" i="2"/>
  <c r="I57" i="2"/>
  <c r="M57" i="2"/>
  <c r="E57" i="2"/>
  <c r="G73" i="4"/>
  <c r="E56" i="2"/>
  <c r="L56" i="2"/>
  <c r="H56" i="2"/>
  <c r="M56" i="2"/>
  <c r="I56" i="2"/>
  <c r="H55" i="2"/>
  <c r="L55" i="2"/>
  <c r="N55" i="2"/>
  <c r="E55" i="2"/>
  <c r="E54" i="2"/>
  <c r="H54" i="2"/>
  <c r="L54" i="2"/>
  <c r="N54" i="2"/>
  <c r="I53" i="2"/>
  <c r="G54" i="2"/>
  <c r="H53" i="2"/>
  <c r="N53" i="2"/>
  <c r="L53" i="2"/>
  <c r="M53" i="2"/>
  <c r="K54" i="2"/>
  <c r="M54" i="2"/>
  <c r="E53" i="2"/>
  <c r="E52" i="2"/>
  <c r="L52" i="2"/>
  <c r="H52" i="2"/>
  <c r="N52" i="2"/>
  <c r="M52" i="2"/>
  <c r="I52" i="2"/>
  <c r="O52" i="2"/>
  <c r="E51" i="2"/>
  <c r="H51" i="2"/>
  <c r="L51" i="2"/>
  <c r="I51" i="2"/>
  <c r="O51" i="2"/>
  <c r="M51" i="2"/>
  <c r="E50" i="2"/>
  <c r="L50" i="2"/>
  <c r="H50" i="2"/>
  <c r="M50" i="2"/>
  <c r="I50" i="2"/>
  <c r="O50" i="2"/>
  <c r="T50" i="2"/>
  <c r="L49" i="2"/>
  <c r="H49" i="2"/>
  <c r="N49" i="2"/>
  <c r="M49" i="2"/>
  <c r="I49" i="2"/>
  <c r="O49" i="2"/>
  <c r="T49" i="2"/>
  <c r="E49" i="2"/>
  <c r="E48" i="2"/>
  <c r="H48" i="2"/>
  <c r="L48" i="2"/>
  <c r="N48" i="2"/>
  <c r="H47" i="2"/>
  <c r="N47" i="2"/>
  <c r="L47" i="2"/>
  <c r="I48" i="2"/>
  <c r="M48" i="2"/>
  <c r="O48" i="2"/>
  <c r="T48" i="2"/>
  <c r="E47" i="2"/>
  <c r="H46" i="2"/>
  <c r="L46" i="2"/>
  <c r="N46" i="2"/>
  <c r="I47" i="2"/>
  <c r="M47" i="2"/>
  <c r="O47" i="2"/>
  <c r="T47" i="2"/>
  <c r="M46" i="2"/>
  <c r="I46" i="2"/>
  <c r="O46" i="2"/>
  <c r="E46" i="2"/>
  <c r="E45" i="2"/>
  <c r="H45" i="2"/>
  <c r="L45" i="2"/>
  <c r="N45" i="2"/>
  <c r="I45" i="2"/>
  <c r="O45" i="2"/>
  <c r="T45" i="2"/>
  <c r="M45" i="2"/>
  <c r="E44" i="2"/>
  <c r="H44" i="2"/>
  <c r="L44" i="2"/>
  <c r="I44" i="2"/>
  <c r="M44" i="2"/>
  <c r="L43" i="2"/>
  <c r="N43" i="2"/>
  <c r="H43" i="2"/>
  <c r="M43" i="2"/>
  <c r="I43" i="2"/>
  <c r="O43" i="2"/>
  <c r="T43" i="2"/>
  <c r="E43" i="2"/>
  <c r="E42" i="2"/>
  <c r="L42" i="2"/>
  <c r="H42" i="2"/>
  <c r="M42" i="2"/>
  <c r="I42" i="2"/>
  <c r="O42" i="2"/>
  <c r="T42" i="2"/>
  <c r="E40" i="2"/>
  <c r="E41" i="2"/>
  <c r="H41" i="2"/>
  <c r="N41" i="2"/>
  <c r="L41" i="2"/>
  <c r="I41" i="2"/>
  <c r="O41" i="2"/>
  <c r="T41" i="2"/>
  <c r="M41" i="2"/>
  <c r="E39" i="2"/>
  <c r="L40" i="2"/>
  <c r="H40" i="2"/>
  <c r="N40" i="2"/>
  <c r="M40" i="2"/>
  <c r="I40" i="2"/>
  <c r="I39" i="2"/>
  <c r="M39" i="2"/>
  <c r="H39" i="2"/>
  <c r="L39" i="2"/>
  <c r="N39" i="2"/>
  <c r="I34" i="2"/>
  <c r="O34" i="2"/>
  <c r="M34" i="2"/>
  <c r="L38" i="2"/>
  <c r="H38" i="2"/>
  <c r="N38" i="2"/>
  <c r="M38" i="2"/>
  <c r="O38" i="2"/>
  <c r="I38" i="2"/>
  <c r="H37" i="2"/>
  <c r="L37" i="2"/>
  <c r="I37" i="2"/>
  <c r="M37" i="2"/>
  <c r="O37" i="2"/>
  <c r="L36" i="2"/>
  <c r="H36" i="2"/>
  <c r="M36" i="2"/>
  <c r="I36" i="2"/>
  <c r="O36" i="2"/>
  <c r="H35" i="2"/>
  <c r="N35" i="2"/>
  <c r="L35" i="2"/>
  <c r="I35" i="2"/>
  <c r="M35" i="2"/>
  <c r="H34" i="2"/>
  <c r="N34" i="2"/>
  <c r="L34" i="2"/>
  <c r="H33" i="2"/>
  <c r="N33" i="2"/>
  <c r="L33" i="2"/>
  <c r="I33" i="2"/>
  <c r="O33" i="2"/>
  <c r="M33" i="2"/>
  <c r="T11" i="4"/>
  <c r="T12" i="4"/>
  <c r="AI12" i="4"/>
  <c r="L32" i="2"/>
  <c r="H32" i="2"/>
  <c r="N32" i="2"/>
  <c r="M32" i="2"/>
  <c r="O32" i="2"/>
  <c r="I32" i="2"/>
  <c r="L30" i="2"/>
  <c r="H30" i="2"/>
  <c r="L31" i="2"/>
  <c r="M31" i="2"/>
  <c r="H31" i="2"/>
  <c r="N31" i="2"/>
  <c r="I31" i="2"/>
  <c r="O31" i="2"/>
  <c r="M30" i="2"/>
  <c r="I30" i="2"/>
  <c r="O30" i="2"/>
  <c r="L29" i="2"/>
  <c r="H29" i="2"/>
  <c r="N29" i="2"/>
  <c r="M29" i="2"/>
  <c r="I29" i="2"/>
  <c r="O29" i="2"/>
  <c r="L28" i="2"/>
  <c r="H28" i="2"/>
  <c r="N28" i="2"/>
  <c r="M28" i="2"/>
  <c r="I28" i="2"/>
  <c r="O28" i="2"/>
  <c r="L27" i="2"/>
  <c r="H27" i="2"/>
  <c r="M27" i="2"/>
  <c r="I27" i="2"/>
  <c r="O27" i="2"/>
  <c r="L26" i="2"/>
  <c r="H26" i="2"/>
  <c r="N26" i="2"/>
  <c r="M26" i="2"/>
  <c r="O26" i="2"/>
  <c r="I26" i="2"/>
  <c r="H25" i="2"/>
  <c r="L25" i="2"/>
  <c r="N25" i="2"/>
  <c r="I25" i="2"/>
  <c r="O25" i="2"/>
  <c r="M25" i="2"/>
  <c r="H24" i="2"/>
  <c r="L24" i="2"/>
  <c r="N24" i="2"/>
  <c r="I24" i="2"/>
  <c r="M24" i="2"/>
  <c r="L23" i="2"/>
  <c r="N23" i="2"/>
  <c r="H23" i="2"/>
  <c r="M23" i="2"/>
  <c r="I23" i="2"/>
  <c r="O23" i="2"/>
  <c r="L22" i="2"/>
  <c r="H22" i="2"/>
  <c r="N22" i="2"/>
  <c r="M22" i="2"/>
  <c r="I22" i="2"/>
  <c r="L21" i="2"/>
  <c r="N21" i="2"/>
  <c r="H21" i="2"/>
  <c r="M21" i="2"/>
  <c r="I21" i="2"/>
  <c r="H20" i="2"/>
  <c r="N20" i="2"/>
  <c r="L20" i="2"/>
  <c r="I20" i="2"/>
  <c r="M20" i="2"/>
  <c r="H19" i="2"/>
  <c r="N19" i="2"/>
  <c r="L19" i="2"/>
  <c r="I19" i="2"/>
  <c r="M19" i="2"/>
  <c r="H18" i="2"/>
  <c r="L18" i="2"/>
  <c r="I18" i="2"/>
  <c r="M18" i="2"/>
  <c r="O18" i="2"/>
  <c r="L17" i="2"/>
  <c r="H17" i="2"/>
  <c r="N17" i="2"/>
  <c r="M17" i="2"/>
  <c r="O17" i="2"/>
  <c r="I17" i="2"/>
  <c r="L16" i="2"/>
  <c r="H16" i="2"/>
  <c r="M16" i="2"/>
  <c r="I16" i="2"/>
  <c r="O16" i="2"/>
  <c r="H15" i="2"/>
  <c r="L15" i="2"/>
  <c r="I15" i="2"/>
  <c r="M15" i="2"/>
  <c r="L14" i="2"/>
  <c r="H14" i="2"/>
  <c r="N14" i="2"/>
  <c r="M14" i="2"/>
  <c r="I14" i="2"/>
  <c r="L13" i="2"/>
  <c r="H13" i="2"/>
  <c r="N13" i="2"/>
  <c r="M13" i="2"/>
  <c r="O13" i="2"/>
  <c r="I13" i="2"/>
  <c r="L12" i="2"/>
  <c r="M12" i="2"/>
  <c r="I12" i="2"/>
  <c r="O12" i="2"/>
  <c r="H12" i="2"/>
  <c r="H11" i="2"/>
  <c r="L11" i="2"/>
  <c r="N11" i="2"/>
  <c r="I11" i="2"/>
  <c r="M11" i="2"/>
  <c r="L10" i="2"/>
  <c r="H10" i="2"/>
  <c r="N10" i="2"/>
  <c r="M10" i="2"/>
  <c r="I10" i="2"/>
  <c r="O10" i="2"/>
  <c r="M9" i="2"/>
  <c r="I9" i="2"/>
  <c r="O9" i="2"/>
  <c r="L9" i="2"/>
  <c r="H9" i="2"/>
  <c r="M8" i="2"/>
  <c r="I8" i="2"/>
  <c r="L8" i="2"/>
  <c r="H8" i="2"/>
  <c r="N8" i="2"/>
  <c r="M7" i="2"/>
  <c r="L7" i="2"/>
  <c r="I7" i="2"/>
  <c r="O7" i="2"/>
  <c r="H7" i="2"/>
  <c r="N7" i="2"/>
  <c r="M6" i="2"/>
  <c r="L6" i="2"/>
  <c r="H6" i="2"/>
  <c r="N6" i="2"/>
  <c r="I6" i="2"/>
  <c r="M5" i="2"/>
  <c r="O5" i="2"/>
  <c r="L5" i="2"/>
  <c r="H5" i="2"/>
  <c r="N5" i="2"/>
  <c r="N8" i="4"/>
  <c r="P8" i="4"/>
  <c r="M8" i="4"/>
  <c r="K8" i="4"/>
  <c r="I8" i="4"/>
  <c r="J8" i="4"/>
  <c r="Q8" i="4"/>
  <c r="F31" i="13"/>
  <c r="F30" i="13"/>
  <c r="G30" i="13"/>
  <c r="G31" i="13"/>
  <c r="D58" i="13"/>
  <c r="F58" i="13"/>
  <c r="E58" i="13"/>
  <c r="S139" i="2"/>
  <c r="V37" i="4"/>
  <c r="U37" i="4"/>
  <c r="O584" i="21"/>
  <c r="L99" i="8"/>
  <c r="L99" i="2"/>
  <c r="N99" i="2"/>
  <c r="P110" i="15"/>
  <c r="C109" i="15"/>
  <c r="C110" i="15"/>
  <c r="P111" i="15"/>
  <c r="CF10" i="18"/>
  <c r="CF15" i="18"/>
  <c r="Q565" i="21"/>
  <c r="CF4" i="18"/>
  <c r="AB354" i="12"/>
  <c r="CF17" i="18"/>
  <c r="Y27" i="4"/>
  <c r="Z27" i="4"/>
  <c r="T565" i="21"/>
  <c r="U565" i="21"/>
  <c r="CF11" i="18"/>
  <c r="U62" i="4"/>
  <c r="U101" i="4"/>
  <c r="U63" i="4"/>
  <c r="V63" i="4"/>
  <c r="U102" i="4"/>
  <c r="S68" i="16"/>
  <c r="Q99" i="4"/>
  <c r="AB348" i="12"/>
  <c r="AA348" i="12"/>
  <c r="AF363" i="12"/>
  <c r="CF6" i="18"/>
  <c r="CF5" i="18"/>
  <c r="O125" i="2"/>
  <c r="P33" i="4"/>
  <c r="P95" i="4"/>
  <c r="J84" i="4"/>
  <c r="AD103" i="4"/>
  <c r="AU60" i="4"/>
  <c r="B60" i="4"/>
  <c r="AE100" i="4"/>
  <c r="AD100" i="4"/>
  <c r="P96" i="4"/>
  <c r="AB103" i="4"/>
  <c r="AB88" i="4"/>
  <c r="M103" i="4"/>
  <c r="S103" i="4"/>
  <c r="X93" i="4"/>
  <c r="K93" i="4"/>
  <c r="U84" i="4"/>
  <c r="Q103" i="4"/>
  <c r="AE103" i="4"/>
  <c r="N103" i="4"/>
  <c r="Q84" i="4"/>
  <c r="AA103" i="4"/>
  <c r="Y84" i="4"/>
  <c r="AE84" i="4"/>
  <c r="J93" i="4"/>
  <c r="AU59" i="4"/>
  <c r="B59" i="4"/>
  <c r="G10" i="13"/>
  <c r="J588" i="21"/>
  <c r="AC384" i="12"/>
  <c r="AG395" i="12"/>
  <c r="AF396" i="12"/>
  <c r="S104" i="16"/>
  <c r="T62" i="16"/>
  <c r="U104" i="16"/>
  <c r="P566" i="21"/>
  <c r="L600" i="21"/>
  <c r="AI361" i="12"/>
  <c r="AC380" i="12"/>
  <c r="T96" i="16"/>
  <c r="T97" i="16"/>
  <c r="P600" i="21"/>
  <c r="CF18" i="18"/>
  <c r="O566" i="21"/>
  <c r="S563" i="21"/>
  <c r="R84" i="4"/>
  <c r="O68" i="2"/>
  <c r="T68" i="2"/>
  <c r="W562" i="21"/>
  <c r="J32" i="4"/>
  <c r="K33" i="4"/>
  <c r="I33" i="4"/>
  <c r="N126" i="2"/>
  <c r="Y92" i="16"/>
  <c r="Y93" i="16"/>
  <c r="T68" i="16"/>
  <c r="T67" i="16"/>
  <c r="U569" i="21"/>
  <c r="T569" i="21"/>
  <c r="B102" i="8"/>
  <c r="L98" i="8"/>
  <c r="B111" i="8"/>
  <c r="L107" i="8"/>
  <c r="AQ588" i="21"/>
  <c r="AM587" i="21"/>
  <c r="AD384" i="12"/>
  <c r="AE384" i="12"/>
  <c r="U354" i="12"/>
  <c r="AD381" i="12"/>
  <c r="AE382" i="12"/>
  <c r="AD382" i="12"/>
  <c r="P584" i="21"/>
  <c r="W563" i="21"/>
  <c r="AD93" i="4"/>
  <c r="K592" i="21"/>
  <c r="CF23" i="18"/>
  <c r="X575" i="21"/>
  <c r="S585" i="21"/>
  <c r="N101" i="2"/>
  <c r="T66" i="16"/>
  <c r="F115" i="8"/>
  <c r="P114" i="8"/>
  <c r="CF19" i="18"/>
  <c r="AB103" i="16"/>
  <c r="AG587" i="21"/>
  <c r="W86" i="16"/>
  <c r="O123" i="8"/>
  <c r="O122" i="8"/>
  <c r="O125" i="8"/>
  <c r="O126" i="8"/>
  <c r="AE133" i="15"/>
  <c r="N128" i="15"/>
  <c r="Z128" i="15"/>
  <c r="AD128" i="15"/>
  <c r="Q95" i="4"/>
  <c r="N84" i="4"/>
  <c r="Y103" i="4"/>
  <c r="L93" i="4"/>
  <c r="AD84" i="4"/>
  <c r="K84" i="4"/>
  <c r="I93" i="4"/>
  <c r="T84" i="4"/>
  <c r="S93" i="4"/>
  <c r="Z84" i="4"/>
  <c r="P88" i="4"/>
  <c r="R93" i="4"/>
  <c r="Q93" i="4"/>
  <c r="AB93" i="4"/>
  <c r="J88" i="4"/>
  <c r="AG103" i="4"/>
  <c r="E77" i="15"/>
  <c r="AK28" i="15"/>
  <c r="AL28" i="15"/>
  <c r="AC128" i="15"/>
  <c r="AD123" i="15"/>
  <c r="N11" i="4"/>
  <c r="N9" i="2"/>
  <c r="O121" i="8"/>
  <c r="AC93" i="4"/>
  <c r="U584" i="21"/>
  <c r="AI363" i="12"/>
  <c r="N15" i="2"/>
  <c r="AG128" i="15"/>
  <c r="Q128" i="15"/>
  <c r="O108" i="8"/>
  <c r="O110" i="8"/>
  <c r="AN587" i="21"/>
  <c r="L11" i="4"/>
  <c r="J92" i="16"/>
  <c r="J93" i="16"/>
  <c r="U575" i="21"/>
  <c r="CF12" i="18"/>
  <c r="O580" i="21"/>
  <c r="P518" i="21"/>
  <c r="R95" i="4"/>
  <c r="Y88" i="4"/>
  <c r="O116" i="8"/>
  <c r="O113" i="8"/>
  <c r="O114" i="8"/>
  <c r="O115" i="8"/>
  <c r="O117" i="8"/>
  <c r="O118" i="8"/>
  <c r="O119" i="8"/>
  <c r="AC103" i="4"/>
  <c r="W555" i="21"/>
  <c r="X555" i="21"/>
  <c r="AT53" i="4"/>
  <c r="AU53" i="4"/>
  <c r="AE92" i="4"/>
  <c r="AE93" i="4"/>
  <c r="N114" i="2"/>
  <c r="AP587" i="21"/>
  <c r="AP588" i="21"/>
  <c r="AC115" i="15"/>
  <c r="AC116" i="15"/>
  <c r="I35" i="4"/>
  <c r="AB84" i="4"/>
  <c r="AE66" i="16"/>
  <c r="F126" i="8"/>
  <c r="P129" i="8"/>
  <c r="Q110" i="8"/>
  <c r="D127" i="8"/>
  <c r="N130" i="8"/>
  <c r="R78" i="23"/>
  <c r="O78" i="23"/>
  <c r="B85" i="23"/>
  <c r="B88" i="23"/>
  <c r="B86" i="23"/>
  <c r="S93" i="16"/>
  <c r="AE93" i="16"/>
  <c r="Y96" i="16"/>
  <c r="Y97" i="16"/>
  <c r="U600" i="21"/>
  <c r="S66" i="16"/>
  <c r="F114" i="8"/>
  <c r="P113" i="8"/>
  <c r="X96" i="16"/>
  <c r="X97" i="16"/>
  <c r="T600" i="21"/>
  <c r="R92" i="16"/>
  <c r="R93" i="16"/>
  <c r="S96" i="16"/>
  <c r="S97" i="16"/>
  <c r="O600" i="21"/>
  <c r="B98" i="16"/>
  <c r="B75" i="16"/>
  <c r="AB96" i="16"/>
  <c r="AB97" i="16"/>
  <c r="X600" i="21"/>
  <c r="R67" i="16"/>
  <c r="U66" i="16"/>
  <c r="F116" i="8"/>
  <c r="P115" i="8"/>
  <c r="U103" i="16"/>
  <c r="AG40" i="4"/>
  <c r="AG79" i="4"/>
  <c r="X66" i="16"/>
  <c r="F119" i="8"/>
  <c r="P118" i="8"/>
  <c r="AC40" i="4"/>
  <c r="H62" i="16"/>
  <c r="G62" i="16"/>
  <c r="S101" i="16"/>
  <c r="B101" i="16"/>
  <c r="AC93" i="16"/>
  <c r="AF40" i="4"/>
  <c r="AF79" i="4"/>
  <c r="Y86" i="16"/>
  <c r="AE40" i="4"/>
  <c r="AE79" i="4"/>
  <c r="AH40" i="4"/>
  <c r="AH79" i="4"/>
  <c r="AE96" i="16"/>
  <c r="AE97" i="16"/>
  <c r="AA600" i="21"/>
  <c r="AH84" i="4"/>
  <c r="N128" i="2"/>
  <c r="S96" i="4"/>
  <c r="R96" i="4"/>
  <c r="B95" i="16"/>
  <c r="U96" i="16"/>
  <c r="U97" i="16"/>
  <c r="Q600" i="21"/>
  <c r="K87" i="2"/>
  <c r="M88" i="2"/>
  <c r="O67" i="15"/>
  <c r="O76" i="15"/>
  <c r="O82" i="15"/>
  <c r="N90" i="15"/>
  <c r="E88" i="15"/>
  <c r="AL88" i="15"/>
  <c r="M96" i="15"/>
  <c r="AK97" i="15"/>
  <c r="C132" i="15"/>
  <c r="C133" i="15"/>
  <c r="AG396" i="12"/>
  <c r="AH395" i="12"/>
  <c r="AH396" i="12"/>
  <c r="AI396" i="12"/>
  <c r="X42" i="15"/>
  <c r="X128" i="15"/>
  <c r="M53" i="15"/>
  <c r="E51" i="15"/>
  <c r="C51" i="15"/>
  <c r="C52" i="15"/>
  <c r="M15" i="15"/>
  <c r="O44" i="2"/>
  <c r="T44" i="2"/>
  <c r="J33" i="4"/>
  <c r="T51" i="2"/>
  <c r="V575" i="21"/>
  <c r="CF21" i="18"/>
  <c r="CE54" i="18"/>
  <c r="Y93" i="4"/>
  <c r="AH116" i="15"/>
  <c r="B94" i="16"/>
  <c r="E8" i="15"/>
  <c r="U105" i="15"/>
  <c r="B99" i="16"/>
  <c r="S39" i="15"/>
  <c r="Q88" i="4"/>
  <c r="CF9" i="18"/>
  <c r="AO587" i="21"/>
  <c r="AO588" i="21"/>
  <c r="M372" i="12"/>
  <c r="N372" i="12"/>
  <c r="C372" i="12"/>
  <c r="AD40" i="4"/>
  <c r="B87" i="23"/>
  <c r="K92" i="16"/>
  <c r="V62" i="4"/>
  <c r="V101" i="4"/>
  <c r="B87" i="16"/>
  <c r="B80" i="23"/>
  <c r="B89" i="23"/>
  <c r="B81" i="23"/>
  <c r="B84" i="23"/>
  <c r="B91" i="23"/>
  <c r="Q92" i="16"/>
  <c r="Q93" i="16"/>
  <c r="M92" i="16"/>
  <c r="M93" i="16"/>
  <c r="I92" i="16"/>
  <c r="I93" i="16"/>
  <c r="D30" i="8"/>
  <c r="U128" i="15"/>
  <c r="U42" i="15"/>
  <c r="AT59" i="4"/>
  <c r="P99" i="4"/>
  <c r="C22" i="15"/>
  <c r="C23" i="15"/>
  <c r="O24" i="15"/>
  <c r="C378" i="12"/>
  <c r="O124" i="2"/>
  <c r="N108" i="15"/>
  <c r="Q39" i="15"/>
  <c r="AK37" i="15"/>
  <c r="AL37" i="15"/>
  <c r="X64" i="15"/>
  <c r="Q116" i="2"/>
  <c r="R117" i="2"/>
  <c r="S117" i="2"/>
  <c r="AD131" i="15"/>
  <c r="C80" i="15"/>
  <c r="C81" i="15"/>
  <c r="S128" i="15"/>
  <c r="S42" i="15"/>
  <c r="V7" i="15"/>
  <c r="I76" i="4"/>
  <c r="AI115" i="15"/>
  <c r="AI116" i="15"/>
  <c r="U93" i="4"/>
  <c r="AE7" i="15"/>
  <c r="P92" i="16"/>
  <c r="P93" i="16"/>
  <c r="B91" i="16"/>
  <c r="AC35" i="5"/>
  <c r="CK54" i="18"/>
  <c r="AE41" i="5"/>
  <c r="AF25" i="5"/>
  <c r="AH25" i="5"/>
  <c r="Y111" i="15"/>
  <c r="AK109" i="15"/>
  <c r="AL109" i="15"/>
  <c r="AB92" i="16"/>
  <c r="AB93" i="16"/>
  <c r="Q580" i="21"/>
  <c r="P580" i="21"/>
  <c r="U68" i="16"/>
  <c r="E122" i="15"/>
  <c r="O96" i="15"/>
  <c r="M102" i="15"/>
  <c r="AK100" i="15"/>
  <c r="AL100" i="15"/>
  <c r="E311" i="12"/>
  <c r="C311" i="12"/>
  <c r="E336" i="12"/>
  <c r="V584" i="21"/>
  <c r="L45" i="15"/>
  <c r="C43" i="15"/>
  <c r="C44" i="15"/>
  <c r="R64" i="15"/>
  <c r="T112" i="2"/>
  <c r="D110" i="8"/>
  <c r="N106" i="8"/>
  <c r="R106" i="8"/>
  <c r="B38" i="8"/>
  <c r="U24" i="15"/>
  <c r="AK103" i="15"/>
  <c r="AL103" i="15"/>
  <c r="E103" i="15"/>
  <c r="AA105" i="15"/>
  <c r="AT63" i="4"/>
  <c r="O6" i="2"/>
  <c r="O19" i="2"/>
  <c r="O93" i="4"/>
  <c r="N27" i="2"/>
  <c r="M55" i="2"/>
  <c r="L76" i="15"/>
  <c r="S380" i="12"/>
  <c r="R380" i="12"/>
  <c r="T102" i="4"/>
  <c r="T103" i="4"/>
  <c r="AD115" i="15"/>
  <c r="AD116" i="15"/>
  <c r="AD105" i="15"/>
  <c r="V565" i="21"/>
  <c r="W565" i="21"/>
  <c r="F590" i="21"/>
  <c r="F592" i="21"/>
  <c r="Q85" i="15"/>
  <c r="Y42" i="15"/>
  <c r="Y128" i="15"/>
  <c r="Z64" i="15"/>
  <c r="Z115" i="15"/>
  <c r="Z116" i="15"/>
  <c r="D105" i="8"/>
  <c r="N101" i="8"/>
  <c r="R101" i="8"/>
  <c r="B33" i="8"/>
  <c r="T53" i="15"/>
  <c r="S139" i="15"/>
  <c r="R139" i="15"/>
  <c r="R113" i="15"/>
  <c r="R114" i="15"/>
  <c r="R137" i="15"/>
  <c r="S137" i="15"/>
  <c r="O53" i="2"/>
  <c r="T53" i="2"/>
  <c r="O104" i="2"/>
  <c r="T104" i="2"/>
  <c r="D102" i="8"/>
  <c r="N98" i="8"/>
  <c r="R98" i="8"/>
  <c r="B30" i="8"/>
  <c r="M374" i="12"/>
  <c r="N374" i="12"/>
  <c r="C77" i="15"/>
  <c r="C78" i="15"/>
  <c r="O79" i="15"/>
  <c r="AK77" i="15"/>
  <c r="AL77" i="15"/>
  <c r="C363" i="12"/>
  <c r="J35" i="4"/>
  <c r="R42" i="15"/>
  <c r="L64" i="15"/>
  <c r="S67" i="15"/>
  <c r="B76" i="16"/>
  <c r="B71" i="16"/>
  <c r="E13" i="15"/>
  <c r="R15" i="15"/>
  <c r="AB66" i="16"/>
  <c r="F123" i="8"/>
  <c r="P122" i="8"/>
  <c r="AK31" i="15"/>
  <c r="AL31" i="15"/>
  <c r="N36" i="2"/>
  <c r="T113" i="2"/>
  <c r="X59" i="15"/>
  <c r="E109" i="15"/>
  <c r="T114" i="2"/>
  <c r="D112" i="8"/>
  <c r="N108" i="8"/>
  <c r="R108" i="8"/>
  <c r="B40" i="8"/>
  <c r="M108" i="15"/>
  <c r="T586" i="21"/>
  <c r="S586" i="21"/>
  <c r="E361" i="12"/>
  <c r="N36" i="15"/>
  <c r="M39" i="15"/>
  <c r="AF128" i="15"/>
  <c r="AD35" i="5"/>
  <c r="O128" i="2"/>
  <c r="R96" i="16"/>
  <c r="R97" i="16"/>
  <c r="B83" i="23"/>
  <c r="Z41" i="5"/>
  <c r="AF103" i="4"/>
  <c r="AJ41" i="5"/>
  <c r="B90" i="23"/>
  <c r="AA581" i="21"/>
  <c r="AA42" i="15"/>
  <c r="W569" i="21"/>
  <c r="AD96" i="16"/>
  <c r="AD97" i="16"/>
  <c r="Z600" i="21"/>
  <c r="E137" i="8"/>
  <c r="O140" i="8"/>
  <c r="O112" i="15"/>
  <c r="N112" i="15"/>
  <c r="M112" i="15"/>
  <c r="M113" i="15"/>
  <c r="M115" i="15"/>
  <c r="M116" i="15"/>
  <c r="W584" i="21"/>
  <c r="V68" i="16"/>
  <c r="V67" i="16"/>
  <c r="F588" i="21"/>
  <c r="F587" i="21"/>
  <c r="W68" i="16"/>
  <c r="W67" i="16"/>
  <c r="X584" i="21"/>
  <c r="Y584" i="21"/>
  <c r="Z584" i="21"/>
  <c r="U48" i="15"/>
  <c r="U115" i="15"/>
  <c r="U116" i="15"/>
  <c r="S48" i="15"/>
  <c r="B85" i="16"/>
  <c r="B74" i="16"/>
  <c r="AU62" i="4"/>
  <c r="W101" i="4"/>
  <c r="N64" i="2"/>
  <c r="O10" i="15"/>
  <c r="AT62" i="4"/>
  <c r="J36" i="4"/>
  <c r="P99" i="15"/>
  <c r="T592" i="21"/>
  <c r="K35" i="4"/>
  <c r="U59" i="15"/>
  <c r="E57" i="15"/>
  <c r="H13" i="10"/>
  <c r="H14" i="10"/>
  <c r="T70" i="2"/>
  <c r="N116" i="2"/>
  <c r="T128" i="15"/>
  <c r="R116" i="2"/>
  <c r="S116" i="2"/>
  <c r="K101" i="4"/>
  <c r="T80" i="2"/>
  <c r="S95" i="4"/>
  <c r="O56" i="2"/>
  <c r="T56" i="2"/>
  <c r="L30" i="15"/>
  <c r="E28" i="15"/>
  <c r="Q76" i="15"/>
  <c r="C307" i="12"/>
  <c r="N130" i="2"/>
  <c r="AH366" i="12"/>
  <c r="AI367" i="12"/>
  <c r="AG367" i="12"/>
  <c r="C309" i="12"/>
  <c r="E363" i="12"/>
  <c r="C106" i="15"/>
  <c r="C107" i="15"/>
  <c r="N100" i="2"/>
  <c r="L108" i="15"/>
  <c r="O84" i="4"/>
  <c r="Y575" i="21"/>
  <c r="AL41" i="5"/>
  <c r="T130" i="2"/>
  <c r="D128" i="8"/>
  <c r="N131" i="8"/>
  <c r="V66" i="16"/>
  <c r="Z103" i="4"/>
  <c r="W88" i="4"/>
  <c r="AM29" i="5"/>
  <c r="AB584" i="21"/>
  <c r="AC584" i="21"/>
  <c r="AB128" i="15"/>
  <c r="C3" i="5"/>
  <c r="AD88" i="4"/>
  <c r="U88" i="4"/>
  <c r="T95" i="4"/>
  <c r="AH367" i="12"/>
  <c r="F117" i="8"/>
  <c r="P116" i="8"/>
  <c r="U95" i="4"/>
  <c r="V95" i="4"/>
  <c r="W95" i="4"/>
  <c r="X95" i="4"/>
  <c r="AF55" i="4"/>
  <c r="AN55" i="4"/>
  <c r="AN95" i="4"/>
  <c r="Y95" i="4"/>
  <c r="AG55" i="4"/>
  <c r="Z95" i="4"/>
  <c r="AH55" i="4"/>
  <c r="AP55" i="4"/>
  <c r="AH95" i="4"/>
  <c r="AI55" i="4"/>
  <c r="AJ95" i="4"/>
  <c r="AQ55" i="4"/>
  <c r="AI95" i="4"/>
  <c r="AA95" i="4"/>
  <c r="AB95" i="4"/>
  <c r="AJ55" i="4"/>
  <c r="AR55" i="4"/>
  <c r="AK55" i="4"/>
  <c r="AS55" i="4"/>
  <c r="AK95" i="4"/>
  <c r="AC95" i="4"/>
  <c r="AD95" i="4"/>
  <c r="Y587" i="21"/>
  <c r="Y588" i="21"/>
  <c r="AJ588" i="21"/>
  <c r="AJ587" i="21"/>
  <c r="Y29" i="5"/>
  <c r="C28" i="5"/>
  <c r="AE25" i="5"/>
  <c r="C20" i="5"/>
  <c r="AA578" i="21"/>
  <c r="AB578" i="21"/>
  <c r="C575" i="21"/>
  <c r="CF2" i="18"/>
  <c r="CF3" i="18"/>
  <c r="CF14" i="18"/>
  <c r="CF16" i="18"/>
  <c r="CF22" i="18"/>
  <c r="AE29" i="5"/>
  <c r="AA29" i="5"/>
  <c r="AL29" i="5"/>
  <c r="P588" i="21"/>
  <c r="P592" i="21"/>
  <c r="O575" i="21"/>
  <c r="AH35" i="5"/>
  <c r="AK29" i="5"/>
  <c r="Z25" i="5"/>
  <c r="AJ29" i="5"/>
  <c r="C27" i="5"/>
  <c r="C588" i="21"/>
  <c r="T588" i="21"/>
  <c r="O555" i="21"/>
  <c r="N555" i="21"/>
  <c r="Q555" i="21"/>
  <c r="P555" i="21"/>
  <c r="AE555" i="21"/>
  <c r="C7" i="5"/>
  <c r="AH41" i="5"/>
  <c r="AB41" i="5"/>
  <c r="Z29" i="5"/>
  <c r="C24" i="5"/>
  <c r="C30" i="5"/>
  <c r="Y592" i="21"/>
  <c r="C592" i="21"/>
  <c r="C43" i="5"/>
  <c r="AA35" i="5"/>
  <c r="C32" i="5"/>
  <c r="E592" i="21"/>
  <c r="E588" i="21"/>
  <c r="C16" i="5"/>
  <c r="L587" i="21"/>
  <c r="L588" i="21"/>
  <c r="Z592" i="21"/>
  <c r="CJ54" i="18"/>
  <c r="Y35" i="5"/>
  <c r="C34" i="5"/>
  <c r="AN25" i="5"/>
  <c r="C18" i="5"/>
  <c r="AG41" i="5"/>
  <c r="Z35" i="5"/>
  <c r="AB35" i="5"/>
  <c r="Z588" i="21"/>
  <c r="C26" i="5"/>
  <c r="W590" i="21"/>
  <c r="W592" i="21"/>
  <c r="CI54" i="18"/>
  <c r="U563" i="21"/>
  <c r="T563" i="21"/>
  <c r="AE581" i="21"/>
  <c r="C8" i="5"/>
  <c r="C14" i="5"/>
  <c r="Q587" i="21"/>
  <c r="Q588" i="21"/>
  <c r="D575" i="21"/>
  <c r="C10" i="5"/>
  <c r="C42" i="5"/>
  <c r="C37" i="5"/>
  <c r="P587" i="21"/>
  <c r="L592" i="21"/>
  <c r="AM41" i="5"/>
  <c r="Y41" i="5"/>
  <c r="AL588" i="21"/>
  <c r="AL587" i="21"/>
  <c r="AF41" i="5"/>
  <c r="G590" i="21"/>
  <c r="G592" i="21"/>
  <c r="G587" i="21"/>
  <c r="AH590" i="21"/>
  <c r="AB25" i="5"/>
  <c r="AP29" i="5"/>
  <c r="Y25" i="5"/>
  <c r="D590" i="21"/>
  <c r="D588" i="21"/>
  <c r="AC590" i="21"/>
  <c r="AC588" i="21"/>
  <c r="AN29" i="5"/>
  <c r="AA25" i="5"/>
  <c r="AR25" i="5"/>
  <c r="CM54" i="18"/>
  <c r="AF590" i="21"/>
  <c r="AF592" i="21"/>
  <c r="C13" i="5"/>
  <c r="AP35" i="5"/>
  <c r="AO41" i="5"/>
  <c r="Z578" i="21"/>
  <c r="AP41" i="5"/>
  <c r="AR41" i="5"/>
  <c r="Q566" i="21"/>
  <c r="AJ35" i="5"/>
  <c r="AQ25" i="5"/>
  <c r="N590" i="21"/>
  <c r="N588" i="21"/>
  <c r="AH29" i="5"/>
  <c r="C23" i="5"/>
  <c r="R566" i="21"/>
  <c r="C12" i="5"/>
  <c r="AK25" i="5"/>
  <c r="AQ29" i="5"/>
  <c r="T133" i="2"/>
  <c r="D131" i="8"/>
  <c r="T115" i="2"/>
  <c r="D113" i="8"/>
  <c r="N109" i="8"/>
  <c r="R109" i="8"/>
  <c r="B41" i="8"/>
  <c r="T121" i="2"/>
  <c r="D119" i="8"/>
  <c r="N118" i="8"/>
  <c r="P128" i="15"/>
  <c r="P42" i="15"/>
  <c r="Q67" i="15"/>
  <c r="M110" i="8"/>
  <c r="L115" i="15"/>
  <c r="L116" i="15"/>
  <c r="C34" i="15"/>
  <c r="C35" i="15"/>
  <c r="R128" i="15"/>
  <c r="N44" i="2"/>
  <c r="I87" i="2"/>
  <c r="N87" i="2"/>
  <c r="W99" i="15"/>
  <c r="AE10" i="15"/>
  <c r="C8" i="15"/>
  <c r="C9" i="15"/>
  <c r="AK8" i="15"/>
  <c r="AL8" i="15"/>
  <c r="AL95" i="4"/>
  <c r="AU63" i="4"/>
  <c r="N58" i="2"/>
  <c r="N60" i="2"/>
  <c r="T73" i="2"/>
  <c r="D107" i="8"/>
  <c r="N103" i="8"/>
  <c r="R103" i="8"/>
  <c r="B35" i="8"/>
  <c r="O85" i="15"/>
  <c r="C83" i="15"/>
  <c r="C84" i="15"/>
  <c r="E124" i="15"/>
  <c r="C100" i="15"/>
  <c r="C101" i="15"/>
  <c r="E100" i="15"/>
  <c r="W102" i="15"/>
  <c r="AB7" i="15"/>
  <c r="AB115" i="15"/>
  <c r="AB116" i="15"/>
  <c r="S67" i="16"/>
  <c r="T94" i="2"/>
  <c r="N64" i="15"/>
  <c r="Q82" i="15"/>
  <c r="E80" i="15"/>
  <c r="C336" i="12"/>
  <c r="CH54" i="18"/>
  <c r="B79" i="16"/>
  <c r="C126" i="15"/>
  <c r="C127" i="15"/>
  <c r="U67" i="16"/>
  <c r="K93" i="16"/>
  <c r="O588" i="21"/>
  <c r="O592" i="21"/>
  <c r="O24" i="2"/>
  <c r="X590" i="21"/>
  <c r="X588" i="21"/>
  <c r="G588" i="21"/>
  <c r="Q15" i="15"/>
  <c r="C13" i="15"/>
  <c r="C14" i="15"/>
  <c r="AK22" i="15"/>
  <c r="AL22" i="15"/>
  <c r="E22" i="15"/>
  <c r="L24" i="15"/>
  <c r="E34" i="15"/>
  <c r="E97" i="15"/>
  <c r="P113" i="15"/>
  <c r="P114" i="15"/>
  <c r="Q113" i="15"/>
  <c r="Q114" i="15"/>
  <c r="AA587" i="21"/>
  <c r="E19" i="15"/>
  <c r="P21" i="15"/>
  <c r="C74" i="15"/>
  <c r="C75" i="15"/>
  <c r="R76" i="15"/>
  <c r="AD588" i="21"/>
  <c r="AA592" i="21"/>
  <c r="L36" i="15"/>
  <c r="AD592" i="21"/>
  <c r="AC79" i="4"/>
  <c r="T78" i="2"/>
  <c r="T102" i="2"/>
  <c r="O105" i="15"/>
  <c r="C367" i="12"/>
  <c r="E136" i="15"/>
  <c r="N12" i="2"/>
  <c r="AK80" i="15"/>
  <c r="AL80" i="15"/>
  <c r="L99" i="15"/>
  <c r="C97" i="15"/>
  <c r="C98" i="15"/>
  <c r="K587" i="21"/>
  <c r="K588" i="21"/>
  <c r="AE115" i="15"/>
  <c r="AE116" i="15"/>
  <c r="AK16" i="15"/>
  <c r="AL16" i="15"/>
  <c r="N37" i="2"/>
  <c r="T46" i="2"/>
  <c r="M45" i="15"/>
  <c r="AK43" i="15"/>
  <c r="AL43" i="15"/>
  <c r="M48" i="15"/>
  <c r="C140" i="15"/>
  <c r="O113" i="15"/>
  <c r="O114" i="15"/>
  <c r="V115" i="15"/>
  <c r="V116" i="15"/>
  <c r="V48" i="15"/>
  <c r="S133" i="15"/>
  <c r="R133" i="15"/>
  <c r="E132" i="15"/>
  <c r="E131" i="15"/>
  <c r="C338" i="12"/>
  <c r="AK34" i="15"/>
  <c r="AL34" i="15"/>
  <c r="I588" i="21"/>
  <c r="I592" i="21"/>
  <c r="O62" i="2"/>
  <c r="T62" i="2"/>
  <c r="N82" i="2"/>
  <c r="O42" i="15"/>
  <c r="O128" i="15"/>
  <c r="C94" i="15"/>
  <c r="C95" i="15"/>
  <c r="P96" i="15"/>
  <c r="L102" i="4"/>
  <c r="L103" i="4"/>
  <c r="AE590" i="21"/>
  <c r="AE592" i="21"/>
  <c r="B81" i="16"/>
  <c r="AJ66" i="16"/>
  <c r="F131" i="8"/>
  <c r="J76" i="4"/>
  <c r="S115" i="15"/>
  <c r="S116" i="15"/>
  <c r="L73" i="15"/>
  <c r="C103" i="15"/>
  <c r="C104" i="15"/>
  <c r="T120" i="2"/>
  <c r="D118" i="8"/>
  <c r="N117" i="8"/>
  <c r="U348" i="12"/>
  <c r="C348" i="12"/>
  <c r="AE394" i="12"/>
  <c r="AD394" i="12"/>
  <c r="V84" i="4"/>
  <c r="O93" i="16"/>
  <c r="N30" i="2"/>
  <c r="C369" i="12"/>
  <c r="AK5" i="15"/>
  <c r="AL5" i="15"/>
  <c r="T96" i="2"/>
  <c r="T123" i="2"/>
  <c r="D121" i="8"/>
  <c r="N120" i="8"/>
  <c r="R120" i="8"/>
  <c r="S135" i="8"/>
  <c r="V42" i="15"/>
  <c r="C17" i="5"/>
  <c r="O21" i="2"/>
  <c r="U590" i="21"/>
  <c r="U587" i="21"/>
  <c r="T58" i="2"/>
  <c r="E348" i="12"/>
  <c r="AB509" i="21"/>
  <c r="AB562" i="21"/>
  <c r="AA562" i="21"/>
  <c r="T134" i="2"/>
  <c r="X68" i="16"/>
  <c r="Y57" i="16"/>
  <c r="Z57" i="16"/>
  <c r="T122" i="2"/>
  <c r="D120" i="8"/>
  <c r="N119" i="8"/>
  <c r="R88" i="4"/>
  <c r="R131" i="15"/>
  <c r="AE380" i="12"/>
  <c r="N42" i="2"/>
  <c r="H590" i="21"/>
  <c r="AF93" i="4"/>
  <c r="AI41" i="5"/>
  <c r="AF35" i="5"/>
  <c r="AO25" i="5"/>
  <c r="B92" i="23"/>
  <c r="AL67" i="16"/>
  <c r="G133" i="8"/>
  <c r="AC563" i="21"/>
  <c r="AB563" i="21"/>
  <c r="J592" i="21"/>
  <c r="Z93" i="16"/>
  <c r="C9" i="5"/>
  <c r="AG29" i="5"/>
  <c r="AF86" i="16"/>
  <c r="B86" i="16"/>
  <c r="B84" i="16"/>
  <c r="AB590" i="21"/>
  <c r="AB587" i="21"/>
  <c r="AB592" i="21"/>
  <c r="E359" i="12"/>
  <c r="AM99" i="4"/>
  <c r="AN99" i="4"/>
  <c r="T132" i="2"/>
  <c r="D130" i="8"/>
  <c r="D132" i="8"/>
  <c r="C21" i="5"/>
  <c r="AE55" i="4"/>
  <c r="AE95" i="4"/>
  <c r="AF361" i="12"/>
  <c r="C361" i="12"/>
  <c r="C6" i="5"/>
  <c r="AN77" i="4"/>
  <c r="AM77" i="4"/>
  <c r="AQ41" i="5"/>
  <c r="AF29" i="5"/>
  <c r="AH93" i="4"/>
  <c r="AG96" i="16"/>
  <c r="AG97" i="16"/>
  <c r="AG592" i="21"/>
  <c r="AM35" i="5"/>
  <c r="Q125" i="8"/>
  <c r="Q126" i="8"/>
  <c r="AH67" i="16"/>
  <c r="G129" i="8"/>
  <c r="Q132" i="8"/>
  <c r="W84" i="4"/>
  <c r="Z569" i="21"/>
  <c r="U78" i="23"/>
  <c r="U79" i="23"/>
  <c r="B79" i="23"/>
  <c r="B82" i="16"/>
  <c r="C15" i="5"/>
  <c r="AI67" i="16"/>
  <c r="G130" i="8"/>
  <c r="CL54" i="18"/>
  <c r="AA54" i="16"/>
  <c r="AA105" i="16"/>
  <c r="D592" i="21"/>
  <c r="D587" i="21"/>
  <c r="N592" i="21"/>
  <c r="N587" i="21"/>
  <c r="AF587" i="21"/>
  <c r="AF588" i="21"/>
  <c r="C25" i="5"/>
  <c r="W588" i="21"/>
  <c r="W587" i="21"/>
  <c r="AC587" i="21"/>
  <c r="AC592" i="21"/>
  <c r="C37" i="8"/>
  <c r="U588" i="21"/>
  <c r="AB54" i="16"/>
  <c r="AM55" i="4"/>
  <c r="AM95" i="4"/>
  <c r="AF95" i="4"/>
  <c r="AC600" i="21"/>
  <c r="L112" i="15"/>
  <c r="X587" i="21"/>
  <c r="AB588" i="21"/>
  <c r="H588" i="21"/>
  <c r="H592" i="21"/>
  <c r="H587" i="21"/>
  <c r="G87" i="2"/>
  <c r="I88" i="2"/>
  <c r="O88" i="2"/>
  <c r="T88" i="2"/>
  <c r="O87" i="2"/>
  <c r="T87" i="2"/>
  <c r="O115" i="15"/>
  <c r="O116" i="15"/>
  <c r="AY43" i="4"/>
  <c r="B88" i="16"/>
  <c r="AN67" i="16"/>
  <c r="G135" i="8"/>
  <c r="AH600" i="21"/>
  <c r="J6" i="4"/>
  <c r="O6" i="4"/>
  <c r="R6" i="4"/>
  <c r="B6" i="4"/>
  <c r="AY57" i="4"/>
  <c r="AY38" i="4"/>
  <c r="AY54" i="4"/>
  <c r="AY52" i="4"/>
  <c r="AY47" i="4"/>
  <c r="AY51" i="4"/>
  <c r="J10" i="4"/>
  <c r="O10" i="4"/>
  <c r="AH10" i="4"/>
  <c r="AJ10" i="4"/>
  <c r="AY63" i="4"/>
  <c r="AY62" i="4"/>
  <c r="B62" i="4"/>
  <c r="AY53" i="4"/>
  <c r="AY44" i="4"/>
  <c r="AL97" i="15"/>
  <c r="AU42" i="4"/>
  <c r="B42" i="4"/>
  <c r="AY45" i="4"/>
  <c r="AY60" i="4"/>
  <c r="AY49" i="4"/>
  <c r="B63" i="4"/>
  <c r="AY46" i="4"/>
  <c r="C130" i="15"/>
  <c r="C131" i="15"/>
  <c r="AY39" i="4"/>
  <c r="AY58" i="4"/>
  <c r="AY48" i="4"/>
  <c r="J14" i="4"/>
  <c r="O14" i="4"/>
  <c r="AH14" i="4"/>
  <c r="AJ14" i="4"/>
  <c r="E14" i="4"/>
  <c r="AY50" i="4"/>
  <c r="AT42" i="4"/>
  <c r="C39" i="8"/>
  <c r="S137" i="8"/>
  <c r="AA57" i="16"/>
  <c r="Z68" i="16"/>
  <c r="Z67" i="16"/>
  <c r="S592" i="21"/>
  <c r="S588" i="21"/>
  <c r="S587" i="21"/>
  <c r="AT55" i="4"/>
  <c r="N600" i="21"/>
  <c r="E374" i="12"/>
  <c r="C374" i="12"/>
  <c r="T106" i="2"/>
  <c r="D104" i="8"/>
  <c r="N100" i="8"/>
  <c r="R100" i="8"/>
  <c r="B32" i="8"/>
  <c r="B36" i="4"/>
  <c r="P48" i="15"/>
  <c r="AK46" i="15"/>
  <c r="P115" i="15"/>
  <c r="P116" i="15"/>
  <c r="C46" i="15"/>
  <c r="C47" i="15"/>
  <c r="E49" i="15"/>
  <c r="C49" i="15"/>
  <c r="C50" i="15"/>
  <c r="N67" i="15"/>
  <c r="C65" i="15"/>
  <c r="C66" i="15"/>
  <c r="AK65" i="15"/>
  <c r="AL65" i="15"/>
  <c r="O141" i="8"/>
  <c r="R140" i="8"/>
  <c r="S140" i="8"/>
  <c r="N97" i="2"/>
  <c r="E130" i="15"/>
  <c r="M125" i="8"/>
  <c r="M126" i="8"/>
  <c r="M142" i="8"/>
  <c r="X21" i="15"/>
  <c r="C19" i="15"/>
  <c r="C20" i="15"/>
  <c r="F46" i="9"/>
  <c r="T128" i="2"/>
  <c r="D126" i="8"/>
  <c r="N129" i="8"/>
  <c r="AC105" i="16"/>
  <c r="AB105" i="16"/>
  <c r="M114" i="15"/>
  <c r="X115" i="15"/>
  <c r="X116" i="15"/>
  <c r="S382" i="12"/>
  <c r="R382" i="12"/>
  <c r="E46" i="15"/>
  <c r="M592" i="21"/>
  <c r="M588" i="21"/>
  <c r="M587" i="21"/>
  <c r="Q115" i="15"/>
  <c r="Q116" i="15"/>
  <c r="X67" i="16"/>
  <c r="F120" i="8"/>
  <c r="P119" i="8"/>
  <c r="R119" i="8"/>
  <c r="Y68" i="16"/>
  <c r="Y67" i="16"/>
  <c r="AV65" i="4"/>
  <c r="B8" i="4"/>
  <c r="AM8" i="4"/>
  <c r="E8" i="4"/>
  <c r="X592" i="21"/>
  <c r="V103" i="4"/>
  <c r="E65" i="15"/>
  <c r="T124" i="2"/>
  <c r="D122" i="8"/>
  <c r="N121" i="8"/>
  <c r="R121" i="8"/>
  <c r="V134" i="2"/>
  <c r="O15" i="2"/>
  <c r="X134" i="2"/>
  <c r="W42" i="15"/>
  <c r="W128" i="15"/>
  <c r="C128" i="15"/>
  <c r="C129" i="15"/>
  <c r="C40" i="15"/>
  <c r="C41" i="15"/>
  <c r="B4" i="4"/>
  <c r="AM4" i="4"/>
  <c r="E4" i="4"/>
  <c r="D4" i="4"/>
  <c r="AH592" i="21"/>
  <c r="AH588" i="21"/>
  <c r="AH587" i="21"/>
  <c r="AD79" i="4"/>
  <c r="AT40" i="4"/>
  <c r="AU40" i="4"/>
  <c r="B40" i="4"/>
  <c r="AE587" i="21"/>
  <c r="AE588" i="21"/>
  <c r="AO55" i="4"/>
  <c r="AG95" i="4"/>
  <c r="N56" i="2"/>
  <c r="N76" i="15"/>
  <c r="AK74" i="15"/>
  <c r="AL74" i="15"/>
  <c r="T118" i="2"/>
  <c r="D116" i="8"/>
  <c r="N115" i="8"/>
  <c r="R115" i="8"/>
  <c r="E384" i="12"/>
  <c r="AK40" i="15"/>
  <c r="AL40" i="15"/>
  <c r="K103" i="4"/>
  <c r="I55" i="2"/>
  <c r="O55" i="2"/>
  <c r="T55" i="2"/>
  <c r="I54" i="2"/>
  <c r="O54" i="2"/>
  <c r="T54" i="2"/>
  <c r="N76" i="4"/>
  <c r="O35" i="4"/>
  <c r="AU34" i="4"/>
  <c r="AT34" i="4"/>
  <c r="O76" i="4"/>
  <c r="N35" i="4"/>
  <c r="C62" i="15"/>
  <c r="C63" i="15"/>
  <c r="T42" i="15"/>
  <c r="T115" i="15"/>
  <c r="T116" i="15"/>
  <c r="E40" i="15"/>
  <c r="R118" i="8"/>
  <c r="O20" i="2"/>
  <c r="N51" i="2"/>
  <c r="C352" i="12"/>
  <c r="C376" i="12"/>
  <c r="E376" i="12"/>
  <c r="R590" i="21"/>
  <c r="AD136" i="15"/>
  <c r="AC137" i="15"/>
  <c r="I104" i="16"/>
  <c r="W102" i="4"/>
  <c r="W103" i="4"/>
  <c r="V102" i="4"/>
  <c r="N69" i="2"/>
  <c r="T111" i="2"/>
  <c r="D109" i="8"/>
  <c r="N105" i="8"/>
  <c r="R105" i="8"/>
  <c r="W33" i="4"/>
  <c r="X32" i="4"/>
  <c r="N113" i="15"/>
  <c r="N114" i="15"/>
  <c r="U592" i="21"/>
  <c r="AK83" i="15"/>
  <c r="AL83" i="15"/>
  <c r="C380" i="12"/>
  <c r="U103" i="4"/>
  <c r="T52" i="2"/>
  <c r="D111" i="8"/>
  <c r="N107" i="8"/>
  <c r="R107" i="8"/>
  <c r="T116" i="2"/>
  <c r="D114" i="8"/>
  <c r="N113" i="8"/>
  <c r="R30" i="15"/>
  <c r="C28" i="15"/>
  <c r="C29" i="15"/>
  <c r="E94" i="15"/>
  <c r="AK94" i="15"/>
  <c r="AL94" i="15"/>
  <c r="AC562" i="21"/>
  <c r="AU55" i="4"/>
  <c r="B55" i="4"/>
  <c r="E350" i="12"/>
  <c r="AT36" i="4"/>
  <c r="AY36" i="4"/>
  <c r="AF115" i="15"/>
  <c r="AF116" i="15"/>
  <c r="L125" i="8"/>
  <c r="AY59" i="4"/>
  <c r="AB128" i="2"/>
  <c r="AK49" i="15"/>
  <c r="AL49" i="15"/>
  <c r="T104" i="16"/>
  <c r="O57" i="2"/>
  <c r="T57" i="2"/>
  <c r="T99" i="2"/>
  <c r="M120" i="15"/>
  <c r="C394" i="12"/>
  <c r="C396" i="12"/>
  <c r="R115" i="15"/>
  <c r="R116" i="15"/>
  <c r="E37" i="15"/>
  <c r="H104" i="16"/>
  <c r="O8" i="2"/>
  <c r="O11" i="2"/>
  <c r="N108" i="2"/>
  <c r="O119" i="2"/>
  <c r="T509" i="21"/>
  <c r="S562" i="21"/>
  <c r="AD138" i="15"/>
  <c r="AC139" i="15"/>
  <c r="L7" i="15"/>
  <c r="E5" i="15"/>
  <c r="C5" i="15"/>
  <c r="C6" i="15"/>
  <c r="O73" i="15"/>
  <c r="AK71" i="15"/>
  <c r="AL71" i="15"/>
  <c r="AQ95" i="4"/>
  <c r="E43" i="15"/>
  <c r="C37" i="15"/>
  <c r="C38" i="15"/>
  <c r="O22" i="2"/>
  <c r="AK62" i="15"/>
  <c r="AL62" i="15"/>
  <c r="E62" i="15"/>
  <c r="R104" i="8"/>
  <c r="B36" i="8"/>
  <c r="AK57" i="15"/>
  <c r="AL57" i="15"/>
  <c r="E71" i="15"/>
  <c r="C354" i="12"/>
  <c r="T86" i="2"/>
  <c r="T126" i="2"/>
  <c r="D124" i="8"/>
  <c r="N123" i="8"/>
  <c r="R123" i="8"/>
  <c r="C356" i="12"/>
  <c r="T512" i="21"/>
  <c r="S566" i="21"/>
  <c r="AK25" i="15"/>
  <c r="AL25" i="15"/>
  <c r="C359" i="12"/>
  <c r="AA18" i="15"/>
  <c r="AA115" i="15"/>
  <c r="AA116" i="15"/>
  <c r="AG365" i="12"/>
  <c r="AH364" i="12"/>
  <c r="O35" i="2"/>
  <c r="O39" i="2"/>
  <c r="T39" i="2"/>
  <c r="T103" i="2"/>
  <c r="AK19" i="15"/>
  <c r="V33" i="4"/>
  <c r="U33" i="4"/>
  <c r="AL35" i="5"/>
  <c r="C35" i="5"/>
  <c r="O40" i="2"/>
  <c r="T40" i="2"/>
  <c r="N50" i="2"/>
  <c r="O61" i="2"/>
  <c r="T61" i="2"/>
  <c r="AK51" i="15"/>
  <c r="AL51" i="15"/>
  <c r="O53" i="15"/>
  <c r="AG115" i="15"/>
  <c r="AG116" i="15"/>
  <c r="AF103" i="16"/>
  <c r="B103" i="16"/>
  <c r="AE103" i="16"/>
  <c r="AD66" i="16"/>
  <c r="F125" i="8"/>
  <c r="P124" i="8"/>
  <c r="AD92" i="16"/>
  <c r="AD93" i="16"/>
  <c r="V93" i="4"/>
  <c r="CG54" i="18"/>
  <c r="I575" i="21"/>
  <c r="CF8" i="18"/>
  <c r="CF54" i="18"/>
  <c r="N18" i="2"/>
  <c r="O108" i="2"/>
  <c r="E380" i="12"/>
  <c r="H575" i="21"/>
  <c r="CF7" i="18"/>
  <c r="N16" i="2"/>
  <c r="N86" i="2"/>
  <c r="O93" i="2"/>
  <c r="T93" i="2"/>
  <c r="C88" i="15"/>
  <c r="C89" i="15"/>
  <c r="C124" i="15"/>
  <c r="C125" i="15"/>
  <c r="C68" i="15"/>
  <c r="C69" i="15"/>
  <c r="E68" i="15"/>
  <c r="O70" i="15"/>
  <c r="U56" i="4"/>
  <c r="T96" i="4"/>
  <c r="O14" i="2"/>
  <c r="AK13" i="15"/>
  <c r="AL13" i="15"/>
  <c r="E106" i="15"/>
  <c r="E138" i="15"/>
  <c r="E142" i="15"/>
  <c r="C142" i="15"/>
  <c r="C143" i="15"/>
  <c r="Y115" i="15"/>
  <c r="Y116" i="15"/>
  <c r="AC66" i="16"/>
  <c r="F124" i="8"/>
  <c r="P123" i="8"/>
  <c r="C44" i="5"/>
  <c r="B72" i="16"/>
  <c r="AF104" i="16"/>
  <c r="B100" i="16"/>
  <c r="O105" i="2"/>
  <c r="T127" i="2"/>
  <c r="D125" i="8"/>
  <c r="N124" i="8"/>
  <c r="R124" i="8"/>
  <c r="V590" i="21"/>
  <c r="W93" i="4"/>
  <c r="U92" i="16"/>
  <c r="U93" i="16"/>
  <c r="B93" i="16"/>
  <c r="B90" i="16"/>
  <c r="B80" i="16"/>
  <c r="AL66" i="16"/>
  <c r="F133" i="8"/>
  <c r="AL92" i="16"/>
  <c r="AL93" i="16"/>
  <c r="O117" i="2"/>
  <c r="Z580" i="21"/>
  <c r="AA580" i="21"/>
  <c r="L141" i="8"/>
  <c r="AI103" i="4"/>
  <c r="C31" i="5"/>
  <c r="AA66" i="16"/>
  <c r="F122" i="8"/>
  <c r="P121" i="8"/>
  <c r="N133" i="2"/>
  <c r="AG67" i="16"/>
  <c r="G128" i="8"/>
  <c r="Q131" i="8"/>
  <c r="B70" i="16"/>
  <c r="AK35" i="5"/>
  <c r="C22" i="5"/>
  <c r="O131" i="2"/>
  <c r="AG66" i="16"/>
  <c r="F128" i="8"/>
  <c r="P131" i="8"/>
  <c r="C36" i="5"/>
  <c r="T93" i="4"/>
  <c r="AI590" i="21"/>
  <c r="AI592" i="21"/>
  <c r="AC29" i="5"/>
  <c r="C29" i="5"/>
  <c r="AK67" i="16"/>
  <c r="G132" i="8"/>
  <c r="AN66" i="16"/>
  <c r="AT35" i="5"/>
  <c r="B73" i="16"/>
  <c r="B69" i="16"/>
  <c r="AG84" i="4"/>
  <c r="C19" i="5"/>
  <c r="W66" i="16"/>
  <c r="F118" i="8"/>
  <c r="P117" i="8"/>
  <c r="R117" i="8"/>
  <c r="AN93" i="16"/>
  <c r="AR29" i="5"/>
  <c r="C11" i="5"/>
  <c r="AS41" i="5"/>
  <c r="C41" i="5"/>
  <c r="B102" i="16"/>
  <c r="AM66" i="16"/>
  <c r="N88" i="4"/>
  <c r="C5" i="5"/>
  <c r="AK66" i="16"/>
  <c r="F132" i="8"/>
  <c r="AL60" i="16"/>
  <c r="C38" i="5"/>
  <c r="AG35" i="5"/>
  <c r="T78" i="23"/>
  <c r="B78" i="23"/>
  <c r="AP40" i="4"/>
  <c r="AP79" i="4"/>
  <c r="AL93" i="4"/>
  <c r="AA96" i="16"/>
  <c r="AA97" i="16"/>
  <c r="W600" i="21"/>
  <c r="AH6" i="4"/>
  <c r="AJ6" i="4"/>
  <c r="E6" i="4"/>
  <c r="AY42" i="4"/>
  <c r="C116" i="15"/>
  <c r="C357" i="12"/>
  <c r="C41" i="8"/>
  <c r="S124" i="8"/>
  <c r="S139" i="8"/>
  <c r="C34" i="8"/>
  <c r="S121" i="8"/>
  <c r="C38" i="8"/>
  <c r="S136" i="8"/>
  <c r="S119" i="8"/>
  <c r="C36" i="8"/>
  <c r="S134" i="8"/>
  <c r="S138" i="8"/>
  <c r="C40" i="8"/>
  <c r="S123" i="8"/>
  <c r="B39" i="8"/>
  <c r="S122" i="8"/>
  <c r="S115" i="8"/>
  <c r="C32" i="8"/>
  <c r="X33" i="4"/>
  <c r="AU33" i="4"/>
  <c r="J11" i="4"/>
  <c r="Y33" i="4"/>
  <c r="B34" i="4"/>
  <c r="AY34" i="4"/>
  <c r="R113" i="8"/>
  <c r="B97" i="16"/>
  <c r="T105" i="2"/>
  <c r="D103" i="8"/>
  <c r="N99" i="8"/>
  <c r="D32" i="8"/>
  <c r="R131" i="8"/>
  <c r="AA68" i="16"/>
  <c r="AA67" i="16"/>
  <c r="AB57" i="16"/>
  <c r="T131" i="2"/>
  <c r="D129" i="8"/>
  <c r="N132" i="8"/>
  <c r="R132" i="8"/>
  <c r="S132" i="8"/>
  <c r="T566" i="21"/>
  <c r="U512" i="21"/>
  <c r="AD139" i="15"/>
  <c r="C138" i="15"/>
  <c r="C139" i="15"/>
  <c r="AE139" i="15"/>
  <c r="L126" i="8"/>
  <c r="T117" i="2"/>
  <c r="D115" i="8"/>
  <c r="N114" i="8"/>
  <c r="AG104" i="16"/>
  <c r="AL19" i="15"/>
  <c r="C118" i="15"/>
  <c r="C119" i="15"/>
  <c r="N121" i="15"/>
  <c r="M121" i="15"/>
  <c r="AK112" i="15"/>
  <c r="AL112" i="15"/>
  <c r="C382" i="12"/>
  <c r="E382" i="12"/>
  <c r="T562" i="21"/>
  <c r="U562" i="21"/>
  <c r="E112" i="15"/>
  <c r="AO95" i="4"/>
  <c r="AP95" i="4"/>
  <c r="V588" i="21"/>
  <c r="V587" i="21"/>
  <c r="V592" i="21"/>
  <c r="S118" i="8"/>
  <c r="C35" i="8"/>
  <c r="T119" i="2"/>
  <c r="D117" i="8"/>
  <c r="N116" i="8"/>
  <c r="R116" i="8"/>
  <c r="C112" i="15"/>
  <c r="C113" i="15"/>
  <c r="P141" i="8"/>
  <c r="P142" i="8"/>
  <c r="AL46" i="15"/>
  <c r="C134" i="15"/>
  <c r="C135" i="15"/>
  <c r="AE137" i="15"/>
  <c r="AD137" i="15"/>
  <c r="N115" i="15"/>
  <c r="N116" i="15"/>
  <c r="O142" i="8"/>
  <c r="B37" i="8"/>
  <c r="S120" i="8"/>
  <c r="N141" i="8"/>
  <c r="P125" i="8"/>
  <c r="P126" i="8"/>
  <c r="V56" i="4"/>
  <c r="U96" i="4"/>
  <c r="AH365" i="12"/>
  <c r="C365" i="12"/>
  <c r="AI365" i="12"/>
  <c r="B96" i="16"/>
  <c r="R592" i="21"/>
  <c r="R588" i="21"/>
  <c r="R587" i="21"/>
  <c r="B92" i="16"/>
  <c r="AI587" i="21"/>
  <c r="AI588" i="21"/>
  <c r="B66" i="16"/>
  <c r="L142" i="8"/>
  <c r="T108" i="2"/>
  <c r="D106" i="8"/>
  <c r="N102" i="8"/>
  <c r="R102" i="8"/>
  <c r="B34" i="8"/>
  <c r="X135" i="2"/>
  <c r="X136" i="2"/>
  <c r="AL115" i="15"/>
  <c r="O11" i="4"/>
  <c r="J12" i="4"/>
  <c r="O12" i="4"/>
  <c r="R114" i="8"/>
  <c r="N125" i="8"/>
  <c r="W56" i="4"/>
  <c r="V96" i="4"/>
  <c r="AH104" i="16"/>
  <c r="S116" i="8"/>
  <c r="C33" i="8"/>
  <c r="S131" i="8"/>
  <c r="R99" i="8"/>
  <c r="B31" i="8"/>
  <c r="N110" i="8"/>
  <c r="R110" i="8"/>
  <c r="B43" i="8"/>
  <c r="S117" i="8"/>
  <c r="AB68" i="16"/>
  <c r="AB67" i="16"/>
  <c r="AC57" i="16"/>
  <c r="E120" i="15"/>
  <c r="C120" i="15"/>
  <c r="C121" i="15"/>
  <c r="S113" i="8"/>
  <c r="C30" i="8"/>
  <c r="C136" i="15"/>
  <c r="C137" i="15"/>
  <c r="V512" i="21"/>
  <c r="U566" i="21"/>
  <c r="X56" i="4"/>
  <c r="W96" i="4"/>
  <c r="B104" i="16"/>
  <c r="AD57" i="16"/>
  <c r="AC68" i="16"/>
  <c r="AC67" i="16"/>
  <c r="N126" i="8"/>
  <c r="N142" i="8"/>
  <c r="R125" i="8"/>
  <c r="S114" i="8"/>
  <c r="C31" i="8"/>
  <c r="AH12" i="4"/>
  <c r="AJ12" i="4"/>
  <c r="E12" i="4"/>
  <c r="E25" i="4"/>
  <c r="G25" i="4"/>
  <c r="R12" i="4"/>
  <c r="B12" i="4"/>
  <c r="B25" i="4"/>
  <c r="G24" i="4"/>
  <c r="AH11" i="4"/>
  <c r="AV66" i="4"/>
  <c r="V566" i="21"/>
  <c r="W512" i="21"/>
  <c r="Y56" i="4"/>
  <c r="AF56" i="4"/>
  <c r="X96" i="4"/>
  <c r="AJ11" i="4"/>
  <c r="AX66" i="4"/>
  <c r="S125" i="8"/>
  <c r="C43" i="8"/>
  <c r="I27" i="4"/>
  <c r="G26" i="4"/>
  <c r="AE57" i="16"/>
  <c r="AD68" i="16"/>
  <c r="AD67" i="16"/>
  <c r="X512" i="21"/>
  <c r="W566" i="21"/>
  <c r="AE68" i="16"/>
  <c r="AE67" i="16"/>
  <c r="G126" i="8"/>
  <c r="Q129" i="8"/>
  <c r="AF68" i="16"/>
  <c r="AF67" i="16"/>
  <c r="AN56" i="4"/>
  <c r="AX57" i="4"/>
  <c r="AX50" i="4"/>
  <c r="AX39" i="4"/>
  <c r="AX48" i="4"/>
  <c r="AX41" i="4"/>
  <c r="AX38" i="4"/>
  <c r="AX47" i="4"/>
  <c r="AX49" i="4"/>
  <c r="G29" i="4"/>
  <c r="AX54" i="4"/>
  <c r="AX46" i="4"/>
  <c r="AX44" i="4"/>
  <c r="AX42" i="4"/>
  <c r="AX43" i="4"/>
  <c r="AX58" i="4"/>
  <c r="AX62" i="4"/>
  <c r="AX60" i="4"/>
  <c r="AX59" i="4"/>
  <c r="AX63" i="4"/>
  <c r="AX34" i="4"/>
  <c r="AX55" i="4"/>
  <c r="AX36" i="4"/>
  <c r="AX40" i="4"/>
  <c r="Y512" i="21"/>
  <c r="X566" i="21"/>
  <c r="Z56" i="4"/>
  <c r="Y96" i="4"/>
  <c r="AG56" i="4"/>
  <c r="AO56" i="4"/>
  <c r="AO96" i="4"/>
  <c r="AG96" i="4"/>
  <c r="AA56" i="4"/>
  <c r="Z96" i="4"/>
  <c r="AH56" i="4"/>
  <c r="Y566" i="21"/>
  <c r="Z512" i="21"/>
  <c r="AZ36" i="4"/>
  <c r="AX65" i="4"/>
  <c r="G127" i="8"/>
  <c r="Q130" i="8"/>
  <c r="Q141" i="8"/>
  <c r="B67" i="16"/>
  <c r="R129" i="8"/>
  <c r="S129" i="8"/>
  <c r="Q142" i="8"/>
  <c r="R141" i="8"/>
  <c r="S141" i="8"/>
  <c r="AY65" i="4"/>
  <c r="AX68" i="4"/>
  <c r="AB56" i="4"/>
  <c r="AI56" i="4"/>
  <c r="AA96" i="4"/>
  <c r="Z566" i="21"/>
  <c r="AA512" i="21"/>
  <c r="AH96" i="4"/>
  <c r="AP56" i="4"/>
  <c r="AP96" i="4"/>
  <c r="AC56" i="4"/>
  <c r="AJ56" i="4"/>
  <c r="AB96" i="4"/>
  <c r="AQ56" i="4"/>
  <c r="AQ96" i="4"/>
  <c r="AI96" i="4"/>
  <c r="AA566" i="21"/>
  <c r="AB512" i="21"/>
  <c r="AB566" i="21"/>
  <c r="AC512" i="21"/>
  <c r="AR56" i="4"/>
  <c r="AJ96" i="4"/>
  <c r="AD56" i="4"/>
  <c r="AC96" i="4"/>
  <c r="AK56" i="4"/>
  <c r="AD96" i="4"/>
  <c r="AE56" i="4"/>
  <c r="AL56" i="4"/>
  <c r="AL96" i="4"/>
  <c r="AS56" i="4"/>
  <c r="AK96" i="4"/>
  <c r="AD512" i="21"/>
  <c r="AC566" i="21"/>
  <c r="AD566" i="21"/>
  <c r="AE512" i="21"/>
  <c r="AM56" i="4"/>
  <c r="AE96" i="4"/>
  <c r="AF96" i="4"/>
  <c r="AM96" i="4"/>
  <c r="AT56" i="4"/>
  <c r="AN96" i="4"/>
  <c r="AU56" i="4"/>
  <c r="B56" i="4"/>
  <c r="AF512" i="21"/>
  <c r="AE566" i="21"/>
  <c r="AG512" i="21"/>
  <c r="AF566" i="21"/>
  <c r="AX56" i="4"/>
  <c r="AL64" i="4"/>
  <c r="G67" i="4"/>
  <c r="AJ64" i="4"/>
  <c r="G66" i="4"/>
  <c r="J71" i="4"/>
  <c r="M71" i="4"/>
  <c r="J69" i="4"/>
  <c r="AG566" i="21"/>
  <c r="AH512" i="21"/>
  <c r="AH566" i="21"/>
  <c r="AI512" i="21"/>
  <c r="J73" i="4"/>
  <c r="M69" i="4"/>
  <c r="M73" i="4"/>
  <c r="AI566" i="21"/>
  <c r="AJ512" i="21"/>
  <c r="AJ566" i="21"/>
  <c r="AK512" i="21"/>
  <c r="AK566" i="21"/>
  <c r="AL512" i="21"/>
  <c r="AL566" i="21"/>
  <c r="AM512" i="21"/>
  <c r="AM566" i="21"/>
  <c r="AN512" i="21"/>
  <c r="AN566" i="21"/>
  <c r="AO512" i="21"/>
  <c r="AO566" i="21"/>
  <c r="AP512" i="21"/>
  <c r="AP566" i="21"/>
  <c r="AQ512" i="21"/>
  <c r="AQ566" i="21"/>
  <c r="B68" i="16"/>
  <c r="G68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Maia Dean</author>
  </authors>
  <commentList>
    <comment ref="Z501" authorId="0" shapeId="0" xr:uid="{8C5E063E-53FA-4578-AF04-948B9B43A951}">
      <text>
        <r>
          <rPr>
            <sz val="10"/>
            <rFont val="Arial"/>
          </rPr>
          <t xml:space="preserve">Should be 69658 (approx) rather than 369000
</t>
        </r>
      </text>
    </comment>
  </commentList>
</comments>
</file>

<file path=xl/sharedStrings.xml><?xml version="1.0" encoding="utf-8"?>
<sst xmlns="http://schemas.openxmlformats.org/spreadsheetml/2006/main" count="4117" uniqueCount="2422">
  <si>
    <t>2022 Monthly kWh Total</t>
  </si>
  <si>
    <t>2023 Monthly kWh Total</t>
  </si>
  <si>
    <t>2024 Monthly kWh Total</t>
  </si>
  <si>
    <t xml:space="preserve">Jan 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</si>
  <si>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</si>
  <si>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</si>
  <si>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</si>
  <si>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</si>
  <si>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</si>
  <si>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</si>
  <si>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</si>
  <si>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</si>
  <si>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</si>
  <si>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</si>
  <si>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</si>
  <si>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</si>
  <si>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Total Stream DN Electricity - kWh</t>
  </si>
  <si>
    <t>MTHW - kWh</t>
  </si>
  <si>
    <t>Steam - kWh</t>
  </si>
  <si>
    <t>LPG - kWh</t>
  </si>
  <si>
    <t>Woodchip/ Pellet - kWh</t>
  </si>
  <si>
    <t>Solar - kWh</t>
  </si>
  <si>
    <t>Compare</t>
  </si>
  <si>
    <t xml:space="preserve">      </t>
  </si>
  <si>
    <t>building 
code</t>
  </si>
  <si>
    <t>location</t>
  </si>
  <si>
    <t>con-
sumption</t>
  </si>
  <si>
    <t>meter 
type</t>
  </si>
  <si>
    <t>meter 
number</t>
  </si>
  <si>
    <t>digits to read</t>
  </si>
  <si>
    <t>multi-plier 
(CT-rating)</t>
  </si>
  <si>
    <t>remark</t>
  </si>
  <si>
    <t>SUB</t>
  </si>
  <si>
    <t>CfI</t>
  </si>
  <si>
    <t>Reading 1 Dec '21</t>
  </si>
  <si>
    <t>Reading 1 Jan '22</t>
  </si>
  <si>
    <t>Reading 1 Feb '22</t>
  </si>
  <si>
    <t>Reading 1 Mar '22</t>
  </si>
  <si>
    <t>Reading 1 Apr '22</t>
  </si>
  <si>
    <t>Reading 1 May '22</t>
  </si>
  <si>
    <t>Reading 1 Jun '22</t>
  </si>
  <si>
    <t>Reading 1 Jul '22</t>
  </si>
  <si>
    <t>Reading 1 Aug '22</t>
  </si>
  <si>
    <t>Reading 1 Sep '22</t>
  </si>
  <si>
    <t>Reading 1 Oct '22</t>
  </si>
  <si>
    <t>Reading 1 Nov '22</t>
  </si>
  <si>
    <t>Reading 1 Dec '22</t>
  </si>
  <si>
    <t>Reading 1 Jan '23</t>
  </si>
  <si>
    <t>Jan '23</t>
  </si>
  <si>
    <t>Feb '23</t>
  </si>
  <si>
    <t>Mar '23</t>
  </si>
  <si>
    <t>Apr '23</t>
  </si>
  <si>
    <t xml:space="preserve"> May '23</t>
  </si>
  <si>
    <t>Jun '23</t>
  </si>
  <si>
    <t>Jul '23</t>
  </si>
  <si>
    <t>Aug '23</t>
  </si>
  <si>
    <t>Sep '23</t>
  </si>
  <si>
    <t>Oct '23</t>
  </si>
  <si>
    <t>Nov '23</t>
  </si>
  <si>
    <t>Dec '23</t>
  </si>
  <si>
    <t>Jan '24</t>
  </si>
  <si>
    <t>Feb '24</t>
  </si>
  <si>
    <t>Mar '24</t>
  </si>
  <si>
    <t>Apr '24</t>
  </si>
  <si>
    <t>May '24</t>
  </si>
  <si>
    <t>Jun '24</t>
  </si>
  <si>
    <t>Jul '24</t>
  </si>
  <si>
    <t>Aug '24</t>
  </si>
  <si>
    <t>Sep '24</t>
  </si>
  <si>
    <t>Oct '24</t>
  </si>
  <si>
    <t>Nov '24</t>
  </si>
  <si>
    <t>Dec '24</t>
  </si>
  <si>
    <t>H421</t>
  </si>
  <si>
    <t>Centre for Innovation main meters total (without Castle St houses)</t>
  </si>
  <si>
    <t>kWh</t>
  </si>
  <si>
    <t>calculated</t>
  </si>
  <si>
    <t xml:space="preserve">YB111 </t>
  </si>
  <si>
    <t>00 0E 6B 02 63 17</t>
  </si>
  <si>
    <t>Mod 1</t>
  </si>
  <si>
    <t>Centre for Innovation Landlord meter</t>
  </si>
  <si>
    <t>Janitza UMG103</t>
  </si>
  <si>
    <t>7502-2112</t>
  </si>
  <si>
    <t>online</t>
  </si>
  <si>
    <t>(80)</t>
  </si>
  <si>
    <t>slave</t>
  </si>
  <si>
    <t>Mod 3</t>
  </si>
  <si>
    <t>CfI-DB-2W</t>
  </si>
  <si>
    <t>7502-7907</t>
  </si>
  <si>
    <t>(60)</t>
  </si>
  <si>
    <t>Mod 26</t>
  </si>
  <si>
    <t>Centre for Innovation suite 1 2W1</t>
  </si>
  <si>
    <t>7502-7395</t>
  </si>
  <si>
    <t>(20)</t>
  </si>
  <si>
    <t>Mod 15</t>
  </si>
  <si>
    <t>Centre for Innovation suite 2 2W4/1</t>
  </si>
  <si>
    <t>7502-7396</t>
  </si>
  <si>
    <t>Mod 16</t>
  </si>
  <si>
    <t>Centre for Innovation suite 3 2W4/2</t>
  </si>
  <si>
    <t>7502-7908</t>
  </si>
  <si>
    <t>Mod 17</t>
  </si>
  <si>
    <t>Centre for Innovation suite 4 2W3/2</t>
  </si>
  <si>
    <t>7502-7911</t>
  </si>
  <si>
    <t>Mod 18</t>
  </si>
  <si>
    <t>Centre for Innovation suite 5 2W3/1</t>
  </si>
  <si>
    <t>7501-9756</t>
  </si>
  <si>
    <t>Mod 19</t>
  </si>
  <si>
    <t xml:space="preserve">Centre for Innovation suite 6 2W2 </t>
  </si>
  <si>
    <t>7502-2109</t>
  </si>
  <si>
    <t>Mod 20</t>
  </si>
  <si>
    <t>CfI-DB-1W</t>
  </si>
  <si>
    <t>7502-7903</t>
  </si>
  <si>
    <t>Mod 25</t>
  </si>
  <si>
    <t xml:space="preserve">Centre for Innovation suite 11 1W1 Tennant 4 </t>
  </si>
  <si>
    <t>7502-5462</t>
  </si>
  <si>
    <t>Mod 9</t>
  </si>
  <si>
    <t xml:space="preserve">Centre for Innovation suite 12 1W3/1 Tennant 5 </t>
  </si>
  <si>
    <t>7502-5466</t>
  </si>
  <si>
    <t>Mod 10</t>
  </si>
  <si>
    <t xml:space="preserve">Centre for Innovation suite 13 1W5 Tennant 6 </t>
  </si>
  <si>
    <t>7502-7400</t>
  </si>
  <si>
    <t>Mod 11</t>
  </si>
  <si>
    <t xml:space="preserve">Centre for Innovation suite 14 1W6 Tennant 1 </t>
  </si>
  <si>
    <t>Mod 12</t>
  </si>
  <si>
    <t xml:space="preserve">Centre for Innovation suite 15 1W4 Tennant 2 </t>
  </si>
  <si>
    <t>7502-7394</t>
  </si>
  <si>
    <t>Mod 13</t>
  </si>
  <si>
    <t xml:space="preserve">Centre for Innovation suite 16 1W2 Tennant 3 </t>
  </si>
  <si>
    <t>7502-7398</t>
  </si>
  <si>
    <t>Mod 14</t>
  </si>
  <si>
    <t>CfI-DB-GW</t>
  </si>
  <si>
    <t>7502-7905</t>
  </si>
  <si>
    <t>Mod 24</t>
  </si>
  <si>
    <t xml:space="preserve">Centre for Innovation suite 21 GW7/1 Tennant 4 </t>
  </si>
  <si>
    <t>7502-2111</t>
  </si>
  <si>
    <t>Mod 7</t>
  </si>
  <si>
    <t xml:space="preserve">Centre for Innovation suite 22 GW7/2 Tennant 5 </t>
  </si>
  <si>
    <t>7502-7393</t>
  </si>
  <si>
    <t>Mod 8</t>
  </si>
  <si>
    <t xml:space="preserve">Centre for Innovation suite 23 GW8 Tennant 1 </t>
  </si>
  <si>
    <t>7502-5463</t>
  </si>
  <si>
    <t>Mod 6</t>
  </si>
  <si>
    <t xml:space="preserve">Centre for Innovation suite 24 GW6/2 Tennant 2 </t>
  </si>
  <si>
    <t>7502-5464</t>
  </si>
  <si>
    <t>Mod 5</t>
  </si>
  <si>
    <t>Centre for Innovation GW6h  and corridor</t>
  </si>
  <si>
    <t>Centre for Innovation GW6f Tennant Mastaplex</t>
  </si>
  <si>
    <t>7512-6765</t>
  </si>
  <si>
    <t>Mod 34</t>
  </si>
  <si>
    <t>Centre for Innovation GW6g Tennant  Research &amp; Enterprise</t>
  </si>
  <si>
    <t>7512-6755</t>
  </si>
  <si>
    <t>Mod 33</t>
  </si>
  <si>
    <t>Centre for Innovation suite 25 GW6/1 Tennant 3</t>
  </si>
  <si>
    <t>7502-5465</t>
  </si>
  <si>
    <t>Mod 4</t>
  </si>
  <si>
    <t>H420</t>
  </si>
  <si>
    <t>Centre for Innovation  GW6 Corridor</t>
  </si>
  <si>
    <t>Centre for Innovation  GW6a Tennant Seperex USP</t>
  </si>
  <si>
    <t>7503-2683</t>
  </si>
  <si>
    <t>Mod 32</t>
  </si>
  <si>
    <t>Centre for Innovation  GW6b Tennant Seperex Wic</t>
  </si>
  <si>
    <t>7502-9188</t>
  </si>
  <si>
    <t>Mod 31</t>
  </si>
  <si>
    <t>Centre for Innovation  GW6c-e Tennant  Research &amp; Enterprise</t>
  </si>
  <si>
    <t>7502-9208</t>
  </si>
  <si>
    <t>Mod 30</t>
  </si>
  <si>
    <t>Centre for Innovation  GW6 corridor</t>
  </si>
  <si>
    <t>CfI-DB-2E</t>
  </si>
  <si>
    <t>7502-7906</t>
  </si>
  <si>
    <t>(40)</t>
  </si>
  <si>
    <t>Mod 27</t>
  </si>
  <si>
    <t xml:space="preserve">Centre for Innovation 2E Corridor </t>
  </si>
  <si>
    <t>Centre for Innovation second floor east unit 5 2E4-5</t>
  </si>
  <si>
    <t>Janitza UMG104</t>
  </si>
  <si>
    <t>7512-6764</t>
  </si>
  <si>
    <t>Mod 35</t>
  </si>
  <si>
    <t>Centre for Innovation second floor east unit 3 2E3</t>
  </si>
  <si>
    <t>Janitza UMG105</t>
  </si>
  <si>
    <t>7502-7910</t>
  </si>
  <si>
    <t>Mod 21</t>
  </si>
  <si>
    <t>CfI-DB-1E</t>
  </si>
  <si>
    <t>7502-7904</t>
  </si>
  <si>
    <t>Mod 28</t>
  </si>
  <si>
    <t>Centre for Innovation first floor east unit 3</t>
  </si>
  <si>
    <t>7502-7901</t>
  </si>
  <si>
    <t>Mod 22</t>
  </si>
  <si>
    <t xml:space="preserve">CfI-DB-GE </t>
  </si>
  <si>
    <t>7502-7909</t>
  </si>
  <si>
    <t>Mod 29</t>
  </si>
  <si>
    <t>Centre for Innovation  GE Corridor and front office</t>
  </si>
  <si>
    <t>Centre for Innovation  GE5a-5d, G.E6 Maori Development</t>
  </si>
  <si>
    <t>7502-5467</t>
  </si>
  <si>
    <t xml:space="preserve">Mod 23 </t>
  </si>
  <si>
    <t>Centre for Innovation  GE4, G.E7, G.E8 Pacific Development</t>
  </si>
  <si>
    <t>7512-6744</t>
  </si>
  <si>
    <t>Mod 36</t>
  </si>
  <si>
    <t xml:space="preserve">Centre for Innovation GE board room heating </t>
  </si>
  <si>
    <t>Mod 37</t>
  </si>
  <si>
    <t>Building consumption</t>
  </si>
  <si>
    <t>Subboards west consumption</t>
  </si>
  <si>
    <t>Subboards east consumption</t>
  </si>
  <si>
    <t>Landlord consumption</t>
  </si>
  <si>
    <t>Tennants west consumption</t>
  </si>
  <si>
    <t>Room Number</t>
  </si>
  <si>
    <t>Area m2</t>
  </si>
  <si>
    <t>Type</t>
  </si>
  <si>
    <t>Suite</t>
  </si>
  <si>
    <t>2nd West. (Multiplier 300/5)</t>
  </si>
  <si>
    <t>2.W1</t>
  </si>
  <si>
    <t>Suite 1</t>
  </si>
  <si>
    <t>1st West. (Multiplier 300/5)</t>
  </si>
  <si>
    <t>2.W1a</t>
  </si>
  <si>
    <t>2.W4b</t>
  </si>
  <si>
    <t>Suite 2</t>
  </si>
  <si>
    <t>Ground West(Multiplier 300/5)</t>
  </si>
  <si>
    <t>2.W4c</t>
  </si>
  <si>
    <t>consumption east wing CfI</t>
  </si>
  <si>
    <t>2.W4</t>
  </si>
  <si>
    <t>Suite 3</t>
  </si>
  <si>
    <t>2.W4a</t>
  </si>
  <si>
    <t>Suite 4</t>
  </si>
  <si>
    <t xml:space="preserve">2nd-East. </t>
  </si>
  <si>
    <t>2.W3c</t>
  </si>
  <si>
    <t>1st East.</t>
  </si>
  <si>
    <t>2.W3e</t>
  </si>
  <si>
    <t xml:space="preserve">Ground East </t>
  </si>
  <si>
    <t>2.W3d</t>
  </si>
  <si>
    <t>2.W3</t>
  </si>
  <si>
    <t>Suite 5</t>
  </si>
  <si>
    <t>January</t>
  </si>
  <si>
    <t xml:space="preserve">February </t>
  </si>
  <si>
    <t>March</t>
  </si>
  <si>
    <t>Landlord Meter(Multiplier 400/5)</t>
  </si>
  <si>
    <t>2.W3a</t>
  </si>
  <si>
    <t>2.W3b</t>
  </si>
  <si>
    <t>2.W2</t>
  </si>
  <si>
    <t>Suite 6</t>
  </si>
  <si>
    <t>2.W2a</t>
  </si>
  <si>
    <t>2.E3</t>
  </si>
  <si>
    <t>Suite 7</t>
  </si>
  <si>
    <t>2.E4</t>
  </si>
  <si>
    <t>Suite 8</t>
  </si>
  <si>
    <t>2.E4a</t>
  </si>
  <si>
    <t>2.E5</t>
  </si>
  <si>
    <t>Suite 9</t>
  </si>
  <si>
    <t>1W1</t>
  </si>
  <si>
    <t>Suite 11</t>
  </si>
  <si>
    <t>1W3</t>
  </si>
  <si>
    <t>Suite 12</t>
  </si>
  <si>
    <t>1W5</t>
  </si>
  <si>
    <t>Suite 13</t>
  </si>
  <si>
    <t>1W6</t>
  </si>
  <si>
    <t>Suite 14</t>
  </si>
  <si>
    <t>1W6a</t>
  </si>
  <si>
    <t>1W6d</t>
  </si>
  <si>
    <t>1W6b</t>
  </si>
  <si>
    <t>1W6c</t>
  </si>
  <si>
    <t>1W4a</t>
  </si>
  <si>
    <t>Suite 15</t>
  </si>
  <si>
    <t>1W4b</t>
  </si>
  <si>
    <t>1W4c</t>
  </si>
  <si>
    <t>1W4d</t>
  </si>
  <si>
    <t>1W4e</t>
  </si>
  <si>
    <t>1W2</t>
  </si>
  <si>
    <t>Suite 16</t>
  </si>
  <si>
    <t>1W2a</t>
  </si>
  <si>
    <t>1W2b</t>
  </si>
  <si>
    <t>1E3</t>
  </si>
  <si>
    <t>Suite 17</t>
  </si>
  <si>
    <t>1E3a</t>
  </si>
  <si>
    <t>1E3b</t>
  </si>
  <si>
    <t>1E4</t>
  </si>
  <si>
    <t>Suite 18</t>
  </si>
  <si>
    <t>1E5</t>
  </si>
  <si>
    <t>Suite 19</t>
  </si>
  <si>
    <t>1E5a</t>
  </si>
  <si>
    <t>1E5b</t>
  </si>
  <si>
    <t>Suite 21</t>
  </si>
  <si>
    <t>GW7g</t>
  </si>
  <si>
    <t>GW7a</t>
  </si>
  <si>
    <t>Suite 22</t>
  </si>
  <si>
    <t>GW7b</t>
  </si>
  <si>
    <t>GW7c</t>
  </si>
  <si>
    <t>GW7d</t>
  </si>
  <si>
    <t>GW7e</t>
  </si>
  <si>
    <t>GW7f</t>
  </si>
  <si>
    <t>GW8</t>
  </si>
  <si>
    <t>Suite 23</t>
  </si>
  <si>
    <t>GW6a</t>
  </si>
  <si>
    <t>Incubator Offices</t>
  </si>
  <si>
    <t>Suite 26</t>
  </si>
  <si>
    <t>GW6b</t>
  </si>
  <si>
    <t>Suite 27</t>
  </si>
  <si>
    <t>GW6c</t>
  </si>
  <si>
    <t>Suite 28</t>
  </si>
  <si>
    <t>GW6d</t>
  </si>
  <si>
    <t>GW6e</t>
  </si>
  <si>
    <t>GW6f</t>
  </si>
  <si>
    <t>Incubator Labs Suite 25 Kitchen</t>
  </si>
  <si>
    <t>Suite 29</t>
  </si>
  <si>
    <t>GW6g</t>
  </si>
  <si>
    <t>Incubator Labs lab a</t>
  </si>
  <si>
    <t>Suite 30</t>
  </si>
  <si>
    <t>GW6h</t>
  </si>
  <si>
    <t>Incubator Labs Lab b</t>
  </si>
  <si>
    <t>Suite 25</t>
  </si>
  <si>
    <t>GW1a</t>
  </si>
  <si>
    <t>Incubator Labs</t>
  </si>
  <si>
    <t>GW1b</t>
  </si>
  <si>
    <t>GE8</t>
  </si>
  <si>
    <t>GE7</t>
  </si>
  <si>
    <t>GE6</t>
  </si>
  <si>
    <t>GE5a</t>
  </si>
  <si>
    <t>GE5b</t>
  </si>
  <si>
    <t>GE5</t>
  </si>
  <si>
    <t>GE5c</t>
  </si>
  <si>
    <t>GE5d</t>
  </si>
  <si>
    <t>GCE</t>
  </si>
  <si>
    <t>GE4</t>
  </si>
  <si>
    <t>GE4a</t>
  </si>
  <si>
    <t>GE3</t>
  </si>
  <si>
    <t>Foyer</t>
  </si>
  <si>
    <t>CFI</t>
  </si>
  <si>
    <t>Med School Steam</t>
  </si>
  <si>
    <t>D401/4 Cumberland</t>
  </si>
  <si>
    <t>MTHW (kWh)</t>
  </si>
  <si>
    <t>192 Castle (kWh)</t>
  </si>
  <si>
    <t>(10.81.148.49)</t>
  </si>
  <si>
    <t>Reading line A</t>
  </si>
  <si>
    <t>Consumption line A</t>
  </si>
  <si>
    <t>Reading line B</t>
  </si>
  <si>
    <t>Consumption line B</t>
  </si>
  <si>
    <t>Consumption A + B</t>
  </si>
  <si>
    <t>Cumberland College (Dining)</t>
  </si>
  <si>
    <t>Cumberland College (Castle Wing)</t>
  </si>
  <si>
    <t xml:space="preserve">Cumberland Combined Consumption </t>
  </si>
  <si>
    <t>Cumberland Combined Consumption   (kg/1.18)</t>
  </si>
  <si>
    <t xml:space="preserve">Month </t>
  </si>
  <si>
    <t>Year</t>
  </si>
  <si>
    <t>MTHW Consumption
kWh</t>
  </si>
  <si>
    <t>192 Reading MWh</t>
  </si>
  <si>
    <t>192 Consumption
KWh</t>
  </si>
  <si>
    <t xml:space="preserve">
Line A Reading kg</t>
  </si>
  <si>
    <t xml:space="preserve">
Line A Reading kWh</t>
  </si>
  <si>
    <t>Line A Consumption kg</t>
  </si>
  <si>
    <t>Line A Consumption KWh</t>
  </si>
  <si>
    <t xml:space="preserve">
Line B Reading kg</t>
  </si>
  <si>
    <t xml:space="preserve">
Line B Reading kWh</t>
  </si>
  <si>
    <t>Line B Consumption kg</t>
  </si>
  <si>
    <t>Line B Consumption KWh</t>
  </si>
  <si>
    <t xml:space="preserve"> A + B
kg</t>
  </si>
  <si>
    <t xml:space="preserve">  A + B
kWh</t>
  </si>
  <si>
    <t>D401 Dining Meter Reading</t>
  </si>
  <si>
    <t>D404 Castle Meter Reading</t>
  </si>
  <si>
    <t>D401&amp; D404  Consumption - kg</t>
  </si>
  <si>
    <t>D401&amp; D404  Consumption - kWh</t>
  </si>
  <si>
    <t>Total Steam Consumption - kWh</t>
  </si>
  <si>
    <t>July</t>
  </si>
  <si>
    <t>MTHW is now calculated differently (no condensate credit any longer)</t>
  </si>
  <si>
    <t>reading 1/8/16; 61340</t>
  </si>
  <si>
    <t>MTHW estimated</t>
  </si>
  <si>
    <t>MTHW estimated (only part of Science 1 is operational and no LPG usage)</t>
  </si>
  <si>
    <t>MTHW estimated (only part of Science 1 is operational and 1.5 days LPG use in Science 2  and St Margarets boilers)</t>
  </si>
  <si>
    <t>MTHW estimated (only part of Science 1 is operational and 1 days LPG use in Science 2  and St Margarets boilers)</t>
  </si>
  <si>
    <t>MTHW estimated (only part of Science 1 is operational and 2 days LPG use in Science 2 )</t>
  </si>
  <si>
    <t>MTHW estimated (only part of Science 1 is operational and 1 day LPG use in Science 2 )</t>
  </si>
  <si>
    <t>MTHW estimated (only part of Science 1 is operational and same aveage temperature as last year )</t>
  </si>
  <si>
    <t>MTHW estimated (only part of Science 1 is operational and similar (or higher) average temperature &amp; solar as last 2 year)</t>
  </si>
  <si>
    <t>MTHW estimated (Existing Energy meter readings  on Campus indicate only 2/3 of last months consumption)</t>
  </si>
  <si>
    <t>MTHW estimated (warmest January on record)</t>
  </si>
  <si>
    <t>MTHW estimated (based on campus meter now in place and operational)</t>
  </si>
  <si>
    <t>Main meter installed, Mellor Lab (former Science 1) now fully operational, 3 days of gas usage</t>
  </si>
  <si>
    <t>Main meter readings and sub meter readings work well</t>
  </si>
  <si>
    <t>Hospital HX out of service several days</t>
  </si>
  <si>
    <t xml:space="preserve">29th and 30th consumption estimated </t>
  </si>
  <si>
    <t>Covid-19 Lockdown</t>
  </si>
  <si>
    <t>A and B kWh consumptions calculated from kg at 0.7581 kWh/kg</t>
  </si>
  <si>
    <t>Steam line B kg calculated - reading not sent through.</t>
  </si>
  <si>
    <t>TRH online</t>
  </si>
  <si>
    <t>kWh/kg</t>
  </si>
  <si>
    <t>Steam Energy content</t>
  </si>
  <si>
    <t xml:space="preserve">condensate </t>
  </si>
  <si>
    <t>after condensate return</t>
  </si>
  <si>
    <t>fuel 
type</t>
  </si>
  <si>
    <t>previousmeter 
reading</t>
  </si>
  <si>
    <t>actual meter 
reading</t>
  </si>
  <si>
    <t>consump-
tion</t>
  </si>
  <si>
    <t>calorific 
value</t>
  </si>
  <si>
    <t>Meter 
Factor</t>
  </si>
  <si>
    <t>Energy</t>
  </si>
  <si>
    <t>efficiency</t>
  </si>
  <si>
    <t>unit 
costs</t>
  </si>
  <si>
    <t>variable
costs</t>
  </si>
  <si>
    <t>fixed costs</t>
  </si>
  <si>
    <t>total costs</t>
  </si>
  <si>
    <t>source</t>
  </si>
  <si>
    <t>Energy from main HX   (MTHW)</t>
  </si>
  <si>
    <t>Current Total</t>
  </si>
  <si>
    <t>MTHW</t>
  </si>
  <si>
    <t>$/kWh</t>
  </si>
  <si>
    <t>from monthly invoice</t>
  </si>
  <si>
    <t>Current Energy Total</t>
  </si>
  <si>
    <t>Current Total Cost</t>
  </si>
  <si>
    <t xml:space="preserve"> Dec '21</t>
  </si>
  <si>
    <t xml:space="preserve"> Jan '22</t>
  </si>
  <si>
    <t xml:space="preserve"> Feb '22</t>
  </si>
  <si>
    <t xml:space="preserve"> Mar '22</t>
  </si>
  <si>
    <t>Apr '22</t>
  </si>
  <si>
    <t xml:space="preserve"> May '22</t>
  </si>
  <si>
    <t xml:space="preserve"> Jun '22</t>
  </si>
  <si>
    <t xml:space="preserve"> Jul '22</t>
  </si>
  <si>
    <t xml:space="preserve"> Aug '22</t>
  </si>
  <si>
    <t xml:space="preserve"> Sep '22</t>
  </si>
  <si>
    <t xml:space="preserve"> Oct '22</t>
  </si>
  <si>
    <t xml:space="preserve"> Nov '22</t>
  </si>
  <si>
    <t xml:space="preserve"> Dec '22</t>
  </si>
  <si>
    <t xml:space="preserve"> Jan '23</t>
  </si>
  <si>
    <t>Science 2  back-up  boilers gas consumption ( 0000070222DN-9CC )  (LPG)</t>
  </si>
  <si>
    <t>LPG</t>
  </si>
  <si>
    <t>m3</t>
  </si>
  <si>
    <t>kWh/m3</t>
  </si>
  <si>
    <t>May '23</t>
  </si>
  <si>
    <t>Total Energy Output</t>
  </si>
  <si>
    <t>St Margaret's College total gas consumption ( 0000070225DN-406 )</t>
  </si>
  <si>
    <t>St Margaret's kitchen consumption (305567)</t>
  </si>
  <si>
    <t>See table below</t>
  </si>
  <si>
    <t>reading required from St Margaret's College</t>
  </si>
  <si>
    <t>oncharge to St Margarets</t>
  </si>
  <si>
    <t xml:space="preserve">St Margaret's boiler consumption </t>
  </si>
  <si>
    <t xml:space="preserve"> add to MTHW cost</t>
  </si>
  <si>
    <t>University College boiler gas consumption ( 0000070226DN-8C6 )</t>
  </si>
  <si>
    <t>monthly invoice</t>
  </si>
  <si>
    <t>future boiler total  consumption</t>
  </si>
  <si>
    <t>any</t>
  </si>
  <si>
    <t>Future boiler  deducted consumption</t>
  </si>
  <si>
    <t>Future boiler boiler consumption</t>
  </si>
  <si>
    <t>Energy consumed by MTHW pump (annual average costs)</t>
  </si>
  <si>
    <t>Electricity</t>
  </si>
  <si>
    <t>add to MTHW costs</t>
  </si>
  <si>
    <t>Science 2 boiler house without compressor</t>
  </si>
  <si>
    <t>Previous St Marg's gas meter reading</t>
  </si>
  <si>
    <t>Total provided Energy from all heat sources (MTHW-M1)</t>
  </si>
  <si>
    <t>Total Costs</t>
  </si>
  <si>
    <t>Total costs</t>
  </si>
  <si>
    <t>Average unit costs</t>
  </si>
  <si>
    <t>MTHW Losses (kWh)</t>
  </si>
  <si>
    <t xml:space="preserve">Losses </t>
  </si>
  <si>
    <t>approximate 250MWh losses/month</t>
  </si>
  <si>
    <t>Maintenance fee (annual wash-up)</t>
  </si>
  <si>
    <t>Average unit costs inclusive losses and maintenance</t>
  </si>
  <si>
    <t>Total Consumption (+ losses)</t>
  </si>
  <si>
    <t>Units</t>
  </si>
  <si>
    <t>multiplier for units</t>
  </si>
  <si>
    <t xml:space="preserve"> Nov '21</t>
  </si>
  <si>
    <t xml:space="preserve"> Dec '23</t>
  </si>
  <si>
    <t xml:space="preserve"> Jan '24</t>
  </si>
  <si>
    <t>Nov'24</t>
  </si>
  <si>
    <t>Previous Month Subtotal</t>
  </si>
  <si>
    <t>Subtotal Consumption</t>
  </si>
  <si>
    <t>Total Consumption Price</t>
  </si>
  <si>
    <t>Check</t>
  </si>
  <si>
    <t>inclusive maintenance</t>
  </si>
  <si>
    <t>G608 St Margaret's Gas meter kitchen consumption (305567)</t>
  </si>
  <si>
    <t>G608 St Margaret's Gas Monthly consumption+R30A29:Q30A29:Q31A29:R31A29:S3A29:P31</t>
  </si>
  <si>
    <t xml:space="preserve">G608, St Margaret's meter reading before HX (68523516) </t>
  </si>
  <si>
    <t>St Margaret's MTHW Consumption</t>
  </si>
  <si>
    <t>G608, St Margaret's cons. and costs meter  after HX (48125764) (MTHW and LPG)</t>
  </si>
  <si>
    <t>G601, UniCol consumption and costs (Insight)</t>
  </si>
  <si>
    <t>*** whenever gas is used it adds to the consumption since the heat meter is on the primary side</t>
  </si>
  <si>
    <t>D402, Hayward College consumption and costs (Insight)</t>
  </si>
  <si>
    <t>E811 Te Rangihiroa (Desigo meters)</t>
  </si>
  <si>
    <t xml:space="preserve">kWh </t>
  </si>
  <si>
    <t>G413, Science 2 total</t>
  </si>
  <si>
    <t>F505, Richardson total</t>
  </si>
  <si>
    <t>F402, Union consumption and costs (61080685)(IP 10.3.161.207)</t>
  </si>
  <si>
    <t>F503, Castle Lecture theatre (IP 10.3.161.207)</t>
  </si>
  <si>
    <t>F505, Richardson north and centre (IP 10.3.161.224 or 10.81.18.212)</t>
  </si>
  <si>
    <t>F505, Richardson south (78124387) (IP 10.3.161.207)</t>
  </si>
  <si>
    <t>F518, Arts Building (IP 10.3.161.218)</t>
  </si>
  <si>
    <t>G401, Mellor Lab, Primary MTHW Meter</t>
  </si>
  <si>
    <t>Value from Desigo CC (Mellor LTHW)</t>
  </si>
  <si>
    <t>G401, Mellor Lab Secondary LTHW Meter</t>
  </si>
  <si>
    <t>G404, Microbiology consumption and costs (65043011) (IP 10.3.161.225)</t>
  </si>
  <si>
    <t>G413, Science 2 consumption comp. and costs (64082528) (IP 10.3.161.225)</t>
  </si>
  <si>
    <t>G413, Science 2 consumption uncomp. and costs (64082529)(IP 10.3.161.225)</t>
  </si>
  <si>
    <t xml:space="preserve"> Uncompensated and Compensated values may have been swapped at some point.</t>
  </si>
  <si>
    <t>G413, Science 2 L1 (Search G413*Heg*) (68636395)</t>
  </si>
  <si>
    <t>Value from Desigo CC (L1 Science 2)</t>
  </si>
  <si>
    <t>G501, Staff Club (IP 10.3.161.220)</t>
  </si>
  <si>
    <t xml:space="preserve">F507, AppSc (78124376) </t>
  </si>
  <si>
    <t>`</t>
  </si>
  <si>
    <t xml:space="preserve">F509, Gregory (78124382) </t>
  </si>
  <si>
    <t>G405, Science 3 (IP 10.81.16.121 ) [currently offline?]</t>
  </si>
  <si>
    <t>G411, St David's Lecture Theatre (69152682) (IP 10.81.16.121 )</t>
  </si>
  <si>
    <t>H402, St David 2 (69456205) (Desigo or Manually)</t>
  </si>
  <si>
    <t>F419, ISB consumption and costs (99415400) (Read Manually)</t>
  </si>
  <si>
    <t>E325 Eccles Steam meter (Desigo)</t>
  </si>
  <si>
    <t>MJ</t>
  </si>
  <si>
    <t>E214 Dental CSB Steam Meter 1 (Desigo/Steam System/Steam Meter 1)</t>
  </si>
  <si>
    <t>E214 Dental CSB Steam Meter 2 (Desigo/Steam System/Steam Meter 2)</t>
  </si>
  <si>
    <t>St Margaret's on-charge</t>
  </si>
  <si>
    <t>June 2022</t>
  </si>
  <si>
    <t>Sum Total Consumption Cost</t>
  </si>
  <si>
    <t>consumption</t>
  </si>
  <si>
    <t xml:space="preserve">costs incl.
losses and maintenance </t>
  </si>
  <si>
    <t>Consumption all other buildings</t>
  </si>
  <si>
    <t>ADJUST LOSSES ABOVE</t>
  </si>
  <si>
    <t>Gas (kitchen, flat)</t>
  </si>
  <si>
    <t>costs all other buildings</t>
  </si>
  <si>
    <t>net area/m2</t>
  </si>
  <si>
    <t>F508, Archway Lecture theatre</t>
  </si>
  <si>
    <t>m2</t>
  </si>
  <si>
    <t>(has been 20-60MWh range)</t>
  </si>
  <si>
    <t xml:space="preserve">G403, Biochemistry </t>
  </si>
  <si>
    <t>(has been 100-300MWh range)</t>
  </si>
  <si>
    <t>total</t>
  </si>
  <si>
    <t xml:space="preserve"> Dec '24</t>
  </si>
  <si>
    <t xml:space="preserve"> Jan '25</t>
  </si>
  <si>
    <t xml:space="preserve">St Margaret's MTHW </t>
  </si>
  <si>
    <t xml:space="preserve">G601, UniCol </t>
  </si>
  <si>
    <t xml:space="preserve">D402, Hayward College </t>
  </si>
  <si>
    <t>E811, Te Rangihiroa</t>
  </si>
  <si>
    <t>F402, Union</t>
  </si>
  <si>
    <t xml:space="preserve">F503, Castle Lecture </t>
  </si>
  <si>
    <t>F505, Richardson north and centre (IP 10.3.161.224)</t>
  </si>
  <si>
    <t>F505, Richardson Total</t>
  </si>
  <si>
    <t xml:space="preserve">F518, Arts Building </t>
  </si>
  <si>
    <t>G401 Mellor Lab total</t>
  </si>
  <si>
    <t>m^2</t>
  </si>
  <si>
    <t xml:space="preserve">G404, Microbiology </t>
  </si>
  <si>
    <t>G413, Science 2 L1 (68636395)</t>
  </si>
  <si>
    <t xml:space="preserve">G501, Staff Club </t>
  </si>
  <si>
    <t xml:space="preserve">F507, AppSc </t>
  </si>
  <si>
    <t xml:space="preserve">F509, Gregory </t>
  </si>
  <si>
    <t xml:space="preserve">G405, Science 3 </t>
  </si>
  <si>
    <t xml:space="preserve">G411, St David Lecture </t>
  </si>
  <si>
    <t xml:space="preserve">H402, St David 2 </t>
  </si>
  <si>
    <t xml:space="preserve">F419, ISB </t>
  </si>
  <si>
    <t>E214 Dental CSB Steam Meter 1</t>
  </si>
  <si>
    <t>E214 Dental CSB Steam Meter 2</t>
  </si>
  <si>
    <t>E201 Dental Steam Total</t>
  </si>
  <si>
    <t xml:space="preserve">E325 Eccles Steam </t>
  </si>
  <si>
    <t>LFB 9932m^2</t>
  </si>
  <si>
    <t>NOTE: See MTHW Graphs tab for updated figures - the ones on MTHW Data are labelled incorrectly</t>
  </si>
  <si>
    <t>Wood chip boilers</t>
  </si>
  <si>
    <t>CoE</t>
  </si>
  <si>
    <t>Childcare/CSAFE</t>
  </si>
  <si>
    <t>Carrington - Jenkins</t>
  </si>
  <si>
    <t>PS</t>
  </si>
  <si>
    <t>WJB?</t>
  </si>
  <si>
    <t>Wood pellet boilers</t>
  </si>
  <si>
    <t>F713 Darwin/Leithbank</t>
  </si>
  <si>
    <t>409 Leith st (unmetered)</t>
  </si>
  <si>
    <t>Arana</t>
  </si>
  <si>
    <t>Hunter</t>
  </si>
  <si>
    <t>WJB</t>
  </si>
  <si>
    <t>Automated Meters</t>
  </si>
  <si>
    <t>Object Description</t>
  </si>
  <si>
    <t xml:space="preserve">E811.TE.RANGIHIROA.CH6.1 </t>
  </si>
  <si>
    <t>Te Rangihiroa Chiller 6.1</t>
  </si>
  <si>
    <t xml:space="preserve">E811.TE.RANGIHIROA.CH6.2 </t>
  </si>
  <si>
    <t>E811.TE.RANGIHIROA.LTHW.PMP0.3 Ground</t>
  </si>
  <si>
    <t>Te Rangihiroa Ground floor Heat</t>
  </si>
  <si>
    <t>E811.TE.RANGIHIROA.LTHW.PMP0.4  L1-6</t>
  </si>
  <si>
    <t>Te Rangihiroa Levels 1-6 Heat</t>
  </si>
  <si>
    <t>E811.TE.RANGIHIROA.MTHW HX0.1a</t>
  </si>
  <si>
    <t>Te Rangihiroa Heat Exchanger 0.1a</t>
  </si>
  <si>
    <t>E811.TE.RANGIHIROA.MTHW HX0.1b</t>
  </si>
  <si>
    <t>Te Rangihiroa Heat Exchanger 0.1b</t>
  </si>
  <si>
    <t>E811.TE.RANGIHIROA.MTHW HX0.2 DHW</t>
  </si>
  <si>
    <t>Te Rangihiroa Heat Exchanger 0.2 DHW</t>
  </si>
  <si>
    <t>F603.ENERGY.MTR.ENERGY</t>
  </si>
  <si>
    <t>Property Services Boiler</t>
  </si>
  <si>
    <t>Kamstrup</t>
  </si>
  <si>
    <t>F614.LTHW.HEAT_MTR.ENERGY</t>
  </si>
  <si>
    <t>Business School LTHW (MWh)</t>
  </si>
  <si>
    <t>Siemens</t>
  </si>
  <si>
    <t>69152682</t>
  </si>
  <si>
    <t>OBS</t>
  </si>
  <si>
    <t>F622.ENERGY.AHU2C.CLG_kWh</t>
  </si>
  <si>
    <t>WJB AHU 2C Cooling</t>
  </si>
  <si>
    <t>66039383</t>
  </si>
  <si>
    <t>F622.ENERGY.AHU2C.HTG_kWh</t>
  </si>
  <si>
    <t>WJB AHU 2C Heating</t>
  </si>
  <si>
    <t>66025519</t>
  </si>
  <si>
    <t>F622.ENERGY.ANIMAL_2C.kWh</t>
  </si>
  <si>
    <t>WJB Animal Room 2C</t>
  </si>
  <si>
    <t>6983121/2011</t>
  </si>
  <si>
    <t>F622.ENERGY.CAGE_WASH.kWh</t>
  </si>
  <si>
    <t>WJB Cage Wash</t>
  </si>
  <si>
    <t>60113286</t>
  </si>
  <si>
    <t>F622.ENERGY.GODDARD.FROM_kWh</t>
  </si>
  <si>
    <t>kWh From Goddard</t>
  </si>
  <si>
    <t>F622.ENERGY.GODDARD.TO_kWh</t>
  </si>
  <si>
    <t>kWh To Goddard</t>
  </si>
  <si>
    <t>66025517</t>
  </si>
  <si>
    <t>F622.ENERGY.SOLAR.kWh</t>
  </si>
  <si>
    <t>WJB Solar</t>
  </si>
  <si>
    <t>66125884</t>
  </si>
  <si>
    <t>F622.ENERGY.WOOD_BOILER.kWh</t>
  </si>
  <si>
    <t>WJB Wood Boiler</t>
  </si>
  <si>
    <t>8651495/2010</t>
  </si>
  <si>
    <t>F812.ENERGY.OWHEO_MTR.ENERGY</t>
  </si>
  <si>
    <t>Owheo &amp; Robertson</t>
  </si>
  <si>
    <t>7162808/2011</t>
  </si>
  <si>
    <t>Owheo/ Bil Rob</t>
  </si>
  <si>
    <t>F813.MBUS.MTR.KWH</t>
  </si>
  <si>
    <t>ENERGY</t>
  </si>
  <si>
    <t>66564900</t>
  </si>
  <si>
    <t>Robertson Lib</t>
  </si>
  <si>
    <t>F916.ENERGY.BLR_MTR.ENERGY</t>
  </si>
  <si>
    <t>COE Boiler</t>
  </si>
  <si>
    <t>7162807/2011</t>
  </si>
  <si>
    <t xml:space="preserve">CoE </t>
  </si>
  <si>
    <t>H538.ENERGY.BLR_MTR.ENERGY</t>
  </si>
  <si>
    <t>H538 Childcare Boiler Heat - value 3</t>
  </si>
  <si>
    <t>67696581</t>
  </si>
  <si>
    <t>Childcare</t>
  </si>
  <si>
    <t>H402 St David II Chilled Water Energy  (Desigo)</t>
  </si>
  <si>
    <t>Desigo</t>
  </si>
  <si>
    <t>H538.ENERGY.CSAFE_31_MONT.POWER</t>
  </si>
  <si>
    <t xml:space="preserve">H538 CSAFE &amp; 31 Montgomery Heat </t>
  </si>
  <si>
    <t>78124386</t>
  </si>
  <si>
    <t>CSAFE</t>
  </si>
  <si>
    <t>H538.ENERGY.MONT_HEAT.ENERGY</t>
  </si>
  <si>
    <t>H538 Montgomery Heat - value 8</t>
  </si>
  <si>
    <t>78124397</t>
  </si>
  <si>
    <t>Montgomery</t>
  </si>
  <si>
    <t>H634.ENERGY.MTR.ENERGY</t>
  </si>
  <si>
    <t>Arana Boiler</t>
  </si>
  <si>
    <t>78124395</t>
  </si>
  <si>
    <t>XI17 Invercargill Southland Learning Centre (Desigo)</t>
  </si>
  <si>
    <t>J141 Aquinas Priory solar (Desigo)</t>
  </si>
  <si>
    <t>Manually Read Meters</t>
  </si>
  <si>
    <t>Location</t>
  </si>
  <si>
    <t>E308 Student Health</t>
  </si>
  <si>
    <t>L1 Staff room cupboard</t>
  </si>
  <si>
    <t>7611208</t>
  </si>
  <si>
    <t>G501 Staff club solar</t>
  </si>
  <si>
    <t>F718 Darwin</t>
  </si>
  <si>
    <t>Basement buffer tank pipes</t>
  </si>
  <si>
    <t>7611263</t>
  </si>
  <si>
    <t>J122 Carrington boiler (IP 10.81.148.38) (in MWh)</t>
  </si>
  <si>
    <t>Jenkins Basement Plantroom</t>
  </si>
  <si>
    <t>K430 Caroline Freeman College East (Abbey) solar energy (emailed)</t>
  </si>
  <si>
    <t>DHW plantroom Rata, Rob Strang Emails</t>
  </si>
  <si>
    <t>7606528</t>
  </si>
  <si>
    <t>XI01 Invercargill Boiler (IP 10.85.4.21)</t>
  </si>
  <si>
    <t>Desigo/ 10.85.4.21</t>
  </si>
  <si>
    <t>78124385</t>
  </si>
  <si>
    <t>LTHW Consumption Values</t>
  </si>
  <si>
    <t>Calculated Consumption</t>
  </si>
  <si>
    <t xml:space="preserve"> Total Wood Energy - DN</t>
  </si>
  <si>
    <t>Total Solar Energy - DN</t>
  </si>
  <si>
    <t>E811.TE.RANGIHIROA.LTHW Ground</t>
  </si>
  <si>
    <t>E811.TE.RANGIHIROA.LTHW  L1-6</t>
  </si>
  <si>
    <t>E811 Te Rangihiroa Chiller 1</t>
  </si>
  <si>
    <t>E811 Te Rangihiroa Chiller 2</t>
  </si>
  <si>
    <t>F603 Property Services wood chip boiler (10.3.161.234)</t>
  </si>
  <si>
    <t>F614 School of Business BMS</t>
  </si>
  <si>
    <t>F622 Psychology wood boiler (IP 10.81.146.160)</t>
  </si>
  <si>
    <t>F622 Psychology solar energy (IP 10.81.146.160)</t>
  </si>
  <si>
    <t>F620 Psychology to buffer vessel Goddard (IP 10.81.146.160)</t>
  </si>
  <si>
    <t>F620 Psychology from buffer vessel Goddard (IP 10.81.146.160)</t>
  </si>
  <si>
    <t>F620 Psychology 2c Animal rooms 1st floor(IP 10.81.146.160)</t>
  </si>
  <si>
    <t>F620 Psychology 2c Cage wash (IP 10.81.146.160)</t>
  </si>
  <si>
    <t>F620 Psychology 2c main AHU heating coil (IP 10.81.146.160)</t>
  </si>
  <si>
    <t>F620 Psychology 2c main AHU cooling coil (IP 10.81.146.160)</t>
  </si>
  <si>
    <t>F812 Owheo and Robertson combined (10.81.147.145)</t>
  </si>
  <si>
    <t>F813 Robertson Library</t>
  </si>
  <si>
    <t>F916 College of Education wood (invoiced)</t>
  </si>
  <si>
    <t>Gj</t>
  </si>
  <si>
    <t>Invoiced</t>
  </si>
  <si>
    <t>F916 College of Education wood boiler (10.81.147.145)</t>
  </si>
  <si>
    <t>Average efficiency 80%</t>
  </si>
  <si>
    <t>F916 College of Education gas Boiler</t>
  </si>
  <si>
    <t>Average efficiency 90%</t>
  </si>
  <si>
    <t>F916 College of Education Gas &amp; Wood</t>
  </si>
  <si>
    <t>F916 College of Education other buildings</t>
  </si>
  <si>
    <t>H538 Childcare boiler (IP 10.81.149.14)</t>
  </si>
  <si>
    <t>H538 Childcare Heat energy usage</t>
  </si>
  <si>
    <t>Calculated</t>
  </si>
  <si>
    <t>H538 Percentage of total Boiler house Heat</t>
  </si>
  <si>
    <t>%</t>
  </si>
  <si>
    <t xml:space="preserve">H538 CSAFE </t>
  </si>
  <si>
    <t xml:space="preserve">H538 31 Montgomery Ave </t>
  </si>
  <si>
    <t>H633 Arana Boiler (IP 10.81.148.22)</t>
  </si>
  <si>
    <t xml:space="preserve">J122 Carrington Jenkins boiler </t>
  </si>
  <si>
    <t>K430 Caroline Freeman College East (Abbey) solar energy</t>
  </si>
  <si>
    <t>Automated Meters - Inv Mthly Ellserve, corrspnd to prev month ie Oct = consumption in Sept</t>
  </si>
  <si>
    <t>ICP</t>
  </si>
  <si>
    <t>F512,INFORMATION TECHNOLOGY BLDG,270 LEITH</t>
  </si>
  <si>
    <t>70320DN04D</t>
  </si>
  <si>
    <t>G60X,UNIVERSITY COLLEGE 1,315 LEITH</t>
  </si>
  <si>
    <t>70226DN8C6</t>
  </si>
  <si>
    <t>K308 CFC 911 CUMBERLAND STREET,DUNEDIN</t>
  </si>
  <si>
    <t>70176DN3CD</t>
  </si>
  <si>
    <t>K427,CFC EAST ABBEY COLLEGE,682 CASTLE STREET,DUNEDIN</t>
  </si>
  <si>
    <t>70201DN859</t>
  </si>
  <si>
    <t>D206, MEDICAL SCHOOL (HERCUS) HANOVER</t>
  </si>
  <si>
    <t>-</t>
  </si>
  <si>
    <t>G404,CAMPUS (MICROBIOLOGY),720 CUMBERLAND</t>
  </si>
  <si>
    <t>70216DNF3E</t>
  </si>
  <si>
    <t>F940 PLAZA BUILDING,132 ANZAC AVENUE,FORSYTH</t>
  </si>
  <si>
    <t>70218DNCA5</t>
  </si>
  <si>
    <t>F603,PROPERTY SERVICES BLDG,111 ALBANY</t>
  </si>
  <si>
    <t>70219DN0E0</t>
  </si>
  <si>
    <t>F62X,PSYCHOLOGY (WILLIAM JAMES BLDG),275</t>
  </si>
  <si>
    <t>70220DN949</t>
  </si>
  <si>
    <t>G412,SCIENCE 2 BOILER HOUSE,72 UNION PLACE</t>
  </si>
  <si>
    <t>70222DN9CC</t>
  </si>
  <si>
    <t>F405,SMITHELL'S GYMNASIUM,690 CUMBERLAND</t>
  </si>
  <si>
    <t>70224DN843</t>
  </si>
  <si>
    <t>G608,ST MARGARET'S COLLEGE,333 LEITH</t>
  </si>
  <si>
    <t>70225DN406</t>
  </si>
  <si>
    <t>F916,COLLEGE OF EDUCATION BOILER HOUSE,151</t>
  </si>
  <si>
    <t>70205DN953</t>
  </si>
  <si>
    <t>F402,UNIVERSITY UNION BUILDING,660</t>
  </si>
  <si>
    <t>70227DN483</t>
  </si>
  <si>
    <t>E902,HOCKEN LIBRARY,90 ANZAC AVENUE,DUNEDIN</t>
  </si>
  <si>
    <t>70209DNA4D</t>
  </si>
  <si>
    <t>F516/17,HUMANITIES,97-99/ALBANY</t>
  </si>
  <si>
    <t>70210DNEB1</t>
  </si>
  <si>
    <t>F204,IT DEPT,444 GREAT KING STREET,DUNEDIN</t>
  </si>
  <si>
    <t>70211DN2F4</t>
  </si>
  <si>
    <t>E208/12,ZOOLOGY (BENHAM BLDG),346 GREAT KING</t>
  </si>
  <si>
    <t>70231DNFA1</t>
  </si>
  <si>
    <t>G601,UNIVERSITY COLLEGE (KITCHEN),315 LEITH</t>
  </si>
  <si>
    <t>70072DNBC3</t>
  </si>
  <si>
    <t>E213,PARKER BUILDING,344 GREAT KING</t>
  </si>
  <si>
    <t>70232DN361</t>
  </si>
  <si>
    <t>ARANA 110 CLYDE STREET,DUNEDIN</t>
  </si>
  <si>
    <t>80042MB3FD</t>
  </si>
  <si>
    <t>DENTAL 310 GREAT KING STREET,DUNEDIN NORTH,DUNEDIN</t>
  </si>
  <si>
    <t>70523CFCC5</t>
  </si>
  <si>
    <t>ECCLES GREAT KING STREET,UNIVERSITY OF</t>
  </si>
  <si>
    <t>70600CFE53</t>
  </si>
  <si>
    <t>MARSH STUDY CENTRE,CASTLE STREET,DUNEDIN</t>
  </si>
  <si>
    <t>80456MB45B</t>
  </si>
  <si>
    <t>CHILDCARE CENTRE,563 CASTLE STREET,DUNEDIN</t>
  </si>
  <si>
    <t>70663CFD63</t>
  </si>
  <si>
    <t>PHYSIO BUILDING, 325 GREAT KING ST</t>
  </si>
  <si>
    <t>AQUINAS 74 GLADSTONE ROAD,DUNEDIN</t>
  </si>
  <si>
    <t>80292MB4B8</t>
  </si>
  <si>
    <t>56A TE AWE AWE STREET,HOKOWHITU,PALMERSTON NORTH</t>
  </si>
  <si>
    <t>2378795QT5C6</t>
  </si>
  <si>
    <t>D204 LFB Gas</t>
  </si>
  <si>
    <t>E201 Dental Gas LPG Meter (BMS)</t>
  </si>
  <si>
    <t>E325 Eccles Gas meter</t>
  </si>
  <si>
    <t>F620 Psychology 2 Gas meter</t>
  </si>
  <si>
    <t>F940 Plaza Café Gas</t>
  </si>
  <si>
    <t>F940 Plaza Gas meter Main (Desigo) (reset in oct to 517)</t>
  </si>
  <si>
    <t>F940 Plaza L1 Gas meter Kitchen Café (Desigo) (note - reset in Oct to 67.05)</t>
  </si>
  <si>
    <t>F940 Plaza L4 HHW Gas meter (Desigo) (reset in Oct to 106)</t>
  </si>
  <si>
    <t>F940 Plaza Unipol Gas</t>
  </si>
  <si>
    <t>F940 Plaza Gas Mains Check</t>
  </si>
  <si>
    <t>F940 Plaza Gas ???? Check</t>
  </si>
  <si>
    <t>G403 Biochemistry Gas meter</t>
  </si>
  <si>
    <t>G404 Microbiology Gas meter</t>
  </si>
  <si>
    <t>G501 Staff Club Gas meter</t>
  </si>
  <si>
    <t xml:space="preserve"> Total Gas Energy - DN</t>
  </si>
  <si>
    <t>Total Gas Energy - Colleges</t>
  </si>
  <si>
    <t>F940 Plaza Gas meter Main (Desigo)</t>
  </si>
  <si>
    <t>F940 Plaza L1 Gas meter Kitchen Café</t>
  </si>
  <si>
    <t>F940 Plaza L4 HHW Gas meter</t>
  </si>
  <si>
    <t>Janitza Med Data  (Select data and copy across each month - copy data only and Right click paste at destination formatting)</t>
  </si>
  <si>
    <t>D200 Whole Medical School:</t>
  </si>
  <si>
    <t>D201 &amp; D203 Adams Sayer Submains:</t>
  </si>
  <si>
    <t>D201 Adams &amp; Sayers:</t>
  </si>
  <si>
    <t>D201 Adams 7th Floor Mechanical:</t>
  </si>
  <si>
    <t>D201 Adams Basement Mechanical:</t>
  </si>
  <si>
    <t>D201 Adams Lift:</t>
  </si>
  <si>
    <t>D201 Adams Lower Riser:</t>
  </si>
  <si>
    <t>D201 Adams Upper Riser:</t>
  </si>
  <si>
    <t>D202 Wellcome:</t>
  </si>
  <si>
    <t>D203 Sayers (at Adams MSB):</t>
  </si>
  <si>
    <t>D204 LFB:</t>
  </si>
  <si>
    <t>D204 LFB Chiller:</t>
  </si>
  <si>
    <t>D204 LFB DBB1:</t>
  </si>
  <si>
    <t>D204 LFB DBB2:</t>
  </si>
  <si>
    <t>D204 LFB DBB4:</t>
  </si>
  <si>
    <t>D204 LFB DBB5:</t>
  </si>
  <si>
    <t>D204 LFB Nth Riser:</t>
  </si>
  <si>
    <t>D204 LFB Sth Riser:</t>
  </si>
  <si>
    <t>D204 LFB West Riser:</t>
  </si>
  <si>
    <t>D205 Scott:</t>
  </si>
  <si>
    <t>D206 Hercus:</t>
  </si>
  <si>
    <t>D207 Generator:</t>
  </si>
  <si>
    <t>D207 Nitrogenplant:</t>
  </si>
  <si>
    <t>D207 Thermal Storage IT:</t>
  </si>
  <si>
    <t>D207 Thermal Storage plant :</t>
  </si>
  <si>
    <t>E201 Clinical Services Building MSB Total:</t>
  </si>
  <si>
    <t>E201 Busduct Riser 3:</t>
  </si>
  <si>
    <t>E201 Dental CSB Busduct Riser 4:</t>
  </si>
  <si>
    <t>E201 Dental CSB DB-C-CSSD-ESS:</t>
  </si>
  <si>
    <t>E201 Dental CSB DB-C-WS:</t>
  </si>
  <si>
    <t>E201 Dental CSB DB-CSSD:</t>
  </si>
  <si>
    <t>E201 Dental CSB MSSB-4-2:</t>
  </si>
  <si>
    <t>E201 Dental CSB MSSB01:</t>
  </si>
  <si>
    <t>E201 Dental CSB MSSD02:</t>
  </si>
  <si>
    <t>E201 Dental Plantroom MSB-C :</t>
  </si>
  <si>
    <t>E201 Dental Walsh MSB Total:</t>
  </si>
  <si>
    <t>E201 Dental Walsh MSSB 0-3:</t>
  </si>
  <si>
    <t>E201 Dental Walsh MSSB 1-1:</t>
  </si>
  <si>
    <t>E201 Dental Walsh MSSB 4-2:</t>
  </si>
  <si>
    <t>E201 Dental Walsh MSSB 5-1:</t>
  </si>
  <si>
    <t>E201 Dental Walsh Riser 1:</t>
  </si>
  <si>
    <t>E201 Dental Walsh Riser 2:</t>
  </si>
  <si>
    <t>E209 1  Zoology all buildings:</t>
  </si>
  <si>
    <t>E209 2 Marples Building Incl. Annex:</t>
  </si>
  <si>
    <t>E209 Zoology Annex DBGC:</t>
  </si>
  <si>
    <t>E209 Zoology Annex DBGD:</t>
  </si>
  <si>
    <t>E211 Parker Building:</t>
  </si>
  <si>
    <t>E305 325 Gt King main meter:</t>
  </si>
  <si>
    <t>E305 325 Gt King Physiotherapy:</t>
  </si>
  <si>
    <t>E305 325 Gt King Server Room CRAC1:</t>
  </si>
  <si>
    <t>E305 325 Gt King Server Room CRAC2:</t>
  </si>
  <si>
    <t>E305 325 Gt King Server Room CRAC4:</t>
  </si>
  <si>
    <t>E305 325 Gt King st Server Room CRAC5:</t>
  </si>
  <si>
    <t>E305 325 Gt King st Server Room CRAC6:</t>
  </si>
  <si>
    <t>E315 71 Frederick Street, MSB:</t>
  </si>
  <si>
    <t>E325 1 Eccles Mains:</t>
  </si>
  <si>
    <t>E325 2 Eccles Physio Building:</t>
  </si>
  <si>
    <t>E325 3 Eccles Generator:</t>
  </si>
  <si>
    <t>E325 Eccles DB 1.1:</t>
  </si>
  <si>
    <t>E325 Eccles DB 2.1:</t>
  </si>
  <si>
    <t>E325 Eccles DB 3.1:</t>
  </si>
  <si>
    <t>E325 Eccles DB 3.2:</t>
  </si>
  <si>
    <t>E325 Eccles DB 4.1:</t>
  </si>
  <si>
    <t>E325 Eccles HSSB G1:</t>
  </si>
  <si>
    <t>E325 Eccles HSSB-4.1:</t>
  </si>
  <si>
    <t>E325 Eccles MSSB 4-1 Compressors, Vacuum:</t>
  </si>
  <si>
    <t>E325 Eccles MSSB 4-2 Chiller 2:</t>
  </si>
  <si>
    <t>E325 Eccles MSSB 4-3 Fans:</t>
  </si>
  <si>
    <t>E325 Eccles MSSB 4-4 Chiller 1:</t>
  </si>
  <si>
    <t>E325 Eccles MSSB-G.1:</t>
  </si>
  <si>
    <t>E325 Eccles MSSB-G.2 Electric Steam Boiler:</t>
  </si>
  <si>
    <t>E325 Eccles MSSB-G.3:</t>
  </si>
  <si>
    <t>Janitza Freezer room LFB report (Janitza L1, L2, L3)</t>
  </si>
  <si>
    <t>LFB Freezer 1  Sterling</t>
  </si>
  <si>
    <t>LFB Freezer 2</t>
  </si>
  <si>
    <t>LFB Freezer 3</t>
  </si>
  <si>
    <t>Janitza UO D4-F6  (Select data and copy across each month - copy data only and Right click paste at destination formatting)</t>
  </si>
  <si>
    <t>D401  DBG1 Cumberland Offices and Dining:</t>
  </si>
  <si>
    <t>D401 Cumberland DHW Electric Castle Wing</t>
  </si>
  <si>
    <t>D401 Cumberland Kitchen Submain:</t>
  </si>
  <si>
    <t>D401 Cumberland Laundry Submain:</t>
  </si>
  <si>
    <t>D401 D404 Cumberland Castle Wing North Submain:</t>
  </si>
  <si>
    <t>D401 D404 Cumberland Castle Wing South submain:</t>
  </si>
  <si>
    <t>D401 DBH-G1 Cumberland Accomodation:</t>
  </si>
  <si>
    <t>D401/4 Cumberland College:</t>
  </si>
  <si>
    <t>D402 Hayward DB Basement (part of MSB):</t>
  </si>
  <si>
    <t>D402 Hayward DB DHW</t>
  </si>
  <si>
    <t>D402 Hayward DB Kitchen:</t>
  </si>
  <si>
    <t>D402 Hayward DB Mechanical:</t>
  </si>
  <si>
    <t>D402 Hayward DBLG1:</t>
  </si>
  <si>
    <t>D402 Hayward East Wing Rising Main:</t>
  </si>
  <si>
    <t>D402 Hayward West Wing Rising Main:</t>
  </si>
  <si>
    <t>E811 Te Rangihiroa Mains</t>
  </si>
  <si>
    <t>E811 Te Rangihiroa Generator</t>
  </si>
  <si>
    <t>E811 Te Rangihiroa Lift 1</t>
  </si>
  <si>
    <t>E811 Te Rangihiroa Lift 2</t>
  </si>
  <si>
    <t>E811 Te Rangihiroa Rising Main South-East</t>
  </si>
  <si>
    <t>E811 Te Rangihiroa SE Riser DB.TRH1A Lighting Essential</t>
  </si>
  <si>
    <t>E811 Te Rangihiroa SE Riser DB.TRH1A Lighting Non-Essential</t>
  </si>
  <si>
    <t>E811 Te Rangihiroa SE Riser DB.TRH1A Power Non-Essential</t>
  </si>
  <si>
    <t>E811 Te Rangihiroa SE Riser DB.TRH2A Lighting Essential</t>
  </si>
  <si>
    <t>E811 Te Rangihiroa SE Riser DB.TRH2A Lighting Non-Essential</t>
  </si>
  <si>
    <t>E811 Te Rangihiroa SE Riser DB.TRH2A Power Non-Essential</t>
  </si>
  <si>
    <t>E811 Te Rangihiroa SE Riser DB.TRH3A Lighting Essential</t>
  </si>
  <si>
    <t>E811 Te Rangihiroa SE Riser DB.TRH3A Lighting Non-Essential</t>
  </si>
  <si>
    <t>E811 Te Rangihiroa SE Riser DB.TRH3A Power Non-Essential</t>
  </si>
  <si>
    <t>E811 Te Rangihiroa SE Riser DB.TRH4A Lighting Essential</t>
  </si>
  <si>
    <t>E811 Te Rangihiroa SE Riser DB.TRH4A Lighting Non-Essential</t>
  </si>
  <si>
    <t>E811 Te Rangihiroa SE Riser DB.TRH4A Power Non-Essential</t>
  </si>
  <si>
    <t>E811 Te Rangihiroa SE Riser DB.TRH5A Lighting Essential</t>
  </si>
  <si>
    <t>E811 Te Rangihiroa SE Riser DB.TRH5A Lighting Non-Essential</t>
  </si>
  <si>
    <t>E811 Te Rangihiroa SE Riser DB.TRH5A Power Non-Essential</t>
  </si>
  <si>
    <t>E811 Te Rangihiroa Rising Main South-West</t>
  </si>
  <si>
    <t>E811 Te Rangihiroa SW Riser DB.TRH1B Lighting Essential</t>
  </si>
  <si>
    <t>E811 Te Rangihiroa SW Riser DB.TRH1B Lighting Non-Essential</t>
  </si>
  <si>
    <t>E811 Te Rangihiroa SW Riser DB.TRH1B Power Essential</t>
  </si>
  <si>
    <t>E811 Te Rangihiroa SW Riser DB.TRH1B Power Non-Essential</t>
  </si>
  <si>
    <t>E811 Te Rangihiroa SW Riser DB.TRH2B Lighting Essential</t>
  </si>
  <si>
    <t>E811 Te Rangihiroa SW Riser DB.TRH2B Lighting Non-Essential</t>
  </si>
  <si>
    <t>E811 Te Rangihiroa SW Riser DB.TRH2B Power Non-Essential</t>
  </si>
  <si>
    <t>E811 Te Rangihiroa SW Riser DB.TRH3B Lighting Essential</t>
  </si>
  <si>
    <t>E811 Te Rangihiroa SW Riser DB.TRH3B Lighting Non-Essential</t>
  </si>
  <si>
    <t>E811 Te Rangihiroa SW Riser DB.TRH3B Power Non-Essential</t>
  </si>
  <si>
    <t>E811 Te Rangihiroa SW Riser DB.TRH4B Lighting Essential</t>
  </si>
  <si>
    <t>E811 Te Rangihiroa SW Riser DB.TRH4B Lighting Non-Essential</t>
  </si>
  <si>
    <t>E811 Te Rangihiroa SW Riser DB.TRH4B Power Non-Essential</t>
  </si>
  <si>
    <t>E811 Te Rangihiroa SW Riser DB.TRH5B Lighting Essential</t>
  </si>
  <si>
    <t>E811 Te Rangihiroa SW Riser DB.TRH5B Lighting Non-Essential</t>
  </si>
  <si>
    <t>E811 Te Rangihiroa SW Riser DB.TRH5B Power Non-Essential</t>
  </si>
  <si>
    <t>E811 Te Rangihiroa Rising Main North-West</t>
  </si>
  <si>
    <t>E811 Te Rangihiroa NW Riser DB.TRH1C Lighting Essential</t>
  </si>
  <si>
    <t>E811 Te Rangihiroa NW Riser DB.TRH1C Lighting Non-Essential</t>
  </si>
  <si>
    <t>E811 Te Rangihiroa NW Riser DB.TRH1C Power Essential</t>
  </si>
  <si>
    <t>E811 Te Rangihiroa NW Riser DB.TRH1C Power Non-Essential</t>
  </si>
  <si>
    <t>E811 Te Rangihiroa NW Riser DB.TRH2C Lighting Essential</t>
  </si>
  <si>
    <t>E811 Te Rangihiroa NW Riser DB.TRH2C Lighting Non-Essential</t>
  </si>
  <si>
    <t>E811 Te Rangihiroa NW Riser DB.TRH2C Power Essential</t>
  </si>
  <si>
    <t>E811 Te Rangihiroa NW Riser DB.TRH2C Power Non-Essential</t>
  </si>
  <si>
    <t>E811 Te Rangihiroa NW Riser DB.TRH3C Lighting Essential</t>
  </si>
  <si>
    <t>E811 Te Rangihiroa NW Riser DB.TRH3C Lighting Non-Essential</t>
  </si>
  <si>
    <t>E811 Te Rangihiroa NW Riser DB.TRH3C Power Essential</t>
  </si>
  <si>
    <t>E811 Te Rangihiroa NW Riser DB.TRH3C Power Non-Essential</t>
  </si>
  <si>
    <t>E811 Te Rangihiroa NW Riser DB.TRH4C Lighting Essential</t>
  </si>
  <si>
    <t>E811 Te Rangihiroa NW Riser DB.TRH4C Lighting Non-Essential</t>
  </si>
  <si>
    <t>E811 Te Rangihiroa NW Riser DB.TRH4C Power Essential</t>
  </si>
  <si>
    <t>E811 Te Rangihiroa NW Riser DB.TRH4C Power Non-Essential</t>
  </si>
  <si>
    <t>E811 Te Rangihiroa NW Riser DB.TRH5C Lighting Essential</t>
  </si>
  <si>
    <t>E811 Te Rangihiroa NW Riser DB.TRH5C Lighting Non-Essential</t>
  </si>
  <si>
    <t>E811 Te Rangihiroa NW Riser DB.TRH5C Power Essential</t>
  </si>
  <si>
    <t>E811 Te Rangihiroa NW Riser DB.TRH5C Power Non-Essential</t>
  </si>
  <si>
    <t>E811 Te Rangihiroa NW Riser DB.TRH6A Lighting Essential</t>
  </si>
  <si>
    <t>E811 Te Rangihiroa NW Riser DB.TRH6A Lighting Non-Essential</t>
  </si>
  <si>
    <t>E811 Te Rangihiroa NW Riser DB.TRH6A Power Essential</t>
  </si>
  <si>
    <t>E811 Te Rangihiroa NW Riser DB.TRH6A Power Non-Essential</t>
  </si>
  <si>
    <t>E811 Te Rangihiroa Rising Main North-East</t>
  </si>
  <si>
    <t>E811 Te Rangihiroa NE Riser DB.TRH1D Lighting Essential</t>
  </si>
  <si>
    <t>E811 Te Rangihiroa NE Riser DB.TRH1D Lighting Non-Essential</t>
  </si>
  <si>
    <t>E811 Te Rangihiroa NE Riser DB.TRH1D Power Non-Essential</t>
  </si>
  <si>
    <t>E811 Te Rangihiroa NE Riser DB.TRH2D Lighting Essential</t>
  </si>
  <si>
    <t>E811 Te Rangihiroa NE Riser DB.TRH2D Lighting Non-Essential</t>
  </si>
  <si>
    <t>E811 Te Rangihiroa NE Riser DB.TRH2D Power Non-Essential</t>
  </si>
  <si>
    <t>E811 Te Rangihiroa NE Riser DB.TRH3D Lighting Essential</t>
  </si>
  <si>
    <t>E811 Te Rangihiroa NE Riser DB.TRH3D Lighting Non-Essential</t>
  </si>
  <si>
    <t>E811 Te Rangihiroa NE Riser DB.TRH3D Power Non-Essential</t>
  </si>
  <si>
    <t>E811 Te Rangihiroa NE Riser DB.TRH4D Lighting Essential</t>
  </si>
  <si>
    <t>E811 Te Rangihiroa NE Riser DB.TRH4D Lighting Non-Essential</t>
  </si>
  <si>
    <t>E811 Te Rangihiroa NE Riser DB.TRH4D Power Non-Essential</t>
  </si>
  <si>
    <t>E811 Te Rangihiroa NE Riser DB.TRH5D Lighting Essential</t>
  </si>
  <si>
    <t>E811 Te Rangihiroa NE Riser DB.TRH5D Lighting Non-Essential</t>
  </si>
  <si>
    <t>E811 Te Rangihiroa NE Riser DB.TRH5D Power Non-Essential</t>
  </si>
  <si>
    <t>E811 Te Rangihiroa NE Riser DB.TRH6B Lighting Essential</t>
  </si>
  <si>
    <t>E811 Te Rangihiroa NE Riser DB.TRH6B Lighting Non-Essential</t>
  </si>
  <si>
    <t>E811 Te Rangihiroa NE Riser DB.TRH6B Power Essential</t>
  </si>
  <si>
    <t>E811 Te Rangihiroa NE Riser DB.TRH6B Power Non-Essential</t>
  </si>
  <si>
    <t>E811 Te Rangihiroa DB.TRHGA</t>
  </si>
  <si>
    <t>E811 Te Rangihiroa DB.TRHGA Lighting Essential</t>
  </si>
  <si>
    <t>E811 Te Rangihiroa DB.TRHGA Power Essential</t>
  </si>
  <si>
    <t>E811 Te Rangihiroa DB.TRHGA Power Non-Essential</t>
  </si>
  <si>
    <t>E811 Te Rangihiroa DB.TRHGB</t>
  </si>
  <si>
    <t>E811 Te Rangihiroa DB.TRHGB Lighting Essential</t>
  </si>
  <si>
    <t>E811 Te Rangihiroa DB.TRHGB Power Essential</t>
  </si>
  <si>
    <t>E811 Te Rangihiroa DB.TRHGC</t>
  </si>
  <si>
    <t>E811 Te Rangihiroa DB.TRHGC Lighting Essential</t>
  </si>
  <si>
    <t>E811 Te Rangihiroa DB.TRHGC Power Essential</t>
  </si>
  <si>
    <t>E811 Te Rangihiroa DB.TRHGC Power Non-Essential</t>
  </si>
  <si>
    <t>E811 Te Rangihiroa DB.TRHGD</t>
  </si>
  <si>
    <t>E811 Te Rangihiroa DB.TRHGD Lighting Essential</t>
  </si>
  <si>
    <t>E811 Te Rangihiroa DB.TRHGD Power Essential</t>
  </si>
  <si>
    <t>E811 Te Rangihiroa DB.TRHGD Power Non-Essential</t>
  </si>
  <si>
    <t>E811 Te Rangihiroa DB.TRHGE</t>
  </si>
  <si>
    <t>E811 Te Rangihiroa DB.TRHGE Lighting Essential</t>
  </si>
  <si>
    <t>E811 Te Rangihiroa DB.TRHGE Power Essential</t>
  </si>
  <si>
    <t>E811 Te Rangihiroa DB.TRHGE Power Non-Essential</t>
  </si>
  <si>
    <t>E811 Te Rangihiroa DB.TRHGF</t>
  </si>
  <si>
    <t>E811 Te Rangihiroa DB.TRHGF Lighting Essential</t>
  </si>
  <si>
    <t>E811 Te Rangihiroa DB.TRHGF Power Essential</t>
  </si>
  <si>
    <t>E811 Te Rangihiroa DB.TRHGF Power Non-Essential</t>
  </si>
  <si>
    <t>E811 Te Rangihiroa DB.TRHGF Townhouse 1</t>
  </si>
  <si>
    <t>E811 Te Rangihiroa DB.TRHGF Townhouse 2</t>
  </si>
  <si>
    <t>E811 Te Rangihiroa DB.TRHGF Townhouse 3</t>
  </si>
  <si>
    <t>E811 Te Rangihiroa MCC.TRHGB</t>
  </si>
  <si>
    <t>E811 Te Rangihiroa MCC.TRHGA</t>
  </si>
  <si>
    <t>E811 Te Rangihiroa MCC.TRH6A</t>
  </si>
  <si>
    <t>E811 Te Rangihiroa MCC.TRH6B</t>
  </si>
  <si>
    <t>E902 Hocken MCC1 Ground Stacks:</t>
  </si>
  <si>
    <t>E902 Hocken MCC2 Boiler Rm:</t>
  </si>
  <si>
    <t>E902 Hocken MCC3 L1 Plant Rm:</t>
  </si>
  <si>
    <t>E902 Hocken SB1:</t>
  </si>
  <si>
    <t>E902 Hocken SB2:</t>
  </si>
  <si>
    <t>E902 Hocken SB3:</t>
  </si>
  <si>
    <t>E902 Hocken SB4:</t>
  </si>
  <si>
    <t>E902 Hocken SB5:</t>
  </si>
  <si>
    <t>E902 Hocken SB6:</t>
  </si>
  <si>
    <t>E902 Hocken SB7:</t>
  </si>
  <si>
    <t>F402 University Union Backfeed - Smithells, HEDC &amp; Union Lawn:</t>
  </si>
  <si>
    <t>F403 OUSA total DB1, 2,3 &amp; 4:</t>
  </si>
  <si>
    <t>F403 OUSA DB1 &amp; DB4 North end:</t>
  </si>
  <si>
    <t>F403 OUSA Ground North DB4.1 Bookshop:</t>
  </si>
  <si>
    <t>F403 OUSA Ground North DB4.2 Planet Media:</t>
  </si>
  <si>
    <t>F405 Smithells Gym and Portacoms:</t>
  </si>
  <si>
    <t>F412 Science Portacom 1:</t>
  </si>
  <si>
    <t>F413 Science Portacom 2:</t>
  </si>
  <si>
    <t>F419 ISB MTHW Pumps P1 &amp; P2:</t>
  </si>
  <si>
    <t>F419 ISB east 1 main:</t>
  </si>
  <si>
    <t>F419 ISB east Lift:</t>
  </si>
  <si>
    <t>F419 ISB east MCC1:</t>
  </si>
  <si>
    <t>F419 ISB east MCCP6:</t>
  </si>
  <si>
    <t>F419 ISB east MCCP7:</t>
  </si>
  <si>
    <t>F419 ISB east SB-S1:</t>
  </si>
  <si>
    <t>F419 ISB east SBF1:</t>
  </si>
  <si>
    <t>F419 ISB east SBF2:</t>
  </si>
  <si>
    <t>F419 ISB east SBF4:</t>
  </si>
  <si>
    <t>F419 ISB east SBG1:</t>
  </si>
  <si>
    <t>F419 ISB east SBG2:</t>
  </si>
  <si>
    <t>F419 ISB east SBG4:</t>
  </si>
  <si>
    <t>F419 ISB east SBS2:</t>
  </si>
  <si>
    <t>F419 ISB east SBS4:</t>
  </si>
  <si>
    <t>F419 ISB west (1) Mains:</t>
  </si>
  <si>
    <t>F419 ISB west (Café Albany) DB-GN1D 1N5a:</t>
  </si>
  <si>
    <t>GN14 may be swapped with GN1D</t>
  </si>
  <si>
    <t>F419 ISB west (Campus Shop) DB-GN14 1N5a:</t>
  </si>
  <si>
    <t>F419 ISB west (Chatime )DB-GN1E  1N5a:</t>
  </si>
  <si>
    <t>F419 ISB west (Frankly Sandwiches) DB-GN1C  1N5a:</t>
  </si>
  <si>
    <t>F419 ISB west DB.L10:</t>
  </si>
  <si>
    <t>F419 ISB west Humidifier:</t>
  </si>
  <si>
    <t>F419 ISB west MCCP3:</t>
  </si>
  <si>
    <t>F419 ISB west MCCP4 &amp; Chiller:</t>
  </si>
  <si>
    <t>F419 ISB west MCCP5:</t>
  </si>
  <si>
    <t>F419 ISB west SBF3:</t>
  </si>
  <si>
    <t>F419 ISB west SBG3:</t>
  </si>
  <si>
    <t>F419 ISB west SBS3:</t>
  </si>
  <si>
    <t>F505 1 Richardson Mains:</t>
  </si>
  <si>
    <t>F505 F503 Castle Lecture:</t>
  </si>
  <si>
    <t>F505 Richardson - Castle St Lecture:</t>
  </si>
  <si>
    <t>F505 Richardson Centre Block Rising Main:</t>
  </si>
  <si>
    <t>F505 Richardson Library Block Rising Main:</t>
  </si>
  <si>
    <t>F505 Richardson North Block Rising Main:</t>
  </si>
  <si>
    <t>F507 - F518  ITS Substation Mains F512:</t>
  </si>
  <si>
    <t>F507 Applied Science Building:</t>
  </si>
  <si>
    <t>F507/9, substation Gregory +  AppSc:</t>
  </si>
  <si>
    <t>F508 Archway Lecture Theatres (From Geo Sub):</t>
  </si>
  <si>
    <t>F509 Gregory Building:</t>
  </si>
  <si>
    <t>F510 EV Charging:</t>
  </si>
  <si>
    <t>F511,substation Eleanor Gibson Lab:</t>
  </si>
  <si>
    <t>F512 270 Leith Walk:</t>
  </si>
  <si>
    <t>F512 Substation 270 Leith Walk:</t>
  </si>
  <si>
    <t>F516 97 Albany &amp; F517 99 Albany, F513 262 Leith Walk:</t>
  </si>
  <si>
    <t>F518 Arts 1 Submains MSB:</t>
  </si>
  <si>
    <t>F518 Arts Rising Submain A:</t>
  </si>
  <si>
    <t>F518 Arts Rising Submain B:</t>
  </si>
  <si>
    <t>F518 substation Arts Building:</t>
  </si>
  <si>
    <t>F51X  Street Lighting:</t>
  </si>
  <si>
    <t>F522 &amp; F523  Leith 2 &amp; 3:</t>
  </si>
  <si>
    <t>F602 117 Albany Street:</t>
  </si>
  <si>
    <t>F603 Property Services Building:</t>
  </si>
  <si>
    <t>F603 substation Property Services meter:</t>
  </si>
  <si>
    <t>F604  Trent Avenue:</t>
  </si>
  <si>
    <t>F614 1 School of Business Incomer 1 (Lower floors):</t>
  </si>
  <si>
    <t>F614 2 School of Business Incomer 2 (Upper floors):</t>
  </si>
  <si>
    <t>F614 DB Essential :</t>
  </si>
  <si>
    <t>F614 OBS B CAFE:</t>
  </si>
  <si>
    <t>F614 OBS DB MCC:</t>
  </si>
  <si>
    <t>F614 OBS DB MSB:</t>
  </si>
  <si>
    <t>F614 OBS DB1A:</t>
  </si>
  <si>
    <t>F614 OBS DB1B:</t>
  </si>
  <si>
    <t>F614 OBS DB1C:</t>
  </si>
  <si>
    <t>F614 OBS DB1D:</t>
  </si>
  <si>
    <t>F614 OBS DB4A (DB2A):</t>
  </si>
  <si>
    <t>F614 OBS DB4B (DB2B):</t>
  </si>
  <si>
    <t>F614 OBS DB4C (DB2C):</t>
  </si>
  <si>
    <t>F614 OBS DB4D (DB2D):</t>
  </si>
  <si>
    <t>F614 OBS DBGA:</t>
  </si>
  <si>
    <t>F614 OBS DBGB:</t>
  </si>
  <si>
    <t>F614 OBS DBGC:</t>
  </si>
  <si>
    <t>F614 OBS DBLGA:</t>
  </si>
  <si>
    <t>F614 OBS DBLGB:</t>
  </si>
  <si>
    <t>F618 1  Psychology substation- Goddard:</t>
  </si>
  <si>
    <t>F618 F608/09/21 Mellor House and Extensions:</t>
  </si>
  <si>
    <t>F618 F611/12/13 Union Street Houses:</t>
  </si>
  <si>
    <t>F618 Goddard:</t>
  </si>
  <si>
    <t>F620 Psychology 2C:</t>
  </si>
  <si>
    <t>F622 William James Chiller:</t>
  </si>
  <si>
    <t>F622 William James Generator:</t>
  </si>
  <si>
    <t>F622 William James Riser:</t>
  </si>
  <si>
    <t>F62X William James and 2C combined:</t>
  </si>
  <si>
    <t>Janitza UO F8-X (Select data and copy across each month - copy data only and Right click paste at destination formatting)</t>
  </si>
  <si>
    <t xml:space="preserve"> H402 St David II DB G:</t>
  </si>
  <si>
    <t>F813 Bill Robertson Library 1 MSB:</t>
  </si>
  <si>
    <t>F813 Bill Robertson Library DB1:</t>
  </si>
  <si>
    <t>F813 Bill Robertson Library MCC1:</t>
  </si>
  <si>
    <t>F813 Bill Robertson Library MCC2:</t>
  </si>
  <si>
    <t>F900 College of Education:</t>
  </si>
  <si>
    <t>F903 CoE Drama (Drama Centre and Theatre/ Childcare:</t>
  </si>
  <si>
    <t>F904 CoE Childcare (Fed from Drama, For Oncharging)</t>
  </si>
  <si>
    <t>F905 CoE Auditorium Lights:</t>
  </si>
  <si>
    <t>F905 CoE Auditorium power:</t>
  </si>
  <si>
    <t>F906 College of Education Administration:</t>
  </si>
  <si>
    <t>F907 CoE Student Centre/Music (Music Suite):</t>
  </si>
  <si>
    <t>F908 CoE Food Technology:</t>
  </si>
  <si>
    <t>F908 CoE Mechanical Service Teaching Wing top plant room:</t>
  </si>
  <si>
    <t>F908 CoE Teaching Wing Annex plant room:</t>
  </si>
  <si>
    <t>F908 CoE Teaching Wing Lights east end riser:</t>
  </si>
  <si>
    <t>F908 CoE Teaching Wing Lights west end riser:</t>
  </si>
  <si>
    <t>F908 CoE Teaching Wing Power west end riser:</t>
  </si>
  <si>
    <t>F908 CoE Teaching Wing power east end riser:</t>
  </si>
  <si>
    <t>F909 CoE Tower Block (lights?):</t>
  </si>
  <si>
    <t>F909 CoE Tower Block (power?):</t>
  </si>
  <si>
    <t>F909 CoE Tower Block Lecture Theatre:</t>
  </si>
  <si>
    <t>F909 CoE Tower Block Lift:</t>
  </si>
  <si>
    <t>F910 College of Education Education and Resource Centre:</t>
  </si>
  <si>
    <t>F911 CoE Gymnasium/ Carpark:</t>
  </si>
  <si>
    <t>F916 CoE Mechanical Services DB Boilerhouse:</t>
  </si>
  <si>
    <t>F916 CoE Wood Boiler:</t>
  </si>
  <si>
    <t>F916 CoE Woodchip bunker control panel:</t>
  </si>
  <si>
    <t>F918 CoE Dunedin Study:</t>
  </si>
  <si>
    <t>F940 Plaza 1 Mains:</t>
  </si>
  <si>
    <t>F940 Plaza Cafe Kitchen DB CF:</t>
  </si>
  <si>
    <t>F940 Plaza FS  DBG/N:</t>
  </si>
  <si>
    <t>F940 Plaza FS DB L1/N:</t>
  </si>
  <si>
    <t>F940 Plaza FS DB L2/N:</t>
  </si>
  <si>
    <t>F940 Plaza FS DB L3/N:</t>
  </si>
  <si>
    <t>F940 Plaza FS LMCP01 Nth Ground Mechanical</t>
  </si>
  <si>
    <t>F940 Unipol DB CRD/N:</t>
  </si>
  <si>
    <t>F940 Unipol DB G/S:</t>
  </si>
  <si>
    <t>F940 Unipol DB GYM/N:</t>
  </si>
  <si>
    <t>F940 Unipol DB GYM/S:</t>
  </si>
  <si>
    <t>F940 Unipol DB L1/S:</t>
  </si>
  <si>
    <t>F940 Unipol DB MPA:</t>
  </si>
  <si>
    <t>F940 Unipol DB WHT/S:</t>
  </si>
  <si>
    <t>G401 1  Mellor Laboratories Ground MSB:</t>
  </si>
  <si>
    <t>G401 2 Mellor L3 MCC 3.1:</t>
  </si>
  <si>
    <t>G401 Mellor 3.1 Humidifier 1:</t>
  </si>
  <si>
    <t>G401 Mellor 3.1 Humidifier 2:</t>
  </si>
  <si>
    <t>G401 Mellor 3.1 MEF-1:</t>
  </si>
  <si>
    <t>G401 Mellor 3.1 RO Plant:</t>
  </si>
  <si>
    <t>G401 Mellor Chiller:</t>
  </si>
  <si>
    <t>G401 Mellor3.1 HWC 1 &amp; 2:</t>
  </si>
  <si>
    <t>G403 Biochemistry Plant room East:</t>
  </si>
  <si>
    <t>G403 Biochemistry Plant room West:</t>
  </si>
  <si>
    <t>G403 Biochemistry:</t>
  </si>
  <si>
    <t>G404 Microbiology HVAC Ground:</t>
  </si>
  <si>
    <t>G404 Microbiology Mech 9th Floor:</t>
  </si>
  <si>
    <t>G404 Microbiology Mech Basement :</t>
  </si>
  <si>
    <t>G404 Microbiology Riser 1:</t>
  </si>
  <si>
    <t>G404 Microbiology Riser 2:</t>
  </si>
  <si>
    <t>G404 Microbiology:</t>
  </si>
  <si>
    <t>G404 Microbiology Rooftop ONE.NZ Antenna</t>
  </si>
  <si>
    <t>G405 Science 3 - MSB</t>
  </si>
  <si>
    <t>G405 Science 3 Level 6 Mechanical MCC (Block 4)</t>
  </si>
  <si>
    <t>G405 Science 3 Level Basement MCC (Block 4)</t>
  </si>
  <si>
    <t>G405 Science 3 Library (Block 3)</t>
  </si>
  <si>
    <t>G405 Science 3 Main Riser (Block 4)</t>
  </si>
  <si>
    <t>G405 Science 3 Physics Climate Chamber</t>
  </si>
  <si>
    <t>G411 1 St David's Lecture incl visitor centre:</t>
  </si>
  <si>
    <t>G411 Solar pv 03Dgr:</t>
  </si>
  <si>
    <t>G411 Solar pv 33Dgr:</t>
  </si>
  <si>
    <t>G411 Solar pv 48dgr:</t>
  </si>
  <si>
    <t>G411 Solar pv 63dgr:</t>
  </si>
  <si>
    <t>G411 St David's generator:</t>
  </si>
  <si>
    <t>G411 St Davids visitor centre:</t>
  </si>
  <si>
    <t>G412 Compressor Science 2 boiler house:</t>
  </si>
  <si>
    <t>G413 1 Science 2 Main Board:</t>
  </si>
  <si>
    <t>G413 Science 2 1st floor Chiller:</t>
  </si>
  <si>
    <t>G413 Science 2 1st floor Humidifier:</t>
  </si>
  <si>
    <t>G413 Science 2 1st floor board:</t>
  </si>
  <si>
    <t>G413 Science 2 DB GN2:</t>
  </si>
  <si>
    <t>G413 Science 2 X-Ray Lab DB GN10:</t>
  </si>
  <si>
    <t>G413 Science 2 boiler house G412:</t>
  </si>
  <si>
    <t>G501 Staff Club:</t>
  </si>
  <si>
    <t>G502 1  Main Block substation G508:</t>
  </si>
  <si>
    <t>G502 Clocktower 1 First Floor:</t>
  </si>
  <si>
    <t>G502 Clocktower 2 Ground Floor:</t>
  </si>
  <si>
    <t>G502 Clocktower 3 Basement:</t>
  </si>
  <si>
    <t>G503/04 Professional Houses:</t>
  </si>
  <si>
    <t>G504 Black &amp; Sale House:</t>
  </si>
  <si>
    <t>G504 Scott Shand:</t>
  </si>
  <si>
    <t>G505 Geology north:</t>
  </si>
  <si>
    <t>G505 Geology south:</t>
  </si>
  <si>
    <t>G506 Marama Hall:</t>
  </si>
  <si>
    <t>G506/07 Archway buildings (incl. Allen &amp; Marama Hall):</t>
  </si>
  <si>
    <t>G507 Allen Hall (Backstage):</t>
  </si>
  <si>
    <t>G507 Archway West:</t>
  </si>
  <si>
    <t>G508 Geology Substation Generator:</t>
  </si>
  <si>
    <t>G600 University College MSB G606:</t>
  </si>
  <si>
    <t>G601 UniCol Common DB:</t>
  </si>
  <si>
    <t>G602 UniCol South Tower:</t>
  </si>
  <si>
    <t>G603 UniCol North Tower:</t>
  </si>
  <si>
    <t>G606 UniCol Nth Annexe L1:</t>
  </si>
  <si>
    <t>G606 UniCol Nth Annexe L2:</t>
  </si>
  <si>
    <t>G606 UniCol Nth Annexe L3:</t>
  </si>
  <si>
    <t>G606 UniCol Nth Annexe L4:</t>
  </si>
  <si>
    <t>G607 UniCol South Annexe:</t>
  </si>
  <si>
    <t>H402 1 St David II Mains:</t>
  </si>
  <si>
    <t>H402 St David II Mech??? :</t>
  </si>
  <si>
    <t>H402 St David II Chiller:</t>
  </si>
  <si>
    <t>H402 St David II DB 1:</t>
  </si>
  <si>
    <t>H402 St David II DB 2:</t>
  </si>
  <si>
    <t>H402 St David II DB 3:</t>
  </si>
  <si>
    <t>H402 St David II DB GMS:</t>
  </si>
  <si>
    <t>H402 St David II Lift:</t>
  </si>
  <si>
    <t>H418, 530 Castle Street:</t>
  </si>
  <si>
    <t>H419, 520 Castle Street:</t>
  </si>
  <si>
    <t>H420 518 Castle Street:</t>
  </si>
  <si>
    <t>H421 CFI DB-1E.3  first floor east unit 3:</t>
  </si>
  <si>
    <t>H421 CFI DB-2E.4-2E5:</t>
  </si>
  <si>
    <t>H421 CFI DB-2E3:</t>
  </si>
  <si>
    <t>H421 CFI DB-GE.4 - Pacific Dvpt - G.E4, G.E7, G.E8:</t>
  </si>
  <si>
    <t>H421 CFI DB-GE.6  Maori Dvpt - Rm G.E5a-5d, G.E6:</t>
  </si>
  <si>
    <t>H421 CFI GW6a:</t>
  </si>
  <si>
    <t>H421 CFI GW6b:</t>
  </si>
  <si>
    <t>H421 CFI GW6 c-e :</t>
  </si>
  <si>
    <t>H421 CFI GW6f:</t>
  </si>
  <si>
    <t>H421 CFI GW6g:</t>
  </si>
  <si>
    <t>H421 Centre for Innovation  landlord meter:</t>
  </si>
  <si>
    <t>H421 Centre for Innovation 1:</t>
  </si>
  <si>
    <t>H421 Centre for Innovation 2 :</t>
  </si>
  <si>
    <t>H421 CfI DB-1E:</t>
  </si>
  <si>
    <t>H421 CfI DB-1W:</t>
  </si>
  <si>
    <t>H421 CfI DB-2E:</t>
  </si>
  <si>
    <t>H421 CfI DB-2W:</t>
  </si>
  <si>
    <t>H421 CfI DB-GE:</t>
  </si>
  <si>
    <t>H421 CfI DB-GW:</t>
  </si>
  <si>
    <t>H421 CfI L2 Suite 1 2W1:</t>
  </si>
  <si>
    <t>H421 CfI L2 Suite 2 2W4/1:</t>
  </si>
  <si>
    <t>H421 CfI L2 Suite 3 2W4/2:</t>
  </si>
  <si>
    <t>H421 CfI L2 Suite 4 2W3/2:</t>
  </si>
  <si>
    <t>H421 CfI L2 Suite 5 2W3/1:</t>
  </si>
  <si>
    <t>H421 CfI L2 Suite 6 2W2:</t>
  </si>
  <si>
    <t>H421 CfI Suite 11 L1 1W1:</t>
  </si>
  <si>
    <t>H421 CfI Suite 12 L1 1W3/1:</t>
  </si>
  <si>
    <t>H421 CfI Suite 13 L1 1W5:</t>
  </si>
  <si>
    <t>H421 CfI Suite 14 L1 1W6:</t>
  </si>
  <si>
    <t>H421 CfI Suite 15 L1 1W4:</t>
  </si>
  <si>
    <t>H421 CfI Suite 16 L1 1W2:</t>
  </si>
  <si>
    <t>H421 CfI Suite 21 LG GW7/1:</t>
  </si>
  <si>
    <t>H421 CfI Suite 22 LG GW7/2:</t>
  </si>
  <si>
    <t>H421 CfI Suite 23 LG GW8:</t>
  </si>
  <si>
    <t>H421 CfI Suite 24 LG GW6/2:</t>
  </si>
  <si>
    <t>H421 CfI Suite 25 LG GW6/1:</t>
  </si>
  <si>
    <t>H421 Cfi DB-GE Board Room:</t>
  </si>
  <si>
    <t>H509 UO Childcare DBA1:</t>
  </si>
  <si>
    <t>H509 UO Childcare &amp; CSAFE:</t>
  </si>
  <si>
    <t>H514 C Safe Buildings 1, 2 &amp; 4:</t>
  </si>
  <si>
    <t>H515 C Safe Building 3:</t>
  </si>
  <si>
    <t>H525 31 Montgomery Ave:</t>
  </si>
  <si>
    <t>H538 Childcare/ CSafe Boiler:</t>
  </si>
  <si>
    <t>H634 1 Arana MSB :</t>
  </si>
  <si>
    <t>H634 Arana Colombo Bates Accomodation:</t>
  </si>
  <si>
    <t>H634 Arana Denmead Ktichen H633:</t>
  </si>
  <si>
    <t>H634 Arana MSB DB:</t>
  </si>
  <si>
    <t>H634 G621 Arana Dempster House:</t>
  </si>
  <si>
    <t>H634 G623 Arana Rawiri:</t>
  </si>
  <si>
    <t>H638 Arana Gym/Leithview:</t>
  </si>
  <si>
    <t>H711 Studholme DB Kitchen:</t>
  </si>
  <si>
    <t>H711 Studholme DB1 West Wing:</t>
  </si>
  <si>
    <t>H711 Studholme DB2 West Wing:</t>
  </si>
  <si>
    <t>H711 Studholme Hostel Heating:</t>
  </si>
  <si>
    <t>H711 Studholme Hostel Lighting:</t>
  </si>
  <si>
    <t>H711 Studholme Hostel Power:</t>
  </si>
  <si>
    <t>H711 Studholme Hostel Water Heating:</t>
  </si>
  <si>
    <t>H711 Studholme Kitchen DHW:</t>
  </si>
  <si>
    <t>H711 Studholme Power &amp; Light:</t>
  </si>
  <si>
    <t>J125 Carrington College dining and kitchen:</t>
  </si>
  <si>
    <t>J127 Carrington College Jenkins:</t>
  </si>
  <si>
    <t>J127 Carrington College Linton:</t>
  </si>
  <si>
    <t>J140 Aquinas College:</t>
  </si>
  <si>
    <t>J140 Aquinas DHW:</t>
  </si>
  <si>
    <t>J140 Aquinas Kitchen:</t>
  </si>
  <si>
    <t>J141 Aquinas Priory:</t>
  </si>
  <si>
    <t>J142 Aquinas Gym:</t>
  </si>
  <si>
    <t>K308 Caroline Freeman College DB81:</t>
  </si>
  <si>
    <t>K308 Caroline Freeman College DB82:</t>
  </si>
  <si>
    <t>K308 Caroline Freeman College DB83:</t>
  </si>
  <si>
    <t>K308 Caroline Freeman College DB84:</t>
  </si>
  <si>
    <t>K308 Caroline Freeman College DB85:</t>
  </si>
  <si>
    <t>K308 Caroline Freeman College DB8:</t>
  </si>
  <si>
    <t>11557 ft^2</t>
  </si>
  <si>
    <t>XW00 Wellington School of Medicine Incomer 1:</t>
  </si>
  <si>
    <t>XW00 Wellington School of Medicine Incomer 2:</t>
  </si>
  <si>
    <t>XW00 Wellington SoM 21 Chiller:</t>
  </si>
  <si>
    <t>XW00 Wellington SoM 31 Sth Tower Rising Main:</t>
  </si>
  <si>
    <t>XW00 Wellington SoM 41 Unlabelled - Bottom Right MSB:</t>
  </si>
  <si>
    <t xml:space="preserve">Manually Read Meters </t>
  </si>
  <si>
    <t>pending Janitza</t>
  </si>
  <si>
    <t>D204 Spark Inst. on Hercus Roof (room No 424)</t>
  </si>
  <si>
    <t>Desigo - make report</t>
  </si>
  <si>
    <t xml:space="preserve">E201 Otago Dental School CSB  Chiller 1 </t>
  </si>
  <si>
    <t>E201 Otago Dental School CSB  Chiller 2</t>
  </si>
  <si>
    <t>Building future uncertain</t>
  </si>
  <si>
    <t>E315 71 Frederick Room 101</t>
  </si>
  <si>
    <t xml:space="preserve">E315 71 Frederick Staff area 1st floor </t>
  </si>
  <si>
    <t>emailed by Nigel</t>
  </si>
  <si>
    <t>F325 PhysEd Flume</t>
  </si>
  <si>
    <t>awaiting demo</t>
  </si>
  <si>
    <t>F320 PE Squash Courts</t>
  </si>
  <si>
    <t>F408 65 Union Place west (HEDC)</t>
  </si>
  <si>
    <t>F409 75 Union Place west (HEDC)</t>
  </si>
  <si>
    <t xml:space="preserve">F513 262 Leith St  </t>
  </si>
  <si>
    <t>F516 99 Albany St</t>
  </si>
  <si>
    <t>F517 97 Albany St</t>
  </si>
  <si>
    <t>F522 Leith II, 281</t>
  </si>
  <si>
    <t>F523 Leith III, 279</t>
  </si>
  <si>
    <t>F742 Cory's container</t>
  </si>
  <si>
    <t>F743 Mico's container</t>
  </si>
  <si>
    <t>UniFlats 2025</t>
  </si>
  <si>
    <t>F735 Ex Residence DHW</t>
  </si>
  <si>
    <t>G507 Archway Building Allen Hall - DB</t>
  </si>
  <si>
    <t>G507 Archway Building east - DB</t>
  </si>
  <si>
    <t>10.81.172.40</t>
  </si>
  <si>
    <t>K427 Caroline Freeman East Water Heating DB</t>
  </si>
  <si>
    <t>admin/admin</t>
  </si>
  <si>
    <t>K427 Caroline Freeman East Kitchen DB A</t>
  </si>
  <si>
    <t>K427 Caroline Freeman East Laundry DB A</t>
  </si>
  <si>
    <t>K427 Caroline Freeman East West Block Submain</t>
  </si>
  <si>
    <t>K427 Caroline Freeman East South House G Floor</t>
  </si>
  <si>
    <t>K427 Caroline Freeman East South House 1st Floor</t>
  </si>
  <si>
    <t>K427 Caroline Freeman East Lift DB</t>
  </si>
  <si>
    <t>K427 Caroline Freeman East Lift Supply</t>
  </si>
  <si>
    <t>K427 Caroline Freeman East DB C L1 West Power</t>
  </si>
  <si>
    <t>K427 Caroline Freeman East DB D L1 East Power</t>
  </si>
  <si>
    <t>K427 Caroline Freeman East DB E L2 West Power</t>
  </si>
  <si>
    <t>K427 Caroline Freeman East DB F L2 East Power</t>
  </si>
  <si>
    <t>K427 Caroline Freeman East DB F L2 East Lights</t>
  </si>
  <si>
    <t>K427 Caroline Freeman East DB A Laundry LG West Lt</t>
  </si>
  <si>
    <t>K427 Caroline Freeman East DB E L2 West Lights</t>
  </si>
  <si>
    <t>K427 Caroline Freeman East DB D L1 East Lights</t>
  </si>
  <si>
    <t>K427 Caroline Freeman East DB C L1 West Lights</t>
  </si>
  <si>
    <t xml:space="preserve"> Calculated Consumption</t>
  </si>
  <si>
    <t>D201 Adams Building</t>
  </si>
  <si>
    <t>D201 Adams Building losses (Med MSB to Adams)</t>
  </si>
  <si>
    <t>E201 Dental Losses (MSB -CSB and Walsh)</t>
  </si>
  <si>
    <t>D206 Spark Inst. on Hercus Roof (room No 424)</t>
  </si>
  <si>
    <t xml:space="preserve">E209 Marples Building </t>
  </si>
  <si>
    <t>E212 Benham Building</t>
  </si>
  <si>
    <t>E305 325 Gt King IT incl. CRAC</t>
  </si>
  <si>
    <t>E305 325 Gt King Server Room Racks</t>
  </si>
  <si>
    <t>E811 Te Rangihiroa Comms Cabinets Levels 1-5</t>
  </si>
  <si>
    <t>F330 PE Squash Courts</t>
  </si>
  <si>
    <t xml:space="preserve">F403 OUSA Total </t>
  </si>
  <si>
    <t>F405 Smithells Gym</t>
  </si>
  <si>
    <t xml:space="preserve">F4XX Union Lawn &amp; HEDC Calculated (Union Backfeed - Smithells &amp; Portacoms) </t>
  </si>
  <si>
    <t>F419 ISB East Excluding Plant</t>
  </si>
  <si>
    <t>F419 ISB East Submains/Difference</t>
  </si>
  <si>
    <t>F419 ISB West Excluding Shops</t>
  </si>
  <si>
    <t>F419 ISB West Submains/Difference</t>
  </si>
  <si>
    <t>F505 Richardson Building</t>
  </si>
  <si>
    <t>F614 OBS Total</t>
  </si>
  <si>
    <t>F622 William James Building</t>
  </si>
  <si>
    <t>F940 Plaza Café consumption</t>
  </si>
  <si>
    <t>F940 Plaza Pathway (North End) consumption</t>
  </si>
  <si>
    <t>F940 Plaza Pathway (North end) excluding Plant</t>
  </si>
  <si>
    <t>F940 Plaza plant consumption</t>
  </si>
  <si>
    <t>F940 Plaza Unipol excluding Plant</t>
  </si>
  <si>
    <t>F940 Unipol consumption</t>
  </si>
  <si>
    <t>G411 St Davids Lecture Theatre solar total</t>
  </si>
  <si>
    <t>G411 St Davids Lecture Theatre total</t>
  </si>
  <si>
    <t>G413 Science 2 Building</t>
  </si>
  <si>
    <t>G502 Clocktower Total</t>
  </si>
  <si>
    <t>G505 Geology Building</t>
  </si>
  <si>
    <t>G507 Allen Hall - DB</t>
  </si>
  <si>
    <t>H509 Childcare Total Electricity</t>
  </si>
  <si>
    <t>XW00 Wellington Electricity - kWh</t>
  </si>
  <si>
    <t>Date</t>
  </si>
  <si>
    <t>Time</t>
  </si>
  <si>
    <t>0000 Ring Main #1 MP4889 - kWh</t>
  </si>
  <si>
    <t>0000 Ring Main #1 MP4889 - PF</t>
  </si>
  <si>
    <t>0000 Ring Main #2  - kWh</t>
  </si>
  <si>
    <t>0000 Ring Main #2  - PF</t>
  </si>
  <si>
    <t>0000 Ring Main #3  - kWh</t>
  </si>
  <si>
    <t>0000 Ring Main #3  - PF</t>
  </si>
  <si>
    <t>A161 Taieri Farm - kWh</t>
  </si>
  <si>
    <t>A161 Taieri Farm - PF</t>
  </si>
  <si>
    <t>C405 192 Castle College - kWh</t>
  </si>
  <si>
    <t>C405 192 Castle College - PF</t>
  </si>
  <si>
    <t>D20X Med School Sub Main - kWh</t>
  </si>
  <si>
    <t>D20X Med School Sub Main - PF</t>
  </si>
  <si>
    <t>D402 Hayward College - kWh</t>
  </si>
  <si>
    <t>D402 Hayward College - PF</t>
  </si>
  <si>
    <t>D403 Survey &amp; Marine - kWh</t>
  </si>
  <si>
    <t>D403 Survey &amp; Marine - PF</t>
  </si>
  <si>
    <t>D40X Cumberland College - kWh</t>
  </si>
  <si>
    <t>D40X Cumberland College - PF</t>
  </si>
  <si>
    <t>E201 School of Dentistry - kWh</t>
  </si>
  <si>
    <t>E201 School of Dentistry - PF</t>
  </si>
  <si>
    <t>E212 Zoology Buildings - kWh</t>
  </si>
  <si>
    <t>E212 Zoology Buildings - PF</t>
  </si>
  <si>
    <t>E214 Otago Dental School - kWh</t>
  </si>
  <si>
    <t>E214 Otago Dental School - PF</t>
  </si>
  <si>
    <t>E301 Hunter Centre - kWh</t>
  </si>
  <si>
    <t>E301 Hunter Centre - PF</t>
  </si>
  <si>
    <t>E305 Physiotherapy - kWh</t>
  </si>
  <si>
    <t>E305 Physiotherapy - PF</t>
  </si>
  <si>
    <t>E308 Student Health - kWh</t>
  </si>
  <si>
    <t>E308 Student Health - PF</t>
  </si>
  <si>
    <t>E325 Research Support Facility - kWh</t>
  </si>
  <si>
    <t>E325 Research Support Facility - PF</t>
  </si>
  <si>
    <t>E902 Hocken Library - kWh</t>
  </si>
  <si>
    <t>E902 Hocken Library - PF</t>
  </si>
  <si>
    <t>F204 444 Great King Street - kWh</t>
  </si>
  <si>
    <t>F204 444 Great King Street - PF</t>
  </si>
  <si>
    <t>F315 Botany Tin Hut - kWh</t>
  </si>
  <si>
    <t>F315 Botany Tin Hut - PF</t>
  </si>
  <si>
    <t>F325 Physical Education - kWh</t>
  </si>
  <si>
    <t>F325 Physical Education - PF</t>
  </si>
  <si>
    <t>F711 Executive Residence - kWh</t>
  </si>
  <si>
    <t>F711 Executive Residence - PF</t>
  </si>
  <si>
    <t>F812 UOCOE Owheo Building - kWh</t>
  </si>
  <si>
    <t>F812 UOCOE Owheo Building - PF</t>
  </si>
  <si>
    <t>F813 UOCOE Robertson Library - kWh</t>
  </si>
  <si>
    <t>F813 UOCOE Robertson Library - PF</t>
  </si>
  <si>
    <t>F940 Plaza Building - kWh</t>
  </si>
  <si>
    <t>F940 Plaza Building - PF</t>
  </si>
  <si>
    <t>F9XX College of Education main (Boiler room) - kWh</t>
  </si>
  <si>
    <t>F9XX College of Education main (Boiler room) - PF</t>
  </si>
  <si>
    <t>G401 Mellor Laboratories - kWh</t>
  </si>
  <si>
    <t>G401 Mellor Laboratories - PF</t>
  </si>
  <si>
    <t>G403 Biochemistry - kWh</t>
  </si>
  <si>
    <t>G403 Biochemistry - PF</t>
  </si>
  <si>
    <t>G404 Microbiology - kWh</t>
  </si>
  <si>
    <t>G404 Microbiology - PF</t>
  </si>
  <si>
    <t>G413 Science 2 - kWh</t>
  </si>
  <si>
    <t>G413 Science 2 - PF</t>
  </si>
  <si>
    <t>G608 St Margarets College - kWh</t>
  </si>
  <si>
    <t>G608 St Margarets College - PF</t>
  </si>
  <si>
    <t>G60X UNICOL - kWh</t>
  </si>
  <si>
    <t>G60X UNICOL - PF</t>
  </si>
  <si>
    <t>H41X Selwyn College - kWh E2</t>
  </si>
  <si>
    <t>H41X Selwyn College - PF</t>
  </si>
  <si>
    <t>H633 Arana College main - kWh</t>
  </si>
  <si>
    <t>H633 Arana College main - PF</t>
  </si>
  <si>
    <t>H71X Studholm College - kWh E2</t>
  </si>
  <si>
    <t>H71X Studholm College - PF</t>
  </si>
  <si>
    <t>J126 Carrington College (Kitchen/Dining) - kWh</t>
  </si>
  <si>
    <t>J126 Carrington College (Kitchen/Dining) - PF</t>
  </si>
  <si>
    <t>J14X Aquinas College - kWh</t>
  </si>
  <si>
    <t>J14X Aquinas College - PF</t>
  </si>
  <si>
    <t>J303 Caroline Freeman College - kWh</t>
  </si>
  <si>
    <t>J303 Caroline Freeman College - PF</t>
  </si>
  <si>
    <t>J960 Portobello Marine Lab - kWh</t>
  </si>
  <si>
    <t>J960 Portobello Marine Lab - PF</t>
  </si>
  <si>
    <t>K427 Abbey College - kWh</t>
  </si>
  <si>
    <t>K427 Abbey College - PF</t>
  </si>
  <si>
    <t>XC01 UoO School of Medicine ChCh - kWh</t>
  </si>
  <si>
    <t>XC01 UoO School of Medicine ChCh - PF</t>
  </si>
  <si>
    <t>Ring Mains Total - kWh</t>
  </si>
  <si>
    <t>Libraries Total - kWh</t>
  </si>
  <si>
    <t>Colleges Total - kWh</t>
  </si>
  <si>
    <t>Science Total - kWh</t>
  </si>
  <si>
    <t>Health Science Total -kWh</t>
  </si>
  <si>
    <t>Humanities Total - kWh</t>
  </si>
  <si>
    <t>OBS &amp; Psychology Total - kWh</t>
  </si>
  <si>
    <t>ITS Servers Total - kWh</t>
  </si>
  <si>
    <t>TRH brought online aug 2023</t>
  </si>
  <si>
    <t>Ring mains Total - kWh</t>
  </si>
  <si>
    <t>Commerce Total - kWh</t>
  </si>
  <si>
    <t>Total DN Electricity - kWh</t>
  </si>
  <si>
    <t>325 Gt King Server (325-PHYSIO)</t>
  </si>
  <si>
    <t>St David Lecture</t>
  </si>
  <si>
    <t>St David II</t>
  </si>
  <si>
    <t>Clocktower</t>
  </si>
  <si>
    <t>ISB</t>
  </si>
  <si>
    <t>Staff Club</t>
  </si>
  <si>
    <t>Archway</t>
  </si>
  <si>
    <t>Psychology</t>
  </si>
  <si>
    <t>Geology sub</t>
  </si>
  <si>
    <t>Toroa??</t>
  </si>
  <si>
    <t>ITS Sub</t>
  </si>
  <si>
    <t>Sci 3 West G-L2</t>
  </si>
  <si>
    <t>CaCLs</t>
  </si>
  <si>
    <t>Richardson</t>
  </si>
  <si>
    <t>Unipol?</t>
  </si>
  <si>
    <t>ISB East</t>
  </si>
  <si>
    <t>Student Health</t>
  </si>
  <si>
    <t>Psychology Sub</t>
  </si>
  <si>
    <t>Union?</t>
  </si>
  <si>
    <t>Sci 3, St David, St David II</t>
  </si>
  <si>
    <t>Carrington Blackie, etc.</t>
  </si>
  <si>
    <t>Auckland Electricity Calculated Consumption</t>
  </si>
  <si>
    <t>[Object_Name]</t>
  </si>
  <si>
    <t>Dec '21</t>
  </si>
  <si>
    <t>Jan '22</t>
  </si>
  <si>
    <t>Feb '22</t>
  </si>
  <si>
    <t>Mar '22</t>
  </si>
  <si>
    <t>May '22</t>
  </si>
  <si>
    <t>Jun '22</t>
  </si>
  <si>
    <t>Jul '22</t>
  </si>
  <si>
    <t>Aug '22</t>
  </si>
  <si>
    <t>Sep '22</t>
  </si>
  <si>
    <t>Oct '22</t>
  </si>
  <si>
    <t>Nov '22</t>
  </si>
  <si>
    <t>Dec '22</t>
  </si>
  <si>
    <t>Jan '25</t>
  </si>
  <si>
    <t>Feb '25</t>
  </si>
  <si>
    <t>Mar '25</t>
  </si>
  <si>
    <t>Manukau Dental Lift CP1 (04)</t>
  </si>
  <si>
    <t>XA05'LG'MetersPo'004'ActvEgTrf</t>
  </si>
  <si>
    <t>Active energy tariff</t>
  </si>
  <si>
    <t xml:space="preserve">XA05 Manukau Dental  - kWh </t>
  </si>
  <si>
    <t xml:space="preserve">XA05'LG'MetersPo'008'ActvEgTrf     MSB Mains (08) </t>
  </si>
  <si>
    <t>Manukau Dental MCC-0-1 Ground Mechanical 1 (05)</t>
  </si>
  <si>
    <t>XA05'LG'MetersPo'005'ActvEgTrf</t>
  </si>
  <si>
    <t>Manukau Dental CH-01 Chiller (07)</t>
  </si>
  <si>
    <t>XA05'LG'MetersPo'007'ActvEgTrf</t>
  </si>
  <si>
    <t>Manukau Dental HP-01 Heat Pump (06)</t>
  </si>
  <si>
    <t>XA05'LG'MetersPo'006'ActvEgTrf</t>
  </si>
  <si>
    <t>Manukau Dental  DB L1 First Floor (10)</t>
  </si>
  <si>
    <t>XA05'LG'MetersPo'010'ActvEgTrf</t>
  </si>
  <si>
    <t>Manukau Dental MCC-0-2 Ground Mechanical 2 (11)</t>
  </si>
  <si>
    <t>XA05'LG'MetersPo'011'ActvEgTrf</t>
  </si>
  <si>
    <t>Manukau Dental MCC-1-1 L1 Mechanical  (12)</t>
  </si>
  <si>
    <t>XA05'LG'MetersPo'012'ActvEgTrf</t>
  </si>
  <si>
    <t>Manukau Dental DB GF  Ground (09)</t>
  </si>
  <si>
    <t>XA05'LG'MetersPo'009'ActvEgTrf</t>
  </si>
  <si>
    <t>Manukau Dental  DB Em  (13)</t>
  </si>
  <si>
    <t>XA05'LG'MetersPo'013'ActvEgTrf</t>
  </si>
  <si>
    <t>Auckland Water Calculated Consumption</t>
  </si>
  <si>
    <t>Manukau Dental Building Mains water (7)</t>
  </si>
  <si>
    <t>XA05'LG'MetersW'007'Reading</t>
  </si>
  <si>
    <t>Pulse meter reading</t>
  </si>
  <si>
    <t>Manukau Dental RO System (1)</t>
  </si>
  <si>
    <t>XA05'LG'MetersW'001'Reading</t>
  </si>
  <si>
    <t>Manukau Dental FW tank (4)</t>
  </si>
  <si>
    <t>XA05'LG'MetersW'004'Reading</t>
  </si>
  <si>
    <t>Manukau Dental Mech Make up tank (5)</t>
  </si>
  <si>
    <t>XA05'LG'MetersW'005'Reading</t>
  </si>
  <si>
    <t xml:space="preserve">Auckland Combined Meter data </t>
  </si>
  <si>
    <t>(From Desigo CC System2)</t>
  </si>
  <si>
    <t>The values from the monthly report are unreliable</t>
  </si>
  <si>
    <t>the water meters drop to 0 and back to value</t>
  </si>
  <si>
    <t>XA05'LG'MetersPo'008'ActvEgTrf</t>
  </si>
  <si>
    <t>XA05'LG'MetersW'MetFlChw'Reading</t>
  </si>
  <si>
    <t>Flow meter reading</t>
  </si>
  <si>
    <t>XA05'LG'MetersW'MetFlHw'Reading</t>
  </si>
  <si>
    <t>Number</t>
  </si>
  <si>
    <t>or Actual</t>
  </si>
  <si>
    <t>factor    X</t>
  </si>
  <si>
    <t xml:space="preserve">value kWh/m3   = </t>
  </si>
  <si>
    <t>Nov '21</t>
  </si>
  <si>
    <t xml:space="preserve">used m3  X </t>
  </si>
  <si>
    <t xml:space="preserve">Building </t>
  </si>
  <si>
    <t>Building</t>
  </si>
  <si>
    <t xml:space="preserve">Meter number </t>
  </si>
  <si>
    <t>Estimate</t>
  </si>
  <si>
    <t>Meter</t>
  </si>
  <si>
    <t xml:space="preserve">Calorific </t>
  </si>
  <si>
    <t>Reading</t>
  </si>
  <si>
    <t>Volume</t>
  </si>
  <si>
    <t xml:space="preserve">Energy </t>
  </si>
  <si>
    <t>Boiler houses</t>
  </si>
  <si>
    <t>Consumption</t>
  </si>
  <si>
    <t>F916</t>
  </si>
  <si>
    <t>College of Education boilerhouse</t>
  </si>
  <si>
    <t>00000705DN-953</t>
  </si>
  <si>
    <t>09L574634</t>
  </si>
  <si>
    <t>A</t>
  </si>
  <si>
    <t>G412</t>
  </si>
  <si>
    <t>Science 2 Boilers house</t>
  </si>
  <si>
    <t>0000070222DN-9CC</t>
  </si>
  <si>
    <t>Central Campus</t>
  </si>
  <si>
    <t>F512</t>
  </si>
  <si>
    <t>ITS</t>
  </si>
  <si>
    <t>0000070320DN-04D</t>
  </si>
  <si>
    <t>20G0087</t>
  </si>
  <si>
    <t>G404</t>
  </si>
  <si>
    <t>Campus (Microbiology)</t>
  </si>
  <si>
    <t>0000070216DN-F3E</t>
  </si>
  <si>
    <t>05F116576</t>
  </si>
  <si>
    <t>F405</t>
  </si>
  <si>
    <t>Smithell's Gym</t>
  </si>
  <si>
    <t>0000070224DN-843</t>
  </si>
  <si>
    <t>RLPG22G0042</t>
  </si>
  <si>
    <t>F402</t>
  </si>
  <si>
    <t>University Union</t>
  </si>
  <si>
    <t>0000070227DN-483</t>
  </si>
  <si>
    <t>RLPG22G0043</t>
  </si>
  <si>
    <t>F204</t>
  </si>
  <si>
    <t>ITS 444 Gt king st</t>
  </si>
  <si>
    <t>0000070211DN-2F4</t>
  </si>
  <si>
    <t>NZ50356</t>
  </si>
  <si>
    <t>\</t>
  </si>
  <si>
    <t>F603</t>
  </si>
  <si>
    <t>Property Services</t>
  </si>
  <si>
    <t>0000070219DN-0E0</t>
  </si>
  <si>
    <t>03D594760</t>
  </si>
  <si>
    <t>F62X</t>
  </si>
  <si>
    <t>0000070220DN-949</t>
  </si>
  <si>
    <t>F516/17</t>
  </si>
  <si>
    <t>97-99 Albany st</t>
  </si>
  <si>
    <t>0000070210DN-EB1</t>
  </si>
  <si>
    <t>F940</t>
  </si>
  <si>
    <t>Plaza</t>
  </si>
  <si>
    <t>0000070218DN-CA5</t>
  </si>
  <si>
    <t>10N132543</t>
  </si>
  <si>
    <t>E</t>
  </si>
  <si>
    <t>E801</t>
  </si>
  <si>
    <t>Music - Supply point turned off</t>
  </si>
  <si>
    <t>0000070217DN-37B</t>
  </si>
  <si>
    <t>07J018213</t>
  </si>
  <si>
    <t>E902</t>
  </si>
  <si>
    <t>Hocken library</t>
  </si>
  <si>
    <t>0000070209DN-A4D</t>
  </si>
  <si>
    <t>04E357785</t>
  </si>
  <si>
    <t>09L574480</t>
  </si>
  <si>
    <t>000007663CF-D63</t>
  </si>
  <si>
    <t>LPGR20G0078</t>
  </si>
  <si>
    <t>Colleges</t>
  </si>
  <si>
    <t>G60x</t>
  </si>
  <si>
    <t>University College</t>
  </si>
  <si>
    <t>0000070226DN-8C6</t>
  </si>
  <si>
    <t>R000001802</t>
  </si>
  <si>
    <t>G601</t>
  </si>
  <si>
    <t>University College kitchen</t>
  </si>
  <si>
    <t>0000070072DN-BC3</t>
  </si>
  <si>
    <t>Caroline Freeman College</t>
  </si>
  <si>
    <t>0000070176DN-3CD</t>
  </si>
  <si>
    <t>RLPG02260038</t>
  </si>
  <si>
    <t>K427</t>
  </si>
  <si>
    <t>Abby College</t>
  </si>
  <si>
    <t>0000070201DN-859</t>
  </si>
  <si>
    <t>07J659823</t>
  </si>
  <si>
    <t>G608</t>
  </si>
  <si>
    <t>St Margarets College</t>
  </si>
  <si>
    <t>0000070225DN-406</t>
  </si>
  <si>
    <t>15D291740</t>
  </si>
  <si>
    <t>J140</t>
  </si>
  <si>
    <t>Aquinas College</t>
  </si>
  <si>
    <t>000080292MB-4B8</t>
  </si>
  <si>
    <t>LPG07J586307</t>
  </si>
  <si>
    <t>H633</t>
  </si>
  <si>
    <t>Arana College</t>
  </si>
  <si>
    <t>0000080042MB-3FD</t>
  </si>
  <si>
    <t>LPG301316</t>
  </si>
  <si>
    <t>Marsh study</t>
  </si>
  <si>
    <t>0000080456MB-45B</t>
  </si>
  <si>
    <t>LPGNZ305353</t>
  </si>
  <si>
    <t>South Campus</t>
  </si>
  <si>
    <t>D206</t>
  </si>
  <si>
    <t>Medical school</t>
  </si>
  <si>
    <t>0000070215DN-3FE</t>
  </si>
  <si>
    <t>3037581x</t>
  </si>
  <si>
    <t>RLPG22G0018</t>
  </si>
  <si>
    <t>310 Gt King st Dental</t>
  </si>
  <si>
    <t>0000070523CF-CC5</t>
  </si>
  <si>
    <t>RLPG77056900</t>
  </si>
  <si>
    <t>F213</t>
  </si>
  <si>
    <t>Parker building</t>
  </si>
  <si>
    <t>0000070232DN-361</t>
  </si>
  <si>
    <t>E208/12</t>
  </si>
  <si>
    <t>Zoology</t>
  </si>
  <si>
    <t>0000070231DN-Fa1</t>
  </si>
  <si>
    <t>09k910637</t>
  </si>
  <si>
    <t>E325</t>
  </si>
  <si>
    <t>Eccles Building</t>
  </si>
  <si>
    <t>0000070600CF-E53</t>
  </si>
  <si>
    <t>RLPG157905</t>
  </si>
  <si>
    <t>E214</t>
  </si>
  <si>
    <t>Dental School LPG</t>
  </si>
  <si>
    <t>Palmerston North</t>
  </si>
  <si>
    <t>56A TE AWE AWE STREET</t>
  </si>
  <si>
    <t>0002378795QT-5C6</t>
  </si>
  <si>
    <t>ZZ10</t>
  </si>
  <si>
    <t>TOTAL GAS Consumption - Dunedin</t>
  </si>
  <si>
    <t>G404-G1</t>
  </si>
  <si>
    <t>main campus gas meter (0000070216DN-F3E)</t>
  </si>
  <si>
    <t>invoiced</t>
  </si>
  <si>
    <t>G404-G2</t>
  </si>
  <si>
    <t>gas meter Microbiology</t>
  </si>
  <si>
    <t>06F807402</t>
  </si>
  <si>
    <t>read</t>
  </si>
  <si>
    <t>G403-G1</t>
  </si>
  <si>
    <t>gas meter Biochemistry</t>
  </si>
  <si>
    <t>232508 - G404-G3</t>
  </si>
  <si>
    <t>G501-G1</t>
  </si>
  <si>
    <t>gas meter Staff club</t>
  </si>
  <si>
    <t>NZ301230</t>
  </si>
  <si>
    <t>F620-G1</t>
  </si>
  <si>
    <t>gas meter Psychology 2c</t>
  </si>
  <si>
    <t>NZ304288</t>
  </si>
  <si>
    <t>F622-G1</t>
  </si>
  <si>
    <t>William James CHP</t>
  </si>
  <si>
    <t>calc.</t>
  </si>
  <si>
    <t>E207-12-G1</t>
  </si>
  <si>
    <t>Zoology gas meter (Benham and Marples) ( 0000070231DN-FA1)</t>
  </si>
  <si>
    <t>02C588998</t>
  </si>
  <si>
    <t>E213-G1</t>
  </si>
  <si>
    <t>Parker Building ( 0000070232DN-361)</t>
  </si>
  <si>
    <t>303756/1</t>
  </si>
  <si>
    <t xml:space="preserve"> </t>
  </si>
  <si>
    <t>F940-G1</t>
  </si>
  <si>
    <t>PLAZA Main meter ( 0000070218DN-CA5)</t>
  </si>
  <si>
    <t>F940-G2</t>
  </si>
  <si>
    <t>PLAZA Unipol</t>
  </si>
  <si>
    <t>038964</t>
  </si>
  <si>
    <t>e-mail</t>
  </si>
  <si>
    <t>F940-G3</t>
  </si>
  <si>
    <t>PLAZA Cafe</t>
  </si>
  <si>
    <t>138036</t>
  </si>
  <si>
    <t>D204-G1</t>
  </si>
  <si>
    <t>LFB</t>
  </si>
  <si>
    <t>2000E0068</t>
  </si>
  <si>
    <t>Plaza LG Gas Meter Main</t>
  </si>
  <si>
    <t>Plaza L4 Gas meter HHW</t>
  </si>
  <si>
    <t>Plaza L1 Gas Meter Café Kitchen</t>
  </si>
  <si>
    <t>Tekaika Electrcity</t>
  </si>
  <si>
    <t>Building Number</t>
  </si>
  <si>
    <t>Address</t>
  </si>
  <si>
    <t>invoiced amount</t>
  </si>
  <si>
    <t>GST</t>
  </si>
  <si>
    <t>KWTOTAL</t>
  </si>
  <si>
    <t>CURRENTAMOUNT</t>
  </si>
  <si>
    <t>OTHERTRANSACTIONS</t>
  </si>
  <si>
    <t>J990-E1</t>
  </si>
  <si>
    <t xml:space="preserve">College Street </t>
  </si>
  <si>
    <t>0000026771DE6FE</t>
  </si>
  <si>
    <t>from invoice</t>
  </si>
  <si>
    <t>J990-E2</t>
  </si>
  <si>
    <t>0000103843DE40D</t>
  </si>
  <si>
    <t>J990-E3</t>
  </si>
  <si>
    <t>0000026772DEA3E</t>
  </si>
  <si>
    <t>Uni 40%</t>
  </si>
  <si>
    <t>Tekaika 60%</t>
  </si>
  <si>
    <t>E315-E1</t>
  </si>
  <si>
    <t xml:space="preserve">Main meter </t>
  </si>
  <si>
    <t xml:space="preserve">81 Anzac total </t>
  </si>
  <si>
    <t>0000100012DE2AD</t>
  </si>
  <si>
    <t>Childcare electrcity</t>
  </si>
  <si>
    <t>H509/28-E1</t>
  </si>
  <si>
    <t>Childcare main meter</t>
  </si>
  <si>
    <t>0000500194DE6D3</t>
  </si>
  <si>
    <t>fom invoice</t>
  </si>
  <si>
    <t>Trustpower spreadsheet</t>
  </si>
  <si>
    <t>MASTCUSTOMER</t>
  </si>
  <si>
    <t>CUSTOMERNO</t>
  </si>
  <si>
    <t>CONSUMERNO</t>
  </si>
  <si>
    <t>LOCATION</t>
  </si>
  <si>
    <t>REFERENCE</t>
  </si>
  <si>
    <t>CLOSINGBALANCEOFLASTACCOUNT</t>
  </si>
  <si>
    <t>PAYMENTSRECEIVED</t>
  </si>
  <si>
    <t>REVERSALS</t>
  </si>
  <si>
    <t>TRANSFERS</t>
  </si>
  <si>
    <t>OPENBALANCE</t>
  </si>
  <si>
    <t>STATEMENT</t>
  </si>
  <si>
    <t>ACTUALPERIODFROM</t>
  </si>
  <si>
    <t>ACTUALPERIODTO</t>
  </si>
  <si>
    <t>PPD</t>
  </si>
  <si>
    <t>TOTALAMOUNTDUE</t>
  </si>
  <si>
    <t>ENERGYRATE</t>
  </si>
  <si>
    <t>ENERGYCOST</t>
  </si>
  <si>
    <t>LOSSKWH</t>
  </si>
  <si>
    <t>LOSSRATE</t>
  </si>
  <si>
    <t>LOSSCOST</t>
  </si>
  <si>
    <t>MGMTKWH</t>
  </si>
  <si>
    <t>MGMTRATE</t>
  </si>
  <si>
    <t>MGMTCOST</t>
  </si>
  <si>
    <t>ACCTFEEDAYS</t>
  </si>
  <si>
    <t>ACCFEERATE</t>
  </si>
  <si>
    <t>ACCFEECOST</t>
  </si>
  <si>
    <t>LEVYKWH</t>
  </si>
  <si>
    <t>LEVYRATE</t>
  </si>
  <si>
    <t>LEVYCOST</t>
  </si>
  <si>
    <t>LINEKWH</t>
  </si>
  <si>
    <t>LINEVARRATE</t>
  </si>
  <si>
    <t>LINEVARCOST</t>
  </si>
  <si>
    <t>LINEFIXCOST</t>
  </si>
  <si>
    <t>SCHOOL 13 COLLEGE STREET DUNEDIN</t>
  </si>
  <si>
    <t>GYMNASIUM 13 COLLEGE STREET DUNEDIN</t>
  </si>
  <si>
    <t>DENTAL CLINIC 25 COLLEGE STREET DUNEDIN</t>
  </si>
  <si>
    <t>CHILDCARE 525 GREAT KING STREET NORTH DUNEDIN 9016</t>
  </si>
  <si>
    <t>G312 Childcare</t>
  </si>
  <si>
    <t>0000002805DE2EB</t>
  </si>
  <si>
    <t>EX BOWLER-E315 71 FREDERICK STREET DUNEDIN 9016</t>
  </si>
  <si>
    <t>E315 71 FREDERICK STREET</t>
  </si>
  <si>
    <t>0000006632DE852</t>
  </si>
  <si>
    <t>ELECTRICITY</t>
  </si>
  <si>
    <t>01.01.16</t>
  </si>
  <si>
    <t>01.1.17</t>
  </si>
  <si>
    <t>underneath 
ITS</t>
  </si>
  <si>
    <t>previous reading</t>
  </si>
  <si>
    <t>new reading</t>
  </si>
  <si>
    <t>comment</t>
  </si>
  <si>
    <t>F507/9</t>
  </si>
  <si>
    <t>Gregory/ AppSc common meter</t>
  </si>
  <si>
    <t xml:space="preserve">Fuji Electric Co, </t>
  </si>
  <si>
    <t>083503</t>
  </si>
  <si>
    <t>5,1</t>
  </si>
  <si>
    <t>annual read</t>
  </si>
  <si>
    <t>UNION</t>
  </si>
  <si>
    <t>behind Smithells</t>
  </si>
  <si>
    <t>F403</t>
  </si>
  <si>
    <t>OUSA ground and 1st floor south</t>
  </si>
  <si>
    <t>GOUGH</t>
  </si>
  <si>
    <t>blanked out</t>
  </si>
  <si>
    <t>6 , 0</t>
  </si>
  <si>
    <t>Main Block (Leith Street Substation)</t>
  </si>
  <si>
    <t>next to Geology</t>
  </si>
  <si>
    <t>F508</t>
  </si>
  <si>
    <t>Archway Lecture Theatres</t>
  </si>
  <si>
    <t>Janitza UMG 96</t>
  </si>
  <si>
    <t>?</t>
  </si>
  <si>
    <t>G505</t>
  </si>
  <si>
    <t xml:space="preserve">Geology north </t>
  </si>
  <si>
    <t>Enermet</t>
  </si>
  <si>
    <t>C216939</t>
  </si>
  <si>
    <t xml:space="preserve">Geology south </t>
  </si>
  <si>
    <t>C216940</t>
  </si>
  <si>
    <t>Science II</t>
  </si>
  <si>
    <t>G501</t>
  </si>
  <si>
    <t>Merlin</t>
  </si>
  <si>
    <t>15465</t>
  </si>
  <si>
    <t xml:space="preserve">6 , 0 </t>
  </si>
  <si>
    <t>D204</t>
  </si>
  <si>
    <t>Lindo Ferguson Building</t>
  </si>
  <si>
    <t>C091015</t>
  </si>
  <si>
    <t>5 , 1</t>
  </si>
  <si>
    <t>160</t>
  </si>
  <si>
    <t xml:space="preserve">check CT ratio </t>
  </si>
  <si>
    <t>Physical Education</t>
  </si>
  <si>
    <t>F324/5</t>
  </si>
  <si>
    <t>C029494</t>
  </si>
  <si>
    <t>5</t>
  </si>
  <si>
    <t>same as Stream</t>
  </si>
  <si>
    <t>Physical Education Flume</t>
  </si>
  <si>
    <t>CEC</t>
  </si>
  <si>
    <t>B9623328</t>
  </si>
  <si>
    <t>CT?</t>
  </si>
  <si>
    <t>meter reading</t>
  </si>
  <si>
    <t>Meter number</t>
  </si>
  <si>
    <t>Jan</t>
  </si>
  <si>
    <t>F712</t>
  </si>
  <si>
    <t>01M158393</t>
  </si>
  <si>
    <t>F711</t>
  </si>
  <si>
    <t>11A010024</t>
  </si>
  <si>
    <t>H531</t>
  </si>
  <si>
    <t>11 Montgomergy Ave</t>
  </si>
  <si>
    <t>19M117559</t>
  </si>
  <si>
    <t>G405</t>
  </si>
  <si>
    <t>03A107881</t>
  </si>
  <si>
    <t>03W101880</t>
  </si>
  <si>
    <t xml:space="preserve">G505 </t>
  </si>
  <si>
    <t>360 Leith Street</t>
  </si>
  <si>
    <t>02A171104</t>
  </si>
  <si>
    <t>A161</t>
  </si>
  <si>
    <t>HTRU</t>
  </si>
  <si>
    <t>03A100752</t>
  </si>
  <si>
    <t>03W104088</t>
  </si>
  <si>
    <t xml:space="preserve">5 Malcolm Street </t>
  </si>
  <si>
    <t>21A600001</t>
  </si>
  <si>
    <t>D203</t>
  </si>
  <si>
    <t>095A019925</t>
  </si>
  <si>
    <t>F511</t>
  </si>
  <si>
    <t>02A165840</t>
  </si>
  <si>
    <t>F522</t>
  </si>
  <si>
    <t>05M178182</t>
  </si>
  <si>
    <t>F523</t>
  </si>
  <si>
    <t>05M178250</t>
  </si>
  <si>
    <t>F808</t>
  </si>
  <si>
    <t>06M000092</t>
  </si>
  <si>
    <t>f604</t>
  </si>
  <si>
    <t>06M000228</t>
  </si>
  <si>
    <t>0806A001653</t>
  </si>
  <si>
    <t>08W713381</t>
  </si>
  <si>
    <t>096A057950</t>
  </si>
  <si>
    <t>F602</t>
  </si>
  <si>
    <t>19M117556</t>
  </si>
  <si>
    <t>E601</t>
  </si>
  <si>
    <t>21M391417</t>
  </si>
  <si>
    <t>15MC191853</t>
  </si>
  <si>
    <t>F324</t>
  </si>
  <si>
    <t>000A811844</t>
  </si>
  <si>
    <t>F321</t>
  </si>
  <si>
    <t>001A803697</t>
  </si>
  <si>
    <t>F409</t>
  </si>
  <si>
    <t>098A242856</t>
  </si>
  <si>
    <t>F503</t>
  </si>
  <si>
    <t>099A815820</t>
  </si>
  <si>
    <t>E308</t>
  </si>
  <si>
    <t>10X19</t>
  </si>
  <si>
    <t>15A600127</t>
  </si>
  <si>
    <t>G502</t>
  </si>
  <si>
    <t>02A171102</t>
  </si>
  <si>
    <t>F614</t>
  </si>
  <si>
    <t>03A080428</t>
  </si>
  <si>
    <t>F612</t>
  </si>
  <si>
    <t>05M000081</t>
  </si>
  <si>
    <t>G503</t>
  </si>
  <si>
    <t>06M000093</t>
  </si>
  <si>
    <t>H533</t>
  </si>
  <si>
    <t>06M000098</t>
  </si>
  <si>
    <t>F611</t>
  </si>
  <si>
    <t>06M001123</t>
  </si>
  <si>
    <t>F613</t>
  </si>
  <si>
    <t>06M001209</t>
  </si>
  <si>
    <t>F703</t>
  </si>
  <si>
    <t>06M001210</t>
  </si>
  <si>
    <t>H534</t>
  </si>
  <si>
    <t>0806M44818</t>
  </si>
  <si>
    <t>H536</t>
  </si>
  <si>
    <t>08A634450</t>
  </si>
  <si>
    <t>G507</t>
  </si>
  <si>
    <t>099A820396</t>
  </si>
  <si>
    <t>10A055702</t>
  </si>
  <si>
    <t>H616</t>
  </si>
  <si>
    <t>18M733742</t>
  </si>
  <si>
    <t>H716</t>
  </si>
  <si>
    <t>139 Dundas St</t>
  </si>
  <si>
    <t>18M733844</t>
  </si>
  <si>
    <t>D202</t>
  </si>
  <si>
    <t>01A823087</t>
  </si>
  <si>
    <t>Hercus</t>
  </si>
  <si>
    <t>03W107984</t>
  </si>
  <si>
    <t>03A144876</t>
  </si>
  <si>
    <t>096A213166</t>
  </si>
  <si>
    <t>D205</t>
  </si>
  <si>
    <t>097A245188</t>
  </si>
  <si>
    <t>D201</t>
  </si>
  <si>
    <t>12M413204</t>
  </si>
  <si>
    <t>13H764383</t>
  </si>
  <si>
    <t>E201</t>
  </si>
  <si>
    <t>17A002798</t>
  </si>
  <si>
    <t>17W710441</t>
  </si>
  <si>
    <t>000W051158</t>
  </si>
  <si>
    <t>G411</t>
  </si>
  <si>
    <t>099A802732</t>
  </si>
  <si>
    <t>14A604583</t>
  </si>
  <si>
    <t>H502</t>
  </si>
  <si>
    <t>15MC193131</t>
  </si>
  <si>
    <t>H506</t>
  </si>
  <si>
    <t>18M733746</t>
  </si>
  <si>
    <t>19M117552</t>
  </si>
  <si>
    <t>E305</t>
  </si>
  <si>
    <t>001A813892</t>
  </si>
  <si>
    <t>096A057962</t>
  </si>
  <si>
    <t>E208</t>
  </si>
  <si>
    <t>099A802735</t>
  </si>
  <si>
    <t>E209</t>
  </si>
  <si>
    <t>09A609819</t>
  </si>
  <si>
    <t>D602</t>
  </si>
  <si>
    <t>01M188623</t>
  </si>
  <si>
    <t>D601</t>
  </si>
  <si>
    <t>02A165890</t>
  </si>
  <si>
    <t>D501</t>
  </si>
  <si>
    <t>099A801844</t>
  </si>
  <si>
    <t>G201</t>
  </si>
  <si>
    <t>02A011312</t>
  </si>
  <si>
    <t>F206</t>
  </si>
  <si>
    <t>06M000221</t>
  </si>
  <si>
    <t>F307</t>
  </si>
  <si>
    <t>18M554939</t>
  </si>
  <si>
    <t>G301</t>
  </si>
  <si>
    <t>19M117551</t>
  </si>
  <si>
    <t>E303</t>
  </si>
  <si>
    <t>Rec services</t>
  </si>
  <si>
    <t>17M354993</t>
  </si>
  <si>
    <t>18H760444</t>
  </si>
  <si>
    <t>20A015984</t>
  </si>
  <si>
    <t>F410</t>
  </si>
  <si>
    <t>02A086919</t>
  </si>
  <si>
    <t>H401</t>
  </si>
  <si>
    <t>02A165867</t>
  </si>
  <si>
    <t>F621</t>
  </si>
  <si>
    <t>02A1615874</t>
  </si>
  <si>
    <t>03A022213</t>
  </si>
  <si>
    <t>06M000158</t>
  </si>
  <si>
    <t>K501</t>
  </si>
  <si>
    <t>099A822056</t>
  </si>
  <si>
    <t>21A007999</t>
  </si>
  <si>
    <t>08A634361</t>
  </si>
  <si>
    <t>21A600009</t>
  </si>
  <si>
    <t>F718</t>
  </si>
  <si>
    <t>Darwin House</t>
  </si>
  <si>
    <t>12A639398</t>
  </si>
  <si>
    <t>G619</t>
  </si>
  <si>
    <t>03M330340</t>
  </si>
  <si>
    <t>F517</t>
  </si>
  <si>
    <t xml:space="preserve">97 Albany Street </t>
  </si>
  <si>
    <t>21M391418</t>
  </si>
  <si>
    <t>440 Gt King St</t>
  </si>
  <si>
    <t>06m252063</t>
  </si>
  <si>
    <t>G607</t>
  </si>
  <si>
    <t>02A200369</t>
  </si>
  <si>
    <t>02W031178</t>
  </si>
  <si>
    <t>H517</t>
  </si>
  <si>
    <t>15MC193120</t>
  </si>
  <si>
    <t>H721</t>
  </si>
  <si>
    <t xml:space="preserve">154A Forth st </t>
  </si>
  <si>
    <t>01M158324</t>
  </si>
  <si>
    <t>E901</t>
  </si>
  <si>
    <t>96 Anzac road</t>
  </si>
  <si>
    <t>15A674661</t>
  </si>
  <si>
    <t>H718</t>
  </si>
  <si>
    <t>135 Dundas st</t>
  </si>
  <si>
    <t>21M391476</t>
  </si>
  <si>
    <t>J119</t>
  </si>
  <si>
    <t>44 Queen st</t>
  </si>
  <si>
    <t>0604A035083</t>
  </si>
  <si>
    <t>J101</t>
  </si>
  <si>
    <t>69 Queen St</t>
  </si>
  <si>
    <t>03A243309</t>
  </si>
  <si>
    <t xml:space="preserve">85 Queen st </t>
  </si>
  <si>
    <t>22 Howe St</t>
  </si>
  <si>
    <t>01M158373</t>
  </si>
  <si>
    <t>J117</t>
  </si>
  <si>
    <t>10 Park St</t>
  </si>
  <si>
    <t>03M071266</t>
  </si>
  <si>
    <t>H418</t>
  </si>
  <si>
    <t>530 Castle St</t>
  </si>
  <si>
    <t>18M733748</t>
  </si>
  <si>
    <t>01A194511</t>
  </si>
  <si>
    <t>02W002132</t>
  </si>
  <si>
    <t>250 Cumberland st</t>
  </si>
  <si>
    <t>17M160644</t>
  </si>
  <si>
    <t>J129</t>
  </si>
  <si>
    <t>06M269738</t>
  </si>
  <si>
    <t>J126</t>
  </si>
  <si>
    <t>06M269176</t>
  </si>
  <si>
    <t>J121</t>
  </si>
  <si>
    <t>0706M044956</t>
  </si>
  <si>
    <t>J130</t>
  </si>
  <si>
    <t>097M842876</t>
  </si>
  <si>
    <t>J127</t>
  </si>
  <si>
    <t>098A811149</t>
  </si>
  <si>
    <t>J122</t>
  </si>
  <si>
    <t>098A811168</t>
  </si>
  <si>
    <t>J128</t>
  </si>
  <si>
    <t>098M412431</t>
  </si>
  <si>
    <t>J123</t>
  </si>
  <si>
    <t>09A609816</t>
  </si>
  <si>
    <t>21M391414</t>
  </si>
  <si>
    <t>21M391416</t>
  </si>
  <si>
    <t>E803</t>
  </si>
  <si>
    <t>03M309221</t>
  </si>
  <si>
    <t>J131</t>
  </si>
  <si>
    <t>099A801842</t>
  </si>
  <si>
    <t>G320</t>
  </si>
  <si>
    <t>01M188662</t>
  </si>
  <si>
    <t>C405</t>
  </si>
  <si>
    <t>15A003003</t>
  </si>
  <si>
    <t>E301</t>
  </si>
  <si>
    <t>15A003136</t>
  </si>
  <si>
    <t>H713</t>
  </si>
  <si>
    <t>21M391425</t>
  </si>
  <si>
    <t>H717</t>
  </si>
  <si>
    <t>21M391474</t>
  </si>
  <si>
    <t>J132</t>
  </si>
  <si>
    <t>8 Regent Road</t>
  </si>
  <si>
    <t>01M158351</t>
  </si>
  <si>
    <t>929 Cumberland road</t>
  </si>
  <si>
    <t>03M071322</t>
  </si>
  <si>
    <t>G901</t>
  </si>
  <si>
    <t>95 Clyde st</t>
  </si>
  <si>
    <t>06A018828</t>
  </si>
  <si>
    <t>83 Queen st</t>
  </si>
  <si>
    <t>03A243308</t>
  </si>
  <si>
    <t>7 Mackenzie st</t>
  </si>
  <si>
    <t>03M305164</t>
  </si>
  <si>
    <t>759 Gt King St</t>
  </si>
  <si>
    <t>21M391473</t>
  </si>
  <si>
    <t xml:space="preserve">15 Forth st </t>
  </si>
  <si>
    <t>000A819512</t>
  </si>
  <si>
    <t>182 Albany st</t>
  </si>
  <si>
    <t>19M117553</t>
  </si>
  <si>
    <t>H634</t>
  </si>
  <si>
    <t>02A200368</t>
  </si>
  <si>
    <t>02W30987</t>
  </si>
  <si>
    <t>H639</t>
  </si>
  <si>
    <t>03H001427</t>
  </si>
  <si>
    <t>03M330326</t>
  </si>
  <si>
    <t>21A600290</t>
  </si>
  <si>
    <t>F9XX</t>
  </si>
  <si>
    <t>098A823141</t>
  </si>
  <si>
    <t>24 St David st</t>
  </si>
  <si>
    <t>19M117557</t>
  </si>
  <si>
    <t>F812</t>
  </si>
  <si>
    <t>147 Union st</t>
  </si>
  <si>
    <t>02A171101</t>
  </si>
  <si>
    <t>K428</t>
  </si>
  <si>
    <t>97A229989A</t>
  </si>
  <si>
    <t>G311</t>
  </si>
  <si>
    <t>19M117558</t>
  </si>
  <si>
    <t>J946</t>
  </si>
  <si>
    <t>06M269035</t>
  </si>
  <si>
    <t>19A010381</t>
  </si>
  <si>
    <t>F906</t>
  </si>
  <si>
    <t>16MC217442</t>
  </si>
  <si>
    <t>H703</t>
  </si>
  <si>
    <t>21M391355</t>
  </si>
  <si>
    <t>H709</t>
  </si>
  <si>
    <t>21M391357</t>
  </si>
  <si>
    <t>H720</t>
  </si>
  <si>
    <t>098A804121</t>
  </si>
  <si>
    <t>E315</t>
  </si>
  <si>
    <t>71 Fredrick st</t>
  </si>
  <si>
    <t>09A609882</t>
  </si>
  <si>
    <t>20 Malcolm st</t>
  </si>
  <si>
    <t>04M347463</t>
  </si>
  <si>
    <t>F744</t>
  </si>
  <si>
    <t>51 Clyde st</t>
  </si>
  <si>
    <t>21A600005</t>
  </si>
  <si>
    <t>28 Harrow st</t>
  </si>
  <si>
    <t>18M733841</t>
  </si>
  <si>
    <t>02A067602</t>
  </si>
  <si>
    <t>137 Union st</t>
  </si>
  <si>
    <t>19A012999</t>
  </si>
  <si>
    <t>19M117555</t>
  </si>
  <si>
    <t>F316</t>
  </si>
  <si>
    <t>21M391419</t>
  </si>
  <si>
    <t>Water</t>
  </si>
  <si>
    <t>water  meter</t>
  </si>
  <si>
    <t>Hercus RO Water Meter</t>
  </si>
  <si>
    <t>Hercus RO Water SUPPLY Meter</t>
  </si>
  <si>
    <t>water meter</t>
  </si>
  <si>
    <t>E325-W1</t>
  </si>
  <si>
    <t>Eccles Building Steam Boiler Water Usage</t>
  </si>
  <si>
    <t>E811-WM3</t>
  </si>
  <si>
    <t>Te Rangihiroa Water Main Cold Supply</t>
  </si>
  <si>
    <t>E811-WM4</t>
  </si>
  <si>
    <t xml:space="preserve">Te Rangihiroa Water Main Hot Supply </t>
  </si>
  <si>
    <t>E811-WM5</t>
  </si>
  <si>
    <t>Te Rangihiroa Water Laundry Hot</t>
  </si>
  <si>
    <t>E811-WM6</t>
  </si>
  <si>
    <t>Te Rangihiroa Water Laundry Cold</t>
  </si>
  <si>
    <t>E811-WM7</t>
  </si>
  <si>
    <t>Te Rangihiroa Water Kitchen Dish Cold</t>
  </si>
  <si>
    <t>E811-WM8</t>
  </si>
  <si>
    <t>Te Rangihiroa Water Kitchen Dish Hot</t>
  </si>
  <si>
    <t>E811-WM9</t>
  </si>
  <si>
    <t xml:space="preserve">Te Rangihiroa Water Kitchen Hot </t>
  </si>
  <si>
    <t>E811-WM10</t>
  </si>
  <si>
    <t xml:space="preserve">Te Rangihiroa Water Kitchen Cold </t>
  </si>
  <si>
    <t>E811-WM12</t>
  </si>
  <si>
    <t>Te Rangihiroa Water PlantRoom Chiller</t>
  </si>
  <si>
    <t>E811-WM13</t>
  </si>
  <si>
    <t>Te Rangihiroa Water Fire Hydrant</t>
  </si>
  <si>
    <t>E811-WM15</t>
  </si>
  <si>
    <t>Te Rangihiroa Water Ground East</t>
  </si>
  <si>
    <t>E811-WM16</t>
  </si>
  <si>
    <t>Te Rangihiroa Water Ground West</t>
  </si>
  <si>
    <t>E811-WM17</t>
  </si>
  <si>
    <t>Te Rangihiroa Water L1 East Cold</t>
  </si>
  <si>
    <t>E811-WM18</t>
  </si>
  <si>
    <t>Te Rangihiroa Water L2 East Cold</t>
  </si>
  <si>
    <t>E811-WM19</t>
  </si>
  <si>
    <t>Te Rangihiroa Water L3 East Cold</t>
  </si>
  <si>
    <t>E811-WM20</t>
  </si>
  <si>
    <t>Te Rangihiroa Water L4 East Cold</t>
  </si>
  <si>
    <t>E811-WM21</t>
  </si>
  <si>
    <t>Te Rangihiroa Water L5 East Cold</t>
  </si>
  <si>
    <t>E811-WM22</t>
  </si>
  <si>
    <t>Te Rangihiroa Water L1 West Cold</t>
  </si>
  <si>
    <t>E811-WM23</t>
  </si>
  <si>
    <t>Te Rangihiroa Water L2 West Cold</t>
  </si>
  <si>
    <t>E811-WM24</t>
  </si>
  <si>
    <t>Te Rangihiroa Water L3 West Cold</t>
  </si>
  <si>
    <t>E811-WM25</t>
  </si>
  <si>
    <t>Te Rangihiroa Water L4 West Cold</t>
  </si>
  <si>
    <t>E811-WM26</t>
  </si>
  <si>
    <t>Te Rangihiroa Water L5 West Cold</t>
  </si>
  <si>
    <t>E811-WM27</t>
  </si>
  <si>
    <t>Te Rangihiroa Water Irrigation Supply</t>
  </si>
  <si>
    <t>Desigo CC</t>
  </si>
  <si>
    <t>E214-W1</t>
  </si>
  <si>
    <t>Otago Dental School Water Usage - Frederick St Water Main</t>
  </si>
  <si>
    <t>01M188738</t>
  </si>
  <si>
    <t>F316/22</t>
  </si>
  <si>
    <t>Botany and Ousa Squash combined</t>
  </si>
  <si>
    <t>ELSTER</t>
  </si>
  <si>
    <t>09M00153811</t>
  </si>
  <si>
    <t>F314</t>
  </si>
  <si>
    <t>Botany (submeter from Ousa supply)</t>
  </si>
  <si>
    <t>water meter #1</t>
  </si>
  <si>
    <t>F618-22</t>
  </si>
  <si>
    <t>water meter #2</t>
  </si>
  <si>
    <t>000131</t>
  </si>
  <si>
    <t>F618</t>
  </si>
  <si>
    <t>Goddard fresh water</t>
  </si>
  <si>
    <t>1011080130</t>
  </si>
  <si>
    <t>F622</t>
  </si>
  <si>
    <t>Fresh water into DHW cylinders</t>
  </si>
  <si>
    <t>1032009089</t>
  </si>
  <si>
    <t>F620</t>
  </si>
  <si>
    <t>pre heated water from tank to cage wash</t>
  </si>
  <si>
    <t>002151</t>
  </si>
  <si>
    <t>Fresh water make up header tank</t>
  </si>
  <si>
    <t>090210152</t>
  </si>
  <si>
    <t>Rain water fill up header tank</t>
  </si>
  <si>
    <t>Toilet flushing and irrigation water</t>
  </si>
  <si>
    <t>F907</t>
  </si>
  <si>
    <t>College of Education Music Block Te Korokoro 2</t>
  </si>
  <si>
    <t>F908</t>
  </si>
  <si>
    <t>College of Education Teaching Wing</t>
  </si>
  <si>
    <t>F909</t>
  </si>
  <si>
    <t>College of Education Tower Block</t>
  </si>
  <si>
    <t>F935</t>
  </si>
  <si>
    <t>College of Education Te Korokoro 1</t>
  </si>
  <si>
    <t>G401-W1</t>
  </si>
  <si>
    <t>Mellor Potable water</t>
  </si>
  <si>
    <t>G401-W2</t>
  </si>
  <si>
    <t>Mellor Non-Potable water</t>
  </si>
  <si>
    <t>Staff club DHW cylinder meter</t>
  </si>
  <si>
    <t>KENT</t>
  </si>
  <si>
    <t>93W039461</t>
  </si>
  <si>
    <t>6 , 1</t>
  </si>
  <si>
    <t>Science 3</t>
  </si>
  <si>
    <t>H402-W1</t>
  </si>
  <si>
    <t>St David II Water meter</t>
  </si>
  <si>
    <t>Elster</t>
  </si>
  <si>
    <t>H402-W2</t>
  </si>
  <si>
    <t>St David II DHW Water meter</t>
  </si>
  <si>
    <t>090523</t>
  </si>
  <si>
    <t>PLAZA Main meter</t>
  </si>
  <si>
    <t>090518</t>
  </si>
  <si>
    <t>PLAZA non potable</t>
  </si>
  <si>
    <t>507950</t>
  </si>
  <si>
    <t xml:space="preserve">PLAZA rain tank make up </t>
  </si>
  <si>
    <t>PLAZA flush make up</t>
  </si>
  <si>
    <t>PLAZA Café Kitchen Cold Water</t>
  </si>
  <si>
    <t>PLAZA Café Kitchen Hot Water</t>
  </si>
  <si>
    <t>PLAZA Mains Water</t>
  </si>
  <si>
    <t xml:space="preserve">J141 </t>
  </si>
  <si>
    <t>Aquinas Priory (manually read)</t>
  </si>
  <si>
    <t>XI17</t>
  </si>
  <si>
    <t>Southland Learning Centre Water (Desigo)</t>
  </si>
  <si>
    <t>PMU on charge</t>
  </si>
  <si>
    <t>PSD on charge</t>
  </si>
  <si>
    <t xml:space="preserve">Consumption for the month of </t>
  </si>
  <si>
    <t>Consumption (kWh)</t>
  </si>
  <si>
    <t>Cost Ex. GST Invoiced</t>
  </si>
  <si>
    <t>Salmon Hatchery</t>
  </si>
  <si>
    <t>1199 Sir John Thorn Drive</t>
  </si>
  <si>
    <t>00204286DEC73</t>
  </si>
  <si>
    <t>Stewart Island electricity</t>
  </si>
  <si>
    <t>Ref number</t>
  </si>
  <si>
    <t>Cost Ex GST Invoiced</t>
  </si>
  <si>
    <t>4 Dundee St</t>
  </si>
  <si>
    <t>LRA 81070/5</t>
  </si>
  <si>
    <t>Uniform charge</t>
  </si>
  <si>
    <t>Janitza (elec)</t>
  </si>
  <si>
    <t>Childcare Electricity &amp; LTWH</t>
  </si>
  <si>
    <t>LTHW Meters</t>
  </si>
  <si>
    <t xml:space="preserve">Consumption </t>
  </si>
  <si>
    <t>H509/28</t>
  </si>
  <si>
    <t>Buildings, including proportion of boiler house</t>
  </si>
  <si>
    <t>Includes Boilerhouse electricity?   Total - (31 Mont + CSAFE)</t>
  </si>
  <si>
    <t>All Janitzas show much higher values than Invoiced</t>
  </si>
  <si>
    <t>Wood chips</t>
  </si>
  <si>
    <t>Boiler total - (31 Mont + CSAFE)</t>
  </si>
  <si>
    <t>Childcare College Center</t>
  </si>
  <si>
    <t>2.7% of college boilerhouse cost.</t>
  </si>
  <si>
    <t>F904</t>
  </si>
  <si>
    <t>TEU Electricity</t>
  </si>
  <si>
    <t>E206</t>
  </si>
  <si>
    <t>33 Union St</t>
  </si>
  <si>
    <t>2818DE71D</t>
  </si>
  <si>
    <t>OUSA Electricity</t>
  </si>
  <si>
    <t>Bookshop</t>
  </si>
  <si>
    <t>Dedicated Janitza</t>
  </si>
  <si>
    <t>Ground floor south and 1st floor north</t>
  </si>
  <si>
    <t>Ground floor north and 1st floor south</t>
  </si>
  <si>
    <t>Dedicated Janitza - Hopefully this is just 1st floor South - Ground Nth is just Bookshop and planet media</t>
  </si>
  <si>
    <t>Planet Media</t>
  </si>
  <si>
    <t>MTHW Split</t>
  </si>
  <si>
    <t>St Margaret's Electricity, LPG &amp; MTWH</t>
  </si>
  <si>
    <t>Stream (elec)</t>
  </si>
  <si>
    <t>Average unit cost of energy.</t>
  </si>
  <si>
    <t>Cost from ellserve report</t>
  </si>
  <si>
    <t>Building Code</t>
  </si>
  <si>
    <t>Building name</t>
  </si>
  <si>
    <t>Current</t>
  </si>
  <si>
    <t>102186DE604</t>
  </si>
  <si>
    <t>Owheo</t>
  </si>
  <si>
    <t>133 Union Street East, Dunedin, Otago, 9016</t>
  </si>
  <si>
    <t xml:space="preserve"> 000102186DE604</t>
  </si>
  <si>
    <t>104175DEF13</t>
  </si>
  <si>
    <t>Executive Residence</t>
  </si>
  <si>
    <t>68 Forth Street, Dunedin, Otago, 9016</t>
  </si>
  <si>
    <t>000104175DEF13</t>
  </si>
  <si>
    <t>170248CKEF8</t>
  </si>
  <si>
    <t>LEVEL 4, 179-193 Lambton Quay, Wellington Central, Wellington</t>
  </si>
  <si>
    <t>000170248CKEF8</t>
  </si>
  <si>
    <t>170249CK2BD</t>
  </si>
  <si>
    <t>LEVEL 5, 179-193 Lambton Quay, Wellington Central, Wellington</t>
  </si>
  <si>
    <t>000170249CK2BD</t>
  </si>
  <si>
    <t>17407DE1A3</t>
  </si>
  <si>
    <t>J960</t>
  </si>
  <si>
    <t>Portobello Marine Lab</t>
  </si>
  <si>
    <t>185 Hatchery Rd</t>
  </si>
  <si>
    <t>0000017407DE1A3</t>
  </si>
  <si>
    <t>200052DECBC</t>
  </si>
  <si>
    <t>D402</t>
  </si>
  <si>
    <t>Survey and Marine</t>
  </si>
  <si>
    <t>304 Castle St</t>
  </si>
  <si>
    <t>0000200052DECBC</t>
  </si>
  <si>
    <t>200114DE692</t>
  </si>
  <si>
    <t>F325</t>
  </si>
  <si>
    <t>Physical education</t>
  </si>
  <si>
    <t>55 Union St</t>
  </si>
  <si>
    <t>0000200114DE692</t>
  </si>
  <si>
    <t>201000DE591</t>
  </si>
  <si>
    <t>D401</t>
  </si>
  <si>
    <t>Cumberland Hall</t>
  </si>
  <si>
    <t>470 Cumberland Rd</t>
  </si>
  <si>
    <t>0000201000DE591</t>
  </si>
  <si>
    <t>201481DE09F</t>
  </si>
  <si>
    <t>3 Walsh St</t>
  </si>
  <si>
    <t>0000201481DE09F</t>
  </si>
  <si>
    <t>201714DE134</t>
  </si>
  <si>
    <t>Hayward College</t>
  </si>
  <si>
    <t>110 Fredrick St</t>
  </si>
  <si>
    <t>0000201714DE134</t>
  </si>
  <si>
    <t>202001DEB34</t>
  </si>
  <si>
    <t>Physio School</t>
  </si>
  <si>
    <t>325 Gt King St</t>
  </si>
  <si>
    <t>0000202001DEB34</t>
  </si>
  <si>
    <t>202736DEE04</t>
  </si>
  <si>
    <t>Hocken Library</t>
  </si>
  <si>
    <t>Parry St</t>
  </si>
  <si>
    <t>0000202736DEE04</t>
  </si>
  <si>
    <t>203037DECE3</t>
  </si>
  <si>
    <t>K308</t>
  </si>
  <si>
    <t>Caroline Freeman College (City College)</t>
  </si>
  <si>
    <t>30 Howe St</t>
  </si>
  <si>
    <t>0000203037DECE3</t>
  </si>
  <si>
    <t>204399DE004</t>
  </si>
  <si>
    <t>E212</t>
  </si>
  <si>
    <t>350 Gt King St</t>
  </si>
  <si>
    <t>0000204399DE004</t>
  </si>
  <si>
    <t>206060DEE01</t>
  </si>
  <si>
    <t>Apartment building old TRH</t>
  </si>
  <si>
    <t>192 castle St</t>
  </si>
  <si>
    <t>0000206060DEE01</t>
  </si>
  <si>
    <t>206777DE664</t>
  </si>
  <si>
    <t>Hunter Building</t>
  </si>
  <si>
    <t>281 king St</t>
  </si>
  <si>
    <t>0000206777DE664</t>
  </si>
  <si>
    <t>208118DE88C</t>
  </si>
  <si>
    <t>F813</t>
  </si>
  <si>
    <t>Roberston Library</t>
  </si>
  <si>
    <t>135 Union st</t>
  </si>
  <si>
    <t>0000208118DE88C</t>
  </si>
  <si>
    <t>208375DE220</t>
  </si>
  <si>
    <t>Plaza building</t>
  </si>
  <si>
    <t>130 Anzac Ave</t>
  </si>
  <si>
    <t>0000208375DE220</t>
  </si>
  <si>
    <t>2397DEE87</t>
  </si>
  <si>
    <t>Carrington College</t>
  </si>
  <si>
    <t>69 Heriot row</t>
  </si>
  <si>
    <t>0000002397DEE87</t>
  </si>
  <si>
    <t>3503DE7CC</t>
  </si>
  <si>
    <t>H635</t>
  </si>
  <si>
    <t>110 Clyde St</t>
  </si>
  <si>
    <t>0000003503DE7CC</t>
  </si>
  <si>
    <t>3830DE9FC</t>
  </si>
  <si>
    <t>H711</t>
  </si>
  <si>
    <t>Studholme College</t>
  </si>
  <si>
    <t>127 Clyde St</t>
  </si>
  <si>
    <t>0000003830DE9FC</t>
  </si>
  <si>
    <t>3891DEDA6</t>
  </si>
  <si>
    <t>G6XX</t>
  </si>
  <si>
    <t>333 Leith St</t>
  </si>
  <si>
    <t>0000003891DEDA6</t>
  </si>
  <si>
    <t>4199DE2DB</t>
  </si>
  <si>
    <t>D2XX</t>
  </si>
  <si>
    <t>Medical School</t>
  </si>
  <si>
    <t>266 Gt King St</t>
  </si>
  <si>
    <t>0000004199DE2DB</t>
  </si>
  <si>
    <t>4203DECAE</t>
  </si>
  <si>
    <t>F201</t>
  </si>
  <si>
    <t>ITS 444 Gt King St</t>
  </si>
  <si>
    <t>31 Union St</t>
  </si>
  <si>
    <t>0000004203DECAE</t>
  </si>
  <si>
    <t>4204DE164</t>
  </si>
  <si>
    <t>Botany</t>
  </si>
  <si>
    <t>133 Union St</t>
  </si>
  <si>
    <t>0000004204DE164</t>
  </si>
  <si>
    <t>4218DE8D7</t>
  </si>
  <si>
    <t>900 Cumberland st</t>
  </si>
  <si>
    <t>0000004218DE8D7</t>
  </si>
  <si>
    <t>4220DED3B</t>
  </si>
  <si>
    <t>H4XX</t>
  </si>
  <si>
    <t>Selwyn college</t>
  </si>
  <si>
    <t>560 castle St</t>
  </si>
  <si>
    <t>0000004220DED3B</t>
  </si>
  <si>
    <t>4222DEDBE</t>
  </si>
  <si>
    <t xml:space="preserve">Science 3 </t>
  </si>
  <si>
    <t>730 Cumberland St</t>
  </si>
  <si>
    <t>0000004222DEDBE</t>
  </si>
  <si>
    <t>4227DE0F1</t>
  </si>
  <si>
    <t>Unicol</t>
  </si>
  <si>
    <t>316 Leith St</t>
  </si>
  <si>
    <t>0000004227DE0F1</t>
  </si>
  <si>
    <t>4313DEF07</t>
  </si>
  <si>
    <t>270 Factory Rd</t>
  </si>
  <si>
    <t>0000004313DEF07</t>
  </si>
  <si>
    <t>4345DE680</t>
  </si>
  <si>
    <t>CoE Boilerhouse</t>
  </si>
  <si>
    <t>Union St</t>
  </si>
  <si>
    <t>0000004345DE680</t>
  </si>
  <si>
    <t>504881DEEB8</t>
  </si>
  <si>
    <t xml:space="preserve">Microbiology </t>
  </si>
  <si>
    <t>720 Cumberland</t>
  </si>
  <si>
    <t>0000504881DEEB8</t>
  </si>
  <si>
    <t>504882DE278</t>
  </si>
  <si>
    <t>G403</t>
  </si>
  <si>
    <t>Biochem Building</t>
  </si>
  <si>
    <t>710 Cumberland St</t>
  </si>
  <si>
    <t>0000504882DE278</t>
  </si>
  <si>
    <t>504883DEE3D</t>
  </si>
  <si>
    <t>G413</t>
  </si>
  <si>
    <t xml:space="preserve">Science 2 </t>
  </si>
  <si>
    <t>70 Union St</t>
  </si>
  <si>
    <t>0000504883DEE3D</t>
  </si>
  <si>
    <t>504884DE3F7</t>
  </si>
  <si>
    <t>G401</t>
  </si>
  <si>
    <t>Mellor Labs</t>
  </si>
  <si>
    <t>700 Cumberland St</t>
  </si>
  <si>
    <t>0000504884DE3F7</t>
  </si>
  <si>
    <t>507369DE7F8</t>
  </si>
  <si>
    <t>Dental</t>
  </si>
  <si>
    <t>310 Great King St</t>
  </si>
  <si>
    <t>0000507369DE7F8</t>
  </si>
  <si>
    <t>508075DE428</t>
  </si>
  <si>
    <t>RSF Eccles</t>
  </si>
  <si>
    <t>309 Gt King St</t>
  </si>
  <si>
    <t>0000508075DE428</t>
  </si>
  <si>
    <t>514068DE2BF</t>
  </si>
  <si>
    <t>LIBRARY BUILDING, 65 Albany Street, Dunedin, Otago</t>
  </si>
  <si>
    <t>514231DEEE1</t>
  </si>
  <si>
    <t>ACCOMMODATION, Apartment, 15 Forth Street, Dunedin, Otago</t>
  </si>
  <si>
    <t>514274DE10B</t>
  </si>
  <si>
    <t>F402: UNIVERSITY UNION BUILDING, 660 Cumberland Street North, Dunedin, Otago</t>
  </si>
  <si>
    <t>9260DE5BE</t>
  </si>
  <si>
    <t>J141</t>
  </si>
  <si>
    <t>Aquinas</t>
  </si>
  <si>
    <t>74 Gladstone Rd</t>
  </si>
  <si>
    <t>0000009260DE5BE</t>
  </si>
  <si>
    <t xml:space="preserve">Total TOU Electricity 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</si>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</sst>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.00_-;\-&quot;$&quot;* #,##0.00_-;_-&quot;$&quot;* &quot;-&quot;??_-;_-@"/>
    <numFmt numFmtId="165" formatCode="0.0%"/>
    <numFmt numFmtId="166" formatCode="0.00000"/>
    <numFmt numFmtId="167" formatCode="0&quot; kWh&quot;"/>
    <numFmt numFmtId="168" formatCode="&quot;$&quot;#,##0.00"/>
    <numFmt numFmtId="169" formatCode="[Red][&gt;0.2]0%\ \ \▲;[Color10][&lt;-0.2]\ \-0%\ \ \▼;"/>
    <numFmt numFmtId="170" formatCode="#\ &quot;kWh&quot;"/>
    <numFmt numFmtId="171" formatCode="0&quot; GJ&quot;"/>
    <numFmt numFmtId="172" formatCode="0.00\ &quot;$/kWh&quot;"/>
    <numFmt numFmtId="173" formatCode="[Red][&gt;1.9]0%\ \ \▲;[Color10][&lt;0.1]\ \-0%\ \ \▼;"/>
    <numFmt numFmtId="174" formatCode="0.0000"/>
    <numFmt numFmtId="175" formatCode="#,##0.000"/>
    <numFmt numFmtId="176" formatCode="0.0"/>
    <numFmt numFmtId="177" formatCode="[Red][&gt;1]0%\ \ \▲;[Color10][&lt;1]\ 0%\ \ \▼;"/>
  </numFmts>
  <fonts count="8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28"/>
      <name val="Times New Roman"/>
      <family val="1"/>
    </font>
    <font>
      <b/>
      <sz val="11"/>
      <name val="Arial"/>
      <family val="2"/>
    </font>
    <font>
      <b/>
      <sz val="11"/>
      <name val="Times New Roman"/>
      <family val="1"/>
    </font>
    <font>
      <sz val="11"/>
      <color rgb="FF9C0006"/>
      <name val="Calibri"/>
      <family val="2"/>
      <scheme val="minor"/>
    </font>
    <font>
      <sz val="11"/>
      <name val="Arial"/>
      <family val="2"/>
    </font>
    <font>
      <sz val="11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i/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FF0000"/>
      <name val="Times New Roman"/>
      <family val="1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i/>
      <sz val="11"/>
      <color rgb="FFFF0000"/>
      <name val="Calibri"/>
      <family val="2"/>
    </font>
    <font>
      <b/>
      <sz val="8"/>
      <name val="Arial"/>
      <family val="2"/>
    </font>
    <font>
      <sz val="8"/>
      <color rgb="FFFF0000"/>
      <name val="Arial"/>
      <family val="2"/>
    </font>
    <font>
      <i/>
      <sz val="9"/>
      <color rgb="FF000000"/>
      <name val="Calibri"/>
      <family val="2"/>
    </font>
    <font>
      <sz val="10"/>
      <color rgb="FFFF0000"/>
      <name val="Times New Roman"/>
      <family val="1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sz val="11"/>
      <name val="Calibri"/>
      <family val="2"/>
    </font>
    <font>
      <i/>
      <sz val="10"/>
      <color rgb="FFFF0000"/>
      <name val="Arial"/>
      <family val="2"/>
    </font>
    <font>
      <b/>
      <sz val="11"/>
      <color rgb="FFFF0000"/>
      <name val="Times New Roman"/>
      <family val="1"/>
    </font>
    <font>
      <sz val="11"/>
      <name val="Calibri"/>
      <family val="2"/>
    </font>
    <font>
      <sz val="11"/>
      <name val="Calibri"/>
      <family val="2"/>
    </font>
    <font>
      <sz val="12"/>
      <color theme="1"/>
      <name val="Times New Roman"/>
      <family val="1"/>
    </font>
    <font>
      <i/>
      <sz val="10"/>
      <name val="Times New Roman"/>
      <family val="1"/>
    </font>
    <font>
      <i/>
      <sz val="12"/>
      <name val="Times New Roman"/>
      <family val="1"/>
    </font>
    <font>
      <i/>
      <sz val="10"/>
      <name val="Arial"/>
      <family val="2"/>
    </font>
    <font>
      <i/>
      <sz val="10"/>
      <color rgb="FFFF0000"/>
      <name val="Times New Roman"/>
      <family val="1"/>
    </font>
    <font>
      <i/>
      <sz val="11"/>
      <name val="Calibri"/>
      <family val="2"/>
    </font>
    <font>
      <sz val="11"/>
      <name val="Calibri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rgb="FFFFC000"/>
      <name val="Arial"/>
      <family val="2"/>
    </font>
    <font>
      <sz val="9"/>
      <name val="Arial"/>
      <family val="2"/>
    </font>
    <font>
      <sz val="11"/>
      <color rgb="FFFF0000"/>
      <name val="Calibri"/>
      <family val="2"/>
      <scheme val="minor"/>
    </font>
    <font>
      <sz val="12"/>
      <color theme="9" tint="-0.249977111117893"/>
      <name val="Times New Roman"/>
      <family val="1"/>
    </font>
    <font>
      <i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rgb="FF000000"/>
      <name val="Arial"/>
      <family val="2"/>
    </font>
    <font>
      <sz val="10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2"/>
      <color rgb="FF212121"/>
      <name val="Arial"/>
      <family val="2"/>
    </font>
    <font>
      <sz val="10"/>
      <color rgb="FF000000"/>
      <name val="Times New Roman"/>
      <family val="1"/>
    </font>
    <font>
      <b/>
      <sz val="11"/>
      <color theme="0"/>
      <name val="Calibri"/>
      <family val="2"/>
      <scheme val="minor"/>
    </font>
    <font>
      <sz val="10"/>
      <color theme="4"/>
      <name val="Arial"/>
      <family val="2"/>
    </font>
    <font>
      <sz val="11"/>
      <color theme="4"/>
      <name val="Calibri"/>
      <family val="2"/>
      <scheme val="minor"/>
    </font>
    <font>
      <b/>
      <sz val="10"/>
      <color rgb="FFFF0000"/>
      <name val="Arial"/>
      <family val="2"/>
    </font>
    <font>
      <sz val="8"/>
      <name val="Arial"/>
      <family val="2"/>
    </font>
    <font>
      <b/>
      <i/>
      <sz val="10"/>
      <color rgb="FF000000"/>
      <name val="Arial"/>
      <family val="2"/>
    </font>
    <font>
      <sz val="11"/>
      <color rgb="FF212121"/>
      <name val="Calibri"/>
      <family val="2"/>
    </font>
    <font>
      <sz val="12"/>
      <color theme="9"/>
      <name val="Times New Roman"/>
      <family val="1"/>
    </font>
    <font>
      <b/>
      <i/>
      <sz val="10"/>
      <name val="Arial"/>
      <family val="2"/>
    </font>
    <font>
      <sz val="8"/>
      <name val="Arial"/>
    </font>
    <font>
      <sz val="10"/>
      <color rgb="FFFF0000"/>
      <name val="Arial"/>
    </font>
    <font>
      <sz val="10"/>
      <color rgb="FF000000"/>
      <name val="Arial"/>
    </font>
    <font>
      <b/>
      <sz val="10"/>
      <name val="Arial"/>
    </font>
    <font>
      <i/>
      <sz val="10"/>
      <color rgb="FFFF0000"/>
      <name val="Arial"/>
    </font>
    <font>
      <b/>
      <sz val="10"/>
      <color rgb="FF92D050"/>
      <name val="Arial"/>
      <family val="2"/>
    </font>
    <font>
      <sz val="10"/>
      <color rgb="FF92D050"/>
      <name val="Arial"/>
      <family val="2"/>
    </font>
    <font>
      <b/>
      <sz val="10"/>
      <color theme="0"/>
      <name val="Calibri"/>
      <family val="2"/>
      <scheme val="minor"/>
    </font>
    <font>
      <sz val="10"/>
      <color rgb="FFFFFFFF"/>
      <name val="Arial"/>
      <family val="2"/>
    </font>
    <font>
      <i/>
      <sz val="10"/>
      <color rgb="FF0070C0"/>
      <name val="Arial"/>
    </font>
  </fonts>
  <fills count="3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rgb="FFFFFF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2D050"/>
      </patternFill>
    </fill>
    <fill>
      <patternFill patternType="solid">
        <fgColor theme="0"/>
        <bgColor rgb="FFFF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3D3D3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/>
        <bgColor rgb="FF000000"/>
      </patternFill>
    </fill>
    <fill>
      <patternFill patternType="solid">
        <fgColor rgb="FFF8CBA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indexed="64"/>
      </patternFill>
    </fill>
  </fills>
  <borders count="21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/>
      <top/>
      <bottom/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dotted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dotted">
        <color rgb="FF000000"/>
      </right>
      <top style="medium">
        <color indexed="64"/>
      </top>
      <bottom style="dotted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auto="1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auto="1"/>
      </bottom>
      <diagonal/>
    </border>
    <border>
      <left style="hair">
        <color indexed="64"/>
      </left>
      <right style="thin">
        <color auto="1"/>
      </right>
      <top style="hair">
        <color indexed="64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auto="1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/>
      <diagonal/>
    </border>
    <border>
      <left/>
      <right style="dotted">
        <color rgb="FF000000"/>
      </right>
      <top style="medium">
        <color rgb="FF000000"/>
      </top>
      <bottom/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dotted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dotted">
        <color rgb="FF000000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/>
      <right style="medium">
        <color indexed="64"/>
      </right>
      <top style="medium">
        <color rgb="FF000000"/>
      </top>
      <bottom style="dotted">
        <color rgb="FF000000"/>
      </bottom>
      <diagonal/>
    </border>
    <border>
      <left style="medium">
        <color indexed="64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medium">
        <color indexed="64"/>
      </right>
      <top style="dotted">
        <color rgb="FF000000"/>
      </top>
      <bottom style="dotted">
        <color rgb="FF000000"/>
      </bottom>
      <diagonal/>
    </border>
    <border>
      <left style="medium">
        <color indexed="64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/>
      <right style="medium">
        <color indexed="64"/>
      </right>
      <top style="dotted">
        <color rgb="FF000000"/>
      </top>
      <bottom style="medium">
        <color rgb="FF000000"/>
      </bottom>
      <diagonal/>
    </border>
    <border>
      <left style="medium">
        <color indexed="64"/>
      </left>
      <right style="dotted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theme="0"/>
      </right>
      <top style="medium">
        <color auto="1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ck">
        <color theme="0"/>
      </bottom>
      <diagonal/>
    </border>
    <border>
      <left style="thin">
        <color theme="0"/>
      </left>
      <right style="medium">
        <color auto="1"/>
      </right>
      <top style="medium">
        <color auto="1"/>
      </top>
      <bottom style="thick">
        <color theme="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8">
    <xf numFmtId="0" fontId="0" fillId="0" borderId="0"/>
    <xf numFmtId="9" fontId="9" fillId="0" borderId="0" applyFont="0" applyFill="0" applyBorder="0" applyAlignment="0" applyProtection="0"/>
    <xf numFmtId="0" fontId="18" fillId="3" borderId="0" applyNumberFormat="0" applyBorder="0" applyAlignment="0" applyProtection="0"/>
    <xf numFmtId="0" fontId="29" fillId="0" borderId="0"/>
    <xf numFmtId="44" fontId="29" fillId="0" borderId="0" applyFont="0" applyFill="0" applyBorder="0" applyAlignment="0" applyProtection="0"/>
    <xf numFmtId="0" fontId="32" fillId="0" borderId="0"/>
    <xf numFmtId="0" fontId="42" fillId="0" borderId="0"/>
    <xf numFmtId="43" fontId="32" fillId="0" borderId="0" applyFont="0" applyFill="0" applyBorder="0" applyAlignment="0" applyProtection="0"/>
    <xf numFmtId="0" fontId="45" fillId="0" borderId="0"/>
    <xf numFmtId="0" fontId="46" fillId="0" borderId="0"/>
    <xf numFmtId="0" fontId="53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</cellStyleXfs>
  <cellXfs count="1328">
    <xf numFmtId="0" fontId="0" fillId="0" borderId="0" xfId="0"/>
    <xf numFmtId="0" fontId="12" fillId="0" borderId="0" xfId="0" applyFont="1"/>
    <xf numFmtId="0" fontId="11" fillId="0" borderId="0" xfId="0" applyFont="1"/>
    <xf numFmtId="0" fontId="12" fillId="0" borderId="1" xfId="0" applyFont="1" applyBorder="1"/>
    <xf numFmtId="0" fontId="11" fillId="0" borderId="1" xfId="0" applyFont="1" applyBorder="1"/>
    <xf numFmtId="0" fontId="13" fillId="0" borderId="1" xfId="0" applyFont="1" applyBorder="1"/>
    <xf numFmtId="0" fontId="14" fillId="0" borderId="1" xfId="0" applyFont="1" applyBorder="1"/>
    <xf numFmtId="49" fontId="13" fillId="0" borderId="1" xfId="0" applyNumberFormat="1" applyFont="1" applyBorder="1"/>
    <xf numFmtId="49" fontId="13" fillId="0" borderId="1" xfId="0" applyNumberFormat="1" applyFont="1" applyBorder="1" applyAlignment="1">
      <alignment horizontal="left"/>
    </xf>
    <xf numFmtId="0" fontId="12" fillId="0" borderId="0" xfId="0" applyFont="1" applyAlignment="1">
      <alignment horizontal="left"/>
    </xf>
    <xf numFmtId="0" fontId="14" fillId="0" borderId="1" xfId="0" applyFont="1" applyBorder="1" applyAlignment="1">
      <alignment wrapText="1"/>
    </xf>
    <xf numFmtId="0" fontId="14" fillId="0" borderId="1" xfId="0" applyFont="1" applyBorder="1" applyAlignment="1">
      <alignment horizontal="left" wrapText="1"/>
    </xf>
    <xf numFmtId="0" fontId="14" fillId="2" borderId="3" xfId="0" applyFont="1" applyFill="1" applyBorder="1"/>
    <xf numFmtId="0" fontId="14" fillId="2" borderId="4" xfId="0" applyFont="1" applyFill="1" applyBorder="1"/>
    <xf numFmtId="49" fontId="14" fillId="2" borderId="4" xfId="0" applyNumberFormat="1" applyFont="1" applyFill="1" applyBorder="1" applyAlignment="1">
      <alignment horizontal="left"/>
    </xf>
    <xf numFmtId="0" fontId="13" fillId="2" borderId="4" xfId="0" applyFont="1" applyFill="1" applyBorder="1"/>
    <xf numFmtId="0" fontId="14" fillId="2" borderId="5" xfId="0" applyFont="1" applyFill="1" applyBorder="1"/>
    <xf numFmtId="0" fontId="13" fillId="0" borderId="1" xfId="0" applyFont="1" applyBorder="1" applyAlignment="1">
      <alignment wrapText="1"/>
    </xf>
    <xf numFmtId="0" fontId="12" fillId="0" borderId="1" xfId="0" applyFont="1" applyBorder="1" applyAlignment="1">
      <alignment horizontal="left" textRotation="90"/>
    </xf>
    <xf numFmtId="0" fontId="11" fillId="0" borderId="1" xfId="0" applyFont="1" applyBorder="1" applyAlignment="1">
      <alignment wrapText="1"/>
    </xf>
    <xf numFmtId="1" fontId="14" fillId="0" borderId="0" xfId="0" applyNumberFormat="1" applyFont="1"/>
    <xf numFmtId="0" fontId="11" fillId="0" borderId="0" xfId="0" applyFont="1" applyAlignment="1">
      <alignment wrapText="1"/>
    </xf>
    <xf numFmtId="0" fontId="13" fillId="0" borderId="7" xfId="0" applyFont="1" applyBorder="1"/>
    <xf numFmtId="9" fontId="12" fillId="0" borderId="1" xfId="1" applyFont="1" applyBorder="1"/>
    <xf numFmtId="0" fontId="12" fillId="0" borderId="0" xfId="0" applyFont="1" applyAlignment="1">
      <alignment horizontal="left" textRotation="90"/>
    </xf>
    <xf numFmtId="0" fontId="14" fillId="0" borderId="0" xfId="0" applyFont="1"/>
    <xf numFmtId="0" fontId="12" fillId="0" borderId="9" xfId="0" applyFont="1" applyBorder="1"/>
    <xf numFmtId="0" fontId="13" fillId="0" borderId="10" xfId="0" applyFont="1" applyBorder="1"/>
    <xf numFmtId="49" fontId="13" fillId="0" borderId="10" xfId="0" applyNumberFormat="1" applyFont="1" applyBorder="1"/>
    <xf numFmtId="0" fontId="12" fillId="0" borderId="1" xfId="0" applyFont="1" applyBorder="1" applyAlignment="1">
      <alignment wrapText="1"/>
    </xf>
    <xf numFmtId="1" fontId="14" fillId="0" borderId="0" xfId="0" applyNumberFormat="1" applyFont="1" applyAlignment="1">
      <alignment horizontal="left"/>
    </xf>
    <xf numFmtId="0" fontId="12" fillId="0" borderId="13" xfId="0" applyFont="1" applyBorder="1" applyAlignment="1">
      <alignment horizontal="left"/>
    </xf>
    <xf numFmtId="0" fontId="16" fillId="0" borderId="1" xfId="0" applyFont="1" applyBorder="1"/>
    <xf numFmtId="0" fontId="16" fillId="0" borderId="2" xfId="0" applyFont="1" applyBorder="1"/>
    <xf numFmtId="0" fontId="14" fillId="2" borderId="5" xfId="0" applyFont="1" applyFill="1" applyBorder="1" applyAlignment="1">
      <alignment wrapText="1"/>
    </xf>
    <xf numFmtId="0" fontId="9" fillId="0" borderId="0" xfId="0" applyFont="1"/>
    <xf numFmtId="0" fontId="13" fillId="0" borderId="11" xfId="0" applyFont="1" applyBorder="1"/>
    <xf numFmtId="49" fontId="13" fillId="0" borderId="11" xfId="0" applyNumberFormat="1" applyFont="1" applyBorder="1" applyAlignment="1">
      <alignment horizontal="left"/>
    </xf>
    <xf numFmtId="0" fontId="16" fillId="0" borderId="14" xfId="0" applyFont="1" applyBorder="1"/>
    <xf numFmtId="49" fontId="13" fillId="0" borderId="10" xfId="0" applyNumberFormat="1" applyFont="1" applyBorder="1" applyAlignment="1">
      <alignment horizontal="left"/>
    </xf>
    <xf numFmtId="0" fontId="17" fillId="0" borderId="0" xfId="0" applyFont="1"/>
    <xf numFmtId="1" fontId="16" fillId="0" borderId="1" xfId="0" applyNumberFormat="1" applyFont="1" applyBorder="1"/>
    <xf numFmtId="0" fontId="16" fillId="0" borderId="10" xfId="0" applyFont="1" applyBorder="1"/>
    <xf numFmtId="9" fontId="12" fillId="0" borderId="9" xfId="1" applyFont="1" applyBorder="1"/>
    <xf numFmtId="0" fontId="12" fillId="0" borderId="7" xfId="0" applyFont="1" applyBorder="1"/>
    <xf numFmtId="0" fontId="14" fillId="2" borderId="18" xfId="0" applyFont="1" applyFill="1" applyBorder="1"/>
    <xf numFmtId="0" fontId="17" fillId="0" borderId="19" xfId="0" applyFont="1" applyBorder="1"/>
    <xf numFmtId="0" fontId="14" fillId="2" borderId="20" xfId="0" applyFont="1" applyFill="1" applyBorder="1" applyAlignment="1">
      <alignment horizontal="right" vertical="top"/>
    </xf>
    <xf numFmtId="0" fontId="17" fillId="0" borderId="7" xfId="0" applyFont="1" applyBorder="1"/>
    <xf numFmtId="0" fontId="14" fillId="2" borderId="20" xfId="0" applyFont="1" applyFill="1" applyBorder="1" applyAlignment="1">
      <alignment horizontal="right"/>
    </xf>
    <xf numFmtId="0" fontId="14" fillId="2" borderId="20" xfId="0" applyFont="1" applyFill="1" applyBorder="1"/>
    <xf numFmtId="0" fontId="11" fillId="0" borderId="9" xfId="0" applyFont="1" applyBorder="1" applyAlignment="1">
      <alignment wrapText="1"/>
    </xf>
    <xf numFmtId="0" fontId="14" fillId="0" borderId="9" xfId="0" applyFont="1" applyBorder="1"/>
    <xf numFmtId="1" fontId="12" fillId="0" borderId="9" xfId="0" applyNumberFormat="1" applyFont="1" applyBorder="1"/>
    <xf numFmtId="0" fontId="0" fillId="0" borderId="1" xfId="0" applyBorder="1"/>
    <xf numFmtId="0" fontId="17" fillId="0" borderId="1" xfId="0" applyFont="1" applyBorder="1"/>
    <xf numFmtId="1" fontId="19" fillId="0" borderId="1" xfId="0" applyNumberFormat="1" applyFont="1" applyBorder="1"/>
    <xf numFmtId="2" fontId="12" fillId="0" borderId="0" xfId="0" applyNumberFormat="1" applyFont="1"/>
    <xf numFmtId="0" fontId="13" fillId="0" borderId="1" xfId="0" applyFont="1" applyBorder="1" applyAlignment="1">
      <alignment horizontal="left"/>
    </xf>
    <xf numFmtId="0" fontId="14" fillId="2" borderId="4" xfId="0" applyFont="1" applyFill="1" applyBorder="1" applyAlignment="1">
      <alignment horizontal="left"/>
    </xf>
    <xf numFmtId="0" fontId="12" fillId="0" borderId="14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18" fillId="3" borderId="0" xfId="2"/>
    <xf numFmtId="0" fontId="22" fillId="0" borderId="26" xfId="0" applyFont="1" applyBorder="1" applyAlignment="1">
      <alignment vertical="center"/>
    </xf>
    <xf numFmtId="0" fontId="22" fillId="0" borderId="28" xfId="0" applyFont="1" applyBorder="1" applyAlignment="1">
      <alignment horizontal="center" vertical="center"/>
    </xf>
    <xf numFmtId="0" fontId="22" fillId="0" borderId="28" xfId="0" applyFont="1" applyBorder="1" applyAlignment="1">
      <alignment vertical="center"/>
    </xf>
    <xf numFmtId="0" fontId="22" fillId="0" borderId="28" xfId="0" applyFont="1" applyBorder="1" applyAlignment="1">
      <alignment horizontal="center" vertical="center" wrapText="1"/>
    </xf>
    <xf numFmtId="3" fontId="21" fillId="0" borderId="30" xfId="0" applyNumberFormat="1" applyFont="1" applyBorder="1" applyAlignment="1">
      <alignment horizontal="right" vertical="center"/>
    </xf>
    <xf numFmtId="3" fontId="21" fillId="0" borderId="31" xfId="0" applyNumberFormat="1" applyFont="1" applyBorder="1" applyAlignment="1">
      <alignment horizontal="right" vertical="center"/>
    </xf>
    <xf numFmtId="3" fontId="21" fillId="0" borderId="32" xfId="0" applyNumberFormat="1" applyFont="1" applyBorder="1" applyAlignment="1">
      <alignment horizontal="right" vertical="center"/>
    </xf>
    <xf numFmtId="3" fontId="21" fillId="4" borderId="34" xfId="0" applyNumberFormat="1" applyFont="1" applyFill="1" applyBorder="1" applyAlignment="1">
      <alignment horizontal="right" vertical="center"/>
    </xf>
    <xf numFmtId="3" fontId="21" fillId="0" borderId="33" xfId="0" applyNumberFormat="1" applyFont="1" applyBorder="1" applyAlignment="1">
      <alignment horizontal="right" vertical="center"/>
    </xf>
    <xf numFmtId="3" fontId="21" fillId="0" borderId="35" xfId="0" applyNumberFormat="1" applyFont="1" applyBorder="1" applyAlignment="1">
      <alignment horizontal="right" vertical="center"/>
    </xf>
    <xf numFmtId="3" fontId="21" fillId="4" borderId="33" xfId="0" applyNumberFormat="1" applyFont="1" applyFill="1" applyBorder="1" applyAlignment="1">
      <alignment horizontal="right" vertical="center"/>
    </xf>
    <xf numFmtId="3" fontId="21" fillId="4" borderId="32" xfId="0" applyNumberFormat="1" applyFont="1" applyFill="1" applyBorder="1" applyAlignment="1">
      <alignment horizontal="right" vertical="center"/>
    </xf>
    <xf numFmtId="3" fontId="22" fillId="4" borderId="34" xfId="0" applyNumberFormat="1" applyFont="1" applyFill="1" applyBorder="1" applyAlignment="1">
      <alignment horizontal="right" vertical="center"/>
    </xf>
    <xf numFmtId="3" fontId="22" fillId="4" borderId="33" xfId="0" applyNumberFormat="1" applyFont="1" applyFill="1" applyBorder="1" applyAlignment="1">
      <alignment horizontal="right" vertical="center"/>
    </xf>
    <xf numFmtId="3" fontId="22" fillId="4" borderId="32" xfId="0" applyNumberFormat="1" applyFont="1" applyFill="1" applyBorder="1" applyAlignment="1">
      <alignment horizontal="right" vertical="center"/>
    </xf>
    <xf numFmtId="1" fontId="16" fillId="0" borderId="2" xfId="0" applyNumberFormat="1" applyFont="1" applyBorder="1"/>
    <xf numFmtId="0" fontId="18" fillId="3" borderId="2" xfId="2" applyBorder="1"/>
    <xf numFmtId="0" fontId="29" fillId="0" borderId="0" xfId="3"/>
    <xf numFmtId="0" fontId="29" fillId="0" borderId="42" xfId="3" applyBorder="1"/>
    <xf numFmtId="0" fontId="29" fillId="0" borderId="41" xfId="3" applyBorder="1"/>
    <xf numFmtId="0" fontId="29" fillId="0" borderId="40" xfId="3" applyBorder="1"/>
    <xf numFmtId="0" fontId="29" fillId="0" borderId="1" xfId="3" applyBorder="1"/>
    <xf numFmtId="0" fontId="29" fillId="0" borderId="39" xfId="3" applyBorder="1"/>
    <xf numFmtId="0" fontId="30" fillId="0" borderId="0" xfId="3" applyFont="1"/>
    <xf numFmtId="164" fontId="29" fillId="0" borderId="0" xfId="3" applyNumberFormat="1"/>
    <xf numFmtId="9" fontId="29" fillId="0" borderId="0" xfId="3" applyNumberFormat="1"/>
    <xf numFmtId="9" fontId="29" fillId="0" borderId="40" xfId="3" applyNumberFormat="1" applyBorder="1"/>
    <xf numFmtId="9" fontId="29" fillId="0" borderId="1" xfId="3" applyNumberFormat="1" applyBorder="1"/>
    <xf numFmtId="9" fontId="29" fillId="0" borderId="38" xfId="3" applyNumberFormat="1" applyBorder="1"/>
    <xf numFmtId="9" fontId="29" fillId="0" borderId="37" xfId="3" applyNumberFormat="1" applyBorder="1"/>
    <xf numFmtId="0" fontId="29" fillId="0" borderId="37" xfId="3" applyBorder="1"/>
    <xf numFmtId="0" fontId="29" fillId="0" borderId="36" xfId="3" applyBorder="1"/>
    <xf numFmtId="164" fontId="31" fillId="0" borderId="43" xfId="3" applyNumberFormat="1" applyFont="1" applyBorder="1"/>
    <xf numFmtId="0" fontId="29" fillId="0" borderId="44" xfId="3" applyBorder="1"/>
    <xf numFmtId="164" fontId="29" fillId="6" borderId="45" xfId="3" applyNumberFormat="1" applyFill="1" applyBorder="1"/>
    <xf numFmtId="164" fontId="29" fillId="0" borderId="45" xfId="3" applyNumberFormat="1" applyBorder="1"/>
    <xf numFmtId="0" fontId="30" fillId="0" borderId="45" xfId="3" applyFont="1" applyBorder="1"/>
    <xf numFmtId="0" fontId="29" fillId="7" borderId="45" xfId="3" applyFill="1" applyBorder="1"/>
    <xf numFmtId="0" fontId="29" fillId="0" borderId="45" xfId="3" applyBorder="1"/>
    <xf numFmtId="0" fontId="29" fillId="8" borderId="46" xfId="3" applyFill="1" applyBorder="1"/>
    <xf numFmtId="164" fontId="29" fillId="8" borderId="47" xfId="3" applyNumberFormat="1" applyFill="1" applyBorder="1"/>
    <xf numFmtId="0" fontId="30" fillId="8" borderId="47" xfId="3" applyFont="1" applyFill="1" applyBorder="1"/>
    <xf numFmtId="0" fontId="29" fillId="8" borderId="47" xfId="3" applyFill="1" applyBorder="1"/>
    <xf numFmtId="0" fontId="29" fillId="8" borderId="48" xfId="3" applyFill="1" applyBorder="1"/>
    <xf numFmtId="164" fontId="29" fillId="8" borderId="49" xfId="3" applyNumberFormat="1" applyFill="1" applyBorder="1"/>
    <xf numFmtId="164" fontId="32" fillId="8" borderId="49" xfId="3" applyNumberFormat="1" applyFont="1" applyFill="1" applyBorder="1"/>
    <xf numFmtId="0" fontId="30" fillId="8" borderId="49" xfId="3" applyFont="1" applyFill="1" applyBorder="1"/>
    <xf numFmtId="0" fontId="29" fillId="8" borderId="49" xfId="3" applyFill="1" applyBorder="1"/>
    <xf numFmtId="0" fontId="29" fillId="8" borderId="50" xfId="3" applyFill="1" applyBorder="1"/>
    <xf numFmtId="164" fontId="29" fillId="8" borderId="51" xfId="3" applyNumberFormat="1" applyFill="1" applyBorder="1"/>
    <xf numFmtId="0" fontId="30" fillId="8" borderId="51" xfId="3" applyFont="1" applyFill="1" applyBorder="1"/>
    <xf numFmtId="0" fontId="29" fillId="8" borderId="51" xfId="3" applyFill="1" applyBorder="1"/>
    <xf numFmtId="0" fontId="29" fillId="0" borderId="46" xfId="3" applyBorder="1"/>
    <xf numFmtId="164" fontId="29" fillId="6" borderId="47" xfId="3" applyNumberFormat="1" applyFill="1" applyBorder="1"/>
    <xf numFmtId="164" fontId="29" fillId="0" borderId="47" xfId="3" applyNumberFormat="1" applyBorder="1"/>
    <xf numFmtId="0" fontId="30" fillId="0" borderId="47" xfId="3" applyFont="1" applyBorder="1"/>
    <xf numFmtId="0" fontId="29" fillId="0" borderId="47" xfId="3" applyBorder="1"/>
    <xf numFmtId="0" fontId="29" fillId="0" borderId="48" xfId="3" applyBorder="1"/>
    <xf numFmtId="164" fontId="32" fillId="0" borderId="49" xfId="3" applyNumberFormat="1" applyFont="1" applyBorder="1"/>
    <xf numFmtId="0" fontId="30" fillId="0" borderId="49" xfId="3" applyFont="1" applyBorder="1"/>
    <xf numFmtId="0" fontId="29" fillId="0" borderId="49" xfId="3" applyBorder="1"/>
    <xf numFmtId="0" fontId="29" fillId="0" borderId="50" xfId="3" applyBorder="1"/>
    <xf numFmtId="164" fontId="29" fillId="0" borderId="51" xfId="3" applyNumberFormat="1" applyBorder="1"/>
    <xf numFmtId="164" fontId="29" fillId="7" borderId="51" xfId="3" applyNumberFormat="1" applyFill="1" applyBorder="1"/>
    <xf numFmtId="0" fontId="30" fillId="0" borderId="51" xfId="3" applyFont="1" applyBorder="1"/>
    <xf numFmtId="0" fontId="30" fillId="7" borderId="51" xfId="3" applyFont="1" applyFill="1" applyBorder="1"/>
    <xf numFmtId="0" fontId="29" fillId="0" borderId="51" xfId="3" applyBorder="1"/>
    <xf numFmtId="0" fontId="29" fillId="7" borderId="51" xfId="3" applyFill="1" applyBorder="1"/>
    <xf numFmtId="164" fontId="32" fillId="9" borderId="49" xfId="3" applyNumberFormat="1" applyFont="1" applyFill="1" applyBorder="1"/>
    <xf numFmtId="0" fontId="29" fillId="8" borderId="0" xfId="3" applyFill="1"/>
    <xf numFmtId="0" fontId="29" fillId="8" borderId="52" xfId="3" applyFill="1" applyBorder="1"/>
    <xf numFmtId="164" fontId="29" fillId="8" borderId="0" xfId="3" applyNumberFormat="1" applyFill="1"/>
    <xf numFmtId="0" fontId="30" fillId="8" borderId="0" xfId="3" applyFont="1" applyFill="1"/>
    <xf numFmtId="164" fontId="29" fillId="7" borderId="45" xfId="3" applyNumberFormat="1" applyFill="1" applyBorder="1"/>
    <xf numFmtId="0" fontId="30" fillId="7" borderId="45" xfId="3" applyFont="1" applyFill="1" applyBorder="1"/>
    <xf numFmtId="0" fontId="31" fillId="0" borderId="0" xfId="3" applyFont="1"/>
    <xf numFmtId="0" fontId="31" fillId="0" borderId="0" xfId="3" applyFont="1" applyAlignment="1">
      <alignment wrapText="1"/>
    </xf>
    <xf numFmtId="0" fontId="29" fillId="0" borderId="38" xfId="3" applyBorder="1"/>
    <xf numFmtId="164" fontId="29" fillId="0" borderId="39" xfId="3" applyNumberFormat="1" applyBorder="1"/>
    <xf numFmtId="9" fontId="29" fillId="5" borderId="39" xfId="3" applyNumberFormat="1" applyFill="1" applyBorder="1"/>
    <xf numFmtId="9" fontId="29" fillId="0" borderId="43" xfId="3" applyNumberFormat="1" applyBorder="1"/>
    <xf numFmtId="44" fontId="31" fillId="0" borderId="40" xfId="3" applyNumberFormat="1" applyFont="1" applyBorder="1"/>
    <xf numFmtId="1" fontId="29" fillId="0" borderId="1" xfId="3" applyNumberFormat="1" applyBorder="1"/>
    <xf numFmtId="0" fontId="29" fillId="0" borderId="53" xfId="3" applyBorder="1"/>
    <xf numFmtId="0" fontId="29" fillId="0" borderId="54" xfId="3" applyBorder="1"/>
    <xf numFmtId="0" fontId="13" fillId="0" borderId="0" xfId="0" applyFont="1"/>
    <xf numFmtId="0" fontId="34" fillId="0" borderId="0" xfId="3" applyFont="1"/>
    <xf numFmtId="44" fontId="29" fillId="0" borderId="0" xfId="3" applyNumberFormat="1"/>
    <xf numFmtId="0" fontId="32" fillId="10" borderId="45" xfId="3" applyFont="1" applyFill="1" applyBorder="1"/>
    <xf numFmtId="1" fontId="29" fillId="0" borderId="0" xfId="3" applyNumberFormat="1"/>
    <xf numFmtId="0" fontId="29" fillId="0" borderId="0" xfId="3" applyAlignment="1">
      <alignment wrapText="1"/>
    </xf>
    <xf numFmtId="0" fontId="29" fillId="0" borderId="56" xfId="3" applyBorder="1"/>
    <xf numFmtId="0" fontId="35" fillId="11" borderId="8" xfId="0" applyFont="1" applyFill="1" applyBorder="1"/>
    <xf numFmtId="0" fontId="35" fillId="0" borderId="8" xfId="0" applyFont="1" applyBorder="1"/>
    <xf numFmtId="49" fontId="35" fillId="0" borderId="8" xfId="0" applyNumberFormat="1" applyFont="1" applyBorder="1"/>
    <xf numFmtId="49" fontId="35" fillId="11" borderId="8" xfId="0" applyNumberFormat="1" applyFont="1" applyFill="1" applyBorder="1"/>
    <xf numFmtId="49" fontId="10" fillId="0" borderId="8" xfId="0" applyNumberFormat="1" applyFont="1" applyBorder="1"/>
    <xf numFmtId="0" fontId="10" fillId="5" borderId="8" xfId="0" applyFont="1" applyFill="1" applyBorder="1"/>
    <xf numFmtId="0" fontId="10" fillId="0" borderId="8" xfId="0" applyFont="1" applyBorder="1"/>
    <xf numFmtId="49" fontId="10" fillId="0" borderId="8" xfId="0" quotePrefix="1" applyNumberFormat="1" applyFont="1" applyBorder="1"/>
    <xf numFmtId="0" fontId="36" fillId="5" borderId="8" xfId="0" applyFont="1" applyFill="1" applyBorder="1"/>
    <xf numFmtId="0" fontId="10" fillId="0" borderId="8" xfId="0" applyFont="1" applyBorder="1" applyAlignment="1">
      <alignment horizontal="left"/>
    </xf>
    <xf numFmtId="49" fontId="10" fillId="0" borderId="8" xfId="0" applyNumberFormat="1" applyFont="1" applyBorder="1" applyAlignment="1">
      <alignment horizontal="left"/>
    </xf>
    <xf numFmtId="44" fontId="29" fillId="0" borderId="43" xfId="3" applyNumberFormat="1" applyBorder="1"/>
    <xf numFmtId="1" fontId="29" fillId="0" borderId="42" xfId="3" applyNumberFormat="1" applyBorder="1"/>
    <xf numFmtId="0" fontId="14" fillId="2" borderId="1" xfId="0" applyFont="1" applyFill="1" applyBorder="1"/>
    <xf numFmtId="49" fontId="14" fillId="2" borderId="1" xfId="0" applyNumberFormat="1" applyFont="1" applyFill="1" applyBorder="1" applyAlignment="1">
      <alignment horizontal="left"/>
    </xf>
    <xf numFmtId="0" fontId="14" fillId="2" borderId="1" xfId="0" applyFont="1" applyFill="1" applyBorder="1" applyAlignment="1">
      <alignment horizontal="left"/>
    </xf>
    <xf numFmtId="0" fontId="13" fillId="2" borderId="1" xfId="0" applyFont="1" applyFill="1" applyBorder="1"/>
    <xf numFmtId="0" fontId="14" fillId="2" borderId="1" xfId="0" applyFont="1" applyFill="1" applyBorder="1" applyAlignment="1">
      <alignment wrapText="1"/>
    </xf>
    <xf numFmtId="49" fontId="10" fillId="0" borderId="0" xfId="0" applyNumberFormat="1" applyFont="1"/>
    <xf numFmtId="49" fontId="10" fillId="0" borderId="0" xfId="0" applyNumberFormat="1" applyFont="1" applyAlignment="1">
      <alignment horizontal="left"/>
    </xf>
    <xf numFmtId="1" fontId="29" fillId="0" borderId="49" xfId="3" applyNumberFormat="1" applyBorder="1"/>
    <xf numFmtId="1" fontId="29" fillId="0" borderId="47" xfId="3" applyNumberFormat="1" applyBorder="1"/>
    <xf numFmtId="44" fontId="37" fillId="0" borderId="0" xfId="3" applyNumberFormat="1" applyFont="1"/>
    <xf numFmtId="0" fontId="32" fillId="0" borderId="0" xfId="0" applyFont="1" applyAlignment="1">
      <alignment vertical="center"/>
    </xf>
    <xf numFmtId="1" fontId="29" fillId="0" borderId="36" xfId="3" applyNumberFormat="1" applyBorder="1"/>
    <xf numFmtId="1" fontId="29" fillId="0" borderId="37" xfId="3" applyNumberFormat="1" applyBorder="1"/>
    <xf numFmtId="0" fontId="33" fillId="0" borderId="0" xfId="3" applyFont="1"/>
    <xf numFmtId="0" fontId="33" fillId="8" borderId="0" xfId="3" applyFont="1" applyFill="1"/>
    <xf numFmtId="0" fontId="29" fillId="0" borderId="57" xfId="3" applyBorder="1"/>
    <xf numFmtId="0" fontId="31" fillId="0" borderId="36" xfId="3" applyFont="1" applyBorder="1"/>
    <xf numFmtId="0" fontId="29" fillId="0" borderId="1" xfId="3" applyBorder="1" applyAlignment="1">
      <alignment wrapText="1"/>
    </xf>
    <xf numFmtId="0" fontId="29" fillId="0" borderId="40" xfId="3" applyBorder="1" applyAlignment="1">
      <alignment wrapText="1"/>
    </xf>
    <xf numFmtId="44" fontId="29" fillId="0" borderId="1" xfId="3" applyNumberFormat="1" applyBorder="1"/>
    <xf numFmtId="44" fontId="29" fillId="0" borderId="40" xfId="3" applyNumberFormat="1" applyBorder="1"/>
    <xf numFmtId="164" fontId="29" fillId="0" borderId="1" xfId="3" applyNumberFormat="1" applyBorder="1"/>
    <xf numFmtId="0" fontId="29" fillId="0" borderId="43" xfId="3" applyBorder="1"/>
    <xf numFmtId="3" fontId="21" fillId="12" borderId="32" xfId="0" applyNumberFormat="1" applyFont="1" applyFill="1" applyBorder="1" applyAlignment="1">
      <alignment horizontal="right" vertical="center"/>
    </xf>
    <xf numFmtId="3" fontId="22" fillId="12" borderId="32" xfId="0" applyNumberFormat="1" applyFont="1" applyFill="1" applyBorder="1" applyAlignment="1">
      <alignment horizontal="right" vertical="center"/>
    </xf>
    <xf numFmtId="44" fontId="29" fillId="0" borderId="58" xfId="3" applyNumberFormat="1" applyBorder="1"/>
    <xf numFmtId="0" fontId="12" fillId="0" borderId="59" xfId="0" applyFont="1" applyBorder="1"/>
    <xf numFmtId="1" fontId="31" fillId="0" borderId="56" xfId="3" applyNumberFormat="1" applyFont="1" applyBorder="1"/>
    <xf numFmtId="1" fontId="31" fillId="0" borderId="54" xfId="3" applyNumberFormat="1" applyFont="1" applyBorder="1"/>
    <xf numFmtId="0" fontId="32" fillId="10" borderId="0" xfId="3" applyFont="1" applyFill="1"/>
    <xf numFmtId="1" fontId="29" fillId="0" borderId="45" xfId="3" applyNumberFormat="1" applyBorder="1"/>
    <xf numFmtId="9" fontId="29" fillId="12" borderId="47" xfId="3" applyNumberFormat="1" applyFill="1" applyBorder="1"/>
    <xf numFmtId="1" fontId="16" fillId="0" borderId="40" xfId="0" applyNumberFormat="1" applyFont="1" applyBorder="1"/>
    <xf numFmtId="0" fontId="13" fillId="0" borderId="6" xfId="0" applyFont="1" applyBorder="1"/>
    <xf numFmtId="49" fontId="13" fillId="0" borderId="6" xfId="0" applyNumberFormat="1" applyFont="1" applyBorder="1" applyAlignment="1">
      <alignment horizontal="left"/>
    </xf>
    <xf numFmtId="0" fontId="29" fillId="0" borderId="67" xfId="3" applyBorder="1"/>
    <xf numFmtId="0" fontId="29" fillId="10" borderId="45" xfId="3" applyFill="1" applyBorder="1"/>
    <xf numFmtId="0" fontId="29" fillId="0" borderId="66" xfId="3" applyBorder="1"/>
    <xf numFmtId="164" fontId="32" fillId="0" borderId="45" xfId="3" applyNumberFormat="1" applyFont="1" applyBorder="1"/>
    <xf numFmtId="164" fontId="32" fillId="14" borderId="45" xfId="3" applyNumberFormat="1" applyFont="1" applyFill="1" applyBorder="1"/>
    <xf numFmtId="0" fontId="29" fillId="0" borderId="68" xfId="3" applyBorder="1"/>
    <xf numFmtId="0" fontId="30" fillId="5" borderId="51" xfId="3" applyFont="1" applyFill="1" applyBorder="1"/>
    <xf numFmtId="1" fontId="29" fillId="10" borderId="51" xfId="3" applyNumberFormat="1" applyFill="1" applyBorder="1"/>
    <xf numFmtId="0" fontId="31" fillId="0" borderId="40" xfId="3" applyFont="1" applyBorder="1"/>
    <xf numFmtId="1" fontId="33" fillId="0" borderId="1" xfId="3" applyNumberFormat="1" applyFont="1" applyBorder="1"/>
    <xf numFmtId="1" fontId="30" fillId="0" borderId="0" xfId="3" applyNumberFormat="1" applyFont="1"/>
    <xf numFmtId="0" fontId="38" fillId="0" borderId="0" xfId="0" applyFont="1"/>
    <xf numFmtId="3" fontId="21" fillId="0" borderId="0" xfId="0" applyNumberFormat="1" applyFont="1" applyAlignment="1">
      <alignment horizontal="right" vertical="center"/>
    </xf>
    <xf numFmtId="3" fontId="21" fillId="4" borderId="70" xfId="0" applyNumberFormat="1" applyFont="1" applyFill="1" applyBorder="1" applyAlignment="1">
      <alignment horizontal="right" vertical="center"/>
    </xf>
    <xf numFmtId="3" fontId="21" fillId="0" borderId="69" xfId="0" applyNumberFormat="1" applyFont="1" applyBorder="1" applyAlignment="1">
      <alignment horizontal="right" vertical="center"/>
    </xf>
    <xf numFmtId="3" fontId="21" fillId="0" borderId="71" xfId="0" applyNumberFormat="1" applyFont="1" applyBorder="1" applyAlignment="1">
      <alignment horizontal="right" vertical="center"/>
    </xf>
    <xf numFmtId="165" fontId="32" fillId="5" borderId="39" xfId="3" applyNumberFormat="1" applyFont="1" applyFill="1" applyBorder="1"/>
    <xf numFmtId="44" fontId="33" fillId="0" borderId="0" xfId="3" applyNumberFormat="1" applyFont="1"/>
    <xf numFmtId="0" fontId="12" fillId="5" borderId="0" xfId="0" applyFont="1" applyFill="1"/>
    <xf numFmtId="0" fontId="39" fillId="16" borderId="49" xfId="3" applyFont="1" applyFill="1" applyBorder="1"/>
    <xf numFmtId="0" fontId="40" fillId="5" borderId="51" xfId="3" applyFont="1" applyFill="1" applyBorder="1"/>
    <xf numFmtId="1" fontId="33" fillId="0" borderId="0" xfId="3" applyNumberFormat="1" applyFont="1"/>
    <xf numFmtId="0" fontId="28" fillId="0" borderId="1" xfId="0" applyFont="1" applyBorder="1"/>
    <xf numFmtId="49" fontId="28" fillId="0" borderId="1" xfId="0" applyNumberFormat="1" applyFont="1" applyBorder="1" applyAlignment="1">
      <alignment horizontal="left"/>
    </xf>
    <xf numFmtId="0" fontId="28" fillId="0" borderId="1" xfId="0" applyFont="1" applyBorder="1" applyAlignment="1">
      <alignment horizontal="left"/>
    </xf>
    <xf numFmtId="1" fontId="16" fillId="0" borderId="0" xfId="0" applyNumberFormat="1" applyFont="1"/>
    <xf numFmtId="0" fontId="30" fillId="12" borderId="0" xfId="3" applyFont="1" applyFill="1"/>
    <xf numFmtId="0" fontId="0" fillId="12" borderId="0" xfId="0" applyFill="1"/>
    <xf numFmtId="0" fontId="0" fillId="0" borderId="79" xfId="0" applyBorder="1"/>
    <xf numFmtId="0" fontId="0" fillId="0" borderId="80" xfId="0" applyBorder="1"/>
    <xf numFmtId="0" fontId="0" fillId="0" borderId="62" xfId="0" applyBorder="1"/>
    <xf numFmtId="0" fontId="0" fillId="17" borderId="77" xfId="0" applyFill="1" applyBorder="1"/>
    <xf numFmtId="0" fontId="0" fillId="0" borderId="18" xfId="0" applyBorder="1"/>
    <xf numFmtId="0" fontId="0" fillId="0" borderId="81" xfId="0" applyBorder="1"/>
    <xf numFmtId="0" fontId="0" fillId="0" borderId="8" xfId="0" applyBorder="1"/>
    <xf numFmtId="0" fontId="0" fillId="5" borderId="8" xfId="0" applyFill="1" applyBorder="1"/>
    <xf numFmtId="0" fontId="0" fillId="0" borderId="25" xfId="0" applyBorder="1"/>
    <xf numFmtId="0" fontId="0" fillId="0" borderId="82" xfId="0" applyBorder="1"/>
    <xf numFmtId="1" fontId="0" fillId="0" borderId="0" xfId="0" applyNumberFormat="1"/>
    <xf numFmtId="168" fontId="0" fillId="0" borderId="0" xfId="0" applyNumberFormat="1"/>
    <xf numFmtId="0" fontId="32" fillId="0" borderId="0" xfId="0" applyFont="1"/>
    <xf numFmtId="1" fontId="29" fillId="7" borderId="45" xfId="3" applyNumberFormat="1" applyFill="1" applyBorder="1"/>
    <xf numFmtId="49" fontId="29" fillId="0" borderId="38" xfId="3" applyNumberFormat="1" applyBorder="1"/>
    <xf numFmtId="0" fontId="23" fillId="0" borderId="27" xfId="0" applyFont="1" applyBorder="1" applyAlignment="1">
      <alignment horizontal="center" vertical="center"/>
    </xf>
    <xf numFmtId="0" fontId="0" fillId="12" borderId="8" xfId="0" applyFill="1" applyBorder="1"/>
    <xf numFmtId="0" fontId="0" fillId="12" borderId="80" xfId="0" applyFill="1" applyBorder="1"/>
    <xf numFmtId="0" fontId="0" fillId="12" borderId="79" xfId="0" applyFill="1" applyBorder="1"/>
    <xf numFmtId="0" fontId="22" fillId="0" borderId="58" xfId="0" applyFont="1" applyBorder="1" applyAlignment="1">
      <alignment horizontal="center" vertical="center"/>
    </xf>
    <xf numFmtId="0" fontId="9" fillId="0" borderId="80" xfId="0" applyFont="1" applyBorder="1"/>
    <xf numFmtId="3" fontId="21" fillId="0" borderId="86" xfId="0" applyNumberFormat="1" applyFont="1" applyBorder="1" applyAlignment="1">
      <alignment horizontal="right" vertical="center"/>
    </xf>
    <xf numFmtId="3" fontId="21" fillId="4" borderId="87" xfId="0" applyNumberFormat="1" applyFont="1" applyFill="1" applyBorder="1" applyAlignment="1">
      <alignment horizontal="right" vertical="center"/>
    </xf>
    <xf numFmtId="3" fontId="21" fillId="4" borderId="63" xfId="0" applyNumberFormat="1" applyFont="1" applyFill="1" applyBorder="1" applyAlignment="1">
      <alignment horizontal="right" vertical="center"/>
    </xf>
    <xf numFmtId="3" fontId="21" fillId="0" borderId="85" xfId="0" applyNumberFormat="1" applyFont="1" applyBorder="1" applyAlignment="1">
      <alignment horizontal="right" vertical="center"/>
    </xf>
    <xf numFmtId="3" fontId="21" fillId="0" borderId="89" xfId="0" applyNumberFormat="1" applyFont="1" applyBorder="1" applyAlignment="1">
      <alignment horizontal="right" vertical="center"/>
    </xf>
    <xf numFmtId="3" fontId="21" fillId="0" borderId="90" xfId="0" applyNumberFormat="1" applyFont="1" applyBorder="1" applyAlignment="1">
      <alignment horizontal="right" vertical="center"/>
    </xf>
    <xf numFmtId="3" fontId="21" fillId="0" borderId="63" xfId="0" applyNumberFormat="1" applyFont="1" applyBorder="1" applyAlignment="1">
      <alignment horizontal="right" vertical="center"/>
    </xf>
    <xf numFmtId="3" fontId="21" fillId="4" borderId="69" xfId="0" applyNumberFormat="1" applyFont="1" applyFill="1" applyBorder="1" applyAlignment="1">
      <alignment horizontal="right" vertical="center"/>
    </xf>
    <xf numFmtId="3" fontId="21" fillId="0" borderId="92" xfId="0" applyNumberFormat="1" applyFont="1" applyBorder="1" applyAlignment="1">
      <alignment horizontal="right" vertical="center"/>
    </xf>
    <xf numFmtId="3" fontId="21" fillId="0" borderId="93" xfId="0" applyNumberFormat="1" applyFont="1" applyBorder="1" applyAlignment="1">
      <alignment horizontal="right" vertical="center"/>
    </xf>
    <xf numFmtId="0" fontId="9" fillId="17" borderId="77" xfId="0" applyFont="1" applyFill="1" applyBorder="1"/>
    <xf numFmtId="0" fontId="0" fillId="0" borderId="71" xfId="0" applyBorder="1"/>
    <xf numFmtId="3" fontId="21" fillId="0" borderId="91" xfId="0" applyNumberFormat="1" applyFont="1" applyBorder="1" applyAlignment="1">
      <alignment horizontal="right" vertical="center"/>
    </xf>
    <xf numFmtId="3" fontId="21" fillId="0" borderId="95" xfId="0" applyNumberFormat="1" applyFont="1" applyBorder="1" applyAlignment="1">
      <alignment horizontal="right" vertical="center"/>
    </xf>
    <xf numFmtId="3" fontId="21" fillId="4" borderId="93" xfId="0" applyNumberFormat="1" applyFont="1" applyFill="1" applyBorder="1" applyAlignment="1">
      <alignment horizontal="right" vertical="center"/>
    </xf>
    <xf numFmtId="3" fontId="21" fillId="4" borderId="94" xfId="0" applyNumberFormat="1" applyFont="1" applyFill="1" applyBorder="1" applyAlignment="1">
      <alignment horizontal="right" vertical="center"/>
    </xf>
    <xf numFmtId="3" fontId="21" fillId="4" borderId="96" xfId="0" applyNumberFormat="1" applyFont="1" applyFill="1" applyBorder="1" applyAlignment="1">
      <alignment horizontal="right" vertical="center"/>
    </xf>
    <xf numFmtId="3" fontId="21" fillId="4" borderId="95" xfId="0" applyNumberFormat="1" applyFont="1" applyFill="1" applyBorder="1" applyAlignment="1">
      <alignment horizontal="right" vertical="center"/>
    </xf>
    <xf numFmtId="3" fontId="21" fillId="4" borderId="71" xfId="0" applyNumberFormat="1" applyFont="1" applyFill="1" applyBorder="1" applyAlignment="1">
      <alignment horizontal="right" vertical="center"/>
    </xf>
    <xf numFmtId="3" fontId="0" fillId="4" borderId="71" xfId="0" applyNumberFormat="1" applyFill="1" applyBorder="1"/>
    <xf numFmtId="0" fontId="0" fillId="4" borderId="71" xfId="0" applyFill="1" applyBorder="1"/>
    <xf numFmtId="3" fontId="0" fillId="0" borderId="71" xfId="0" applyNumberFormat="1" applyBorder="1"/>
    <xf numFmtId="3" fontId="21" fillId="0" borderId="99" xfId="0" applyNumberFormat="1" applyFont="1" applyBorder="1" applyAlignment="1">
      <alignment horizontal="right" vertical="center"/>
    </xf>
    <xf numFmtId="3" fontId="21" fillId="0" borderId="100" xfId="0" applyNumberFormat="1" applyFont="1" applyBorder="1" applyAlignment="1">
      <alignment horizontal="right" vertical="center"/>
    </xf>
    <xf numFmtId="3" fontId="21" fillId="4" borderId="98" xfId="0" applyNumberFormat="1" applyFont="1" applyFill="1" applyBorder="1" applyAlignment="1">
      <alignment horizontal="right" vertical="center"/>
    </xf>
    <xf numFmtId="3" fontId="21" fillId="4" borderId="102" xfId="0" applyNumberFormat="1" applyFont="1" applyFill="1" applyBorder="1" applyAlignment="1">
      <alignment horizontal="right" vertical="center"/>
    </xf>
    <xf numFmtId="3" fontId="21" fillId="4" borderId="75" xfId="0" applyNumberFormat="1" applyFont="1" applyFill="1" applyBorder="1" applyAlignment="1">
      <alignment horizontal="right" vertical="center"/>
    </xf>
    <xf numFmtId="3" fontId="21" fillId="0" borderId="101" xfId="0" applyNumberFormat="1" applyFont="1" applyBorder="1" applyAlignment="1">
      <alignment horizontal="right" vertical="center"/>
    </xf>
    <xf numFmtId="3" fontId="21" fillId="0" borderId="103" xfId="0" applyNumberFormat="1" applyFont="1" applyBorder="1" applyAlignment="1">
      <alignment horizontal="right" vertical="center"/>
    </xf>
    <xf numFmtId="3" fontId="21" fillId="0" borderId="104" xfId="0" applyNumberFormat="1" applyFont="1" applyBorder="1" applyAlignment="1">
      <alignment horizontal="right" vertical="center"/>
    </xf>
    <xf numFmtId="3" fontId="21" fillId="0" borderId="75" xfId="0" applyNumberFormat="1" applyFont="1" applyBorder="1" applyAlignment="1">
      <alignment horizontal="right" vertical="center"/>
    </xf>
    <xf numFmtId="3" fontId="21" fillId="4" borderId="101" xfId="0" applyNumberFormat="1" applyFont="1" applyFill="1" applyBorder="1" applyAlignment="1">
      <alignment horizontal="right" vertical="center"/>
    </xf>
    <xf numFmtId="3" fontId="21" fillId="0" borderId="106" xfId="0" applyNumberFormat="1" applyFont="1" applyBorder="1" applyAlignment="1">
      <alignment horizontal="right" vertical="center"/>
    </xf>
    <xf numFmtId="3" fontId="21" fillId="4" borderId="97" xfId="0" applyNumberFormat="1" applyFont="1" applyFill="1" applyBorder="1" applyAlignment="1">
      <alignment horizontal="right" vertical="center"/>
    </xf>
    <xf numFmtId="3" fontId="21" fillId="4" borderId="107" xfId="0" applyNumberFormat="1" applyFont="1" applyFill="1" applyBorder="1" applyAlignment="1">
      <alignment horizontal="right" vertical="center"/>
    </xf>
    <xf numFmtId="3" fontId="21" fillId="0" borderId="105" xfId="0" applyNumberFormat="1" applyFont="1" applyBorder="1" applyAlignment="1">
      <alignment horizontal="right" vertical="center"/>
    </xf>
    <xf numFmtId="3" fontId="21" fillId="0" borderId="108" xfId="0" applyNumberFormat="1" applyFont="1" applyBorder="1" applyAlignment="1">
      <alignment horizontal="right" vertical="center"/>
    </xf>
    <xf numFmtId="3" fontId="21" fillId="0" borderId="109" xfId="0" applyNumberFormat="1" applyFont="1" applyBorder="1" applyAlignment="1">
      <alignment horizontal="right" vertical="center"/>
    </xf>
    <xf numFmtId="3" fontId="21" fillId="0" borderId="107" xfId="0" applyNumberFormat="1" applyFont="1" applyBorder="1" applyAlignment="1">
      <alignment horizontal="right" vertical="center"/>
    </xf>
    <xf numFmtId="3" fontId="21" fillId="4" borderId="105" xfId="0" applyNumberFormat="1" applyFont="1" applyFill="1" applyBorder="1" applyAlignment="1">
      <alignment horizontal="right" vertical="center"/>
    </xf>
    <xf numFmtId="17" fontId="0" fillId="0" borderId="0" xfId="0" applyNumberFormat="1"/>
    <xf numFmtId="0" fontId="0" fillId="0" borderId="103" xfId="0" applyBorder="1"/>
    <xf numFmtId="0" fontId="0" fillId="4" borderId="103" xfId="0" applyFill="1" applyBorder="1"/>
    <xf numFmtId="0" fontId="0" fillId="0" borderId="58" xfId="0" applyBorder="1"/>
    <xf numFmtId="0" fontId="29" fillId="0" borderId="112" xfId="3" applyBorder="1"/>
    <xf numFmtId="0" fontId="29" fillId="0" borderId="12" xfId="3" applyBorder="1"/>
    <xf numFmtId="0" fontId="29" fillId="0" borderId="7" xfId="3" applyBorder="1"/>
    <xf numFmtId="0" fontId="29" fillId="0" borderId="113" xfId="3" applyBorder="1"/>
    <xf numFmtId="0" fontId="29" fillId="0" borderId="111" xfId="3" applyBorder="1"/>
    <xf numFmtId="0" fontId="29" fillId="18" borderId="8" xfId="3" applyFill="1" applyBorder="1"/>
    <xf numFmtId="0" fontId="0" fillId="18" borderId="8" xfId="0" applyFill="1" applyBorder="1"/>
    <xf numFmtId="1" fontId="29" fillId="18" borderId="8" xfId="3" applyNumberFormat="1" applyFill="1" applyBorder="1"/>
    <xf numFmtId="3" fontId="21" fillId="4" borderId="114" xfId="0" applyNumberFormat="1" applyFont="1" applyFill="1" applyBorder="1" applyAlignment="1">
      <alignment horizontal="right" vertical="center"/>
    </xf>
    <xf numFmtId="0" fontId="29" fillId="0" borderId="72" xfId="3" applyBorder="1"/>
    <xf numFmtId="0" fontId="29" fillId="0" borderId="74" xfId="3" applyBorder="1"/>
    <xf numFmtId="1" fontId="33" fillId="0" borderId="17" xfId="3" applyNumberFormat="1" applyFont="1" applyBorder="1"/>
    <xf numFmtId="1" fontId="33" fillId="0" borderId="75" xfId="3" applyNumberFormat="1" applyFont="1" applyBorder="1"/>
    <xf numFmtId="9" fontId="29" fillId="0" borderId="112" xfId="3" applyNumberFormat="1" applyBorder="1"/>
    <xf numFmtId="9" fontId="29" fillId="0" borderId="7" xfId="3" applyNumberFormat="1" applyBorder="1"/>
    <xf numFmtId="0" fontId="0" fillId="0" borderId="83" xfId="0" applyBorder="1"/>
    <xf numFmtId="0" fontId="9" fillId="0" borderId="79" xfId="0" applyFont="1" applyBorder="1"/>
    <xf numFmtId="168" fontId="0" fillId="0" borderId="79" xfId="0" applyNumberFormat="1" applyBorder="1"/>
    <xf numFmtId="0" fontId="0" fillId="0" borderId="84" xfId="0" applyBorder="1"/>
    <xf numFmtId="0" fontId="13" fillId="0" borderId="82" xfId="0" applyFont="1" applyBorder="1"/>
    <xf numFmtId="0" fontId="13" fillId="0" borderId="79" xfId="0" applyFont="1" applyBorder="1"/>
    <xf numFmtId="168" fontId="13" fillId="0" borderId="79" xfId="0" applyNumberFormat="1" applyFont="1" applyBorder="1" applyAlignment="1">
      <alignment horizontal="left"/>
    </xf>
    <xf numFmtId="0" fontId="47" fillId="0" borderId="79" xfId="0" applyFont="1" applyBorder="1"/>
    <xf numFmtId="0" fontId="19" fillId="0" borderId="79" xfId="0" applyFont="1" applyBorder="1"/>
    <xf numFmtId="0" fontId="20" fillId="0" borderId="84" xfId="0" applyFont="1" applyBorder="1"/>
    <xf numFmtId="14" fontId="0" fillId="0" borderId="0" xfId="0" applyNumberFormat="1"/>
    <xf numFmtId="3" fontId="21" fillId="4" borderId="115" xfId="0" applyNumberFormat="1" applyFont="1" applyFill="1" applyBorder="1" applyAlignment="1">
      <alignment horizontal="right" vertical="center"/>
    </xf>
    <xf numFmtId="3" fontId="21" fillId="4" borderId="116" xfId="0" applyNumberFormat="1" applyFont="1" applyFill="1" applyBorder="1" applyAlignment="1">
      <alignment horizontal="right" vertical="center"/>
    </xf>
    <xf numFmtId="3" fontId="0" fillId="4" borderId="70" xfId="0" applyNumberFormat="1" applyFill="1" applyBorder="1"/>
    <xf numFmtId="3" fontId="0" fillId="0" borderId="0" xfId="0" applyNumberFormat="1"/>
    <xf numFmtId="3" fontId="21" fillId="4" borderId="117" xfId="0" applyNumberFormat="1" applyFont="1" applyFill="1" applyBorder="1" applyAlignment="1">
      <alignment horizontal="right" vertical="center"/>
    </xf>
    <xf numFmtId="3" fontId="21" fillId="0" borderId="118" xfId="0" applyNumberFormat="1" applyFont="1" applyBorder="1" applyAlignment="1">
      <alignment horizontal="right" vertical="center"/>
    </xf>
    <xf numFmtId="3" fontId="21" fillId="0" borderId="119" xfId="0" applyNumberFormat="1" applyFont="1" applyBorder="1" applyAlignment="1">
      <alignment horizontal="right" vertical="center"/>
    </xf>
    <xf numFmtId="3" fontId="21" fillId="0" borderId="120" xfId="0" applyNumberFormat="1" applyFont="1" applyBorder="1" applyAlignment="1">
      <alignment horizontal="right" vertical="center"/>
    </xf>
    <xf numFmtId="3" fontId="21" fillId="0" borderId="121" xfId="0" applyNumberFormat="1" applyFont="1" applyBorder="1" applyAlignment="1">
      <alignment horizontal="right" vertical="center"/>
    </xf>
    <xf numFmtId="3" fontId="21" fillId="4" borderId="121" xfId="0" applyNumberFormat="1" applyFont="1" applyFill="1" applyBorder="1" applyAlignment="1">
      <alignment horizontal="right" vertical="center"/>
    </xf>
    <xf numFmtId="3" fontId="21" fillId="4" borderId="91" xfId="0" applyNumberFormat="1" applyFont="1" applyFill="1" applyBorder="1" applyAlignment="1">
      <alignment horizontal="right" vertical="center"/>
    </xf>
    <xf numFmtId="3" fontId="21" fillId="4" borderId="120" xfId="0" applyNumberFormat="1" applyFont="1" applyFill="1" applyBorder="1" applyAlignment="1">
      <alignment horizontal="right" vertical="center"/>
    </xf>
    <xf numFmtId="3" fontId="21" fillId="4" borderId="118" xfId="0" applyNumberFormat="1" applyFont="1" applyFill="1" applyBorder="1" applyAlignment="1">
      <alignment horizontal="right" vertical="center"/>
    </xf>
    <xf numFmtId="3" fontId="21" fillId="0" borderId="88" xfId="0" applyNumberFormat="1" applyFont="1" applyBorder="1" applyAlignment="1">
      <alignment horizontal="right" vertical="center"/>
    </xf>
    <xf numFmtId="0" fontId="9" fillId="0" borderId="62" xfId="0" applyFont="1" applyBorder="1"/>
    <xf numFmtId="44" fontId="27" fillId="0" borderId="42" xfId="3" applyNumberFormat="1" applyFont="1" applyBorder="1"/>
    <xf numFmtId="0" fontId="49" fillId="0" borderId="1" xfId="0" applyFont="1" applyBorder="1"/>
    <xf numFmtId="0" fontId="11" fillId="0" borderId="122" xfId="0" applyFont="1" applyBorder="1" applyAlignment="1">
      <alignment wrapText="1"/>
    </xf>
    <xf numFmtId="0" fontId="12" fillId="12" borderId="8" xfId="0" applyFont="1" applyFill="1" applyBorder="1"/>
    <xf numFmtId="0" fontId="12" fillId="0" borderId="8" xfId="0" applyFont="1" applyBorder="1"/>
    <xf numFmtId="0" fontId="9" fillId="0" borderId="8" xfId="0" applyFont="1" applyBorder="1"/>
    <xf numFmtId="0" fontId="12" fillId="12" borderId="15" xfId="0" applyFont="1" applyFill="1" applyBorder="1"/>
    <xf numFmtId="0" fontId="48" fillId="19" borderId="8" xfId="0" applyFont="1" applyFill="1" applyBorder="1"/>
    <xf numFmtId="0" fontId="12" fillId="19" borderId="8" xfId="0" applyFont="1" applyFill="1" applyBorder="1"/>
    <xf numFmtId="0" fontId="38" fillId="19" borderId="8" xfId="0" applyFont="1" applyFill="1" applyBorder="1"/>
    <xf numFmtId="0" fontId="12" fillId="12" borderId="128" xfId="0" applyFont="1" applyFill="1" applyBorder="1"/>
    <xf numFmtId="0" fontId="12" fillId="0" borderId="128" xfId="0" applyFont="1" applyBorder="1"/>
    <xf numFmtId="0" fontId="28" fillId="0" borderId="7" xfId="0" applyFont="1" applyBorder="1"/>
    <xf numFmtId="0" fontId="12" fillId="5" borderId="8" xfId="0" applyFont="1" applyFill="1" applyBorder="1"/>
    <xf numFmtId="0" fontId="12" fillId="5" borderId="125" xfId="0" applyFont="1" applyFill="1" applyBorder="1"/>
    <xf numFmtId="0" fontId="12" fillId="5" borderId="126" xfId="0" applyFont="1" applyFill="1" applyBorder="1"/>
    <xf numFmtId="0" fontId="12" fillId="5" borderId="128" xfId="0" applyFont="1" applyFill="1" applyBorder="1"/>
    <xf numFmtId="0" fontId="12" fillId="12" borderId="131" xfId="0" applyFont="1" applyFill="1" applyBorder="1"/>
    <xf numFmtId="0" fontId="48" fillId="19" borderId="128" xfId="0" applyFont="1" applyFill="1" applyBorder="1"/>
    <xf numFmtId="0" fontId="14" fillId="0" borderId="1" xfId="0" applyFont="1" applyBorder="1" applyProtection="1">
      <protection locked="0"/>
    </xf>
    <xf numFmtId="0" fontId="14" fillId="2" borderId="3" xfId="0" applyFont="1" applyFill="1" applyBorder="1" applyProtection="1">
      <protection locked="0"/>
    </xf>
    <xf numFmtId="0" fontId="14" fillId="2" borderId="4" xfId="0" applyFont="1" applyFill="1" applyBorder="1" applyProtection="1">
      <protection locked="0"/>
    </xf>
    <xf numFmtId="0" fontId="14" fillId="2" borderId="18" xfId="0" applyFont="1" applyFill="1" applyBorder="1" applyProtection="1">
      <protection locked="0"/>
    </xf>
    <xf numFmtId="1" fontId="16" fillId="0" borderId="2" xfId="0" applyNumberFormat="1" applyFont="1" applyBorder="1" applyProtection="1">
      <protection locked="0"/>
    </xf>
    <xf numFmtId="0" fontId="13" fillId="0" borderId="1" xfId="0" applyFont="1" applyBorder="1" applyProtection="1">
      <protection locked="0"/>
    </xf>
    <xf numFmtId="49" fontId="13" fillId="0" borderId="1" xfId="0" applyNumberFormat="1" applyFont="1" applyBorder="1" applyProtection="1">
      <protection locked="0"/>
    </xf>
    <xf numFmtId="0" fontId="13" fillId="0" borderId="0" xfId="0" applyFont="1" applyProtection="1">
      <protection locked="0"/>
    </xf>
    <xf numFmtId="0" fontId="17" fillId="0" borderId="12" xfId="0" applyFont="1" applyBorder="1" applyProtection="1">
      <protection locked="0"/>
    </xf>
    <xf numFmtId="0" fontId="17" fillId="0" borderId="7" xfId="0" applyFont="1" applyBorder="1" applyProtection="1">
      <protection locked="0"/>
    </xf>
    <xf numFmtId="0" fontId="14" fillId="2" borderId="5" xfId="0" applyFont="1" applyFill="1" applyBorder="1" applyProtection="1">
      <protection locked="0"/>
    </xf>
    <xf numFmtId="0" fontId="12" fillId="0" borderId="0" xfId="0" applyFont="1" applyProtection="1">
      <protection locked="0"/>
    </xf>
    <xf numFmtId="49" fontId="16" fillId="0" borderId="1" xfId="0" applyNumberFormat="1" applyFont="1" applyBorder="1" applyProtection="1">
      <protection locked="0"/>
    </xf>
    <xf numFmtId="0" fontId="28" fillId="0" borderId="1" xfId="0" applyFont="1" applyBorder="1" applyProtection="1">
      <protection locked="0"/>
    </xf>
    <xf numFmtId="49" fontId="28" fillId="0" borderId="1" xfId="0" applyNumberFormat="1" applyFont="1" applyBorder="1" applyProtection="1">
      <protection locked="0"/>
    </xf>
    <xf numFmtId="0" fontId="13" fillId="0" borderId="1" xfId="0" applyFont="1" applyBorder="1" applyAlignment="1" applyProtection="1">
      <alignment wrapText="1"/>
      <protection locked="0"/>
    </xf>
    <xf numFmtId="0" fontId="17" fillId="0" borderId="24" xfId="0" applyFont="1" applyBorder="1" applyProtection="1">
      <protection locked="0"/>
    </xf>
    <xf numFmtId="49" fontId="16" fillId="0" borderId="2" xfId="0" applyNumberFormat="1" applyFont="1" applyBorder="1" applyProtection="1">
      <protection locked="0"/>
    </xf>
    <xf numFmtId="49" fontId="13" fillId="0" borderId="1" xfId="0" applyNumberFormat="1" applyFont="1" applyBorder="1" applyAlignment="1" applyProtection="1">
      <alignment horizontal="left"/>
      <protection locked="0"/>
    </xf>
    <xf numFmtId="0" fontId="13" fillId="0" borderId="0" xfId="0" applyFont="1" applyAlignment="1" applyProtection="1">
      <alignment wrapText="1"/>
      <protection locked="0"/>
    </xf>
    <xf numFmtId="0" fontId="17" fillId="0" borderId="10" xfId="0" applyFont="1" applyBorder="1"/>
    <xf numFmtId="0" fontId="17" fillId="0" borderId="21" xfId="0" applyFont="1" applyBorder="1"/>
    <xf numFmtId="0" fontId="17" fillId="0" borderId="22" xfId="0" applyFont="1" applyBorder="1"/>
    <xf numFmtId="0" fontId="17" fillId="0" borderId="23" xfId="0" applyFont="1" applyBorder="1"/>
    <xf numFmtId="0" fontId="16" fillId="0" borderId="37" xfId="0" applyFont="1" applyBorder="1"/>
    <xf numFmtId="1" fontId="16" fillId="0" borderId="42" xfId="0" applyNumberFormat="1" applyFont="1" applyBorder="1"/>
    <xf numFmtId="1" fontId="16" fillId="0" borderId="37" xfId="0" applyNumberFormat="1" applyFont="1" applyBorder="1"/>
    <xf numFmtId="1" fontId="16" fillId="0" borderId="58" xfId="0" applyNumberFormat="1" applyFont="1" applyBorder="1"/>
    <xf numFmtId="0" fontId="15" fillId="0" borderId="10" xfId="0" applyFont="1" applyBorder="1"/>
    <xf numFmtId="3" fontId="21" fillId="4" borderId="132" xfId="0" applyNumberFormat="1" applyFont="1" applyFill="1" applyBorder="1" applyAlignment="1">
      <alignment horizontal="right" vertical="center"/>
    </xf>
    <xf numFmtId="169" fontId="17" fillId="0" borderId="19" xfId="0" applyNumberFormat="1" applyFont="1" applyBorder="1" applyProtection="1">
      <protection locked="0"/>
    </xf>
    <xf numFmtId="169" fontId="12" fillId="0" borderId="0" xfId="0" applyNumberFormat="1" applyFont="1" applyProtection="1">
      <protection locked="0"/>
    </xf>
    <xf numFmtId="169" fontId="14" fillId="2" borderId="81" xfId="0" applyNumberFormat="1" applyFont="1" applyFill="1" applyBorder="1" applyProtection="1">
      <protection locked="0"/>
    </xf>
    <xf numFmtId="169" fontId="17" fillId="0" borderId="12" xfId="0" applyNumberFormat="1" applyFont="1" applyBorder="1" applyProtection="1">
      <protection locked="0"/>
    </xf>
    <xf numFmtId="169" fontId="17" fillId="0" borderId="7" xfId="0" applyNumberFormat="1" applyFont="1" applyBorder="1" applyProtection="1">
      <protection locked="0"/>
    </xf>
    <xf numFmtId="1" fontId="33" fillId="0" borderId="47" xfId="3" applyNumberFormat="1" applyFont="1" applyBorder="1"/>
    <xf numFmtId="0" fontId="33" fillId="5" borderId="45" xfId="3" applyFont="1" applyFill="1" applyBorder="1"/>
    <xf numFmtId="0" fontId="29" fillId="20" borderId="0" xfId="3" applyFill="1"/>
    <xf numFmtId="3" fontId="32" fillId="0" borderId="0" xfId="0" applyNumberFormat="1" applyFont="1"/>
    <xf numFmtId="3" fontId="9" fillId="0" borderId="91" xfId="0" applyNumberFormat="1" applyFont="1" applyBorder="1" applyAlignment="1">
      <alignment horizontal="right" vertical="center"/>
    </xf>
    <xf numFmtId="3" fontId="9" fillId="0" borderId="93" xfId="0" applyNumberFormat="1" applyFont="1" applyBorder="1" applyAlignment="1">
      <alignment horizontal="right" vertical="center"/>
    </xf>
    <xf numFmtId="3" fontId="29" fillId="0" borderId="49" xfId="3" applyNumberFormat="1" applyBorder="1"/>
    <xf numFmtId="0" fontId="9" fillId="0" borderId="18" xfId="0" applyFont="1" applyBorder="1"/>
    <xf numFmtId="0" fontId="22" fillId="4" borderId="75" xfId="0" applyFont="1" applyFill="1" applyBorder="1" applyAlignment="1">
      <alignment horizontal="center" vertical="center" wrapText="1"/>
    </xf>
    <xf numFmtId="0" fontId="22" fillId="12" borderId="75" xfId="0" applyFont="1" applyFill="1" applyBorder="1" applyAlignment="1">
      <alignment horizontal="center" vertical="center" wrapText="1"/>
    </xf>
    <xf numFmtId="0" fontId="22" fillId="0" borderId="102" xfId="0" applyFont="1" applyBorder="1" applyAlignment="1">
      <alignment horizontal="center" vertical="center" wrapText="1"/>
    </xf>
    <xf numFmtId="0" fontId="22" fillId="0" borderId="75" xfId="0" applyFont="1" applyBorder="1" applyAlignment="1">
      <alignment horizontal="center" vertical="center" wrapText="1"/>
    </xf>
    <xf numFmtId="3" fontId="21" fillId="0" borderId="134" xfId="0" applyNumberFormat="1" applyFont="1" applyBorder="1" applyAlignment="1">
      <alignment horizontal="right" vertical="center"/>
    </xf>
    <xf numFmtId="0" fontId="22" fillId="0" borderId="29" xfId="0" applyFont="1" applyBorder="1" applyAlignment="1">
      <alignment vertical="center"/>
    </xf>
    <xf numFmtId="0" fontId="22" fillId="0" borderId="75" xfId="0" applyFont="1" applyBorder="1" applyAlignment="1">
      <alignment horizontal="center"/>
    </xf>
    <xf numFmtId="17" fontId="27" fillId="0" borderId="31" xfId="0" applyNumberFormat="1" applyFont="1" applyBorder="1" applyAlignment="1">
      <alignment vertical="center"/>
    </xf>
    <xf numFmtId="0" fontId="21" fillId="0" borderId="31" xfId="0" applyFont="1" applyBorder="1" applyAlignment="1">
      <alignment horizontal="right" vertical="center"/>
    </xf>
    <xf numFmtId="17" fontId="27" fillId="0" borderId="109" xfId="0" applyNumberFormat="1" applyFont="1" applyBorder="1" applyAlignment="1">
      <alignment vertical="center"/>
    </xf>
    <xf numFmtId="0" fontId="21" fillId="0" borderId="109" xfId="0" applyFont="1" applyBorder="1" applyAlignment="1">
      <alignment horizontal="right" vertical="center"/>
    </xf>
    <xf numFmtId="0" fontId="21" fillId="0" borderId="106" xfId="0" applyFont="1" applyBorder="1" applyAlignment="1">
      <alignment horizontal="right" vertical="center"/>
    </xf>
    <xf numFmtId="0" fontId="21" fillId="0" borderId="30" xfId="0" applyFont="1" applyBorder="1" applyAlignment="1">
      <alignment horizontal="right" vertical="center"/>
    </xf>
    <xf numFmtId="0" fontId="21" fillId="0" borderId="99" xfId="0" applyFont="1" applyBorder="1" applyAlignment="1">
      <alignment horizontal="right" vertical="center"/>
    </xf>
    <xf numFmtId="0" fontId="21" fillId="0" borderId="58" xfId="0" applyFont="1" applyBorder="1" applyAlignment="1">
      <alignment horizontal="right" vertical="center"/>
    </xf>
    <xf numFmtId="0" fontId="21" fillId="0" borderId="0" xfId="0" applyFont="1" applyAlignment="1">
      <alignment horizontal="right" vertical="center"/>
    </xf>
    <xf numFmtId="0" fontId="21" fillId="0" borderId="74" xfId="0" applyFont="1" applyBorder="1" applyAlignment="1">
      <alignment horizontal="right" vertical="center"/>
    </xf>
    <xf numFmtId="0" fontId="21" fillId="0" borderId="63" xfId="0" applyFont="1" applyBorder="1" applyAlignment="1">
      <alignment horizontal="right" vertical="center"/>
    </xf>
    <xf numFmtId="0" fontId="0" fillId="0" borderId="63" xfId="0" applyBorder="1"/>
    <xf numFmtId="0" fontId="30" fillId="18" borderId="8" xfId="3" applyFont="1" applyFill="1" applyBorder="1"/>
    <xf numFmtId="0" fontId="29" fillId="21" borderId="8" xfId="3" applyFill="1" applyBorder="1"/>
    <xf numFmtId="0" fontId="9" fillId="0" borderId="127" xfId="0" applyFont="1" applyBorder="1"/>
    <xf numFmtId="0" fontId="12" fillId="19" borderId="18" xfId="0" applyFont="1" applyFill="1" applyBorder="1"/>
    <xf numFmtId="0" fontId="9" fillId="12" borderId="8" xfId="0" applyFont="1" applyFill="1" applyBorder="1"/>
    <xf numFmtId="0" fontId="0" fillId="23" borderId="8" xfId="0" applyFill="1" applyBorder="1"/>
    <xf numFmtId="0" fontId="9" fillId="23" borderId="8" xfId="0" applyFont="1" applyFill="1" applyBorder="1"/>
    <xf numFmtId="0" fontId="0" fillId="21" borderId="8" xfId="0" applyFill="1" applyBorder="1"/>
    <xf numFmtId="0" fontId="54" fillId="0" borderId="62" xfId="0" applyFont="1" applyBorder="1"/>
    <xf numFmtId="0" fontId="54" fillId="0" borderId="8" xfId="0" applyFont="1" applyBorder="1"/>
    <xf numFmtId="0" fontId="54" fillId="0" borderId="78" xfId="0" applyFont="1" applyBorder="1"/>
    <xf numFmtId="0" fontId="54" fillId="0" borderId="82" xfId="0" applyFont="1" applyBorder="1"/>
    <xf numFmtId="167" fontId="9" fillId="0" borderId="8" xfId="0" applyNumberFormat="1" applyFont="1" applyBorder="1"/>
    <xf numFmtId="1" fontId="0" fillId="23" borderId="8" xfId="0" applyNumberFormat="1" applyFill="1" applyBorder="1"/>
    <xf numFmtId="0" fontId="0" fillId="17" borderId="82" xfId="0" applyFill="1" applyBorder="1"/>
    <xf numFmtId="0" fontId="0" fillId="17" borderId="25" xfId="0" applyFill="1" applyBorder="1"/>
    <xf numFmtId="0" fontId="0" fillId="17" borderId="124" xfId="0" applyFill="1" applyBorder="1"/>
    <xf numFmtId="0" fontId="9" fillId="17" borderId="125" xfId="0" applyFont="1" applyFill="1" applyBorder="1"/>
    <xf numFmtId="0" fontId="0" fillId="17" borderId="125" xfId="0" applyFill="1" applyBorder="1"/>
    <xf numFmtId="0" fontId="0" fillId="17" borderId="135" xfId="0" applyFill="1" applyBorder="1"/>
    <xf numFmtId="0" fontId="0" fillId="0" borderId="137" xfId="0" applyBorder="1"/>
    <xf numFmtId="0" fontId="0" fillId="0" borderId="127" xfId="0" applyBorder="1"/>
    <xf numFmtId="167" fontId="0" fillId="0" borderId="128" xfId="0" applyNumberFormat="1" applyBorder="1"/>
    <xf numFmtId="0" fontId="0" fillId="0" borderId="76" xfId="0" applyBorder="1"/>
    <xf numFmtId="0" fontId="0" fillId="0" borderId="76" xfId="0" applyBorder="1" applyAlignment="1">
      <alignment horizontal="left"/>
    </xf>
    <xf numFmtId="0" fontId="0" fillId="0" borderId="127" xfId="0" applyBorder="1" applyAlignment="1">
      <alignment horizontal="left"/>
    </xf>
    <xf numFmtId="0" fontId="0" fillId="0" borderId="138" xfId="0" applyBorder="1" applyAlignment="1">
      <alignment horizontal="left"/>
    </xf>
    <xf numFmtId="167" fontId="0" fillId="0" borderId="139" xfId="0" applyNumberFormat="1" applyBorder="1"/>
    <xf numFmtId="0" fontId="0" fillId="0" borderId="140" xfId="0" applyBorder="1" applyAlignment="1">
      <alignment horizontal="left"/>
    </xf>
    <xf numFmtId="167" fontId="0" fillId="0" borderId="141" xfId="0" applyNumberFormat="1" applyBorder="1"/>
    <xf numFmtId="0" fontId="0" fillId="0" borderId="137" xfId="0" applyBorder="1" applyAlignment="1">
      <alignment horizontal="left"/>
    </xf>
    <xf numFmtId="0" fontId="9" fillId="0" borderId="138" xfId="0" applyFont="1" applyBorder="1" applyAlignment="1">
      <alignment horizontal="left"/>
    </xf>
    <xf numFmtId="0" fontId="9" fillId="0" borderId="127" xfId="0" applyFont="1" applyBorder="1" applyAlignment="1">
      <alignment horizontal="left"/>
    </xf>
    <xf numFmtId="167" fontId="9" fillId="0" borderId="128" xfId="0" applyNumberFormat="1" applyFont="1" applyBorder="1"/>
    <xf numFmtId="0" fontId="0" fillId="0" borderId="129" xfId="0" applyBorder="1"/>
    <xf numFmtId="1" fontId="0" fillId="22" borderId="8" xfId="0" applyNumberFormat="1" applyFill="1" applyBorder="1"/>
    <xf numFmtId="0" fontId="29" fillId="21" borderId="125" xfId="3" applyFill="1" applyBorder="1"/>
    <xf numFmtId="0" fontId="32" fillId="21" borderId="64" xfId="0" applyFont="1" applyFill="1" applyBorder="1" applyAlignment="1">
      <alignment vertical="center"/>
    </xf>
    <xf numFmtId="3" fontId="32" fillId="0" borderId="53" xfId="3" applyNumberFormat="1" applyFont="1" applyBorder="1"/>
    <xf numFmtId="0" fontId="29" fillId="18" borderId="130" xfId="3" applyFill="1" applyBorder="1"/>
    <xf numFmtId="0" fontId="29" fillId="0" borderId="142" xfId="3" applyBorder="1"/>
    <xf numFmtId="0" fontId="29" fillId="0" borderId="64" xfId="3" applyBorder="1" applyAlignment="1">
      <alignment wrapText="1"/>
    </xf>
    <xf numFmtId="0" fontId="52" fillId="21" borderId="125" xfId="0" applyFont="1" applyFill="1" applyBorder="1" applyAlignment="1">
      <alignment wrapText="1"/>
    </xf>
    <xf numFmtId="9" fontId="29" fillId="0" borderId="64" xfId="3" applyNumberFormat="1" applyBorder="1" applyAlignment="1">
      <alignment wrapText="1"/>
    </xf>
    <xf numFmtId="0" fontId="29" fillId="0" borderId="64" xfId="3" applyBorder="1"/>
    <xf numFmtId="0" fontId="29" fillId="0" borderId="17" xfId="3" applyBorder="1"/>
    <xf numFmtId="0" fontId="29" fillId="0" borderId="58" xfId="3" applyBorder="1" applyAlignment="1">
      <alignment wrapText="1"/>
    </xf>
    <xf numFmtId="0" fontId="32" fillId="22" borderId="110" xfId="0" applyFont="1" applyFill="1" applyBorder="1" applyAlignment="1">
      <alignment wrapText="1"/>
    </xf>
    <xf numFmtId="3" fontId="32" fillId="0" borderId="55" xfId="3" applyNumberFormat="1" applyFont="1" applyBorder="1"/>
    <xf numFmtId="9" fontId="29" fillId="0" borderId="58" xfId="3" applyNumberFormat="1" applyBorder="1" applyAlignment="1">
      <alignment wrapText="1"/>
    </xf>
    <xf numFmtId="0" fontId="29" fillId="0" borderId="58" xfId="3" applyBorder="1"/>
    <xf numFmtId="0" fontId="29" fillId="0" borderId="27" xfId="3" applyBorder="1"/>
    <xf numFmtId="0" fontId="31" fillId="0" borderId="29" xfId="3" applyFont="1" applyBorder="1" applyAlignment="1">
      <alignment wrapText="1"/>
    </xf>
    <xf numFmtId="9" fontId="31" fillId="0" borderId="29" xfId="3" applyNumberFormat="1" applyFont="1" applyBorder="1" applyAlignment="1">
      <alignment wrapText="1"/>
    </xf>
    <xf numFmtId="0" fontId="31" fillId="0" borderId="29" xfId="3" applyFont="1" applyBorder="1"/>
    <xf numFmtId="0" fontId="54" fillId="0" borderId="0" xfId="0" applyFont="1"/>
    <xf numFmtId="0" fontId="11" fillId="0" borderId="29" xfId="0" applyFont="1" applyBorder="1" applyAlignment="1">
      <alignment wrapText="1"/>
    </xf>
    <xf numFmtId="0" fontId="52" fillId="23" borderId="64" xfId="0" applyFont="1" applyFill="1" applyBorder="1" applyAlignment="1">
      <alignment wrapText="1"/>
    </xf>
    <xf numFmtId="0" fontId="32" fillId="23" borderId="58" xfId="0" applyFont="1" applyFill="1" applyBorder="1" applyAlignment="1">
      <alignment wrapText="1"/>
    </xf>
    <xf numFmtId="3" fontId="29" fillId="23" borderId="54" xfId="3" applyNumberFormat="1" applyFill="1" applyBorder="1"/>
    <xf numFmtId="3" fontId="0" fillId="0" borderId="58" xfId="0" applyNumberFormat="1" applyBorder="1"/>
    <xf numFmtId="3" fontId="0" fillId="0" borderId="103" xfId="0" applyNumberFormat="1" applyBorder="1"/>
    <xf numFmtId="3" fontId="0" fillId="4" borderId="102" xfId="0" applyNumberFormat="1" applyFill="1" applyBorder="1"/>
    <xf numFmtId="3" fontId="52" fillId="0" borderId="0" xfId="0" applyNumberFormat="1" applyFont="1"/>
    <xf numFmtId="0" fontId="51" fillId="19" borderId="8" xfId="0" applyFont="1" applyFill="1" applyBorder="1"/>
    <xf numFmtId="0" fontId="12" fillId="19" borderId="128" xfId="0" applyFont="1" applyFill="1" applyBorder="1"/>
    <xf numFmtId="0" fontId="44" fillId="0" borderId="7" xfId="0" applyFont="1" applyBorder="1" applyProtection="1">
      <protection locked="0"/>
    </xf>
    <xf numFmtId="169" fontId="44" fillId="0" borderId="7" xfId="0" applyNumberFormat="1" applyFont="1" applyBorder="1" applyProtection="1">
      <protection locked="0"/>
    </xf>
    <xf numFmtId="0" fontId="15" fillId="0" borderId="123" xfId="0" applyFont="1" applyBorder="1" applyProtection="1">
      <protection locked="0"/>
    </xf>
    <xf numFmtId="0" fontId="32" fillId="21" borderId="15" xfId="0" applyFont="1" applyFill="1" applyBorder="1"/>
    <xf numFmtId="0" fontId="32" fillId="21" borderId="8" xfId="0" applyFont="1" applyFill="1" applyBorder="1"/>
    <xf numFmtId="0" fontId="0" fillId="0" borderId="15" xfId="0" applyBorder="1"/>
    <xf numFmtId="0" fontId="40" fillId="18" borderId="8" xfId="0" applyFont="1" applyFill="1" applyBorder="1"/>
    <xf numFmtId="1" fontId="18" fillId="3" borderId="1" xfId="2" applyNumberFormat="1" applyBorder="1" applyProtection="1">
      <protection locked="0"/>
    </xf>
    <xf numFmtId="0" fontId="20" fillId="0" borderId="1" xfId="0" applyFont="1" applyBorder="1"/>
    <xf numFmtId="0" fontId="23" fillId="0" borderId="29" xfId="0" applyFont="1" applyBorder="1" applyAlignment="1">
      <alignment horizontal="center" vertical="center"/>
    </xf>
    <xf numFmtId="0" fontId="0" fillId="0" borderId="75" xfId="0" applyBorder="1"/>
    <xf numFmtId="0" fontId="9" fillId="0" borderId="124" xfId="0" applyFont="1" applyBorder="1"/>
    <xf numFmtId="0" fontId="9" fillId="0" borderId="125" xfId="0" applyFont="1" applyBorder="1"/>
    <xf numFmtId="0" fontId="0" fillId="0" borderId="125" xfId="0" applyBorder="1"/>
    <xf numFmtId="0" fontId="54" fillId="0" borderId="126" xfId="0" applyFont="1" applyBorder="1"/>
    <xf numFmtId="17" fontId="54" fillId="0" borderId="128" xfId="0" applyNumberFormat="1" applyFont="1" applyBorder="1" applyAlignment="1">
      <alignment wrapText="1"/>
    </xf>
    <xf numFmtId="1" fontId="54" fillId="22" borderId="8" xfId="0" applyNumberFormat="1" applyFont="1" applyFill="1" applyBorder="1"/>
    <xf numFmtId="0" fontId="54" fillId="0" borderId="143" xfId="0" applyFont="1" applyBorder="1"/>
    <xf numFmtId="17" fontId="54" fillId="0" borderId="81" xfId="0" applyNumberFormat="1" applyFont="1" applyBorder="1" applyAlignment="1">
      <alignment wrapText="1"/>
    </xf>
    <xf numFmtId="0" fontId="9" fillId="0" borderId="144" xfId="0" applyFont="1" applyBorder="1"/>
    <xf numFmtId="1" fontId="0" fillId="23" borderId="18" xfId="0" applyNumberFormat="1" applyFill="1" applyBorder="1"/>
    <xf numFmtId="1" fontId="0" fillId="22" borderId="18" xfId="0" applyNumberFormat="1" applyFill="1" applyBorder="1"/>
    <xf numFmtId="0" fontId="9" fillId="0" borderId="63" xfId="0" applyFont="1" applyBorder="1"/>
    <xf numFmtId="0" fontId="21" fillId="0" borderId="8" xfId="0" applyFont="1" applyBorder="1"/>
    <xf numFmtId="0" fontId="0" fillId="0" borderId="0" xfId="0" applyAlignment="1">
      <alignment wrapText="1"/>
    </xf>
    <xf numFmtId="0" fontId="21" fillId="12" borderId="8" xfId="0" applyFont="1" applyFill="1" applyBorder="1"/>
    <xf numFmtId="0" fontId="51" fillId="19" borderId="128" xfId="0" applyFont="1" applyFill="1" applyBorder="1"/>
    <xf numFmtId="0" fontId="12" fillId="12" borderId="42" xfId="0" applyFont="1" applyFill="1" applyBorder="1"/>
    <xf numFmtId="3" fontId="21" fillId="0" borderId="72" xfId="0" applyNumberFormat="1" applyFont="1" applyBorder="1" applyAlignment="1">
      <alignment horizontal="right" vertical="center"/>
    </xf>
    <xf numFmtId="3" fontId="21" fillId="0" borderId="74" xfId="0" applyNumberFormat="1" applyFont="1" applyBorder="1" applyAlignment="1">
      <alignment horizontal="right" vertical="center"/>
    </xf>
    <xf numFmtId="3" fontId="21" fillId="0" borderId="76" xfId="0" applyNumberFormat="1" applyFont="1" applyBorder="1" applyAlignment="1">
      <alignment horizontal="right" vertical="center"/>
    </xf>
    <xf numFmtId="3" fontId="21" fillId="4" borderId="133" xfId="0" applyNumberFormat="1" applyFont="1" applyFill="1" applyBorder="1" applyAlignment="1">
      <alignment horizontal="right" vertical="center"/>
    </xf>
    <xf numFmtId="3" fontId="21" fillId="4" borderId="92" xfId="0" applyNumberFormat="1" applyFont="1" applyFill="1" applyBorder="1" applyAlignment="1">
      <alignment horizontal="right" vertical="center"/>
    </xf>
    <xf numFmtId="0" fontId="34" fillId="21" borderId="8" xfId="3" applyFont="1" applyFill="1" applyBorder="1"/>
    <xf numFmtId="0" fontId="19" fillId="0" borderId="7" xfId="0" applyFont="1" applyBorder="1"/>
    <xf numFmtId="49" fontId="13" fillId="0" borderId="7" xfId="0" applyNumberFormat="1" applyFont="1" applyBorder="1" applyAlignment="1">
      <alignment horizontal="left"/>
    </xf>
    <xf numFmtId="49" fontId="13" fillId="0" borderId="14" xfId="0" applyNumberFormat="1" applyFont="1" applyBorder="1" applyAlignment="1">
      <alignment horizontal="left"/>
    </xf>
    <xf numFmtId="0" fontId="12" fillId="0" borderId="6" xfId="0" applyFont="1" applyBorder="1"/>
    <xf numFmtId="0" fontId="0" fillId="0" borderId="148" xfId="0" applyBorder="1"/>
    <xf numFmtId="0" fontId="0" fillId="0" borderId="149" xfId="0" applyBorder="1"/>
    <xf numFmtId="1" fontId="19" fillId="0" borderId="148" xfId="0" applyNumberFormat="1" applyFont="1" applyBorder="1"/>
    <xf numFmtId="0" fontId="0" fillId="0" borderId="150" xfId="0" applyBorder="1"/>
    <xf numFmtId="0" fontId="0" fillId="0" borderId="151" xfId="0" applyBorder="1"/>
    <xf numFmtId="0" fontId="0" fillId="0" borderId="152" xfId="0" applyBorder="1"/>
    <xf numFmtId="0" fontId="17" fillId="0" borderId="6" xfId="0" applyFont="1" applyBorder="1"/>
    <xf numFmtId="49" fontId="13" fillId="0" borderId="6" xfId="0" applyNumberFormat="1" applyFont="1" applyBorder="1"/>
    <xf numFmtId="0" fontId="0" fillId="0" borderId="153" xfId="0" applyBorder="1"/>
    <xf numFmtId="0" fontId="0" fillId="0" borderId="6" xfId="0" applyBorder="1"/>
    <xf numFmtId="0" fontId="0" fillId="0" borderId="154" xfId="0" applyBorder="1"/>
    <xf numFmtId="0" fontId="13" fillId="0" borderId="145" xfId="0" applyFont="1" applyBorder="1"/>
    <xf numFmtId="0" fontId="14" fillId="0" borderId="146" xfId="0" applyFont="1" applyBorder="1"/>
    <xf numFmtId="1" fontId="16" fillId="0" borderId="146" xfId="0" applyNumberFormat="1" applyFont="1" applyBorder="1"/>
    <xf numFmtId="0" fontId="17" fillId="0" borderId="146" xfId="0" applyFont="1" applyBorder="1"/>
    <xf numFmtId="49" fontId="13" fillId="0" borderId="146" xfId="0" applyNumberFormat="1" applyFont="1" applyBorder="1"/>
    <xf numFmtId="49" fontId="13" fillId="0" borderId="146" xfId="0" applyNumberFormat="1" applyFont="1" applyBorder="1" applyAlignment="1">
      <alignment horizontal="left"/>
    </xf>
    <xf numFmtId="0" fontId="13" fillId="0" borderId="146" xfId="0" applyFont="1" applyBorder="1"/>
    <xf numFmtId="49" fontId="13" fillId="0" borderId="24" xfId="0" applyNumberFormat="1" applyFont="1" applyBorder="1" applyAlignment="1">
      <alignment horizontal="left"/>
    </xf>
    <xf numFmtId="0" fontId="0" fillId="0" borderId="145" xfId="0" applyBorder="1"/>
    <xf numFmtId="0" fontId="0" fillId="0" borderId="146" xfId="0" applyBorder="1"/>
    <xf numFmtId="0" fontId="0" fillId="0" borderId="147" xfId="0" applyBorder="1"/>
    <xf numFmtId="0" fontId="13" fillId="0" borderId="148" xfId="0" applyFont="1" applyBorder="1"/>
    <xf numFmtId="0" fontId="13" fillId="0" borderId="150" xfId="0" applyFont="1" applyBorder="1"/>
    <xf numFmtId="0" fontId="28" fillId="0" borderId="151" xfId="0" applyFont="1" applyBorder="1"/>
    <xf numFmtId="0" fontId="17" fillId="0" borderId="151" xfId="0" applyFont="1" applyBorder="1"/>
    <xf numFmtId="49" fontId="13" fillId="0" borderId="151" xfId="0" applyNumberFormat="1" applyFont="1" applyBorder="1"/>
    <xf numFmtId="49" fontId="13" fillId="0" borderId="151" xfId="0" applyNumberFormat="1" applyFont="1" applyBorder="1" applyAlignment="1">
      <alignment horizontal="left"/>
    </xf>
    <xf numFmtId="0" fontId="13" fillId="0" borderId="151" xfId="0" applyFont="1" applyBorder="1"/>
    <xf numFmtId="49" fontId="13" fillId="0" borderId="155" xfId="0" applyNumberFormat="1" applyFont="1" applyBorder="1" applyAlignment="1">
      <alignment horizontal="left"/>
    </xf>
    <xf numFmtId="1" fontId="0" fillId="0" borderId="6" xfId="0" applyNumberFormat="1" applyBorder="1"/>
    <xf numFmtId="0" fontId="19" fillId="0" borderId="113" xfId="0" applyFont="1" applyBorder="1"/>
    <xf numFmtId="0" fontId="19" fillId="0" borderId="24" xfId="0" applyFont="1" applyBorder="1"/>
    <xf numFmtId="0" fontId="0" fillId="15" borderId="7" xfId="0" applyFill="1" applyBorder="1"/>
    <xf numFmtId="0" fontId="11" fillId="15" borderId="145" xfId="0" applyFont="1" applyFill="1" applyBorder="1" applyAlignment="1">
      <alignment wrapText="1"/>
    </xf>
    <xf numFmtId="0" fontId="11" fillId="15" borderId="146" xfId="0" applyFont="1" applyFill="1" applyBorder="1" applyAlignment="1">
      <alignment wrapText="1"/>
    </xf>
    <xf numFmtId="0" fontId="11" fillId="15" borderId="147" xfId="0" applyFont="1" applyFill="1" applyBorder="1" applyAlignment="1">
      <alignment wrapText="1"/>
    </xf>
    <xf numFmtId="49" fontId="13" fillId="0" borderId="11" xfId="0" applyNumberFormat="1" applyFont="1" applyBorder="1"/>
    <xf numFmtId="0" fontId="0" fillId="0" borderId="60" xfId="0" applyBorder="1"/>
    <xf numFmtId="0" fontId="0" fillId="0" borderId="11" xfId="0" applyBorder="1"/>
    <xf numFmtId="0" fontId="0" fillId="0" borderId="61" xfId="0" applyBorder="1"/>
    <xf numFmtId="0" fontId="41" fillId="0" borderId="1" xfId="0" applyFont="1" applyBorder="1"/>
    <xf numFmtId="0" fontId="43" fillId="0" borderId="151" xfId="0" applyFont="1" applyBorder="1"/>
    <xf numFmtId="0" fontId="32" fillId="21" borderId="125" xfId="0" applyFont="1" applyFill="1" applyBorder="1" applyAlignment="1">
      <alignment wrapText="1"/>
    </xf>
    <xf numFmtId="0" fontId="33" fillId="21" borderId="8" xfId="3" applyFont="1" applyFill="1" applyBorder="1"/>
    <xf numFmtId="0" fontId="0" fillId="5" borderId="0" xfId="0" applyFill="1"/>
    <xf numFmtId="0" fontId="57" fillId="5" borderId="0" xfId="0" applyFont="1" applyFill="1"/>
    <xf numFmtId="0" fontId="9" fillId="5" borderId="0" xfId="0" applyFont="1" applyFill="1"/>
    <xf numFmtId="1" fontId="0" fillId="23" borderId="0" xfId="0" applyNumberFormat="1" applyFill="1"/>
    <xf numFmtId="1" fontId="0" fillId="22" borderId="0" xfId="0" applyNumberFormat="1" applyFill="1"/>
    <xf numFmtId="2" fontId="9" fillId="0" borderId="0" xfId="0" applyNumberFormat="1" applyFont="1" applyAlignment="1">
      <alignment horizontal="left"/>
    </xf>
    <xf numFmtId="0" fontId="32" fillId="0" borderId="0" xfId="5"/>
    <xf numFmtId="0" fontId="32" fillId="0" borderId="8" xfId="9" applyFont="1" applyBorder="1"/>
    <xf numFmtId="0" fontId="32" fillId="0" borderId="0" xfId="6" applyFont="1"/>
    <xf numFmtId="0" fontId="32" fillId="0" borderId="15" xfId="9" applyFont="1" applyBorder="1"/>
    <xf numFmtId="2" fontId="21" fillId="0" borderId="0" xfId="0" applyNumberFormat="1" applyFont="1" applyAlignment="1">
      <alignment horizontal="left"/>
    </xf>
    <xf numFmtId="0" fontId="21" fillId="0" borderId="62" xfId="0" applyFont="1" applyBorder="1"/>
    <xf numFmtId="0" fontId="21" fillId="0" borderId="0" xfId="0" applyFont="1"/>
    <xf numFmtId="0" fontId="27" fillId="0" borderId="71" xfId="5" applyFont="1" applyBorder="1"/>
    <xf numFmtId="0" fontId="27" fillId="0" borderId="62" xfId="9" applyFont="1" applyBorder="1"/>
    <xf numFmtId="0" fontId="21" fillId="0" borderId="71" xfId="0" applyFont="1" applyBorder="1"/>
    <xf numFmtId="0" fontId="32" fillId="0" borderId="8" xfId="5" applyBorder="1"/>
    <xf numFmtId="0" fontId="32" fillId="0" borderId="0" xfId="5" applyAlignment="1">
      <alignment horizontal="center"/>
    </xf>
    <xf numFmtId="0" fontId="32" fillId="0" borderId="8" xfId="9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63" xfId="0" applyBorder="1" applyAlignment="1">
      <alignment horizontal="center"/>
    </xf>
    <xf numFmtId="4" fontId="0" fillId="0" borderId="0" xfId="0" applyNumberFormat="1"/>
    <xf numFmtId="0" fontId="58" fillId="18" borderId="8" xfId="0" applyFont="1" applyFill="1" applyBorder="1"/>
    <xf numFmtId="0" fontId="56" fillId="0" borderId="151" xfId="0" applyFont="1" applyBorder="1"/>
    <xf numFmtId="0" fontId="32" fillId="18" borderId="8" xfId="3" applyFont="1" applyFill="1" applyBorder="1"/>
    <xf numFmtId="0" fontId="0" fillId="24" borderId="0" xfId="0" applyFill="1"/>
    <xf numFmtId="49" fontId="29" fillId="0" borderId="0" xfId="3" applyNumberFormat="1"/>
    <xf numFmtId="2" fontId="9" fillId="5" borderId="0" xfId="0" applyNumberFormat="1" applyFont="1" applyFill="1" applyAlignment="1">
      <alignment horizontal="left"/>
    </xf>
    <xf numFmtId="0" fontId="9" fillId="5" borderId="62" xfId="0" applyFont="1" applyFill="1" applyBorder="1"/>
    <xf numFmtId="0" fontId="32" fillId="5" borderId="0" xfId="6" applyFont="1" applyFill="1"/>
    <xf numFmtId="0" fontId="54" fillId="5" borderId="82" xfId="0" applyFont="1" applyFill="1" applyBorder="1"/>
    <xf numFmtId="0" fontId="32" fillId="5" borderId="8" xfId="9" applyFont="1" applyFill="1" applyBorder="1"/>
    <xf numFmtId="0" fontId="0" fillId="5" borderId="18" xfId="0" applyFill="1" applyBorder="1"/>
    <xf numFmtId="0" fontId="59" fillId="0" borderId="1" xfId="0" applyFont="1" applyBorder="1" applyProtection="1">
      <protection locked="0"/>
    </xf>
    <xf numFmtId="0" fontId="59" fillId="0" borderId="1" xfId="0" applyFont="1" applyBorder="1" applyAlignment="1" applyProtection="1">
      <alignment wrapText="1"/>
      <protection locked="0"/>
    </xf>
    <xf numFmtId="0" fontId="34" fillId="21" borderId="125" xfId="0" applyFont="1" applyFill="1" applyBorder="1" applyAlignment="1">
      <alignment wrapText="1"/>
    </xf>
    <xf numFmtId="0" fontId="34" fillId="21" borderId="125" xfId="3" applyFont="1" applyFill="1" applyBorder="1"/>
    <xf numFmtId="17" fontId="27" fillId="0" borderId="121" xfId="0" applyNumberFormat="1" applyFont="1" applyBorder="1" applyAlignment="1">
      <alignment vertical="center"/>
    </xf>
    <xf numFmtId="3" fontId="21" fillId="0" borderId="156" xfId="0" applyNumberFormat="1" applyFont="1" applyBorder="1" applyAlignment="1">
      <alignment horizontal="right" vertical="center"/>
    </xf>
    <xf numFmtId="3" fontId="21" fillId="0" borderId="64" xfId="0" applyNumberFormat="1" applyFont="1" applyBorder="1" applyAlignment="1">
      <alignment horizontal="right" vertical="center"/>
    </xf>
    <xf numFmtId="17" fontId="27" fillId="0" borderId="33" xfId="0" applyNumberFormat="1" applyFont="1" applyBorder="1" applyAlignment="1">
      <alignment vertical="center"/>
    </xf>
    <xf numFmtId="3" fontId="21" fillId="4" borderId="106" xfId="0" applyNumberFormat="1" applyFont="1" applyFill="1" applyBorder="1" applyAlignment="1">
      <alignment horizontal="right" vertical="center"/>
    </xf>
    <xf numFmtId="3" fontId="21" fillId="4" borderId="134" xfId="0" applyNumberFormat="1" applyFont="1" applyFill="1" applyBorder="1" applyAlignment="1">
      <alignment horizontal="right" vertical="center"/>
    </xf>
    <xf numFmtId="3" fontId="21" fillId="4" borderId="157" xfId="0" applyNumberFormat="1" applyFont="1" applyFill="1" applyBorder="1" applyAlignment="1">
      <alignment horizontal="right" vertical="center"/>
    </xf>
    <xf numFmtId="0" fontId="33" fillId="18" borderId="8" xfId="3" applyFont="1" applyFill="1" applyBorder="1"/>
    <xf numFmtId="0" fontId="22" fillId="0" borderId="0" xfId="0" applyFont="1" applyAlignment="1">
      <alignment vertical="center"/>
    </xf>
    <xf numFmtId="8" fontId="0" fillId="0" borderId="0" xfId="0" applyNumberFormat="1"/>
    <xf numFmtId="0" fontId="47" fillId="0" borderId="0" xfId="0" applyFont="1"/>
    <xf numFmtId="0" fontId="19" fillId="0" borderId="0" xfId="0" applyFont="1"/>
    <xf numFmtId="0" fontId="20" fillId="0" borderId="0" xfId="0" applyFont="1"/>
    <xf numFmtId="0" fontId="0" fillId="20" borderId="0" xfId="0" applyFill="1"/>
    <xf numFmtId="0" fontId="0" fillId="24" borderId="72" xfId="0" applyFill="1" applyBorder="1"/>
    <xf numFmtId="0" fontId="9" fillId="24" borderId="64" xfId="0" applyFont="1" applyFill="1" applyBorder="1"/>
    <xf numFmtId="0" fontId="8" fillId="24" borderId="64" xfId="11" applyFill="1" applyBorder="1"/>
    <xf numFmtId="0" fontId="8" fillId="24" borderId="74" xfId="11" applyFill="1" applyBorder="1"/>
    <xf numFmtId="0" fontId="0" fillId="24" borderId="76" xfId="0" applyFill="1" applyBorder="1"/>
    <xf numFmtId="0" fontId="9" fillId="24" borderId="0" xfId="0" applyFont="1" applyFill="1"/>
    <xf numFmtId="170" fontId="0" fillId="24" borderId="0" xfId="0" applyNumberFormat="1" applyFill="1"/>
    <xf numFmtId="168" fontId="0" fillId="24" borderId="63" xfId="0" applyNumberFormat="1" applyFill="1" applyBorder="1"/>
    <xf numFmtId="0" fontId="0" fillId="24" borderId="17" xfId="0" applyFill="1" applyBorder="1"/>
    <xf numFmtId="0" fontId="0" fillId="24" borderId="58" xfId="0" applyFill="1" applyBorder="1"/>
    <xf numFmtId="0" fontId="9" fillId="24" borderId="58" xfId="0" applyFont="1" applyFill="1" applyBorder="1"/>
    <xf numFmtId="168" fontId="0" fillId="24" borderId="75" xfId="0" applyNumberFormat="1" applyFill="1" applyBorder="1"/>
    <xf numFmtId="0" fontId="0" fillId="24" borderId="64" xfId="0" applyFill="1" applyBorder="1"/>
    <xf numFmtId="168" fontId="0" fillId="24" borderId="74" xfId="0" applyNumberFormat="1" applyFill="1" applyBorder="1"/>
    <xf numFmtId="0" fontId="9" fillId="24" borderId="17" xfId="0" applyFont="1" applyFill="1" applyBorder="1"/>
    <xf numFmtId="0" fontId="8" fillId="24" borderId="58" xfId="11" applyFill="1" applyBorder="1"/>
    <xf numFmtId="170" fontId="9" fillId="24" borderId="58" xfId="0" applyNumberFormat="1" applyFont="1" applyFill="1" applyBorder="1"/>
    <xf numFmtId="0" fontId="0" fillId="24" borderId="74" xfId="0" applyFill="1" applyBorder="1"/>
    <xf numFmtId="0" fontId="9" fillId="24" borderId="76" xfId="0" applyFont="1" applyFill="1" applyBorder="1"/>
    <xf numFmtId="0" fontId="9" fillId="24" borderId="63" xfId="0" applyFont="1" applyFill="1" applyBorder="1"/>
    <xf numFmtId="0" fontId="9" fillId="19" borderId="0" xfId="0" applyFont="1" applyFill="1"/>
    <xf numFmtId="0" fontId="9" fillId="19" borderId="76" xfId="0" applyFont="1" applyFill="1" applyBorder="1"/>
    <xf numFmtId="0" fontId="9" fillId="19" borderId="161" xfId="0" applyFont="1" applyFill="1" applyBorder="1"/>
    <xf numFmtId="17" fontId="0" fillId="0" borderId="0" xfId="0" applyNumberFormat="1" applyAlignment="1">
      <alignment horizontal="left"/>
    </xf>
    <xf numFmtId="0" fontId="9" fillId="0" borderId="0" xfId="0" applyFont="1" applyAlignment="1">
      <alignment horizontal="right"/>
    </xf>
    <xf numFmtId="0" fontId="0" fillId="0" borderId="70" xfId="0" applyBorder="1"/>
    <xf numFmtId="0" fontId="0" fillId="0" borderId="102" xfId="0" applyBorder="1"/>
    <xf numFmtId="0" fontId="0" fillId="0" borderId="26" xfId="0" applyBorder="1" applyAlignment="1">
      <alignment wrapText="1"/>
    </xf>
    <xf numFmtId="0" fontId="19" fillId="19" borderId="72" xfId="0" applyFont="1" applyFill="1" applyBorder="1"/>
    <xf numFmtId="0" fontId="19" fillId="19" borderId="64" xfId="0" applyFont="1" applyFill="1" applyBorder="1"/>
    <xf numFmtId="0" fontId="19" fillId="19" borderId="74" xfId="0" applyFont="1" applyFill="1" applyBorder="1"/>
    <xf numFmtId="0" fontId="19" fillId="19" borderId="0" xfId="0" applyFont="1" applyFill="1"/>
    <xf numFmtId="0" fontId="19" fillId="19" borderId="17" xfId="0" applyFont="1" applyFill="1" applyBorder="1"/>
    <xf numFmtId="0" fontId="19" fillId="19" borderId="58" xfId="0" applyFont="1" applyFill="1" applyBorder="1"/>
    <xf numFmtId="168" fontId="19" fillId="19" borderId="75" xfId="0" applyNumberFormat="1" applyFont="1" applyFill="1" applyBorder="1"/>
    <xf numFmtId="0" fontId="19" fillId="19" borderId="158" xfId="0" applyFont="1" applyFill="1" applyBorder="1"/>
    <xf numFmtId="14" fontId="19" fillId="19" borderId="159" xfId="0" applyNumberFormat="1" applyFont="1" applyFill="1" applyBorder="1"/>
    <xf numFmtId="0" fontId="19" fillId="19" borderId="159" xfId="0" applyFont="1" applyFill="1" applyBorder="1"/>
    <xf numFmtId="14" fontId="19" fillId="19" borderId="160" xfId="0" applyNumberFormat="1" applyFont="1" applyFill="1" applyBorder="1"/>
    <xf numFmtId="0" fontId="19" fillId="19" borderId="161" xfId="0" applyFont="1" applyFill="1" applyBorder="1"/>
    <xf numFmtId="8" fontId="19" fillId="0" borderId="0" xfId="0" applyNumberFormat="1" applyFont="1"/>
    <xf numFmtId="0" fontId="19" fillId="19" borderId="163" xfId="0" applyFont="1" applyFill="1" applyBorder="1"/>
    <xf numFmtId="0" fontId="19" fillId="19" borderId="164" xfId="0" applyFont="1" applyFill="1" applyBorder="1"/>
    <xf numFmtId="0" fontId="9" fillId="19" borderId="162" xfId="0" applyFont="1" applyFill="1" applyBorder="1"/>
    <xf numFmtId="0" fontId="9" fillId="19" borderId="63" xfId="0" applyFont="1" applyFill="1" applyBorder="1"/>
    <xf numFmtId="168" fontId="19" fillId="19" borderId="75" xfId="0" applyNumberFormat="1" applyFont="1" applyFill="1" applyBorder="1" applyAlignment="1">
      <alignment horizontal="right"/>
    </xf>
    <xf numFmtId="168" fontId="19" fillId="19" borderId="74" xfId="0" applyNumberFormat="1" applyFont="1" applyFill="1" applyBorder="1" applyAlignment="1">
      <alignment horizontal="right"/>
    </xf>
    <xf numFmtId="0" fontId="9" fillId="5" borderId="8" xfId="0" applyFont="1" applyFill="1" applyBorder="1"/>
    <xf numFmtId="0" fontId="19" fillId="0" borderId="0" xfId="0" applyFont="1" applyAlignment="1">
      <alignment horizontal="right"/>
    </xf>
    <xf numFmtId="17" fontId="19" fillId="0" borderId="0" xfId="0" applyNumberFormat="1" applyFont="1" applyAlignment="1">
      <alignment horizontal="left"/>
    </xf>
    <xf numFmtId="168" fontId="19" fillId="19" borderId="162" xfId="0" applyNumberFormat="1" applyFont="1" applyFill="1" applyBorder="1"/>
    <xf numFmtId="168" fontId="19" fillId="19" borderId="165" xfId="0" applyNumberFormat="1" applyFont="1" applyFill="1" applyBorder="1"/>
    <xf numFmtId="17" fontId="9" fillId="0" borderId="0" xfId="0" applyNumberFormat="1" applyFont="1" applyAlignment="1">
      <alignment horizontal="left"/>
    </xf>
    <xf numFmtId="0" fontId="51" fillId="5" borderId="8" xfId="0" applyFont="1" applyFill="1" applyBorder="1"/>
    <xf numFmtId="0" fontId="41" fillId="5" borderId="8" xfId="0" applyFont="1" applyFill="1" applyBorder="1"/>
    <xf numFmtId="0" fontId="48" fillId="5" borderId="8" xfId="0" applyFont="1" applyFill="1" applyBorder="1"/>
    <xf numFmtId="0" fontId="12" fillId="5" borderId="15" xfId="0" applyFont="1" applyFill="1" applyBorder="1"/>
    <xf numFmtId="0" fontId="38" fillId="5" borderId="8" xfId="0" applyFont="1" applyFill="1" applyBorder="1"/>
    <xf numFmtId="0" fontId="12" fillId="5" borderId="59" xfId="0" applyFont="1" applyFill="1" applyBorder="1"/>
    <xf numFmtId="0" fontId="19" fillId="19" borderId="76" xfId="0" applyFont="1" applyFill="1" applyBorder="1"/>
    <xf numFmtId="168" fontId="19" fillId="19" borderId="63" xfId="0" applyNumberFormat="1" applyFont="1" applyFill="1" applyBorder="1" applyAlignment="1">
      <alignment horizontal="right"/>
    </xf>
    <xf numFmtId="167" fontId="19" fillId="19" borderId="58" xfId="0" applyNumberFormat="1" applyFont="1" applyFill="1" applyBorder="1"/>
    <xf numFmtId="167" fontId="19" fillId="19" borderId="64" xfId="0" applyNumberFormat="1" applyFont="1" applyFill="1" applyBorder="1"/>
    <xf numFmtId="171" fontId="19" fillId="19" borderId="0" xfId="0" applyNumberFormat="1" applyFont="1" applyFill="1"/>
    <xf numFmtId="0" fontId="0" fillId="0" borderId="164" xfId="0" applyBorder="1"/>
    <xf numFmtId="0" fontId="9" fillId="0" borderId="164" xfId="0" applyFont="1" applyBorder="1"/>
    <xf numFmtId="0" fontId="0" fillId="19" borderId="161" xfId="0" applyFill="1" applyBorder="1"/>
    <xf numFmtId="0" fontId="0" fillId="19" borderId="0" xfId="0" applyFill="1"/>
    <xf numFmtId="0" fontId="9" fillId="0" borderId="164" xfId="0" applyFont="1" applyBorder="1" applyAlignment="1">
      <alignment horizontal="right"/>
    </xf>
    <xf numFmtId="167" fontId="0" fillId="19" borderId="0" xfId="0" applyNumberFormat="1" applyFill="1"/>
    <xf numFmtId="167" fontId="0" fillId="19" borderId="164" xfId="0" applyNumberFormat="1" applyFill="1" applyBorder="1"/>
    <xf numFmtId="0" fontId="0" fillId="0" borderId="161" xfId="0" applyBorder="1"/>
    <xf numFmtId="0" fontId="9" fillId="19" borderId="163" xfId="0" applyFont="1" applyFill="1" applyBorder="1"/>
    <xf numFmtId="0" fontId="32" fillId="5" borderId="0" xfId="5" applyFill="1"/>
    <xf numFmtId="172" fontId="0" fillId="19" borderId="0" xfId="0" applyNumberFormat="1" applyFill="1"/>
    <xf numFmtId="172" fontId="0" fillId="19" borderId="164" xfId="0" applyNumberFormat="1" applyFill="1" applyBorder="1"/>
    <xf numFmtId="168" fontId="0" fillId="19" borderId="0" xfId="0" applyNumberFormat="1" applyFill="1"/>
    <xf numFmtId="168" fontId="0" fillId="19" borderId="164" xfId="0" applyNumberFormat="1" applyFill="1" applyBorder="1"/>
    <xf numFmtId="17" fontId="0" fillId="0" borderId="164" xfId="0" applyNumberFormat="1" applyBorder="1" applyAlignment="1">
      <alignment horizontal="left"/>
    </xf>
    <xf numFmtId="170" fontId="9" fillId="24" borderId="0" xfId="0" applyNumberFormat="1" applyFont="1" applyFill="1"/>
    <xf numFmtId="44" fontId="31" fillId="0" borderId="16" xfId="4" applyFont="1" applyBorder="1"/>
    <xf numFmtId="44" fontId="31" fillId="0" borderId="166" xfId="4" applyFont="1" applyBorder="1"/>
    <xf numFmtId="44" fontId="29" fillId="0" borderId="28" xfId="3" applyNumberFormat="1" applyBorder="1"/>
    <xf numFmtId="0" fontId="31" fillId="0" borderId="77" xfId="3" applyFont="1" applyBorder="1"/>
    <xf numFmtId="0" fontId="29" fillId="0" borderId="78" xfId="3" applyBorder="1"/>
    <xf numFmtId="173" fontId="29" fillId="0" borderId="78" xfId="3" applyNumberFormat="1" applyBorder="1"/>
    <xf numFmtId="173" fontId="29" fillId="0" borderId="15" xfId="3" applyNumberFormat="1" applyBorder="1"/>
    <xf numFmtId="0" fontId="40" fillId="5" borderId="167" xfId="3" applyFont="1" applyFill="1" applyBorder="1"/>
    <xf numFmtId="0" fontId="29" fillId="0" borderId="167" xfId="3" applyBorder="1"/>
    <xf numFmtId="0" fontId="30" fillId="0" borderId="167" xfId="3" applyFont="1" applyBorder="1"/>
    <xf numFmtId="0" fontId="29" fillId="7" borderId="167" xfId="3" applyFill="1" applyBorder="1"/>
    <xf numFmtId="0" fontId="30" fillId="5" borderId="167" xfId="3" applyFont="1" applyFill="1" applyBorder="1"/>
    <xf numFmtId="1" fontId="29" fillId="0" borderId="167" xfId="3" applyNumberFormat="1" applyBorder="1"/>
    <xf numFmtId="9" fontId="29" fillId="12" borderId="167" xfId="3" applyNumberFormat="1" applyFill="1" applyBorder="1"/>
    <xf numFmtId="0" fontId="30" fillId="7" borderId="167" xfId="3" applyFont="1" applyFill="1" applyBorder="1"/>
    <xf numFmtId="168" fontId="29" fillId="0" borderId="58" xfId="3" applyNumberFormat="1" applyBorder="1"/>
    <xf numFmtId="0" fontId="33" fillId="0" borderId="167" xfId="3" applyFont="1" applyBorder="1"/>
    <xf numFmtId="1" fontId="33" fillId="7" borderId="167" xfId="3" applyNumberFormat="1" applyFont="1" applyFill="1" applyBorder="1"/>
    <xf numFmtId="9" fontId="29" fillId="10" borderId="167" xfId="3" applyNumberFormat="1" applyFill="1" applyBorder="1"/>
    <xf numFmtId="0" fontId="29" fillId="10" borderId="167" xfId="3" applyFill="1" applyBorder="1"/>
    <xf numFmtId="44" fontId="30" fillId="10" borderId="167" xfId="3" applyNumberFormat="1" applyFont="1" applyFill="1" applyBorder="1"/>
    <xf numFmtId="0" fontId="11" fillId="0" borderId="36" xfId="0" applyFont="1" applyBorder="1" applyAlignment="1">
      <alignment wrapText="1"/>
    </xf>
    <xf numFmtId="0" fontId="11" fillId="0" borderId="168" xfId="0" applyFont="1" applyBorder="1" applyAlignment="1">
      <alignment wrapText="1"/>
    </xf>
    <xf numFmtId="0" fontId="11" fillId="0" borderId="53" xfId="0" applyFont="1" applyBorder="1" applyAlignment="1">
      <alignment wrapText="1"/>
    </xf>
    <xf numFmtId="0" fontId="11" fillId="0" borderId="16" xfId="0" applyFont="1" applyBorder="1" applyAlignment="1">
      <alignment wrapText="1"/>
    </xf>
    <xf numFmtId="0" fontId="0" fillId="24" borderId="102" xfId="0" applyFill="1" applyBorder="1"/>
    <xf numFmtId="0" fontId="0" fillId="24" borderId="70" xfId="0" applyFill="1" applyBorder="1"/>
    <xf numFmtId="0" fontId="29" fillId="0" borderId="169" xfId="3" applyBorder="1"/>
    <xf numFmtId="0" fontId="29" fillId="0" borderId="170" xfId="3" applyBorder="1"/>
    <xf numFmtId="0" fontId="29" fillId="0" borderId="171" xfId="3" applyBorder="1"/>
    <xf numFmtId="0" fontId="29" fillId="0" borderId="22" xfId="3" applyBorder="1"/>
    <xf numFmtId="0" fontId="29" fillId="0" borderId="10" xfId="3" applyBorder="1"/>
    <xf numFmtId="0" fontId="29" fillId="0" borderId="19" xfId="3" applyBorder="1"/>
    <xf numFmtId="0" fontId="29" fillId="0" borderId="21" xfId="3" applyBorder="1"/>
    <xf numFmtId="0" fontId="29" fillId="0" borderId="168" xfId="3" applyBorder="1"/>
    <xf numFmtId="0" fontId="29" fillId="0" borderId="9" xfId="3" applyBorder="1"/>
    <xf numFmtId="0" fontId="29" fillId="0" borderId="172" xfId="3" applyBorder="1"/>
    <xf numFmtId="0" fontId="31" fillId="0" borderId="67" xfId="3" applyFont="1" applyBorder="1"/>
    <xf numFmtId="1" fontId="31" fillId="0" borderId="41" xfId="3" applyNumberFormat="1" applyFont="1" applyBorder="1"/>
    <xf numFmtId="0" fontId="29" fillId="0" borderId="173" xfId="3" applyBorder="1"/>
    <xf numFmtId="0" fontId="29" fillId="0" borderId="174" xfId="3" applyBorder="1"/>
    <xf numFmtId="164" fontId="29" fillId="0" borderId="167" xfId="3" applyNumberFormat="1" applyBorder="1"/>
    <xf numFmtId="164" fontId="29" fillId="7" borderId="167" xfId="3" applyNumberFormat="1" applyFill="1" applyBorder="1"/>
    <xf numFmtId="164" fontId="29" fillId="6" borderId="167" xfId="3" applyNumberFormat="1" applyFill="1" applyBorder="1"/>
    <xf numFmtId="0" fontId="29" fillId="0" borderId="175" xfId="3" applyBorder="1"/>
    <xf numFmtId="1" fontId="29" fillId="0" borderId="57" xfId="3" applyNumberFormat="1" applyBorder="1"/>
    <xf numFmtId="0" fontId="31" fillId="0" borderId="64" xfId="3" applyFont="1" applyBorder="1"/>
    <xf numFmtId="0" fontId="31" fillId="0" borderId="64" xfId="3" applyFont="1" applyBorder="1" applyAlignment="1">
      <alignment wrapText="1"/>
    </xf>
    <xf numFmtId="0" fontId="31" fillId="0" borderId="74" xfId="3" applyFont="1" applyBorder="1" applyAlignment="1">
      <alignment wrapText="1"/>
    </xf>
    <xf numFmtId="1" fontId="31" fillId="0" borderId="17" xfId="3" applyNumberFormat="1" applyFont="1" applyBorder="1"/>
    <xf numFmtId="1" fontId="31" fillId="0" borderId="58" xfId="3" applyNumberFormat="1" applyFont="1" applyBorder="1"/>
    <xf numFmtId="169" fontId="31" fillId="0" borderId="58" xfId="3" applyNumberFormat="1" applyFont="1" applyBorder="1"/>
    <xf numFmtId="1" fontId="29" fillId="0" borderId="58" xfId="3" applyNumberFormat="1" applyBorder="1"/>
    <xf numFmtId="1" fontId="29" fillId="0" borderId="29" xfId="3" applyNumberFormat="1" applyBorder="1"/>
    <xf numFmtId="166" fontId="29" fillId="0" borderId="75" xfId="3" applyNumberFormat="1" applyBorder="1"/>
    <xf numFmtId="174" fontId="29" fillId="0" borderId="75" xfId="3" applyNumberFormat="1" applyBorder="1"/>
    <xf numFmtId="9" fontId="29" fillId="0" borderId="58" xfId="3" applyNumberFormat="1" applyBorder="1"/>
    <xf numFmtId="168" fontId="29" fillId="0" borderId="177" xfId="3" applyNumberFormat="1" applyBorder="1"/>
    <xf numFmtId="0" fontId="31" fillId="0" borderId="174" xfId="3" applyFont="1" applyBorder="1"/>
    <xf numFmtId="164" fontId="29" fillId="5" borderId="167" xfId="3" applyNumberFormat="1" applyFill="1" applyBorder="1"/>
    <xf numFmtId="164" fontId="32" fillId="13" borderId="167" xfId="3" applyNumberFormat="1" applyFont="1" applyFill="1" applyBorder="1"/>
    <xf numFmtId="0" fontId="29" fillId="0" borderId="176" xfId="3" applyBorder="1"/>
    <xf numFmtId="0" fontId="31" fillId="0" borderId="58" xfId="3" applyFont="1" applyBorder="1"/>
    <xf numFmtId="1" fontId="40" fillId="0" borderId="58" xfId="3" applyNumberFormat="1" applyFont="1" applyBorder="1"/>
    <xf numFmtId="1" fontId="29" fillId="0" borderId="17" xfId="3" applyNumberFormat="1" applyBorder="1"/>
    <xf numFmtId="9" fontId="29" fillId="0" borderId="75" xfId="3" applyNumberFormat="1" applyBorder="1"/>
    <xf numFmtId="175" fontId="29" fillId="0" borderId="75" xfId="3" applyNumberFormat="1" applyBorder="1"/>
    <xf numFmtId="0" fontId="11" fillId="0" borderId="64" xfId="0" applyFont="1" applyBorder="1" applyAlignment="1">
      <alignment wrapText="1"/>
    </xf>
    <xf numFmtId="0" fontId="31" fillId="0" borderId="171" xfId="3" applyFont="1" applyBorder="1"/>
    <xf numFmtId="0" fontId="29" fillId="0" borderId="178" xfId="3" applyBorder="1"/>
    <xf numFmtId="0" fontId="29" fillId="0" borderId="179" xfId="3" applyBorder="1"/>
    <xf numFmtId="0" fontId="29" fillId="0" borderId="180" xfId="3" applyBorder="1"/>
    <xf numFmtId="0" fontId="29" fillId="0" borderId="181" xfId="3" applyBorder="1"/>
    <xf numFmtId="0" fontId="29" fillId="0" borderId="182" xfId="3" applyBorder="1"/>
    <xf numFmtId="0" fontId="31" fillId="0" borderId="72" xfId="3" applyFont="1" applyBorder="1"/>
    <xf numFmtId="3" fontId="31" fillId="0" borderId="17" xfId="3" applyNumberFormat="1" applyFont="1" applyBorder="1"/>
    <xf numFmtId="168" fontId="31" fillId="0" borderId="75" xfId="3" applyNumberFormat="1" applyFont="1" applyBorder="1"/>
    <xf numFmtId="0" fontId="29" fillId="8" borderId="76" xfId="3" applyFill="1" applyBorder="1"/>
    <xf numFmtId="0" fontId="29" fillId="8" borderId="63" xfId="3" applyFill="1" applyBorder="1"/>
    <xf numFmtId="1" fontId="29" fillId="0" borderId="183" xfId="3" applyNumberFormat="1" applyBorder="1"/>
    <xf numFmtId="164" fontId="29" fillId="0" borderId="184" xfId="3" applyNumberFormat="1" applyBorder="1"/>
    <xf numFmtId="0" fontId="31" fillId="0" borderId="74" xfId="3" applyFont="1" applyBorder="1"/>
    <xf numFmtId="0" fontId="29" fillId="0" borderId="185" xfId="3" applyBorder="1"/>
    <xf numFmtId="0" fontId="29" fillId="0" borderId="186" xfId="3" applyBorder="1"/>
    <xf numFmtId="0" fontId="29" fillId="0" borderId="187" xfId="3" applyBorder="1"/>
    <xf numFmtId="0" fontId="29" fillId="0" borderId="188" xfId="3" applyBorder="1"/>
    <xf numFmtId="1" fontId="31" fillId="0" borderId="189" xfId="3" applyNumberFormat="1" applyFont="1" applyBorder="1"/>
    <xf numFmtId="164" fontId="31" fillId="0" borderId="190" xfId="3" applyNumberFormat="1" applyFont="1" applyBorder="1"/>
    <xf numFmtId="0" fontId="29" fillId="0" borderId="76" xfId="3" applyBorder="1"/>
    <xf numFmtId="0" fontId="29" fillId="0" borderId="63" xfId="3" applyBorder="1"/>
    <xf numFmtId="0" fontId="31" fillId="0" borderId="191" xfId="3" applyFont="1" applyBorder="1"/>
    <xf numFmtId="164" fontId="31" fillId="0" borderId="192" xfId="3" applyNumberFormat="1" applyFont="1" applyBorder="1"/>
    <xf numFmtId="0" fontId="29" fillId="0" borderId="191" xfId="3" applyBorder="1"/>
    <xf numFmtId="0" fontId="29" fillId="0" borderId="192" xfId="3" applyBorder="1"/>
    <xf numFmtId="0" fontId="29" fillId="0" borderId="189" xfId="3" applyBorder="1"/>
    <xf numFmtId="0" fontId="29" fillId="0" borderId="190" xfId="3" applyBorder="1"/>
    <xf numFmtId="0" fontId="29" fillId="20" borderId="76" xfId="3" applyFill="1" applyBorder="1"/>
    <xf numFmtId="0" fontId="29" fillId="20" borderId="63" xfId="3" applyFill="1" applyBorder="1"/>
    <xf numFmtId="0" fontId="29" fillId="8" borderId="65" xfId="3" applyFill="1" applyBorder="1"/>
    <xf numFmtId="1" fontId="31" fillId="0" borderId="0" xfId="3" applyNumberFormat="1" applyFont="1"/>
    <xf numFmtId="164" fontId="31" fillId="0" borderId="0" xfId="3" applyNumberFormat="1" applyFont="1"/>
    <xf numFmtId="164" fontId="29" fillId="0" borderId="19" xfId="3" applyNumberFormat="1" applyBorder="1"/>
    <xf numFmtId="164" fontId="29" fillId="0" borderId="7" xfId="3" applyNumberFormat="1" applyBorder="1"/>
    <xf numFmtId="1" fontId="29" fillId="0" borderId="19" xfId="3" applyNumberFormat="1" applyBorder="1"/>
    <xf numFmtId="0" fontId="29" fillId="8" borderId="113" xfId="3" applyFill="1" applyBorder="1"/>
    <xf numFmtId="0" fontId="16" fillId="0" borderId="19" xfId="0" applyFont="1" applyBorder="1"/>
    <xf numFmtId="0" fontId="7" fillId="0" borderId="0" xfId="12"/>
    <xf numFmtId="0" fontId="61" fillId="25" borderId="0" xfId="12" applyFont="1" applyFill="1"/>
    <xf numFmtId="0" fontId="33" fillId="18" borderId="130" xfId="3" applyFont="1" applyFill="1" applyBorder="1"/>
    <xf numFmtId="0" fontId="31" fillId="0" borderId="16" xfId="4" applyNumberFormat="1" applyFont="1" applyBorder="1"/>
    <xf numFmtId="0" fontId="55" fillId="27" borderId="0" xfId="0" applyFont="1" applyFill="1" applyAlignment="1">
      <alignment wrapText="1"/>
    </xf>
    <xf numFmtId="4" fontId="55" fillId="27" borderId="0" xfId="0" applyNumberFormat="1" applyFont="1" applyFill="1" applyAlignment="1">
      <alignment horizontal="right" wrapText="1"/>
    </xf>
    <xf numFmtId="0" fontId="55" fillId="28" borderId="0" xfId="0" applyFont="1" applyFill="1" applyAlignment="1">
      <alignment wrapText="1"/>
    </xf>
    <xf numFmtId="4" fontId="55" fillId="28" borderId="0" xfId="0" applyNumberFormat="1" applyFont="1" applyFill="1" applyAlignment="1">
      <alignment horizontal="right" wrapText="1"/>
    </xf>
    <xf numFmtId="0" fontId="62" fillId="26" borderId="0" xfId="0" applyFont="1" applyFill="1" applyAlignment="1">
      <alignment horizontal="left" wrapText="1"/>
    </xf>
    <xf numFmtId="17" fontId="62" fillId="26" borderId="0" xfId="0" applyNumberFormat="1" applyFont="1" applyFill="1" applyAlignment="1">
      <alignment horizontal="right" wrapText="1"/>
    </xf>
    <xf numFmtId="17" fontId="62" fillId="26" borderId="0" xfId="0" applyNumberFormat="1" applyFont="1" applyFill="1" applyAlignment="1">
      <alignment horizontal="left" wrapText="1"/>
    </xf>
    <xf numFmtId="0" fontId="63" fillId="28" borderId="0" xfId="0" applyFont="1" applyFill="1" applyAlignment="1">
      <alignment wrapText="1"/>
    </xf>
    <xf numFmtId="4" fontId="63" fillId="28" borderId="0" xfId="0" applyNumberFormat="1" applyFont="1" applyFill="1" applyAlignment="1">
      <alignment horizontal="right" wrapText="1"/>
    </xf>
    <xf numFmtId="0" fontId="63" fillId="27" borderId="0" xfId="0" applyFont="1" applyFill="1" applyAlignment="1">
      <alignment wrapText="1"/>
    </xf>
    <xf numFmtId="4" fontId="63" fillId="27" borderId="0" xfId="0" applyNumberFormat="1" applyFont="1" applyFill="1" applyAlignment="1">
      <alignment horizontal="right" wrapText="1"/>
    </xf>
    <xf numFmtId="0" fontId="63" fillId="29" borderId="0" xfId="0" applyFont="1" applyFill="1" applyAlignment="1">
      <alignment wrapText="1"/>
    </xf>
    <xf numFmtId="4" fontId="63" fillId="29" borderId="0" xfId="0" applyNumberFormat="1" applyFont="1" applyFill="1" applyAlignment="1">
      <alignment horizontal="right" wrapText="1"/>
    </xf>
    <xf numFmtId="0" fontId="55" fillId="30" borderId="0" xfId="0" applyFont="1" applyFill="1" applyAlignment="1">
      <alignment wrapText="1"/>
    </xf>
    <xf numFmtId="4" fontId="55" fillId="30" borderId="0" xfId="0" applyNumberFormat="1" applyFont="1" applyFill="1" applyAlignment="1">
      <alignment horizontal="right" wrapText="1"/>
    </xf>
    <xf numFmtId="3" fontId="55" fillId="30" borderId="0" xfId="0" applyNumberFormat="1" applyFont="1" applyFill="1" applyAlignment="1">
      <alignment wrapText="1"/>
    </xf>
    <xf numFmtId="0" fontId="55" fillId="15" borderId="0" xfId="0" applyFont="1" applyFill="1" applyAlignment="1">
      <alignment wrapText="1"/>
    </xf>
    <xf numFmtId="4" fontId="55" fillId="15" borderId="0" xfId="0" applyNumberFormat="1" applyFont="1" applyFill="1" applyAlignment="1">
      <alignment horizontal="right" wrapText="1"/>
    </xf>
    <xf numFmtId="49" fontId="21" fillId="15" borderId="0" xfId="0" applyNumberFormat="1" applyFont="1" applyFill="1" applyAlignment="1">
      <alignment wrapText="1"/>
    </xf>
    <xf numFmtId="0" fontId="21" fillId="15" borderId="0" xfId="0" applyFont="1" applyFill="1" applyAlignment="1">
      <alignment wrapText="1"/>
    </xf>
    <xf numFmtId="49" fontId="21" fillId="30" borderId="0" xfId="0" applyNumberFormat="1" applyFont="1" applyFill="1" applyAlignment="1">
      <alignment wrapText="1"/>
    </xf>
    <xf numFmtId="1" fontId="21" fillId="30" borderId="0" xfId="0" applyNumberFormat="1" applyFont="1" applyFill="1" applyAlignment="1">
      <alignment wrapText="1"/>
    </xf>
    <xf numFmtId="0" fontId="21" fillId="30" borderId="0" xfId="0" applyFont="1" applyFill="1" applyAlignment="1">
      <alignment wrapText="1"/>
    </xf>
    <xf numFmtId="49" fontId="21" fillId="29" borderId="0" xfId="0" applyNumberFormat="1" applyFont="1" applyFill="1" applyAlignment="1">
      <alignment wrapText="1"/>
    </xf>
    <xf numFmtId="1" fontId="9" fillId="29" borderId="0" xfId="0" applyNumberFormat="1" applyFont="1" applyFill="1"/>
    <xf numFmtId="0" fontId="9" fillId="30" borderId="0" xfId="0" applyFont="1" applyFill="1"/>
    <xf numFmtId="0" fontId="9" fillId="30" borderId="0" xfId="0" applyFont="1" applyFill="1" applyProtection="1">
      <protection locked="0"/>
    </xf>
    <xf numFmtId="49" fontId="62" fillId="26" borderId="0" xfId="13" applyNumberFormat="1" applyFont="1" applyFill="1" applyAlignment="1">
      <alignment horizontal="left" wrapText="1"/>
    </xf>
    <xf numFmtId="0" fontId="55" fillId="27" borderId="0" xfId="13" applyFont="1" applyFill="1" applyAlignment="1">
      <alignment wrapText="1"/>
    </xf>
    <xf numFmtId="4" fontId="55" fillId="27" borderId="0" xfId="13" applyNumberFormat="1" applyFont="1" applyFill="1" applyAlignment="1">
      <alignment horizontal="right" wrapText="1"/>
    </xf>
    <xf numFmtId="0" fontId="55" fillId="28" borderId="0" xfId="13" applyFont="1" applyFill="1" applyAlignment="1">
      <alignment wrapText="1"/>
    </xf>
    <xf numFmtId="4" fontId="55" fillId="28" borderId="0" xfId="13" applyNumberFormat="1" applyFont="1" applyFill="1" applyAlignment="1">
      <alignment horizontal="right" wrapText="1"/>
    </xf>
    <xf numFmtId="0" fontId="63" fillId="27" borderId="0" xfId="13" applyFont="1" applyFill="1" applyAlignment="1">
      <alignment wrapText="1"/>
    </xf>
    <xf numFmtId="4" fontId="63" fillId="27" borderId="0" xfId="13" applyNumberFormat="1" applyFont="1" applyFill="1" applyAlignment="1">
      <alignment horizontal="right" wrapText="1"/>
    </xf>
    <xf numFmtId="0" fontId="63" fillId="28" borderId="0" xfId="13" applyFont="1" applyFill="1" applyAlignment="1">
      <alignment wrapText="1"/>
    </xf>
    <xf numFmtId="4" fontId="63" fillId="28" borderId="0" xfId="13" applyNumberFormat="1" applyFont="1" applyFill="1" applyAlignment="1">
      <alignment horizontal="right" wrapText="1"/>
    </xf>
    <xf numFmtId="0" fontId="9" fillId="0" borderId="72" xfId="0" applyFont="1" applyBorder="1"/>
    <xf numFmtId="0" fontId="9" fillId="0" borderId="64" xfId="0" applyFont="1" applyBorder="1"/>
    <xf numFmtId="0" fontId="9" fillId="0" borderId="74" xfId="0" applyFont="1" applyBorder="1"/>
    <xf numFmtId="0" fontId="9" fillId="0" borderId="76" xfId="0" applyFont="1" applyBorder="1"/>
    <xf numFmtId="17" fontId="9" fillId="0" borderId="0" xfId="0" applyNumberFormat="1" applyFont="1"/>
    <xf numFmtId="0" fontId="64" fillId="26" borderId="0" xfId="0" applyFont="1" applyFill="1"/>
    <xf numFmtId="0" fontId="54" fillId="0" borderId="79" xfId="0" applyFont="1" applyBorder="1"/>
    <xf numFmtId="167" fontId="54" fillId="0" borderId="8" xfId="0" applyNumberFormat="1" applyFont="1" applyBorder="1"/>
    <xf numFmtId="1" fontId="9" fillId="0" borderId="80" xfId="0" applyNumberFormat="1" applyFont="1" applyBorder="1"/>
    <xf numFmtId="1" fontId="54" fillId="0" borderId="0" xfId="0" applyNumberFormat="1" applyFont="1"/>
    <xf numFmtId="1" fontId="0" fillId="0" borderId="80" xfId="0" applyNumberFormat="1" applyBorder="1"/>
    <xf numFmtId="1" fontId="54" fillId="0" borderId="79" xfId="0" applyNumberFormat="1" applyFont="1" applyBorder="1"/>
    <xf numFmtId="0" fontId="54" fillId="17" borderId="15" xfId="0" applyFont="1" applyFill="1" applyBorder="1"/>
    <xf numFmtId="0" fontId="54" fillId="17" borderId="77" xfId="0" applyFont="1" applyFill="1" applyBorder="1"/>
    <xf numFmtId="0" fontId="54" fillId="0" borderId="25" xfId="0" applyFont="1" applyBorder="1"/>
    <xf numFmtId="0" fontId="54" fillId="0" borderId="18" xfId="0" applyFont="1" applyBorder="1"/>
    <xf numFmtId="0" fontId="54" fillId="0" borderId="80" xfId="0" applyFont="1" applyBorder="1"/>
    <xf numFmtId="0" fontId="65" fillId="0" borderId="1" xfId="0" applyFont="1" applyBorder="1" applyProtection="1">
      <protection locked="0"/>
    </xf>
    <xf numFmtId="0" fontId="66" fillId="0" borderId="2" xfId="0" applyFont="1" applyBorder="1" applyProtection="1">
      <protection locked="0"/>
    </xf>
    <xf numFmtId="0" fontId="54" fillId="0" borderId="122" xfId="0" applyFont="1" applyBorder="1" applyAlignment="1">
      <alignment wrapText="1"/>
    </xf>
    <xf numFmtId="0" fontId="54" fillId="0" borderId="74" xfId="0" applyFont="1" applyBorder="1" applyAlignment="1">
      <alignment wrapText="1"/>
    </xf>
    <xf numFmtId="0" fontId="54" fillId="5" borderId="122" xfId="0" applyFont="1" applyFill="1" applyBorder="1" applyAlignment="1">
      <alignment wrapText="1"/>
    </xf>
    <xf numFmtId="0" fontId="65" fillId="0" borderId="36" xfId="0" applyFont="1" applyBorder="1" applyProtection="1">
      <protection locked="0"/>
    </xf>
    <xf numFmtId="0" fontId="65" fillId="0" borderId="37" xfId="0" applyFont="1" applyBorder="1" applyProtection="1">
      <protection locked="0"/>
    </xf>
    <xf numFmtId="0" fontId="16" fillId="0" borderId="22" xfId="0" applyFont="1" applyBorder="1"/>
    <xf numFmtId="49" fontId="66" fillId="0" borderId="37" xfId="0" applyNumberFormat="1" applyFont="1" applyBorder="1" applyAlignment="1">
      <alignment horizontal="left"/>
    </xf>
    <xf numFmtId="0" fontId="67" fillId="5" borderId="37" xfId="0" applyFont="1" applyFill="1" applyBorder="1" applyAlignment="1">
      <alignment horizontal="left"/>
    </xf>
    <xf numFmtId="0" fontId="9" fillId="0" borderId="22" xfId="0" applyFont="1" applyBorder="1"/>
    <xf numFmtId="0" fontId="9" fillId="0" borderId="53" xfId="0" applyFont="1" applyBorder="1"/>
    <xf numFmtId="0" fontId="66" fillId="0" borderId="37" xfId="0" applyFont="1" applyBorder="1"/>
    <xf numFmtId="0" fontId="9" fillId="5" borderId="22" xfId="0" applyFont="1" applyFill="1" applyBorder="1"/>
    <xf numFmtId="0" fontId="65" fillId="0" borderId="39" xfId="0" applyFont="1" applyBorder="1" applyProtection="1">
      <protection locked="0"/>
    </xf>
    <xf numFmtId="169" fontId="16" fillId="0" borderId="10" xfId="0" applyNumberFormat="1" applyFont="1" applyBorder="1"/>
    <xf numFmtId="49" fontId="66" fillId="0" borderId="1" xfId="0" applyNumberFormat="1" applyFont="1" applyBorder="1" applyAlignment="1">
      <alignment horizontal="left"/>
    </xf>
    <xf numFmtId="0" fontId="67" fillId="5" borderId="1" xfId="0" applyFont="1" applyFill="1" applyBorder="1" applyAlignment="1">
      <alignment horizontal="left"/>
    </xf>
    <xf numFmtId="0" fontId="9" fillId="0" borderId="19" xfId="0" applyFont="1" applyBorder="1"/>
    <xf numFmtId="0" fontId="9" fillId="0" borderId="54" xfId="0" applyFont="1" applyBorder="1"/>
    <xf numFmtId="0" fontId="66" fillId="0" borderId="1" xfId="0" applyFont="1" applyBorder="1"/>
    <xf numFmtId="0" fontId="9" fillId="5" borderId="19" xfId="0" applyFont="1" applyFill="1" applyBorder="1"/>
    <xf numFmtId="169" fontId="16" fillId="0" borderId="19" xfId="0" applyNumberFormat="1" applyFont="1" applyBorder="1"/>
    <xf numFmtId="0" fontId="66" fillId="0" borderId="1" xfId="0" applyFont="1" applyBorder="1" applyAlignment="1">
      <alignment horizontal="left"/>
    </xf>
    <xf numFmtId="0" fontId="50" fillId="19" borderId="0" xfId="0" applyFont="1" applyFill="1"/>
    <xf numFmtId="0" fontId="41" fillId="0" borderId="0" xfId="0" applyFont="1"/>
    <xf numFmtId="0" fontId="43" fillId="19" borderId="0" xfId="0" applyFont="1" applyFill="1"/>
    <xf numFmtId="0" fontId="50" fillId="5" borderId="0" xfId="0" applyFont="1" applyFill="1"/>
    <xf numFmtId="49" fontId="65" fillId="0" borderId="1" xfId="0" applyNumberFormat="1" applyFont="1" applyBorder="1" applyAlignment="1">
      <alignment horizontal="left"/>
    </xf>
    <xf numFmtId="0" fontId="43" fillId="19" borderId="19" xfId="0" applyFont="1" applyFill="1" applyBorder="1"/>
    <xf numFmtId="0" fontId="50" fillId="19" borderId="19" xfId="0" applyFont="1" applyFill="1" applyBorder="1"/>
    <xf numFmtId="0" fontId="50" fillId="5" borderId="19" xfId="0" applyFont="1" applyFill="1" applyBorder="1"/>
    <xf numFmtId="0" fontId="9" fillId="0" borderId="40" xfId="0" applyFont="1" applyBorder="1"/>
    <xf numFmtId="0" fontId="16" fillId="0" borderId="21" xfId="0" applyFont="1" applyBorder="1"/>
    <xf numFmtId="0" fontId="50" fillId="19" borderId="7" xfId="0" applyFont="1" applyFill="1" applyBorder="1"/>
    <xf numFmtId="0" fontId="50" fillId="5" borderId="7" xfId="0" applyFont="1" applyFill="1" applyBorder="1"/>
    <xf numFmtId="0" fontId="65" fillId="0" borderId="41" xfId="0" applyFont="1" applyBorder="1" applyProtection="1">
      <protection locked="0"/>
    </xf>
    <xf numFmtId="0" fontId="65" fillId="0" borderId="42" xfId="0" applyFont="1" applyBorder="1" applyProtection="1">
      <protection locked="0"/>
    </xf>
    <xf numFmtId="0" fontId="16" fillId="0" borderId="23" xfId="0" applyFont="1" applyBorder="1"/>
    <xf numFmtId="49" fontId="66" fillId="0" borderId="42" xfId="0" applyNumberFormat="1" applyFont="1" applyBorder="1" applyAlignment="1">
      <alignment horizontal="left"/>
    </xf>
    <xf numFmtId="0" fontId="66" fillId="0" borderId="42" xfId="0" applyFont="1" applyBorder="1" applyAlignment="1">
      <alignment horizontal="left"/>
    </xf>
    <xf numFmtId="0" fontId="9" fillId="0" borderId="43" xfId="0" applyFont="1" applyBorder="1"/>
    <xf numFmtId="0" fontId="66" fillId="0" borderId="42" xfId="0" applyFont="1" applyBorder="1"/>
    <xf numFmtId="0" fontId="9" fillId="0" borderId="38" xfId="0" applyFont="1" applyBorder="1"/>
    <xf numFmtId="169" fontId="16" fillId="0" borderId="1" xfId="0" applyNumberFormat="1" applyFont="1" applyBorder="1"/>
    <xf numFmtId="0" fontId="9" fillId="0" borderId="7" xfId="0" applyFont="1" applyBorder="1"/>
    <xf numFmtId="0" fontId="43" fillId="19" borderId="7" xfId="0" applyFont="1" applyFill="1" applyBorder="1"/>
    <xf numFmtId="0" fontId="16" fillId="0" borderId="42" xfId="0" applyFont="1" applyBorder="1"/>
    <xf numFmtId="169" fontId="16" fillId="0" borderId="42" xfId="0" applyNumberFormat="1" applyFont="1" applyBorder="1"/>
    <xf numFmtId="0" fontId="9" fillId="0" borderId="111" xfId="0" applyFont="1" applyBorder="1"/>
    <xf numFmtId="0" fontId="9" fillId="5" borderId="111" xfId="0" applyFont="1" applyFill="1" applyBorder="1"/>
    <xf numFmtId="0" fontId="16" fillId="0" borderId="64" xfId="0" applyFont="1" applyBorder="1"/>
    <xf numFmtId="0" fontId="50" fillId="19" borderId="22" xfId="0" applyFont="1" applyFill="1" applyBorder="1"/>
    <xf numFmtId="0" fontId="43" fillId="19" borderId="22" xfId="0" applyFont="1" applyFill="1" applyBorder="1"/>
    <xf numFmtId="0" fontId="43" fillId="5" borderId="22" xfId="0" applyFont="1" applyFill="1" applyBorder="1"/>
    <xf numFmtId="0" fontId="66" fillId="19" borderId="0" xfId="0" applyFont="1" applyFill="1"/>
    <xf numFmtId="0" fontId="50" fillId="19" borderId="112" xfId="0" applyFont="1" applyFill="1" applyBorder="1"/>
    <xf numFmtId="0" fontId="50" fillId="5" borderId="112" xfId="0" applyFont="1" applyFill="1" applyBorder="1"/>
    <xf numFmtId="0" fontId="43" fillId="5" borderId="7" xfId="0" applyFont="1" applyFill="1" applyBorder="1"/>
    <xf numFmtId="0" fontId="9" fillId="19" borderId="7" xfId="0" applyFont="1" applyFill="1" applyBorder="1"/>
    <xf numFmtId="0" fontId="16" fillId="0" borderId="58" xfId="0" applyFont="1" applyBorder="1"/>
    <xf numFmtId="0" fontId="65" fillId="0" borderId="72" xfId="0" applyFont="1" applyBorder="1" applyProtection="1">
      <protection locked="0"/>
    </xf>
    <xf numFmtId="0" fontId="65" fillId="0" borderId="64" xfId="0" applyFont="1" applyBorder="1" applyProtection="1">
      <protection locked="0"/>
    </xf>
    <xf numFmtId="49" fontId="66" fillId="0" borderId="64" xfId="0" applyNumberFormat="1" applyFont="1" applyBorder="1" applyAlignment="1">
      <alignment horizontal="left"/>
    </xf>
    <xf numFmtId="0" fontId="66" fillId="0" borderId="64" xfId="0" applyFont="1" applyBorder="1" applyAlignment="1">
      <alignment horizontal="left"/>
    </xf>
    <xf numFmtId="0" fontId="66" fillId="0" borderId="64" xfId="0" applyFont="1" applyBorder="1"/>
    <xf numFmtId="0" fontId="65" fillId="0" borderId="17" xfId="0" applyFont="1" applyBorder="1" applyProtection="1">
      <protection locked="0"/>
    </xf>
    <xf numFmtId="0" fontId="65" fillId="0" borderId="58" xfId="0" applyFont="1" applyBorder="1" applyProtection="1">
      <protection locked="0"/>
    </xf>
    <xf numFmtId="169" fontId="16" fillId="0" borderId="58" xfId="0" applyNumberFormat="1" applyFont="1" applyBorder="1"/>
    <xf numFmtId="49" fontId="66" fillId="0" borderId="58" xfId="0" applyNumberFormat="1" applyFont="1" applyBorder="1" applyAlignment="1">
      <alignment horizontal="left"/>
    </xf>
    <xf numFmtId="0" fontId="66" fillId="0" borderId="58" xfId="0" applyFont="1" applyBorder="1" applyAlignment="1">
      <alignment horizontal="left"/>
    </xf>
    <xf numFmtId="0" fontId="9" fillId="0" borderId="75" xfId="0" applyFont="1" applyBorder="1"/>
    <xf numFmtId="0" fontId="66" fillId="0" borderId="58" xfId="0" applyFont="1" applyBorder="1"/>
    <xf numFmtId="0" fontId="9" fillId="19" borderId="64" xfId="0" applyFont="1" applyFill="1" applyBorder="1"/>
    <xf numFmtId="0" fontId="50" fillId="19" borderId="73" xfId="0" applyFont="1" applyFill="1" applyBorder="1"/>
    <xf numFmtId="0" fontId="68" fillId="5" borderId="0" xfId="0" applyFont="1" applyFill="1"/>
    <xf numFmtId="0" fontId="50" fillId="19" borderId="64" xfId="0" applyFont="1" applyFill="1" applyBorder="1"/>
    <xf numFmtId="49" fontId="22" fillId="29" borderId="0" xfId="0" applyNumberFormat="1" applyFont="1" applyFill="1" applyAlignment="1">
      <alignment wrapText="1"/>
    </xf>
    <xf numFmtId="1" fontId="54" fillId="29" borderId="0" xfId="0" applyNumberFormat="1" applyFont="1" applyFill="1"/>
    <xf numFmtId="0" fontId="54" fillId="29" borderId="0" xfId="0" applyFont="1" applyFill="1" applyProtection="1">
      <protection locked="0"/>
    </xf>
    <xf numFmtId="0" fontId="54" fillId="29" borderId="0" xfId="0" applyFont="1" applyFill="1"/>
    <xf numFmtId="0" fontId="54" fillId="30" borderId="0" xfId="0" applyFont="1" applyFill="1" applyProtection="1">
      <protection locked="0"/>
    </xf>
    <xf numFmtId="1" fontId="9" fillId="30" borderId="0" xfId="0" applyNumberFormat="1" applyFont="1" applyFill="1"/>
    <xf numFmtId="0" fontId="41" fillId="30" borderId="0" xfId="0" applyFont="1" applyFill="1"/>
    <xf numFmtId="0" fontId="54" fillId="30" borderId="0" xfId="0" applyFont="1" applyFill="1"/>
    <xf numFmtId="1" fontId="54" fillId="30" borderId="0" xfId="0" applyNumberFormat="1" applyFont="1" applyFill="1"/>
    <xf numFmtId="3" fontId="21" fillId="30" borderId="0" xfId="0" applyNumberFormat="1" applyFont="1" applyFill="1" applyAlignment="1">
      <alignment horizontal="right"/>
    </xf>
    <xf numFmtId="3" fontId="21" fillId="15" borderId="0" xfId="0" applyNumberFormat="1" applyFont="1" applyFill="1" applyAlignment="1">
      <alignment horizontal="right"/>
    </xf>
    <xf numFmtId="1" fontId="41" fillId="29" borderId="0" xfId="0" applyNumberFormat="1" applyFont="1" applyFill="1"/>
    <xf numFmtId="1" fontId="55" fillId="27" borderId="0" xfId="13" applyNumberFormat="1" applyFont="1" applyFill="1" applyAlignment="1">
      <alignment wrapText="1"/>
    </xf>
    <xf numFmtId="1" fontId="55" fillId="28" borderId="0" xfId="13" applyNumberFormat="1" applyFont="1" applyFill="1" applyAlignment="1">
      <alignment wrapText="1"/>
    </xf>
    <xf numFmtId="1" fontId="63" fillId="27" borderId="0" xfId="13" applyNumberFormat="1" applyFont="1" applyFill="1" applyAlignment="1">
      <alignment wrapText="1"/>
    </xf>
    <xf numFmtId="1" fontId="63" fillId="28" borderId="0" xfId="13" applyNumberFormat="1" applyFont="1" applyFill="1" applyAlignment="1">
      <alignment wrapText="1"/>
    </xf>
    <xf numFmtId="1" fontId="55" fillId="27" borderId="0" xfId="13" applyNumberFormat="1" applyFont="1" applyFill="1" applyAlignment="1">
      <alignment horizontal="right" wrapText="1"/>
    </xf>
    <xf numFmtId="1" fontId="55" fillId="28" borderId="0" xfId="13" applyNumberFormat="1" applyFont="1" applyFill="1" applyAlignment="1">
      <alignment horizontal="right" wrapText="1"/>
    </xf>
    <xf numFmtId="1" fontId="63" fillId="27" borderId="0" xfId="13" applyNumberFormat="1" applyFont="1" applyFill="1" applyAlignment="1">
      <alignment horizontal="right" wrapText="1"/>
    </xf>
    <xf numFmtId="1" fontId="63" fillId="28" borderId="0" xfId="13" applyNumberFormat="1" applyFont="1" applyFill="1" applyAlignment="1">
      <alignment horizontal="right" wrapText="1"/>
    </xf>
    <xf numFmtId="0" fontId="62" fillId="31" borderId="193" xfId="0" applyFont="1" applyFill="1" applyBorder="1"/>
    <xf numFmtId="0" fontId="62" fillId="31" borderId="194" xfId="0" applyFont="1" applyFill="1" applyBorder="1"/>
    <xf numFmtId="0" fontId="62" fillId="31" borderId="195" xfId="0" applyFont="1" applyFill="1" applyBorder="1"/>
    <xf numFmtId="1" fontId="60" fillId="27" borderId="0" xfId="13" applyNumberFormat="1" applyFont="1" applyFill="1" applyAlignment="1">
      <alignment horizontal="right" wrapText="1"/>
    </xf>
    <xf numFmtId="1" fontId="60" fillId="28" borderId="0" xfId="13" applyNumberFormat="1" applyFont="1" applyFill="1" applyAlignment="1">
      <alignment horizontal="right" wrapText="1"/>
    </xf>
    <xf numFmtId="0" fontId="50" fillId="19" borderId="14" xfId="0" applyFont="1" applyFill="1" applyBorder="1"/>
    <xf numFmtId="0" fontId="9" fillId="0" borderId="58" xfId="0" applyFont="1" applyBorder="1"/>
    <xf numFmtId="0" fontId="19" fillId="19" borderId="64" xfId="0" applyFont="1" applyFill="1" applyBorder="1" applyAlignment="1">
      <alignment horizontal="right"/>
    </xf>
    <xf numFmtId="0" fontId="9" fillId="19" borderId="0" xfId="0" applyFont="1" applyFill="1" applyAlignment="1">
      <alignment horizontal="fill"/>
    </xf>
    <xf numFmtId="170" fontId="9" fillId="19" borderId="0" xfId="0" applyNumberFormat="1" applyFont="1" applyFill="1"/>
    <xf numFmtId="168" fontId="9" fillId="19" borderId="63" xfId="0" applyNumberFormat="1" applyFont="1" applyFill="1" applyBorder="1"/>
    <xf numFmtId="0" fontId="19" fillId="19" borderId="58" xfId="0" applyFont="1" applyFill="1" applyBorder="1" applyAlignment="1">
      <alignment horizontal="right"/>
    </xf>
    <xf numFmtId="167" fontId="19" fillId="19" borderId="0" xfId="0" applyNumberFormat="1" applyFont="1" applyFill="1"/>
    <xf numFmtId="167" fontId="19" fillId="19" borderId="164" xfId="0" applyNumberFormat="1" applyFont="1" applyFill="1" applyBorder="1"/>
    <xf numFmtId="176" fontId="9" fillId="0" borderId="0" xfId="0" applyNumberFormat="1" applyFont="1"/>
    <xf numFmtId="176" fontId="21" fillId="0" borderId="0" xfId="12" applyNumberFormat="1" applyFont="1"/>
    <xf numFmtId="0" fontId="61" fillId="0" borderId="0" xfId="12" applyFont="1"/>
    <xf numFmtId="176" fontId="54" fillId="0" borderId="0" xfId="0" applyNumberFormat="1" applyFont="1"/>
    <xf numFmtId="176" fontId="22" fillId="0" borderId="0" xfId="12" applyNumberFormat="1" applyFont="1"/>
    <xf numFmtId="0" fontId="26" fillId="0" borderId="0" xfId="0" applyFont="1" applyAlignment="1">
      <alignment horizontal="center" vertical="center" wrapText="1"/>
    </xf>
    <xf numFmtId="0" fontId="22" fillId="4" borderId="58" xfId="0" applyFont="1" applyFill="1" applyBorder="1" applyAlignment="1">
      <alignment horizontal="center" vertical="center" wrapText="1"/>
    </xf>
    <xf numFmtId="3" fontId="21" fillId="4" borderId="30" xfId="0" applyNumberFormat="1" applyFont="1" applyFill="1" applyBorder="1" applyAlignment="1">
      <alignment horizontal="right" vertical="center"/>
    </xf>
    <xf numFmtId="3" fontId="22" fillId="4" borderId="30" xfId="0" applyNumberFormat="1" applyFont="1" applyFill="1" applyBorder="1" applyAlignment="1">
      <alignment horizontal="right" vertical="center"/>
    </xf>
    <xf numFmtId="3" fontId="21" fillId="4" borderId="58" xfId="0" applyNumberFormat="1" applyFont="1" applyFill="1" applyBorder="1" applyAlignment="1">
      <alignment horizontal="right" vertical="center"/>
    </xf>
    <xf numFmtId="3" fontId="21" fillId="4" borderId="0" xfId="0" applyNumberFormat="1" applyFont="1" applyFill="1" applyAlignment="1">
      <alignment horizontal="right" vertical="center"/>
    </xf>
    <xf numFmtId="3" fontId="21" fillId="4" borderId="119" xfId="0" applyNumberFormat="1" applyFont="1" applyFill="1" applyBorder="1" applyAlignment="1">
      <alignment horizontal="right" vertical="center"/>
    </xf>
    <xf numFmtId="3" fontId="21" fillId="4" borderId="99" xfId="0" applyNumberFormat="1" applyFont="1" applyFill="1" applyBorder="1" applyAlignment="1">
      <alignment horizontal="right" vertical="center"/>
    </xf>
    <xf numFmtId="0" fontId="22" fillId="0" borderId="58" xfId="0" applyFont="1" applyBorder="1" applyAlignment="1">
      <alignment horizontal="center" vertical="center" wrapText="1"/>
    </xf>
    <xf numFmtId="17" fontId="0" fillId="0" borderId="76" xfId="0" applyNumberFormat="1" applyBorder="1"/>
    <xf numFmtId="17" fontId="0" fillId="0" borderId="17" xfId="0" applyNumberFormat="1" applyBorder="1"/>
    <xf numFmtId="0" fontId="69" fillId="19" borderId="8" xfId="0" applyFont="1" applyFill="1" applyBorder="1"/>
    <xf numFmtId="0" fontId="54" fillId="0" borderId="0" xfId="0" applyFont="1" applyAlignment="1">
      <alignment wrapText="1"/>
    </xf>
    <xf numFmtId="0" fontId="71" fillId="0" borderId="0" xfId="0" applyFont="1"/>
    <xf numFmtId="0" fontId="70" fillId="32" borderId="0" xfId="12" applyFont="1" applyFill="1"/>
    <xf numFmtId="49" fontId="9" fillId="0" borderId="1" xfId="0" applyNumberFormat="1" applyFont="1" applyBorder="1" applyProtection="1">
      <protection locked="0"/>
    </xf>
    <xf numFmtId="49" fontId="9" fillId="0" borderId="1" xfId="0" applyNumberFormat="1" applyFont="1" applyBorder="1" applyAlignment="1">
      <alignment horizontal="left"/>
    </xf>
    <xf numFmtId="0" fontId="72" fillId="0" borderId="0" xfId="12" applyFont="1"/>
    <xf numFmtId="0" fontId="54" fillId="0" borderId="72" xfId="0" applyFont="1" applyBorder="1"/>
    <xf numFmtId="0" fontId="54" fillId="0" borderId="64" xfId="0" applyFont="1" applyBorder="1"/>
    <xf numFmtId="0" fontId="54" fillId="0" borderId="74" xfId="0" applyFont="1" applyBorder="1"/>
    <xf numFmtId="17" fontId="62" fillId="26" borderId="72" xfId="0" applyNumberFormat="1" applyFont="1" applyFill="1" applyBorder="1" applyAlignment="1">
      <alignment horizontal="right" wrapText="1"/>
    </xf>
    <xf numFmtId="17" fontId="62" fillId="26" borderId="64" xfId="0" applyNumberFormat="1" applyFont="1" applyFill="1" applyBorder="1" applyAlignment="1">
      <alignment horizontal="right" wrapText="1"/>
    </xf>
    <xf numFmtId="17" fontId="62" fillId="26" borderId="74" xfId="0" applyNumberFormat="1" applyFont="1" applyFill="1" applyBorder="1" applyAlignment="1">
      <alignment horizontal="right" wrapText="1"/>
    </xf>
    <xf numFmtId="0" fontId="7" fillId="0" borderId="76" xfId="12" applyBorder="1"/>
    <xf numFmtId="17" fontId="62" fillId="26" borderId="76" xfId="0" applyNumberFormat="1" applyFont="1" applyFill="1" applyBorder="1" applyAlignment="1">
      <alignment horizontal="right" wrapText="1"/>
    </xf>
    <xf numFmtId="17" fontId="62" fillId="26" borderId="63" xfId="0" applyNumberFormat="1" applyFont="1" applyFill="1" applyBorder="1" applyAlignment="1">
      <alignment horizontal="right" wrapText="1"/>
    </xf>
    <xf numFmtId="0" fontId="7" fillId="0" borderId="63" xfId="12" applyBorder="1"/>
    <xf numFmtId="1" fontId="0" fillId="0" borderId="76" xfId="0" applyNumberFormat="1" applyBorder="1"/>
    <xf numFmtId="1" fontId="0" fillId="0" borderId="63" xfId="0" applyNumberFormat="1" applyBorder="1"/>
    <xf numFmtId="0" fontId="54" fillId="0" borderId="76" xfId="0" applyFont="1" applyBorder="1"/>
    <xf numFmtId="0" fontId="54" fillId="0" borderId="63" xfId="0" applyFont="1" applyBorder="1"/>
    <xf numFmtId="0" fontId="54" fillId="0" borderId="17" xfId="0" applyFont="1" applyBorder="1"/>
    <xf numFmtId="0" fontId="54" fillId="0" borderId="58" xfId="0" applyFont="1" applyBorder="1"/>
    <xf numFmtId="0" fontId="54" fillId="0" borderId="75" xfId="0" applyFont="1" applyBorder="1"/>
    <xf numFmtId="17" fontId="62" fillId="26" borderId="72" xfId="0" applyNumberFormat="1" applyFont="1" applyFill="1" applyBorder="1" applyAlignment="1">
      <alignment horizontal="left" wrapText="1"/>
    </xf>
    <xf numFmtId="17" fontId="62" fillId="26" borderId="64" xfId="0" applyNumberFormat="1" applyFont="1" applyFill="1" applyBorder="1" applyAlignment="1">
      <alignment horizontal="left" wrapText="1"/>
    </xf>
    <xf numFmtId="17" fontId="62" fillId="26" borderId="76" xfId="0" applyNumberFormat="1" applyFont="1" applyFill="1" applyBorder="1" applyAlignment="1">
      <alignment horizontal="left" wrapText="1"/>
    </xf>
    <xf numFmtId="0" fontId="50" fillId="0" borderId="63" xfId="0" applyFont="1" applyBorder="1"/>
    <xf numFmtId="0" fontId="71" fillId="0" borderId="76" xfId="0" applyFont="1" applyBorder="1"/>
    <xf numFmtId="0" fontId="61" fillId="0" borderId="26" xfId="12" applyFont="1" applyBorder="1"/>
    <xf numFmtId="0" fontId="54" fillId="0" borderId="26" xfId="0" applyFont="1" applyBorder="1"/>
    <xf numFmtId="0" fontId="50" fillId="0" borderId="0" xfId="0" applyFont="1"/>
    <xf numFmtId="0" fontId="50" fillId="0" borderId="76" xfId="0" applyFont="1" applyBorder="1"/>
    <xf numFmtId="0" fontId="26" fillId="0" borderId="0" xfId="12" applyFont="1"/>
    <xf numFmtId="0" fontId="26" fillId="0" borderId="76" xfId="12" applyFont="1" applyBorder="1"/>
    <xf numFmtId="0" fontId="73" fillId="28" borderId="0" xfId="13" applyFont="1" applyFill="1" applyAlignment="1">
      <alignment wrapText="1"/>
    </xf>
    <xf numFmtId="0" fontId="11" fillId="15" borderId="14" xfId="0" applyFont="1" applyFill="1" applyBorder="1" applyAlignment="1">
      <alignment wrapText="1"/>
    </xf>
    <xf numFmtId="1" fontId="75" fillId="28" borderId="0" xfId="13" applyNumberFormat="1" applyFont="1" applyFill="1" applyAlignment="1">
      <alignment horizontal="right" wrapText="1"/>
    </xf>
    <xf numFmtId="1" fontId="75" fillId="27" borderId="0" xfId="13" applyNumberFormat="1" applyFont="1" applyFill="1" applyAlignment="1">
      <alignment horizontal="right" wrapText="1"/>
    </xf>
    <xf numFmtId="4" fontId="0" fillId="0" borderId="1" xfId="0" applyNumberFormat="1" applyBorder="1"/>
    <xf numFmtId="0" fontId="76" fillId="0" borderId="0" xfId="0" applyFont="1" applyAlignment="1">
      <alignment vertical="center"/>
    </xf>
    <xf numFmtId="0" fontId="76" fillId="0" borderId="0" xfId="0" applyFont="1"/>
    <xf numFmtId="1" fontId="0" fillId="23" borderId="15" xfId="0" applyNumberFormat="1" applyFill="1" applyBorder="1"/>
    <xf numFmtId="0" fontId="21" fillId="0" borderId="127" xfId="0" applyFont="1" applyBorder="1"/>
    <xf numFmtId="0" fontId="21" fillId="0" borderId="63" xfId="0" applyFont="1" applyBorder="1"/>
    <xf numFmtId="0" fontId="0" fillId="0" borderId="127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127" xfId="0" applyFill="1" applyBorder="1"/>
    <xf numFmtId="0" fontId="0" fillId="5" borderId="63" xfId="0" applyFill="1" applyBorder="1"/>
    <xf numFmtId="2" fontId="32" fillId="0" borderId="0" xfId="9" applyNumberFormat="1" applyFont="1"/>
    <xf numFmtId="2" fontId="27" fillId="0" borderId="0" xfId="9" applyNumberFormat="1" applyFont="1"/>
    <xf numFmtId="0" fontId="29" fillId="5" borderId="0" xfId="3" applyFill="1"/>
    <xf numFmtId="2" fontId="32" fillId="5" borderId="0" xfId="9" applyNumberFormat="1" applyFont="1" applyFill="1"/>
    <xf numFmtId="0" fontId="0" fillId="0" borderId="64" xfId="0" applyBorder="1"/>
    <xf numFmtId="0" fontId="0" fillId="0" borderId="74" xfId="0" applyBorder="1"/>
    <xf numFmtId="0" fontId="21" fillId="0" borderId="76" xfId="0" applyFont="1" applyBorder="1"/>
    <xf numFmtId="0" fontId="0" fillId="0" borderId="76" xfId="0" applyBorder="1" applyAlignment="1">
      <alignment horizontal="center"/>
    </xf>
    <xf numFmtId="0" fontId="0" fillId="5" borderId="76" xfId="0" applyFill="1" applyBorder="1"/>
    <xf numFmtId="0" fontId="0" fillId="0" borderId="17" xfId="0" applyBorder="1"/>
    <xf numFmtId="17" fontId="54" fillId="0" borderId="0" xfId="0" applyNumberFormat="1" applyFont="1"/>
    <xf numFmtId="0" fontId="0" fillId="0" borderId="196" xfId="0" applyBorder="1"/>
    <xf numFmtId="17" fontId="54" fillId="0" borderId="129" xfId="0" applyNumberFormat="1" applyFont="1" applyBorder="1"/>
    <xf numFmtId="15" fontId="54" fillId="0" borderId="130" xfId="0" applyNumberFormat="1" applyFont="1" applyBorder="1"/>
    <xf numFmtId="17" fontId="54" fillId="0" borderId="130" xfId="0" applyNumberFormat="1" applyFont="1" applyBorder="1"/>
    <xf numFmtId="17" fontId="54" fillId="0" borderId="197" xfId="0" applyNumberFormat="1" applyFont="1" applyBorder="1"/>
    <xf numFmtId="17" fontId="54" fillId="0" borderId="58" xfId="0" applyNumberFormat="1" applyFont="1" applyBorder="1"/>
    <xf numFmtId="17" fontId="54" fillId="0" borderId="75" xfId="0" applyNumberFormat="1" applyFont="1" applyBorder="1"/>
    <xf numFmtId="17" fontId="54" fillId="0" borderId="17" xfId="0" applyNumberFormat="1" applyFont="1" applyBorder="1"/>
    <xf numFmtId="0" fontId="41" fillId="23" borderId="8" xfId="0" applyFont="1" applyFill="1" applyBorder="1"/>
    <xf numFmtId="4" fontId="55" fillId="28" borderId="0" xfId="13" applyNumberFormat="1" applyFont="1" applyFill="1" applyAlignment="1">
      <alignment wrapText="1"/>
    </xf>
    <xf numFmtId="4" fontId="55" fillId="27" borderId="0" xfId="13" applyNumberFormat="1" applyFont="1" applyFill="1" applyAlignment="1">
      <alignment wrapText="1"/>
    </xf>
    <xf numFmtId="0" fontId="51" fillId="19" borderId="128" xfId="0" applyFont="1" applyFill="1" applyBorder="1" applyAlignment="1">
      <alignment horizontal="center"/>
    </xf>
    <xf numFmtId="0" fontId="34" fillId="18" borderId="130" xfId="3" applyFont="1" applyFill="1" applyBorder="1"/>
    <xf numFmtId="4" fontId="73" fillId="28" borderId="0" xfId="13" applyNumberFormat="1" applyFont="1" applyFill="1" applyAlignment="1">
      <alignment horizontal="right" wrapText="1"/>
    </xf>
    <xf numFmtId="0" fontId="30" fillId="18" borderId="130" xfId="3" applyFont="1" applyFill="1" applyBorder="1"/>
    <xf numFmtId="0" fontId="21" fillId="23" borderId="8" xfId="0" applyFont="1" applyFill="1" applyBorder="1"/>
    <xf numFmtId="0" fontId="21" fillId="5" borderId="8" xfId="0" applyFont="1" applyFill="1" applyBorder="1"/>
    <xf numFmtId="1" fontId="41" fillId="28" borderId="0" xfId="13" applyNumberFormat="1" applyFont="1" applyFill="1" applyAlignment="1">
      <alignment horizontal="right" wrapText="1"/>
    </xf>
    <xf numFmtId="3" fontId="21" fillId="0" borderId="133" xfId="0" applyNumberFormat="1" applyFont="1" applyBorder="1" applyAlignment="1">
      <alignment horizontal="right" vertical="center"/>
    </xf>
    <xf numFmtId="3" fontId="21" fillId="4" borderId="88" xfId="0" applyNumberFormat="1" applyFont="1" applyFill="1" applyBorder="1" applyAlignment="1">
      <alignment horizontal="right" vertical="center"/>
    </xf>
    <xf numFmtId="17" fontId="27" fillId="0" borderId="85" xfId="0" applyNumberFormat="1" applyFont="1" applyBorder="1" applyAlignment="1">
      <alignment vertical="center"/>
    </xf>
    <xf numFmtId="3" fontId="21" fillId="0" borderId="198" xfId="0" applyNumberFormat="1" applyFont="1" applyBorder="1" applyAlignment="1">
      <alignment horizontal="right" vertical="center"/>
    </xf>
    <xf numFmtId="3" fontId="21" fillId="0" borderId="58" xfId="0" applyNumberFormat="1" applyFont="1" applyBorder="1" applyAlignment="1">
      <alignment horizontal="right" vertical="center"/>
    </xf>
    <xf numFmtId="3" fontId="21" fillId="0" borderId="115" xfId="0" applyNumberFormat="1" applyFont="1" applyBorder="1" applyAlignment="1">
      <alignment horizontal="right" vertical="center"/>
    </xf>
    <xf numFmtId="3" fontId="21" fillId="0" borderId="116" xfId="0" applyNumberFormat="1" applyFont="1" applyBorder="1" applyAlignment="1">
      <alignment horizontal="right" vertical="center"/>
    </xf>
    <xf numFmtId="3" fontId="21" fillId="0" borderId="87" xfId="0" applyNumberFormat="1" applyFont="1" applyBorder="1" applyAlignment="1">
      <alignment horizontal="right" vertical="center"/>
    </xf>
    <xf numFmtId="0" fontId="22" fillId="31" borderId="28" xfId="0" applyFont="1" applyFill="1" applyBorder="1" applyAlignment="1">
      <alignment horizontal="center" vertical="center" wrapText="1"/>
    </xf>
    <xf numFmtId="40" fontId="9" fillId="0" borderId="0" xfId="0" applyNumberFormat="1" applyFont="1"/>
    <xf numFmtId="0" fontId="38" fillId="19" borderId="128" xfId="0" applyFont="1" applyFill="1" applyBorder="1"/>
    <xf numFmtId="0" fontId="54" fillId="19" borderId="0" xfId="0" applyFont="1" applyFill="1"/>
    <xf numFmtId="0" fontId="54" fillId="19" borderId="76" xfId="0" applyFont="1" applyFill="1" applyBorder="1"/>
    <xf numFmtId="0" fontId="54" fillId="19" borderId="63" xfId="0" applyFont="1" applyFill="1" applyBorder="1"/>
    <xf numFmtId="9" fontId="54" fillId="19" borderId="76" xfId="0" applyNumberFormat="1" applyFont="1" applyFill="1" applyBorder="1"/>
    <xf numFmtId="9" fontId="54" fillId="19" borderId="0" xfId="0" applyNumberFormat="1" applyFont="1" applyFill="1"/>
    <xf numFmtId="9" fontId="54" fillId="19" borderId="63" xfId="0" applyNumberFormat="1" applyFont="1" applyFill="1" applyBorder="1"/>
    <xf numFmtId="0" fontId="22" fillId="0" borderId="0" xfId="0" applyFont="1"/>
    <xf numFmtId="0" fontId="22" fillId="0" borderId="0" xfId="0" applyFont="1" applyAlignment="1">
      <alignment wrapText="1"/>
    </xf>
    <xf numFmtId="0" fontId="22" fillId="28" borderId="0" xfId="13" applyFont="1" applyFill="1" applyAlignment="1">
      <alignment wrapText="1"/>
    </xf>
    <xf numFmtId="4" fontId="22" fillId="28" borderId="0" xfId="13" applyNumberFormat="1" applyFont="1" applyFill="1" applyAlignment="1">
      <alignment horizontal="right" wrapText="1"/>
    </xf>
    <xf numFmtId="0" fontId="22" fillId="27" borderId="0" xfId="13" applyFont="1" applyFill="1" applyAlignment="1">
      <alignment wrapText="1"/>
    </xf>
    <xf numFmtId="4" fontId="22" fillId="27" borderId="0" xfId="13" applyNumberFormat="1" applyFont="1" applyFill="1" applyAlignment="1">
      <alignment horizontal="right" wrapText="1"/>
    </xf>
    <xf numFmtId="0" fontId="9" fillId="0" borderId="137" xfId="0" applyFont="1" applyBorder="1" applyAlignment="1">
      <alignment horizontal="left"/>
    </xf>
    <xf numFmtId="0" fontId="73" fillId="27" borderId="0" xfId="13" applyFont="1" applyFill="1" applyAlignment="1">
      <alignment wrapText="1"/>
    </xf>
    <xf numFmtId="0" fontId="34" fillId="21" borderId="15" xfId="3" applyFont="1" applyFill="1" applyBorder="1"/>
    <xf numFmtId="0" fontId="31" fillId="21" borderId="15" xfId="3" applyFont="1" applyFill="1" applyBorder="1"/>
    <xf numFmtId="168" fontId="19" fillId="19" borderId="0" xfId="0" applyNumberFormat="1" applyFont="1" applyFill="1"/>
    <xf numFmtId="17" fontId="12" fillId="0" borderId="0" xfId="0" applyNumberFormat="1" applyFont="1"/>
    <xf numFmtId="17" fontId="14" fillId="2" borderId="0" xfId="0" applyNumberFormat="1" applyFont="1" applyFill="1"/>
    <xf numFmtId="1" fontId="33" fillId="18" borderId="8" xfId="3" applyNumberFormat="1" applyFont="1" applyFill="1" applyBorder="1"/>
    <xf numFmtId="0" fontId="28" fillId="0" borderId="0" xfId="0" applyFont="1"/>
    <xf numFmtId="1" fontId="18" fillId="0" borderId="0" xfId="2" applyNumberFormat="1" applyFill="1" applyProtection="1">
      <protection locked="0"/>
    </xf>
    <xf numFmtId="0" fontId="77" fillId="0" borderId="1" xfId="0" applyFont="1" applyBorder="1" applyProtection="1">
      <protection locked="0"/>
    </xf>
    <xf numFmtId="3" fontId="41" fillId="0" borderId="92" xfId="0" applyNumberFormat="1" applyFont="1" applyBorder="1" applyAlignment="1">
      <alignment horizontal="right" vertical="center"/>
    </xf>
    <xf numFmtId="0" fontId="58" fillId="0" borderId="0" xfId="12" applyFont="1"/>
    <xf numFmtId="1" fontId="41" fillId="27" borderId="0" xfId="13" applyNumberFormat="1" applyFont="1" applyFill="1" applyAlignment="1">
      <alignment horizontal="right" wrapText="1"/>
    </xf>
    <xf numFmtId="0" fontId="38" fillId="19" borderId="18" xfId="0" applyFont="1" applyFill="1" applyBorder="1"/>
    <xf numFmtId="0" fontId="9" fillId="0" borderId="62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32" fillId="0" borderId="36" xfId="3" applyFont="1" applyBorder="1"/>
    <xf numFmtId="0" fontId="33" fillId="22" borderId="176" xfId="3" applyFont="1" applyFill="1" applyBorder="1"/>
    <xf numFmtId="0" fontId="29" fillId="22" borderId="56" xfId="3" applyFill="1" applyBorder="1"/>
    <xf numFmtId="0" fontId="29" fillId="22" borderId="10" xfId="3" applyFill="1" applyBorder="1"/>
    <xf numFmtId="0" fontId="29" fillId="22" borderId="12" xfId="3" applyFill="1" applyBorder="1"/>
    <xf numFmtId="0" fontId="29" fillId="22" borderId="15" xfId="3" applyFill="1" applyBorder="1"/>
    <xf numFmtId="0" fontId="31" fillId="22" borderId="15" xfId="3" applyFont="1" applyFill="1" applyBorder="1"/>
    <xf numFmtId="3" fontId="29" fillId="22" borderId="54" xfId="3" applyNumberFormat="1" applyFill="1" applyBorder="1"/>
    <xf numFmtId="3" fontId="32" fillId="22" borderId="53" xfId="3" applyNumberFormat="1" applyFont="1" applyFill="1" applyBorder="1"/>
    <xf numFmtId="0" fontId="29" fillId="22" borderId="0" xfId="3" applyFill="1"/>
    <xf numFmtId="0" fontId="31" fillId="22" borderId="16" xfId="4" applyNumberFormat="1" applyFont="1" applyFill="1" applyBorder="1"/>
    <xf numFmtId="173" fontId="29" fillId="22" borderId="78" xfId="3" applyNumberFormat="1" applyFill="1" applyBorder="1"/>
    <xf numFmtId="44" fontId="29" fillId="22" borderId="58" xfId="3" applyNumberFormat="1" applyFill="1" applyBorder="1"/>
    <xf numFmtId="0" fontId="30" fillId="22" borderId="0" xfId="3" applyFont="1" applyFill="1"/>
    <xf numFmtId="164" fontId="29" fillId="22" borderId="0" xfId="3" applyNumberFormat="1" applyFill="1"/>
    <xf numFmtId="1" fontId="50" fillId="28" borderId="0" xfId="13" applyNumberFormat="1" applyFont="1" applyFill="1" applyAlignment="1">
      <alignment horizontal="right" wrapText="1"/>
    </xf>
    <xf numFmtId="1" fontId="50" fillId="27" borderId="0" xfId="13" applyNumberFormat="1" applyFont="1" applyFill="1" applyAlignment="1">
      <alignment horizontal="right" wrapText="1"/>
    </xf>
    <xf numFmtId="1" fontId="78" fillId="27" borderId="0" xfId="13" applyNumberFormat="1" applyFont="1" applyFill="1" applyAlignment="1">
      <alignment horizontal="right" wrapText="1"/>
    </xf>
    <xf numFmtId="167" fontId="0" fillId="0" borderId="8" xfId="0" applyNumberFormat="1" applyBorder="1"/>
    <xf numFmtId="0" fontId="0" fillId="17" borderId="144" xfId="0" applyFill="1" applyBorder="1"/>
    <xf numFmtId="0" fontId="0" fillId="12" borderId="18" xfId="0" applyFill="1" applyBorder="1"/>
    <xf numFmtId="0" fontId="9" fillId="12" borderId="18" xfId="0" applyFont="1" applyFill="1" applyBorder="1"/>
    <xf numFmtId="0" fontId="54" fillId="0" borderId="125" xfId="0" applyFont="1" applyBorder="1" applyAlignment="1">
      <alignment wrapText="1"/>
    </xf>
    <xf numFmtId="0" fontId="9" fillId="17" borderId="8" xfId="0" applyFont="1" applyFill="1" applyBorder="1"/>
    <xf numFmtId="0" fontId="0" fillId="17" borderId="8" xfId="0" applyFill="1" applyBorder="1"/>
    <xf numFmtId="0" fontId="54" fillId="0" borderId="77" xfId="0" applyFont="1" applyBorder="1"/>
    <xf numFmtId="0" fontId="0" fillId="0" borderId="135" xfId="0" applyBorder="1"/>
    <xf numFmtId="0" fontId="0" fillId="0" borderId="77" xfId="0" applyBorder="1"/>
    <xf numFmtId="0" fontId="0" fillId="12" borderId="77" xfId="0" applyFill="1" applyBorder="1"/>
    <xf numFmtId="0" fontId="0" fillId="0" borderId="136" xfId="0" applyBorder="1"/>
    <xf numFmtId="167" fontId="9" fillId="0" borderId="15" xfId="0" applyNumberFormat="1" applyFont="1" applyBorder="1"/>
    <xf numFmtId="1" fontId="0" fillId="0" borderId="8" xfId="0" applyNumberFormat="1" applyBorder="1"/>
    <xf numFmtId="1" fontId="9" fillId="0" borderId="8" xfId="0" applyNumberFormat="1" applyFont="1" applyBorder="1"/>
    <xf numFmtId="0" fontId="17" fillId="0" borderId="8" xfId="0" applyFont="1" applyBorder="1"/>
    <xf numFmtId="169" fontId="16" fillId="0" borderId="8" xfId="0" applyNumberFormat="1" applyFont="1" applyBorder="1"/>
    <xf numFmtId="0" fontId="32" fillId="18" borderId="130" xfId="3" applyFont="1" applyFill="1" applyBorder="1"/>
    <xf numFmtId="3" fontId="55" fillId="0" borderId="92" xfId="0" applyNumberFormat="1" applyFont="1" applyBorder="1" applyAlignment="1">
      <alignment horizontal="right" vertical="center"/>
    </xf>
    <xf numFmtId="0" fontId="2" fillId="0" borderId="0" xfId="17"/>
    <xf numFmtId="4" fontId="9" fillId="27" borderId="0" xfId="13" applyNumberFormat="1" applyFont="1" applyFill="1" applyAlignment="1">
      <alignment horizontal="right" wrapText="1"/>
    </xf>
    <xf numFmtId="0" fontId="48" fillId="19" borderId="18" xfId="0" applyFont="1" applyFill="1" applyBorder="1"/>
    <xf numFmtId="0" fontId="31" fillId="0" borderId="39" xfId="3" applyFont="1" applyBorder="1"/>
    <xf numFmtId="1" fontId="30" fillId="18" borderId="8" xfId="3" applyNumberFormat="1" applyFont="1" applyFill="1" applyBorder="1"/>
    <xf numFmtId="0" fontId="0" fillId="0" borderId="72" xfId="0" applyBorder="1"/>
    <xf numFmtId="0" fontId="72" fillId="0" borderId="76" xfId="12" applyFont="1" applyBorder="1"/>
    <xf numFmtId="0" fontId="72" fillId="0" borderId="63" xfId="12" applyFont="1" applyBorder="1"/>
    <xf numFmtId="0" fontId="11" fillId="0" borderId="22" xfId="0" applyFont="1" applyBorder="1" applyAlignment="1">
      <alignment wrapText="1"/>
    </xf>
    <xf numFmtId="0" fontId="31" fillId="22" borderId="82" xfId="3" applyFont="1" applyFill="1" applyBorder="1"/>
    <xf numFmtId="0" fontId="29" fillId="18" borderId="18" xfId="3" applyFill="1" applyBorder="1"/>
    <xf numFmtId="0" fontId="31" fillId="22" borderId="84" xfId="3" applyFont="1" applyFill="1" applyBorder="1"/>
    <xf numFmtId="0" fontId="29" fillId="18" borderId="199" xfId="3" applyFill="1" applyBorder="1"/>
    <xf numFmtId="0" fontId="11" fillId="0" borderId="200" xfId="0" applyFont="1" applyBorder="1" applyAlignment="1">
      <alignment wrapText="1"/>
    </xf>
    <xf numFmtId="0" fontId="31" fillId="22" borderId="196" xfId="3" applyFont="1" applyFill="1" applyBorder="1"/>
    <xf numFmtId="0" fontId="31" fillId="22" borderId="131" xfId="3" applyFont="1" applyFill="1" applyBorder="1"/>
    <xf numFmtId="0" fontId="29" fillId="18" borderId="127" xfId="3" applyFill="1" applyBorder="1"/>
    <xf numFmtId="0" fontId="29" fillId="18" borderId="128" xfId="3" applyFill="1" applyBorder="1"/>
    <xf numFmtId="0" fontId="29" fillId="18" borderId="129" xfId="3" applyFill="1" applyBorder="1"/>
    <xf numFmtId="0" fontId="29" fillId="18" borderId="201" xfId="3" applyFill="1" applyBorder="1"/>
    <xf numFmtId="44" fontId="29" fillId="0" borderId="39" xfId="3" applyNumberFormat="1" applyBorder="1"/>
    <xf numFmtId="0" fontId="52" fillId="21" borderId="144" xfId="0" applyFont="1" applyFill="1" applyBorder="1" applyAlignment="1">
      <alignment wrapText="1"/>
    </xf>
    <xf numFmtId="0" fontId="32" fillId="22" borderId="202" xfId="0" applyFont="1" applyFill="1" applyBorder="1" applyAlignment="1">
      <alignment wrapText="1"/>
    </xf>
    <xf numFmtId="0" fontId="29" fillId="21" borderId="144" xfId="3" applyFill="1" applyBorder="1"/>
    <xf numFmtId="0" fontId="29" fillId="21" borderId="18" xfId="3" applyFill="1" applyBorder="1"/>
    <xf numFmtId="0" fontId="31" fillId="21" borderId="82" xfId="3" applyFont="1" applyFill="1" applyBorder="1"/>
    <xf numFmtId="1" fontId="29" fillId="18" borderId="18" xfId="3" applyNumberFormat="1" applyFill="1" applyBorder="1"/>
    <xf numFmtId="0" fontId="0" fillId="18" borderId="18" xfId="0" applyFill="1" applyBorder="1"/>
    <xf numFmtId="0" fontId="34" fillId="18" borderId="197" xfId="3" applyFont="1" applyFill="1" applyBorder="1"/>
    <xf numFmtId="0" fontId="52" fillId="21" borderId="203" xfId="0" applyFont="1" applyFill="1" applyBorder="1" applyAlignment="1">
      <alignment wrapText="1"/>
    </xf>
    <xf numFmtId="0" fontId="32" fillId="22" borderId="103" xfId="0" applyFont="1" applyFill="1" applyBorder="1" applyAlignment="1">
      <alignment wrapText="1"/>
    </xf>
    <xf numFmtId="0" fontId="29" fillId="21" borderId="203" xfId="3" applyFill="1" applyBorder="1"/>
    <xf numFmtId="0" fontId="29" fillId="21" borderId="199" xfId="3" applyFill="1" applyBorder="1"/>
    <xf numFmtId="1" fontId="29" fillId="18" borderId="199" xfId="3" applyNumberFormat="1" applyFill="1" applyBorder="1"/>
    <xf numFmtId="0" fontId="0" fillId="18" borderId="199" xfId="0" applyFill="1" applyBorder="1"/>
    <xf numFmtId="0" fontId="29" fillId="18" borderId="204" xfId="3" applyFill="1" applyBorder="1"/>
    <xf numFmtId="0" fontId="32" fillId="21" borderId="124" xfId="0" applyFont="1" applyFill="1" applyBorder="1" applyAlignment="1">
      <alignment wrapText="1"/>
    </xf>
    <xf numFmtId="0" fontId="52" fillId="21" borderId="126" xfId="0" applyFont="1" applyFill="1" applyBorder="1" applyAlignment="1">
      <alignment wrapText="1"/>
    </xf>
    <xf numFmtId="0" fontId="32" fillId="22" borderId="205" xfId="0" applyFont="1" applyFill="1" applyBorder="1" applyAlignment="1">
      <alignment wrapText="1"/>
    </xf>
    <xf numFmtId="0" fontId="32" fillId="22" borderId="206" xfId="0" applyFont="1" applyFill="1" applyBorder="1" applyAlignment="1">
      <alignment wrapText="1"/>
    </xf>
    <xf numFmtId="0" fontId="29" fillId="21" borderId="124" xfId="3" applyFill="1" applyBorder="1"/>
    <xf numFmtId="0" fontId="29" fillId="21" borderId="126" xfId="3" applyFill="1" applyBorder="1"/>
    <xf numFmtId="0" fontId="29" fillId="21" borderId="127" xfId="3" applyFill="1" applyBorder="1"/>
    <xf numFmtId="0" fontId="29" fillId="21" borderId="128" xfId="3" applyFill="1" applyBorder="1"/>
    <xf numFmtId="0" fontId="31" fillId="21" borderId="196" xfId="3" applyFont="1" applyFill="1" applyBorder="1"/>
    <xf numFmtId="1" fontId="29" fillId="18" borderId="127" xfId="3" applyNumberFormat="1" applyFill="1" applyBorder="1"/>
    <xf numFmtId="1" fontId="29" fillId="18" borderId="128" xfId="3" applyNumberFormat="1" applyFill="1" applyBorder="1"/>
    <xf numFmtId="0" fontId="0" fillId="18" borderId="127" xfId="0" applyFill="1" applyBorder="1"/>
    <xf numFmtId="0" fontId="0" fillId="18" borderId="128" xfId="0" applyFill="1" applyBorder="1"/>
    <xf numFmtId="0" fontId="34" fillId="18" borderId="129" xfId="3" applyFont="1" applyFill="1" applyBorder="1"/>
    <xf numFmtId="17" fontId="27" fillId="0" borderId="0" xfId="0" applyNumberFormat="1" applyFont="1" applyAlignment="1">
      <alignment vertical="center"/>
    </xf>
    <xf numFmtId="3" fontId="21" fillId="12" borderId="0" xfId="0" applyNumberFormat="1" applyFont="1" applyFill="1" applyAlignment="1">
      <alignment horizontal="right" vertical="center"/>
    </xf>
    <xf numFmtId="17" fontId="27" fillId="0" borderId="72" xfId="0" applyNumberFormat="1" applyFont="1" applyBorder="1" applyAlignment="1">
      <alignment vertical="center"/>
    </xf>
    <xf numFmtId="0" fontId="21" fillId="0" borderId="64" xfId="0" applyFont="1" applyBorder="1" applyAlignment="1">
      <alignment horizontal="right" vertical="center"/>
    </xf>
    <xf numFmtId="3" fontId="21" fillId="4" borderId="64" xfId="0" applyNumberFormat="1" applyFont="1" applyFill="1" applyBorder="1" applyAlignment="1">
      <alignment horizontal="right" vertical="center"/>
    </xf>
    <xf numFmtId="17" fontId="27" fillId="0" borderId="76" xfId="0" applyNumberFormat="1" applyFont="1" applyBorder="1" applyAlignment="1">
      <alignment vertical="center"/>
    </xf>
    <xf numFmtId="17" fontId="27" fillId="0" borderId="17" xfId="0" applyNumberFormat="1" applyFont="1" applyBorder="1" applyAlignment="1">
      <alignment vertical="center"/>
    </xf>
    <xf numFmtId="3" fontId="21" fillId="0" borderId="17" xfId="0" applyNumberFormat="1" applyFont="1" applyBorder="1" applyAlignment="1">
      <alignment horizontal="right" vertical="center"/>
    </xf>
    <xf numFmtId="0" fontId="51" fillId="19" borderId="18" xfId="0" applyFont="1" applyFill="1" applyBorder="1"/>
    <xf numFmtId="3" fontId="55" fillId="4" borderId="70" xfId="0" applyNumberFormat="1" applyFont="1" applyFill="1" applyBorder="1"/>
    <xf numFmtId="1" fontId="43" fillId="27" borderId="0" xfId="13" applyNumberFormat="1" applyFont="1" applyFill="1" applyAlignment="1">
      <alignment horizontal="right" wrapText="1"/>
    </xf>
    <xf numFmtId="0" fontId="50" fillId="12" borderId="8" xfId="0" applyFont="1" applyFill="1" applyBorder="1"/>
    <xf numFmtId="0" fontId="41" fillId="12" borderId="8" xfId="0" applyFont="1" applyFill="1" applyBorder="1"/>
    <xf numFmtId="0" fontId="41" fillId="0" borderId="7" xfId="0" applyFont="1" applyBorder="1"/>
    <xf numFmtId="0" fontId="54" fillId="0" borderId="207" xfId="0" applyFont="1" applyBorder="1" applyAlignment="1">
      <alignment wrapText="1"/>
    </xf>
    <xf numFmtId="0" fontId="54" fillId="0" borderId="208" xfId="0" applyFont="1" applyBorder="1" applyAlignment="1">
      <alignment wrapText="1"/>
    </xf>
    <xf numFmtId="0" fontId="54" fillId="0" borderId="29" xfId="0" applyFont="1" applyBorder="1" applyAlignment="1">
      <alignment wrapText="1"/>
    </xf>
    <xf numFmtId="0" fontId="54" fillId="0" borderId="29" xfId="0" applyFont="1" applyBorder="1"/>
    <xf numFmtId="8" fontId="54" fillId="0" borderId="208" xfId="0" applyNumberFormat="1" applyFont="1" applyBorder="1"/>
    <xf numFmtId="0" fontId="54" fillId="0" borderId="28" xfId="0" applyFont="1" applyBorder="1"/>
    <xf numFmtId="4" fontId="41" fillId="27" borderId="0" xfId="13" applyNumberFormat="1" applyFont="1" applyFill="1" applyAlignment="1">
      <alignment horizontal="right" wrapText="1"/>
    </xf>
    <xf numFmtId="4" fontId="41" fillId="28" borderId="0" xfId="13" applyNumberFormat="1" applyFont="1" applyFill="1" applyAlignment="1">
      <alignment horizontal="right" wrapText="1"/>
    </xf>
    <xf numFmtId="0" fontId="32" fillId="18" borderId="128" xfId="3" applyFont="1" applyFill="1" applyBorder="1"/>
    <xf numFmtId="1" fontId="18" fillId="3" borderId="0" xfId="2" applyNumberFormat="1" applyProtection="1">
      <protection locked="0"/>
    </xf>
    <xf numFmtId="0" fontId="12" fillId="0" borderId="18" xfId="0" applyFont="1" applyBorder="1"/>
    <xf numFmtId="1" fontId="73" fillId="27" borderId="0" xfId="13" applyNumberFormat="1" applyFont="1" applyFill="1" applyAlignment="1">
      <alignment wrapText="1"/>
    </xf>
    <xf numFmtId="0" fontId="54" fillId="0" borderId="115" xfId="0" applyFont="1" applyBorder="1"/>
    <xf numFmtId="3" fontId="0" fillId="0" borderId="64" xfId="0" applyNumberFormat="1" applyBorder="1"/>
    <xf numFmtId="0" fontId="0" fillId="0" borderId="63" xfId="0" applyBorder="1" applyAlignment="1">
      <alignment wrapText="1"/>
    </xf>
    <xf numFmtId="177" fontId="0" fillId="0" borderId="0" xfId="0" applyNumberFormat="1"/>
    <xf numFmtId="17" fontId="0" fillId="0" borderId="115" xfId="0" applyNumberFormat="1" applyBorder="1"/>
    <xf numFmtId="17" fontId="0" fillId="0" borderId="70" xfId="0" applyNumberFormat="1" applyBorder="1"/>
    <xf numFmtId="17" fontId="0" fillId="0" borderId="102" xfId="0" applyNumberFormat="1" applyBorder="1"/>
    <xf numFmtId="167" fontId="0" fillId="0" borderId="80" xfId="0" applyNumberFormat="1" applyBorder="1"/>
    <xf numFmtId="0" fontId="54" fillId="0" borderId="27" xfId="0" applyFont="1" applyBorder="1"/>
    <xf numFmtId="0" fontId="0" fillId="0" borderId="27" xfId="0" applyBorder="1"/>
    <xf numFmtId="0" fontId="0" fillId="0" borderId="29" xfId="0" applyBorder="1"/>
    <xf numFmtId="0" fontId="0" fillId="0" borderId="28" xfId="0" applyBorder="1"/>
    <xf numFmtId="0" fontId="9" fillId="0" borderId="17" xfId="0" applyFont="1" applyBorder="1"/>
    <xf numFmtId="0" fontId="7" fillId="0" borderId="64" xfId="12" applyBorder="1"/>
    <xf numFmtId="0" fontId="7" fillId="0" borderId="58" xfId="12" applyBorder="1"/>
    <xf numFmtId="2" fontId="0" fillId="0" borderId="72" xfId="0" applyNumberFormat="1" applyBorder="1"/>
    <xf numFmtId="2" fontId="7" fillId="0" borderId="64" xfId="12" applyNumberFormat="1" applyBorder="1"/>
    <xf numFmtId="2" fontId="0" fillId="0" borderId="64" xfId="0" applyNumberFormat="1" applyBorder="1"/>
    <xf numFmtId="2" fontId="0" fillId="0" borderId="76" xfId="0" applyNumberFormat="1" applyBorder="1"/>
    <xf numFmtId="2" fontId="7" fillId="0" borderId="0" xfId="12" applyNumberFormat="1"/>
    <xf numFmtId="2" fontId="0" fillId="0" borderId="0" xfId="0" applyNumberFormat="1"/>
    <xf numFmtId="2" fontId="58" fillId="0" borderId="0" xfId="12" applyNumberFormat="1" applyFont="1"/>
    <xf numFmtId="2" fontId="80" fillId="0" borderId="0" xfId="0" applyNumberFormat="1" applyFont="1"/>
    <xf numFmtId="2" fontId="41" fillId="0" borderId="76" xfId="0" applyNumberFormat="1" applyFont="1" applyBorder="1"/>
    <xf numFmtId="2" fontId="41" fillId="0" borderId="0" xfId="0" applyNumberFormat="1" applyFont="1"/>
    <xf numFmtId="2" fontId="9" fillId="0" borderId="0" xfId="0" applyNumberFormat="1" applyFont="1"/>
    <xf numFmtId="2" fontId="0" fillId="0" borderId="17" xfId="0" applyNumberFormat="1" applyBorder="1"/>
    <xf numFmtId="2" fontId="7" fillId="0" borderId="58" xfId="12" applyNumberFormat="1" applyBorder="1"/>
    <xf numFmtId="2" fontId="0" fillId="0" borderId="58" xfId="0" applyNumberFormat="1" applyBorder="1"/>
    <xf numFmtId="0" fontId="9" fillId="0" borderId="115" xfId="0" applyFont="1" applyBorder="1"/>
    <xf numFmtId="3" fontId="12" fillId="0" borderId="0" xfId="0" applyNumberFormat="1" applyFont="1"/>
    <xf numFmtId="0" fontId="32" fillId="18" borderId="199" xfId="3" applyFont="1" applyFill="1" applyBorder="1"/>
    <xf numFmtId="0" fontId="1" fillId="0" borderId="0" xfId="12" applyFont="1"/>
    <xf numFmtId="0" fontId="1" fillId="24" borderId="58" xfId="11" applyFont="1" applyFill="1" applyBorder="1"/>
    <xf numFmtId="0" fontId="1" fillId="0" borderId="76" xfId="12" applyFont="1" applyBorder="1"/>
    <xf numFmtId="0" fontId="33" fillId="18" borderId="199" xfId="3" applyFont="1" applyFill="1" applyBorder="1"/>
    <xf numFmtId="0" fontId="41" fillId="0" borderId="76" xfId="0" applyFont="1" applyBorder="1"/>
    <xf numFmtId="0" fontId="80" fillId="0" borderId="0" xfId="0" applyFont="1"/>
    <xf numFmtId="4" fontId="80" fillId="0" borderId="0" xfId="0" applyNumberFormat="1" applyFont="1"/>
    <xf numFmtId="2" fontId="26" fillId="0" borderId="0" xfId="12" applyNumberFormat="1" applyFont="1"/>
    <xf numFmtId="2" fontId="50" fillId="0" borderId="0" xfId="0" applyNumberFormat="1" applyFont="1"/>
    <xf numFmtId="0" fontId="41" fillId="0" borderId="63" xfId="0" applyFont="1" applyBorder="1"/>
    <xf numFmtId="2" fontId="7" fillId="0" borderId="72" xfId="12" applyNumberFormat="1" applyBorder="1"/>
    <xf numFmtId="2" fontId="7" fillId="0" borderId="76" xfId="12" applyNumberFormat="1" applyBorder="1"/>
    <xf numFmtId="2" fontId="58" fillId="0" borderId="76" xfId="12" applyNumberFormat="1" applyFont="1" applyBorder="1"/>
    <xf numFmtId="2" fontId="26" fillId="0" borderId="76" xfId="12" applyNumberFormat="1" applyFont="1" applyBorder="1"/>
    <xf numFmtId="2" fontId="7" fillId="0" borderId="17" xfId="12" applyNumberFormat="1" applyBorder="1"/>
    <xf numFmtId="0" fontId="81" fillId="0" borderId="0" xfId="0" applyFont="1"/>
    <xf numFmtId="0" fontId="1" fillId="0" borderId="64" xfId="12" applyFont="1" applyBorder="1"/>
    <xf numFmtId="0" fontId="58" fillId="0" borderId="63" xfId="12" applyFont="1" applyBorder="1"/>
    <xf numFmtId="0" fontId="7" fillId="0" borderId="17" xfId="12" applyBorder="1"/>
    <xf numFmtId="0" fontId="7" fillId="0" borderId="72" xfId="12" applyBorder="1"/>
    <xf numFmtId="0" fontId="7" fillId="0" borderId="74" xfId="12" applyBorder="1"/>
    <xf numFmtId="0" fontId="80" fillId="0" borderId="64" xfId="0" applyFont="1" applyBorder="1"/>
    <xf numFmtId="0" fontId="29" fillId="33" borderId="8" xfId="3" applyFill="1" applyBorder="1"/>
    <xf numFmtId="0" fontId="29" fillId="33" borderId="130" xfId="3" applyFill="1" applyBorder="1"/>
    <xf numFmtId="1" fontId="73" fillId="27" borderId="0" xfId="13" applyNumberFormat="1" applyFont="1" applyFill="1" applyAlignment="1">
      <alignment horizontal="right" wrapText="1"/>
    </xf>
    <xf numFmtId="1" fontId="29" fillId="33" borderId="8" xfId="3" applyNumberFormat="1" applyFill="1" applyBorder="1"/>
    <xf numFmtId="0" fontId="33" fillId="18" borderId="18" xfId="3" applyFont="1" applyFill="1" applyBorder="1"/>
    <xf numFmtId="0" fontId="29" fillId="18" borderId="77" xfId="3" applyFill="1" applyBorder="1"/>
    <xf numFmtId="0" fontId="29" fillId="18" borderId="15" xfId="3" applyFill="1" applyBorder="1"/>
    <xf numFmtId="4" fontId="55" fillId="34" borderId="0" xfId="13" applyNumberFormat="1" applyFont="1" applyFill="1" applyAlignment="1">
      <alignment horizontal="right" wrapText="1"/>
    </xf>
    <xf numFmtId="0" fontId="82" fillId="0" borderId="0" xfId="0" applyFont="1"/>
    <xf numFmtId="0" fontId="83" fillId="0" borderId="0" xfId="0" applyFont="1"/>
    <xf numFmtId="0" fontId="33" fillId="0" borderId="39" xfId="3" applyFont="1" applyBorder="1"/>
    <xf numFmtId="0" fontId="33" fillId="0" borderId="57" xfId="3" applyFont="1" applyBorder="1"/>
    <xf numFmtId="1" fontId="33" fillId="33" borderId="8" xfId="3" applyNumberFormat="1" applyFont="1" applyFill="1" applyBorder="1"/>
    <xf numFmtId="0" fontId="33" fillId="33" borderId="8" xfId="3" applyFont="1" applyFill="1" applyBorder="1"/>
    <xf numFmtId="168" fontId="29" fillId="0" borderId="21" xfId="3" applyNumberFormat="1" applyBorder="1"/>
    <xf numFmtId="1" fontId="29" fillId="0" borderId="21" xfId="3" applyNumberFormat="1" applyBorder="1"/>
    <xf numFmtId="0" fontId="29" fillId="18" borderId="0" xfId="3" applyFill="1"/>
    <xf numFmtId="0" fontId="29" fillId="33" borderId="209" xfId="3" applyFill="1" applyBorder="1"/>
    <xf numFmtId="0" fontId="29" fillId="33" borderId="210" xfId="3" applyFill="1" applyBorder="1"/>
    <xf numFmtId="0" fontId="29" fillId="33" borderId="211" xfId="3" applyFill="1" applyBorder="1"/>
    <xf numFmtId="0" fontId="54" fillId="5" borderId="0" xfId="0" applyFont="1" applyFill="1"/>
    <xf numFmtId="0" fontId="61" fillId="5" borderId="0" xfId="12" applyFont="1" applyFill="1"/>
    <xf numFmtId="0" fontId="84" fillId="35" borderId="0" xfId="0" applyFont="1" applyFill="1"/>
    <xf numFmtId="0" fontId="85" fillId="34" borderId="0" xfId="0" applyFont="1" applyFill="1"/>
    <xf numFmtId="3" fontId="80" fillId="0" borderId="0" xfId="0" applyNumberFormat="1" applyFont="1"/>
    <xf numFmtId="0" fontId="41" fillId="28" borderId="0" xfId="13" applyFont="1" applyFill="1" applyAlignment="1">
      <alignment wrapText="1"/>
    </xf>
    <xf numFmtId="0" fontId="41" fillId="27" borderId="0" xfId="13" applyFont="1" applyFill="1" applyAlignment="1">
      <alignment wrapText="1"/>
    </xf>
    <xf numFmtId="0" fontId="43" fillId="0" borderId="0" xfId="0" applyFont="1"/>
    <xf numFmtId="3" fontId="55" fillId="30" borderId="0" xfId="0" applyNumberFormat="1" applyFont="1" applyFill="1" applyAlignment="1">
      <alignment horizontal="right"/>
    </xf>
    <xf numFmtId="3" fontId="55" fillId="15" borderId="0" xfId="0" applyNumberFormat="1" applyFont="1" applyFill="1" applyAlignment="1">
      <alignment horizontal="right"/>
    </xf>
    <xf numFmtId="4" fontId="55" fillId="5" borderId="0" xfId="13" applyNumberFormat="1" applyFont="1" applyFill="1" applyAlignment="1">
      <alignment horizontal="right" wrapText="1"/>
    </xf>
    <xf numFmtId="3" fontId="55" fillId="0" borderId="0" xfId="0" applyNumberFormat="1" applyFont="1" applyAlignment="1">
      <alignment horizontal="right" vertical="center"/>
    </xf>
    <xf numFmtId="0" fontId="81" fillId="0" borderId="64" xfId="0" applyFont="1" applyBorder="1"/>
    <xf numFmtId="0" fontId="86" fillId="32" borderId="0" xfId="12" applyFont="1" applyFill="1" applyAlignment="1">
      <alignment horizontal="center" vertical="center" wrapText="1"/>
    </xf>
    <xf numFmtId="0" fontId="55" fillId="0" borderId="0" xfId="0" applyFont="1"/>
    <xf numFmtId="0" fontId="81" fillId="0" borderId="76" xfId="0" applyFont="1" applyBorder="1"/>
    <xf numFmtId="0" fontId="87" fillId="0" borderId="0" xfId="0" applyFont="1"/>
    <xf numFmtId="0" fontId="34" fillId="18" borderId="8" xfId="3" applyFont="1" applyFill="1" applyBorder="1"/>
    <xf numFmtId="0" fontId="78" fillId="0" borderId="0" xfId="0" applyFont="1"/>
    <xf numFmtId="0" fontId="83" fillId="0" borderId="64" xfId="0" applyFont="1" applyBorder="1"/>
    <xf numFmtId="0" fontId="88" fillId="0" borderId="0" xfId="0" applyFont="1"/>
    <xf numFmtId="2" fontId="9" fillId="0" borderId="64" xfId="0" applyNumberFormat="1" applyFont="1" applyBorder="1"/>
    <xf numFmtId="0" fontId="25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/>
    </xf>
    <xf numFmtId="0" fontId="23" fillId="0" borderId="29" xfId="0" applyFont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0" fontId="25" fillId="0" borderId="27" xfId="0" applyFont="1" applyBorder="1" applyAlignment="1">
      <alignment horizontal="center" vertical="center"/>
    </xf>
    <xf numFmtId="0" fontId="26" fillId="0" borderId="29" xfId="0" applyFont="1" applyBorder="1" applyAlignment="1">
      <alignment horizontal="center" vertical="center"/>
    </xf>
    <xf numFmtId="0" fontId="29" fillId="5" borderId="72" xfId="3" applyFill="1" applyBorder="1" applyAlignment="1">
      <alignment horizontal="center" wrapText="1"/>
    </xf>
    <xf numFmtId="0" fontId="29" fillId="5" borderId="64" xfId="3" applyFill="1" applyBorder="1" applyAlignment="1">
      <alignment horizontal="center" wrapText="1"/>
    </xf>
    <xf numFmtId="0" fontId="29" fillId="5" borderId="74" xfId="3" applyFill="1" applyBorder="1" applyAlignment="1">
      <alignment horizontal="center" wrapText="1"/>
    </xf>
    <xf numFmtId="0" fontId="29" fillId="5" borderId="17" xfId="3" applyFill="1" applyBorder="1" applyAlignment="1">
      <alignment horizontal="center" wrapText="1"/>
    </xf>
    <xf numFmtId="0" fontId="29" fillId="5" borderId="58" xfId="3" applyFill="1" applyBorder="1" applyAlignment="1">
      <alignment horizontal="center" wrapText="1"/>
    </xf>
    <xf numFmtId="0" fontId="29" fillId="5" borderId="75" xfId="3" applyFill="1" applyBorder="1" applyAlignment="1">
      <alignment horizontal="center" wrapText="1"/>
    </xf>
  </cellXfs>
  <cellStyles count="18">
    <cellStyle name="Bad" xfId="2" builtinId="27"/>
    <cellStyle name="Comma 2" xfId="7" xr:uid="{00000000-0005-0000-0000-000001000000}"/>
    <cellStyle name="Currency 2" xfId="4" xr:uid="{00000000-0005-0000-0000-000002000000}"/>
    <cellStyle name="Normal" xfId="0" builtinId="0"/>
    <cellStyle name="Normal 10" xfId="13" xr:uid="{00000000-0005-0000-0000-000004000000}"/>
    <cellStyle name="Normal 11" xfId="14" xr:uid="{00000000-0005-0000-0000-000005000000}"/>
    <cellStyle name="Normal 12" xfId="15" xr:uid="{00000000-0005-0000-0000-000006000000}"/>
    <cellStyle name="Normal 13" xfId="16" xr:uid="{00000000-0005-0000-0000-000007000000}"/>
    <cellStyle name="Normal 14" xfId="17" xr:uid="{00000000-0005-0000-0000-000008000000}"/>
    <cellStyle name="Normal 2" xfId="3" xr:uid="{00000000-0005-0000-0000-000009000000}"/>
    <cellStyle name="Normal 3" xfId="5" xr:uid="{00000000-0005-0000-0000-00000A000000}"/>
    <cellStyle name="Normal 4" xfId="6" xr:uid="{00000000-0005-0000-0000-00000B000000}"/>
    <cellStyle name="Normal 5" xfId="8" xr:uid="{00000000-0005-0000-0000-00000C000000}"/>
    <cellStyle name="Normal 6" xfId="9" xr:uid="{00000000-0005-0000-0000-00000D000000}"/>
    <cellStyle name="Normal 7" xfId="10" xr:uid="{00000000-0005-0000-0000-00000E000000}"/>
    <cellStyle name="Normal 8" xfId="11" xr:uid="{00000000-0005-0000-0000-00000F000000}"/>
    <cellStyle name="Normal 9" xfId="12" xr:uid="{00000000-0005-0000-0000-000010000000}"/>
    <cellStyle name="Percent" xfId="1" builtinId="5"/>
  </cellStyles>
  <dxfs count="115">
    <dxf>
      <numFmt numFmtId="0" formatCode="General"/>
      <border diagonalUp="0" diagonalDown="0">
        <top/>
        <bottom/>
        <horizontal/>
      </border>
    </dxf>
    <dxf>
      <border diagonalUp="0" diagonalDown="0" outline="0">
        <left style="medium">
          <color auto="1"/>
        </left>
        <right/>
        <top/>
        <bottom/>
      </border>
    </dxf>
    <dxf>
      <numFmt numFmtId="0" formatCode="General"/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numFmt numFmtId="0" formatCode="General"/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>
        <left style="medium">
          <color indexed="64"/>
        </left>
        <top/>
        <bottom/>
        <horizontal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rgb="FFFFC000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rgb="FFFFC000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alignment horizontal="right" vertical="center" textRotation="0" wrapText="0" indent="0" justifyLastLine="0" shrinkToFit="0" readingOrder="0"/>
      <border diagonalUp="0" diagonalDown="0">
        <left/>
        <right/>
        <top style="dotted">
          <color indexed="64"/>
        </top>
        <bottom style="dotted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alignment horizontal="right" vertical="center" textRotation="0" wrapText="0" indent="0" justifyLastLine="0" shrinkToFit="0" readingOrder="0"/>
      <border diagonalUp="0" diagonalDown="0">
        <left/>
        <right/>
        <top style="dotted">
          <color indexed="64"/>
        </top>
        <bottom style="dotted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alignment horizontal="right" vertical="center" textRotation="0" wrapText="0" indent="0" justifyLastLine="0" shrinkToFit="0" readingOrder="0"/>
      <border diagonalUp="0" diagonalDown="0">
        <left/>
        <right style="medium">
          <color indexed="64"/>
        </right>
        <top style="dotted">
          <color indexed="64"/>
        </top>
        <bottom style="dotted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 style="dotted">
          <color indexed="64"/>
        </top>
        <bottom style="dotted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rgb="FFFFC000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dotted">
          <color indexed="64"/>
        </top>
        <bottom style="dotted">
          <color indexed="64"/>
        </bottom>
        <vertical/>
        <horizontal/>
      </border>
    </dxf>
    <dxf>
      <fill>
        <patternFill patternType="solid">
          <fgColor indexed="64"/>
          <bgColor rgb="FFFFC000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0" formatCode="General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sz val="11"/>
        <color theme="1"/>
        <name val="Calibri"/>
      </font>
      <numFmt numFmtId="22" formatCode="mmm\-yy"/>
      <alignment horizontal="general" vertical="center" textRotation="0" wrapText="0" indent="0" justifyLastLine="0" shrinkToFit="0" readingOrder="0"/>
      <border diagonalUp="0" diagonalDown="0">
        <left/>
        <right style="dotted">
          <color indexed="64"/>
        </right>
        <top/>
        <bottom style="dotted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9" defaultPivotStyle="PivotStyleLight16"/>
  <colors>
    <mruColors>
      <color rgb="FFF20E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5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Total Energy Consumption Breakdown</a:t>
            </a:r>
            <a:r>
              <a:rPr lang="en-NZ" baseline="0"/>
              <a:t> over Time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843392555145382"/>
          <c:y val="0.14523417935806143"/>
          <c:w val="0.6559301218987349"/>
          <c:h val="0.75050024087640732"/>
        </c:manualLayout>
      </c:layout>
      <c:lineChart>
        <c:grouping val="standard"/>
        <c:varyColors val="0"/>
        <c:ser>
          <c:idx val="0"/>
          <c:order val="0"/>
          <c:tx>
            <c:strRef>
              <c:f>'Stream Elec Data'!$CL$1</c:f>
              <c:strCache>
                <c:ptCount val="1"/>
                <c:pt idx="0">
                  <c:v>Total Stream DN Electricity - kWh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'Stream Elec Data'!$A$2:$A$53</c:f>
              <c:numCache>
                <c:formatCode>mmm\-yy</c:formatCode>
                <c:ptCount val="5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  <c:pt idx="36">
                  <c:v>45658</c:v>
                </c:pt>
                <c:pt idx="37">
                  <c:v>45689</c:v>
                </c:pt>
                <c:pt idx="38">
                  <c:v>45717</c:v>
                </c:pt>
                <c:pt idx="39">
                  <c:v>45748</c:v>
                </c:pt>
                <c:pt idx="40">
                  <c:v>45778</c:v>
                </c:pt>
                <c:pt idx="41">
                  <c:v>45809</c:v>
                </c:pt>
                <c:pt idx="42">
                  <c:v>45839</c:v>
                </c:pt>
                <c:pt idx="43">
                  <c:v>45870</c:v>
                </c:pt>
                <c:pt idx="44">
                  <c:v>45901</c:v>
                </c:pt>
                <c:pt idx="45">
                  <c:v>45931</c:v>
                </c:pt>
                <c:pt idx="46">
                  <c:v>45962</c:v>
                </c:pt>
                <c:pt idx="47">
                  <c:v>45992</c:v>
                </c:pt>
              </c:numCache>
            </c:numRef>
          </c:cat>
          <c:val>
            <c:numRef>
              <c:f>'Stream Elec Data'!$CL$2:$CL$53</c:f>
              <c:numCache>
                <c:formatCode>General</c:formatCode>
                <c:ptCount val="52"/>
                <c:pt idx="0">
                  <c:v>2666022.7849999997</c:v>
                </c:pt>
                <c:pt idx="1">
                  <c:v>2702224.6270000017</c:v>
                </c:pt>
                <c:pt idx="2">
                  <c:v>3254557.8309999998</c:v>
                </c:pt>
                <c:pt idx="3">
                  <c:v>3125000.171000001</c:v>
                </c:pt>
                <c:pt idx="4">
                  <c:v>3683255.3739999998</c:v>
                </c:pt>
                <c:pt idx="5">
                  <c:v>3728325.0130000007</c:v>
                </c:pt>
                <c:pt idx="6">
                  <c:v>3901568.8609999996</c:v>
                </c:pt>
                <c:pt idx="7">
                  <c:v>3866309.0009999992</c:v>
                </c:pt>
                <c:pt idx="8">
                  <c:v>3591847.2549999999</c:v>
                </c:pt>
                <c:pt idx="9">
                  <c:v>3513574.2259999998</c:v>
                </c:pt>
                <c:pt idx="10">
                  <c:v>2813819.284</c:v>
                </c:pt>
                <c:pt idx="11">
                  <c:v>2495401.838</c:v>
                </c:pt>
                <c:pt idx="12">
                  <c:v>2527644.9279999998</c:v>
                </c:pt>
                <c:pt idx="13">
                  <c:v>2637154.7969999998</c:v>
                </c:pt>
                <c:pt idx="14">
                  <c:v>3261550.0599999996</c:v>
                </c:pt>
                <c:pt idx="15">
                  <c:v>3097949.9780000011</c:v>
                </c:pt>
                <c:pt idx="16">
                  <c:v>3572115.456999999</c:v>
                </c:pt>
                <c:pt idx="17">
                  <c:v>3504665.0579999997</c:v>
                </c:pt>
                <c:pt idx="18">
                  <c:v>3690040.8559999997</c:v>
                </c:pt>
                <c:pt idx="19">
                  <c:v>3917122.9559999998</c:v>
                </c:pt>
                <c:pt idx="20">
                  <c:v>3464517.7850000001</c:v>
                </c:pt>
                <c:pt idx="21">
                  <c:v>3420999.4760000007</c:v>
                </c:pt>
                <c:pt idx="22">
                  <c:v>2868989.8370000003</c:v>
                </c:pt>
                <c:pt idx="23">
                  <c:v>2535856.341</c:v>
                </c:pt>
                <c:pt idx="24">
                  <c:v>2616949.6779999998</c:v>
                </c:pt>
                <c:pt idx="25">
                  <c:v>2684761.93</c:v>
                </c:pt>
                <c:pt idx="26">
                  <c:v>3158657.9399999995</c:v>
                </c:pt>
                <c:pt idx="27">
                  <c:v>3183011.8870000001</c:v>
                </c:pt>
                <c:pt idx="28">
                  <c:v>3794274.7139999992</c:v>
                </c:pt>
                <c:pt idx="29">
                  <c:v>3441555.9380000005</c:v>
                </c:pt>
                <c:pt idx="30">
                  <c:v>3693138.2340000011</c:v>
                </c:pt>
                <c:pt idx="31">
                  <c:v>3778698.9109999998</c:v>
                </c:pt>
                <c:pt idx="32">
                  <c:v>3406716.1349999998</c:v>
                </c:pt>
                <c:pt idx="33">
                  <c:v>3410971.4989999998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7F-4038-B5BE-AEF78F149382}"/>
            </c:ext>
          </c:extLst>
        </c:ser>
        <c:ser>
          <c:idx val="1"/>
          <c:order val="1"/>
          <c:tx>
            <c:strRef>
              <c:f>'Energy Total Dashboard'!$C$101</c:f>
              <c:strCache>
                <c:ptCount val="1"/>
                <c:pt idx="0">
                  <c:v>MTHW - kWh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'Energy Total Dashboard'!$C$102:$C$129</c:f>
              <c:numCache>
                <c:formatCode>#,##0</c:formatCode>
                <c:ptCount val="28"/>
                <c:pt idx="0">
                  <c:v>882860</c:v>
                </c:pt>
                <c:pt idx="1">
                  <c:v>886950</c:v>
                </c:pt>
                <c:pt idx="2">
                  <c:v>1057320</c:v>
                </c:pt>
                <c:pt idx="3">
                  <c:v>1390460</c:v>
                </c:pt>
                <c:pt idx="4">
                  <c:v>1902630</c:v>
                </c:pt>
                <c:pt idx="5">
                  <c:v>2352150</c:v>
                </c:pt>
                <c:pt idx="6">
                  <c:v>2631050</c:v>
                </c:pt>
                <c:pt idx="7">
                  <c:v>2193547</c:v>
                </c:pt>
                <c:pt idx="8">
                  <c:v>2084430</c:v>
                </c:pt>
                <c:pt idx="9">
                  <c:v>2046890</c:v>
                </c:pt>
                <c:pt idx="10">
                  <c:v>1236867</c:v>
                </c:pt>
                <c:pt idx="11">
                  <c:v>536240</c:v>
                </c:pt>
                <c:pt idx="12">
                  <c:v>806188</c:v>
                </c:pt>
                <c:pt idx="13">
                  <c:v>784246</c:v>
                </c:pt>
                <c:pt idx="14">
                  <c:v>1242068</c:v>
                </c:pt>
                <c:pt idx="15">
                  <c:v>1582880</c:v>
                </c:pt>
                <c:pt idx="16">
                  <c:v>1867226</c:v>
                </c:pt>
                <c:pt idx="17">
                  <c:v>2183608</c:v>
                </c:pt>
                <c:pt idx="18">
                  <c:v>2485373</c:v>
                </c:pt>
                <c:pt idx="19">
                  <c:v>2752910</c:v>
                </c:pt>
                <c:pt idx="20">
                  <c:v>2255240</c:v>
                </c:pt>
                <c:pt idx="21">
                  <c:v>2023701</c:v>
                </c:pt>
                <c:pt idx="22">
                  <c:v>1275338</c:v>
                </c:pt>
                <c:pt idx="23">
                  <c:v>1220450</c:v>
                </c:pt>
                <c:pt idx="24">
                  <c:v>1090082</c:v>
                </c:pt>
                <c:pt idx="25">
                  <c:v>1215228</c:v>
                </c:pt>
                <c:pt idx="26">
                  <c:v>1750460</c:v>
                </c:pt>
                <c:pt idx="27">
                  <c:v>1903140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7F-4038-B5BE-AEF78F149382}"/>
            </c:ext>
          </c:extLst>
        </c:ser>
        <c:ser>
          <c:idx val="2"/>
          <c:order val="2"/>
          <c:tx>
            <c:strRef>
              <c:f>'Energy Total Dashboard'!$D$101</c:f>
              <c:strCache>
                <c:ptCount val="1"/>
                <c:pt idx="0">
                  <c:v>Steam - kWh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'Energy Total Dashboard'!$D$102:$D$129</c:f>
              <c:numCache>
                <c:formatCode>General</c:formatCode>
                <c:ptCount val="28"/>
                <c:pt idx="0">
                  <c:v>603729.25423728814</c:v>
                </c:pt>
                <c:pt idx="1">
                  <c:v>466066.30508474575</c:v>
                </c:pt>
                <c:pt idx="2">
                  <c:v>544021.83050847461</c:v>
                </c:pt>
                <c:pt idx="3">
                  <c:v>882966.83050847461</c:v>
                </c:pt>
                <c:pt idx="4">
                  <c:v>1063783.3559322034</c:v>
                </c:pt>
                <c:pt idx="5">
                  <c:v>1207140.3559322034</c:v>
                </c:pt>
                <c:pt idx="6">
                  <c:v>1660269.7118644067</c:v>
                </c:pt>
                <c:pt idx="7">
                  <c:v>1074892.8305084745</c:v>
                </c:pt>
                <c:pt idx="8">
                  <c:v>1174694.6440677966</c:v>
                </c:pt>
                <c:pt idx="9">
                  <c:v>1201203.9661016949</c:v>
                </c:pt>
                <c:pt idx="10">
                  <c:v>845178.57627118647</c:v>
                </c:pt>
                <c:pt idx="11">
                  <c:v>798710.23728813557</c:v>
                </c:pt>
                <c:pt idx="12">
                  <c:v>552945.52542372886</c:v>
                </c:pt>
                <c:pt idx="13">
                  <c:v>550772.83050847461</c:v>
                </c:pt>
                <c:pt idx="14">
                  <c:v>682615.3898305085</c:v>
                </c:pt>
                <c:pt idx="15">
                  <c:v>768727.6101694915</c:v>
                </c:pt>
                <c:pt idx="16">
                  <c:v>984561.98305084743</c:v>
                </c:pt>
                <c:pt idx="17">
                  <c:v>1115680.7627118644</c:v>
                </c:pt>
                <c:pt idx="18">
                  <c:v>1372038.440677966</c:v>
                </c:pt>
                <c:pt idx="19">
                  <c:v>1403867.1016949152</c:v>
                </c:pt>
                <c:pt idx="20">
                  <c:v>1148142.3898305085</c:v>
                </c:pt>
                <c:pt idx="21">
                  <c:v>947406.15254237293</c:v>
                </c:pt>
                <c:pt idx="22">
                  <c:v>873028.93220338982</c:v>
                </c:pt>
                <c:pt idx="23">
                  <c:v>473948.98305084748</c:v>
                </c:pt>
                <c:pt idx="24">
                  <c:v>795980.10169491521</c:v>
                </c:pt>
                <c:pt idx="25">
                  <c:v>599494.6610169491</c:v>
                </c:pt>
                <c:pt idx="26">
                  <c:v>897756.08474576275</c:v>
                </c:pt>
                <c:pt idx="27">
                  <c:v>847275.3389830509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7F-4038-B5BE-AEF78F149382}"/>
            </c:ext>
          </c:extLst>
        </c:ser>
        <c:ser>
          <c:idx val="3"/>
          <c:order val="3"/>
          <c:tx>
            <c:strRef>
              <c:f>'Energy Total Dashboard'!$E$101</c:f>
              <c:strCache>
                <c:ptCount val="1"/>
                <c:pt idx="0">
                  <c:v>LPG - kWh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'Energy Total Dashboard'!$E$102:$E$128</c:f>
              <c:numCache>
                <c:formatCode>General</c:formatCode>
                <c:ptCount val="27"/>
                <c:pt idx="0">
                  <c:v>669921.21849999996</c:v>
                </c:pt>
                <c:pt idx="1">
                  <c:v>549042.19999999995</c:v>
                </c:pt>
                <c:pt idx="2">
                  <c:v>869793.18499999994</c:v>
                </c:pt>
                <c:pt idx="3">
                  <c:v>815919.24999999988</c:v>
                </c:pt>
                <c:pt idx="4">
                  <c:v>279539.58499999996</c:v>
                </c:pt>
                <c:pt idx="5">
                  <c:v>883319.82999999984</c:v>
                </c:pt>
                <c:pt idx="6">
                  <c:v>1075351.6599999997</c:v>
                </c:pt>
                <c:pt idx="7">
                  <c:v>886244.50999999989</c:v>
                </c:pt>
                <c:pt idx="8">
                  <c:v>846960.73999999987</c:v>
                </c:pt>
                <c:pt idx="9">
                  <c:v>680250.65649999992</c:v>
                </c:pt>
                <c:pt idx="10">
                  <c:v>452780.3459999999</c:v>
                </c:pt>
                <c:pt idx="11">
                  <c:v>847352.91299999994</c:v>
                </c:pt>
                <c:pt idx="12">
                  <c:v>446711.63499999995</c:v>
                </c:pt>
                <c:pt idx="13">
                  <c:v>397527.15850000002</c:v>
                </c:pt>
                <c:pt idx="14">
                  <c:v>474077.33399999992</c:v>
                </c:pt>
                <c:pt idx="15">
                  <c:v>608934.99349999998</c:v>
                </c:pt>
                <c:pt idx="16">
                  <c:v>561747.94049999991</c:v>
                </c:pt>
                <c:pt idx="17">
                  <c:v>732057.37449999992</c:v>
                </c:pt>
                <c:pt idx="18">
                  <c:v>701663.96699999983</c:v>
                </c:pt>
                <c:pt idx="19">
                  <c:v>1143058.0019999996</c:v>
                </c:pt>
                <c:pt idx="20">
                  <c:v>675640.96199999994</c:v>
                </c:pt>
                <c:pt idx="21">
                  <c:v>663732.8615</c:v>
                </c:pt>
                <c:pt idx="22">
                  <c:v>654546.7074999999</c:v>
                </c:pt>
                <c:pt idx="23">
                  <c:v>573519.77749999997</c:v>
                </c:pt>
                <c:pt idx="24">
                  <c:v>260482</c:v>
                </c:pt>
                <c:pt idx="25">
                  <c:v>189425</c:v>
                </c:pt>
                <c:pt idx="26">
                  <c:v>213297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3-49D1-B510-3BB3BB419AE3}"/>
            </c:ext>
          </c:extLst>
        </c:ser>
        <c:ser>
          <c:idx val="4"/>
          <c:order val="4"/>
          <c:tx>
            <c:strRef>
              <c:f>'Energy Total Dashboard'!$F$101</c:f>
              <c:strCache>
                <c:ptCount val="1"/>
                <c:pt idx="0">
                  <c:v>Woodchip/ Pellet - kWh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'Energy Total Dashboard'!$F$102:$F$129</c:f>
              <c:numCache>
                <c:formatCode>General</c:formatCode>
                <c:ptCount val="28"/>
                <c:pt idx="0">
                  <c:v>73770</c:v>
                </c:pt>
                <c:pt idx="1">
                  <c:v>121570</c:v>
                </c:pt>
                <c:pt idx="2">
                  <c:v>189279.99999999994</c:v>
                </c:pt>
                <c:pt idx="3">
                  <c:v>188230.00000000006</c:v>
                </c:pt>
                <c:pt idx="4">
                  <c:v>453950</c:v>
                </c:pt>
                <c:pt idx="5">
                  <c:v>588900</c:v>
                </c:pt>
                <c:pt idx="6">
                  <c:v>739710</c:v>
                </c:pt>
                <c:pt idx="7">
                  <c:v>618090</c:v>
                </c:pt>
                <c:pt idx="8">
                  <c:v>595810.00000000012</c:v>
                </c:pt>
                <c:pt idx="9">
                  <c:v>482949.99999999983</c:v>
                </c:pt>
                <c:pt idx="10">
                  <c:v>208940.00000000006</c:v>
                </c:pt>
                <c:pt idx="11">
                  <c:v>101410</c:v>
                </c:pt>
                <c:pt idx="12">
                  <c:v>77200</c:v>
                </c:pt>
                <c:pt idx="13">
                  <c:v>77090</c:v>
                </c:pt>
                <c:pt idx="14">
                  <c:v>233829.99999999994</c:v>
                </c:pt>
                <c:pt idx="15">
                  <c:v>317630.00000000006</c:v>
                </c:pt>
                <c:pt idx="16">
                  <c:v>526130</c:v>
                </c:pt>
                <c:pt idx="17">
                  <c:v>580910</c:v>
                </c:pt>
                <c:pt idx="18">
                  <c:v>727620</c:v>
                </c:pt>
                <c:pt idx="19">
                  <c:v>697410</c:v>
                </c:pt>
                <c:pt idx="20">
                  <c:v>504840.00000000012</c:v>
                </c:pt>
                <c:pt idx="21">
                  <c:v>422519.99999999983</c:v>
                </c:pt>
                <c:pt idx="22">
                  <c:v>264180.00000000006</c:v>
                </c:pt>
                <c:pt idx="23">
                  <c:v>51500</c:v>
                </c:pt>
                <c:pt idx="24">
                  <c:v>29110</c:v>
                </c:pt>
                <c:pt idx="25">
                  <c:v>52424.97</c:v>
                </c:pt>
                <c:pt idx="26">
                  <c:v>223873.6</c:v>
                </c:pt>
                <c:pt idx="27">
                  <c:v>301485.38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0-4049-BA65-07EBDFE347F6}"/>
            </c:ext>
          </c:extLst>
        </c:ser>
        <c:ser>
          <c:idx val="5"/>
          <c:order val="5"/>
          <c:tx>
            <c:strRef>
              <c:f>'Energy Total Dashboard'!$G$101</c:f>
              <c:strCache>
                <c:ptCount val="1"/>
                <c:pt idx="0">
                  <c:v>Solar - kWh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'Energy Total Dashboard'!$G$102:$G$129</c:f>
              <c:numCache>
                <c:formatCode>General</c:formatCode>
                <c:ptCount val="28"/>
                <c:pt idx="0">
                  <c:v>1</c:v>
                </c:pt>
                <c:pt idx="1">
                  <c:v>3567</c:v>
                </c:pt>
                <c:pt idx="2">
                  <c:v>4668</c:v>
                </c:pt>
                <c:pt idx="3">
                  <c:v>2995</c:v>
                </c:pt>
                <c:pt idx="4">
                  <c:v>1812</c:v>
                </c:pt>
                <c:pt idx="5">
                  <c:v>1026</c:v>
                </c:pt>
                <c:pt idx="6">
                  <c:v>1045</c:v>
                </c:pt>
                <c:pt idx="7">
                  <c:v>2329</c:v>
                </c:pt>
                <c:pt idx="8">
                  <c:v>2446</c:v>
                </c:pt>
                <c:pt idx="9">
                  <c:v>2974.1999999999971</c:v>
                </c:pt>
                <c:pt idx="10">
                  <c:v>2258.1000000000058</c:v>
                </c:pt>
                <c:pt idx="11">
                  <c:v>2277.1999999999971</c:v>
                </c:pt>
                <c:pt idx="12">
                  <c:v>1532.1000000000058</c:v>
                </c:pt>
                <c:pt idx="13">
                  <c:v>1595.8999999999942</c:v>
                </c:pt>
                <c:pt idx="14">
                  <c:v>2520</c:v>
                </c:pt>
                <c:pt idx="15">
                  <c:v>2848.8000000000029</c:v>
                </c:pt>
                <c:pt idx="16">
                  <c:v>1524.1999999999971</c:v>
                </c:pt>
                <c:pt idx="17">
                  <c:v>913.5</c:v>
                </c:pt>
                <c:pt idx="18">
                  <c:v>1047.3000000000029</c:v>
                </c:pt>
                <c:pt idx="19">
                  <c:v>1707</c:v>
                </c:pt>
                <c:pt idx="20">
                  <c:v>2564.0999999999913</c:v>
                </c:pt>
                <c:pt idx="21">
                  <c:v>3162</c:v>
                </c:pt>
                <c:pt idx="22">
                  <c:v>2243.6000000000058</c:v>
                </c:pt>
                <c:pt idx="23">
                  <c:v>1694.5</c:v>
                </c:pt>
                <c:pt idx="24">
                  <c:v>2205.8000000000029</c:v>
                </c:pt>
                <c:pt idx="25">
                  <c:v>2693.5</c:v>
                </c:pt>
                <c:pt idx="26">
                  <c:v>2360.6000000000058</c:v>
                </c:pt>
                <c:pt idx="27">
                  <c:v>1622.1999999999971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9E-434B-ABA3-11CA263B2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74905400"/>
        <c:axId val="-1674904248"/>
        <c:extLst/>
      </c:lineChart>
      <c:dateAx>
        <c:axId val="-167490540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904248"/>
        <c:crosses val="autoZero"/>
        <c:auto val="1"/>
        <c:lblOffset val="100"/>
        <c:baseTimeUnit val="months"/>
      </c:dateAx>
      <c:valAx>
        <c:axId val="-167490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90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2519563872284676E-2"/>
          <c:y val="0.13673628652455391"/>
          <c:w val="0.21285090152374486"/>
          <c:h val="0.303814730956764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Total Electricity Consumption Breakdown</a:t>
            </a:r>
            <a:r>
              <a:rPr lang="en-NZ" baseline="0"/>
              <a:t> over Time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9962015617613"/>
          <c:y val="0.14523417935806143"/>
          <c:w val="0.61052966205311299"/>
          <c:h val="0.75050024087640732"/>
        </c:manualLayout>
      </c:layout>
      <c:lineChart>
        <c:grouping val="standard"/>
        <c:varyColors val="0"/>
        <c:ser>
          <c:idx val="0"/>
          <c:order val="0"/>
          <c:tx>
            <c:strRef>
              <c:f>'Stream Elec Data'!$CL$1</c:f>
              <c:strCache>
                <c:ptCount val="1"/>
                <c:pt idx="0">
                  <c:v>Total Stream DN Electricity - kWh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'Stream Elec Data'!$A$2:$A$32</c:f>
              <c:numCache>
                <c:formatCode>mmm\-yy</c:formatCode>
                <c:ptCount val="31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</c:numCache>
            </c:numRef>
          </c:cat>
          <c:val>
            <c:numRef>
              <c:f>'Stream Elec Data'!$CL$2:$CL$32</c:f>
              <c:numCache>
                <c:formatCode>General</c:formatCode>
                <c:ptCount val="31"/>
                <c:pt idx="0">
                  <c:v>2666022.7849999997</c:v>
                </c:pt>
                <c:pt idx="1">
                  <c:v>2702224.6270000017</c:v>
                </c:pt>
                <c:pt idx="2">
                  <c:v>3254557.8309999998</c:v>
                </c:pt>
                <c:pt idx="3">
                  <c:v>3125000.171000001</c:v>
                </c:pt>
                <c:pt idx="4">
                  <c:v>3683255.3739999998</c:v>
                </c:pt>
                <c:pt idx="5">
                  <c:v>3728325.0130000007</c:v>
                </c:pt>
                <c:pt idx="6">
                  <c:v>3901568.8609999996</c:v>
                </c:pt>
                <c:pt idx="7">
                  <c:v>3866309.0009999992</c:v>
                </c:pt>
                <c:pt idx="8">
                  <c:v>3591847.2549999999</c:v>
                </c:pt>
                <c:pt idx="9">
                  <c:v>3513574.2259999998</c:v>
                </c:pt>
                <c:pt idx="10">
                  <c:v>2813819.284</c:v>
                </c:pt>
                <c:pt idx="11">
                  <c:v>2495401.838</c:v>
                </c:pt>
                <c:pt idx="12">
                  <c:v>2527644.9279999998</c:v>
                </c:pt>
                <c:pt idx="13">
                  <c:v>2637154.7969999998</c:v>
                </c:pt>
                <c:pt idx="14">
                  <c:v>3261550.0599999996</c:v>
                </c:pt>
                <c:pt idx="15">
                  <c:v>3097949.9780000011</c:v>
                </c:pt>
                <c:pt idx="16">
                  <c:v>3572115.456999999</c:v>
                </c:pt>
                <c:pt idx="17">
                  <c:v>3504665.0579999997</c:v>
                </c:pt>
                <c:pt idx="18">
                  <c:v>3690040.8559999997</c:v>
                </c:pt>
                <c:pt idx="19">
                  <c:v>3917122.9559999998</c:v>
                </c:pt>
                <c:pt idx="20">
                  <c:v>3464517.7850000001</c:v>
                </c:pt>
                <c:pt idx="21">
                  <c:v>3420999.4760000007</c:v>
                </c:pt>
                <c:pt idx="22">
                  <c:v>2868989.8370000003</c:v>
                </c:pt>
                <c:pt idx="23">
                  <c:v>2535856.341</c:v>
                </c:pt>
                <c:pt idx="24">
                  <c:v>2616949.6779999998</c:v>
                </c:pt>
                <c:pt idx="25">
                  <c:v>2684761.93</c:v>
                </c:pt>
                <c:pt idx="26">
                  <c:v>3158657.9399999995</c:v>
                </c:pt>
                <c:pt idx="27">
                  <c:v>3183011.8870000001</c:v>
                </c:pt>
                <c:pt idx="28">
                  <c:v>3794274.7139999992</c:v>
                </c:pt>
                <c:pt idx="29">
                  <c:v>3441555.9380000005</c:v>
                </c:pt>
                <c:pt idx="30">
                  <c:v>3693138.2340000011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45-4AAA-ADD6-8E77B7B2914F}"/>
            </c:ext>
          </c:extLst>
        </c:ser>
        <c:ser>
          <c:idx val="1"/>
          <c:order val="1"/>
          <c:tx>
            <c:strRef>
              <c:f>'(Not in Use) TOU electricity'!$C$46</c:f>
              <c:strCache>
                <c:ptCount val="1"/>
                <c:pt idx="0">
                  <c:v>Total TOU Electricity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'(Not in Use) TOU electricity'!$H$46:$AR$46</c:f>
              <c:numCache>
                <c:formatCode>0</c:formatCode>
                <c:ptCount val="37"/>
                <c:pt idx="0">
                  <c:v>3648214.8</c:v>
                </c:pt>
                <c:pt idx="1">
                  <c:v>2821222.8099999996</c:v>
                </c:pt>
                <c:pt idx="2">
                  <c:v>2708011.86</c:v>
                </c:pt>
                <c:pt idx="3">
                  <c:v>2691085.02</c:v>
                </c:pt>
                <c:pt idx="4">
                  <c:v>2708855.8800000004</c:v>
                </c:pt>
                <c:pt idx="5">
                  <c:v>3397934.2100000004</c:v>
                </c:pt>
                <c:pt idx="6">
                  <c:v>3294163.76</c:v>
                </c:pt>
                <c:pt idx="7">
                  <c:v>3887655.05</c:v>
                </c:pt>
                <c:pt idx="8">
                  <c:v>3804518.64</c:v>
                </c:pt>
                <c:pt idx="9">
                  <c:v>3923551.8500000006</c:v>
                </c:pt>
                <c:pt idx="10">
                  <c:v>3578280.86</c:v>
                </c:pt>
                <c:pt idx="11">
                  <c:v>3379550.0700000003</c:v>
                </c:pt>
                <c:pt idx="12">
                  <c:v>3439563.28</c:v>
                </c:pt>
                <c:pt idx="13">
                  <c:v>2936468.55</c:v>
                </c:pt>
                <c:pt idx="14">
                  <c:v>1771673.6999999997</c:v>
                </c:pt>
                <c:pt idx="15">
                  <c:v>2503161.6600000011</c:v>
                </c:pt>
                <c:pt idx="16">
                  <c:v>2622902.63</c:v>
                </c:pt>
                <c:pt idx="17">
                  <c:v>2222943.1599999997</c:v>
                </c:pt>
                <c:pt idx="18">
                  <c:v>3173309.0699999994</c:v>
                </c:pt>
                <c:pt idx="19">
                  <c:v>3512578.09</c:v>
                </c:pt>
                <c:pt idx="20">
                  <c:v>3634645.2700000005</c:v>
                </c:pt>
                <c:pt idx="21">
                  <c:v>3810368.2800000003</c:v>
                </c:pt>
                <c:pt idx="22">
                  <c:v>2661204.2799999993</c:v>
                </c:pt>
                <c:pt idx="23">
                  <c:v>3517999.08</c:v>
                </c:pt>
                <c:pt idx="24">
                  <c:v>3450836.7299999995</c:v>
                </c:pt>
                <c:pt idx="25">
                  <c:v>2619587.4300000002</c:v>
                </c:pt>
                <c:pt idx="26">
                  <c:v>2335104.5900000003</c:v>
                </c:pt>
                <c:pt idx="27">
                  <c:v>2472892.4299999997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5D-44B5-9B54-BEAF7AB8F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74905400"/>
        <c:axId val="-1674904248"/>
        <c:extLst/>
      </c:lineChart>
      <c:dateAx>
        <c:axId val="-167490540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904248"/>
        <c:crosses val="autoZero"/>
        <c:auto val="1"/>
        <c:lblOffset val="100"/>
        <c:baseTimeUnit val="months"/>
      </c:dateAx>
      <c:valAx>
        <c:axId val="-167490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90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2519563872284676E-2"/>
          <c:y val="0.13673628652455391"/>
          <c:w val="0.20665818946544726"/>
          <c:h val="0.377328462093330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MTHW and Steam consumption over multiple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979823945615861"/>
          <c:y val="5.1652110607820614E-2"/>
          <c:w val="0.70351493308999757"/>
          <c:h val="0.81951451083123961"/>
        </c:manualLayout>
      </c:layout>
      <c:lineChart>
        <c:grouping val="standard"/>
        <c:varyColors val="0"/>
        <c:ser>
          <c:idx val="0"/>
          <c:order val="0"/>
          <c:tx>
            <c:strRef>
              <c:f>'Steam and MTHW'!$N$3</c:f>
              <c:strCache>
                <c:ptCount val="1"/>
                <c:pt idx="0">
                  <c:v> A + B
kg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multiLvlStrRef>
              <c:f>'Steam and MTHW'!$A$8:$B$139</c:f>
              <c:multiLvlStrCache>
                <c:ptCount val="127"/>
                <c:lvl>
                  <c:pt idx="6">
                    <c:v>2014</c:v>
                  </c:pt>
                  <c:pt idx="18">
                    <c:v>2015</c:v>
                  </c:pt>
                  <c:pt idx="30">
                    <c:v>2016</c:v>
                  </c:pt>
                  <c:pt idx="42">
                    <c:v>2017</c:v>
                  </c:pt>
                  <c:pt idx="54">
                    <c:v>2018</c:v>
                  </c:pt>
                  <c:pt idx="66">
                    <c:v>2019</c:v>
                  </c:pt>
                  <c:pt idx="78">
                    <c:v>2020</c:v>
                  </c:pt>
                  <c:pt idx="90">
                    <c:v>2021</c:v>
                  </c:pt>
                  <c:pt idx="102">
                    <c:v>2022</c:v>
                  </c:pt>
                  <c:pt idx="114">
                    <c:v>2023</c:v>
                  </c:pt>
                  <c:pt idx="126">
                    <c:v>2024</c:v>
                  </c:pt>
                </c:lvl>
                <c:lvl>
                  <c:pt idx="0">
                    <c:v>January</c:v>
                  </c:pt>
                  <c:pt idx="6">
                    <c:v>July</c:v>
                  </c:pt>
                  <c:pt idx="12">
                    <c:v>January</c:v>
                  </c:pt>
                  <c:pt idx="18">
                    <c:v>July</c:v>
                  </c:pt>
                  <c:pt idx="24">
                    <c:v>January</c:v>
                  </c:pt>
                  <c:pt idx="30">
                    <c:v>July</c:v>
                  </c:pt>
                  <c:pt idx="36">
                    <c:v>January</c:v>
                  </c:pt>
                  <c:pt idx="42">
                    <c:v>July</c:v>
                  </c:pt>
                  <c:pt idx="48">
                    <c:v>January</c:v>
                  </c:pt>
                  <c:pt idx="54">
                    <c:v>July</c:v>
                  </c:pt>
                  <c:pt idx="60">
                    <c:v>January</c:v>
                  </c:pt>
                  <c:pt idx="66">
                    <c:v>July</c:v>
                  </c:pt>
                  <c:pt idx="72">
                    <c:v>January</c:v>
                  </c:pt>
                  <c:pt idx="78">
                    <c:v>July</c:v>
                  </c:pt>
                  <c:pt idx="84">
                    <c:v>January</c:v>
                  </c:pt>
                  <c:pt idx="90">
                    <c:v>July</c:v>
                  </c:pt>
                  <c:pt idx="96">
                    <c:v>January</c:v>
                  </c:pt>
                  <c:pt idx="102">
                    <c:v>July</c:v>
                  </c:pt>
                  <c:pt idx="108">
                    <c:v>January</c:v>
                  </c:pt>
                  <c:pt idx="114">
                    <c:v>July</c:v>
                  </c:pt>
                  <c:pt idx="120">
                    <c:v>January</c:v>
                  </c:pt>
                  <c:pt idx="126">
                    <c:v>July</c:v>
                  </c:pt>
                </c:lvl>
              </c:multiLvlStrCache>
            </c:multiLvlStrRef>
          </c:cat>
          <c:val>
            <c:numRef>
              <c:f>'Steam and MTHW'!$N$5:$N$139</c:f>
              <c:numCache>
                <c:formatCode>#,##0</c:formatCode>
                <c:ptCount val="135"/>
                <c:pt idx="0">
                  <c:v>1174671</c:v>
                </c:pt>
                <c:pt idx="1">
                  <c:v>875101</c:v>
                </c:pt>
                <c:pt idx="2">
                  <c:v>860909</c:v>
                </c:pt>
                <c:pt idx="3">
                  <c:v>816098</c:v>
                </c:pt>
                <c:pt idx="4">
                  <c:v>824125</c:v>
                </c:pt>
                <c:pt idx="5">
                  <c:v>868552</c:v>
                </c:pt>
                <c:pt idx="6">
                  <c:v>976768</c:v>
                </c:pt>
                <c:pt idx="7">
                  <c:v>1647537</c:v>
                </c:pt>
                <c:pt idx="8">
                  <c:v>1332776</c:v>
                </c:pt>
                <c:pt idx="9">
                  <c:v>1714537</c:v>
                </c:pt>
                <c:pt idx="10">
                  <c:v>1605235</c:v>
                </c:pt>
                <c:pt idx="11">
                  <c:v>1256590</c:v>
                </c:pt>
                <c:pt idx="12">
                  <c:v>1212803</c:v>
                </c:pt>
                <c:pt idx="13">
                  <c:v>1331557</c:v>
                </c:pt>
                <c:pt idx="14">
                  <c:v>943381</c:v>
                </c:pt>
                <c:pt idx="15">
                  <c:v>679698</c:v>
                </c:pt>
                <c:pt idx="16">
                  <c:v>592480</c:v>
                </c:pt>
                <c:pt idx="17">
                  <c:v>872827</c:v>
                </c:pt>
                <c:pt idx="18">
                  <c:v>1076502</c:v>
                </c:pt>
                <c:pt idx="19">
                  <c:v>1438945</c:v>
                </c:pt>
                <c:pt idx="20">
                  <c:v>1514137</c:v>
                </c:pt>
                <c:pt idx="21">
                  <c:v>1857130</c:v>
                </c:pt>
                <c:pt idx="22">
                  <c:v>1637533</c:v>
                </c:pt>
                <c:pt idx="23">
                  <c:v>1482916</c:v>
                </c:pt>
                <c:pt idx="24">
                  <c:v>1161694</c:v>
                </c:pt>
                <c:pt idx="25">
                  <c:v>926130</c:v>
                </c:pt>
                <c:pt idx="26">
                  <c:v>853743</c:v>
                </c:pt>
                <c:pt idx="27">
                  <c:v>727488</c:v>
                </c:pt>
                <c:pt idx="28">
                  <c:v>541003</c:v>
                </c:pt>
                <c:pt idx="29">
                  <c:v>762854</c:v>
                </c:pt>
                <c:pt idx="30">
                  <c:v>1019106</c:v>
                </c:pt>
                <c:pt idx="31">
                  <c:v>1213862</c:v>
                </c:pt>
                <c:pt idx="32">
                  <c:v>1272528</c:v>
                </c:pt>
                <c:pt idx="33">
                  <c:v>1615814</c:v>
                </c:pt>
                <c:pt idx="34">
                  <c:v>1688122</c:v>
                </c:pt>
                <c:pt idx="35">
                  <c:v>1357931</c:v>
                </c:pt>
                <c:pt idx="36">
                  <c:v>1079003</c:v>
                </c:pt>
                <c:pt idx="37">
                  <c:v>918740</c:v>
                </c:pt>
                <c:pt idx="38">
                  <c:v>1019626</c:v>
                </c:pt>
                <c:pt idx="39">
                  <c:v>840126</c:v>
                </c:pt>
                <c:pt idx="40">
                  <c:v>711131</c:v>
                </c:pt>
                <c:pt idx="41">
                  <c:v>988883</c:v>
                </c:pt>
                <c:pt idx="42">
                  <c:v>988916</c:v>
                </c:pt>
                <c:pt idx="43">
                  <c:v>1314981</c:v>
                </c:pt>
                <c:pt idx="44">
                  <c:v>1503864</c:v>
                </c:pt>
                <c:pt idx="45">
                  <c:v>1555944</c:v>
                </c:pt>
                <c:pt idx="46">
                  <c:v>1369224</c:v>
                </c:pt>
                <c:pt idx="47">
                  <c:v>1163951</c:v>
                </c:pt>
                <c:pt idx="48">
                  <c:v>905766</c:v>
                </c:pt>
                <c:pt idx="49">
                  <c:v>793677</c:v>
                </c:pt>
                <c:pt idx="50">
                  <c:v>584875</c:v>
                </c:pt>
                <c:pt idx="51">
                  <c:v>650721</c:v>
                </c:pt>
                <c:pt idx="52">
                  <c:v>579786</c:v>
                </c:pt>
                <c:pt idx="53">
                  <c:v>780743</c:v>
                </c:pt>
                <c:pt idx="54">
                  <c:v>934953</c:v>
                </c:pt>
                <c:pt idx="55">
                  <c:v>1172737</c:v>
                </c:pt>
                <c:pt idx="56">
                  <c:v>1168146</c:v>
                </c:pt>
                <c:pt idx="57">
                  <c:v>1221777</c:v>
                </c:pt>
                <c:pt idx="58">
                  <c:v>1402795</c:v>
                </c:pt>
                <c:pt idx="59">
                  <c:v>754180</c:v>
                </c:pt>
                <c:pt idx="60">
                  <c:v>1083450</c:v>
                </c:pt>
                <c:pt idx="61">
                  <c:v>984793</c:v>
                </c:pt>
                <c:pt idx="62">
                  <c:v>875850</c:v>
                </c:pt>
                <c:pt idx="63">
                  <c:v>761977</c:v>
                </c:pt>
                <c:pt idx="64">
                  <c:v>856243</c:v>
                </c:pt>
                <c:pt idx="65">
                  <c:v>763363</c:v>
                </c:pt>
                <c:pt idx="66">
                  <c:v>1175616</c:v>
                </c:pt>
                <c:pt idx="67">
                  <c:v>1304184</c:v>
                </c:pt>
                <c:pt idx="68">
                  <c:v>1434801</c:v>
                </c:pt>
                <c:pt idx="69">
                  <c:v>985518</c:v>
                </c:pt>
                <c:pt idx="70">
                  <c:v>1701280</c:v>
                </c:pt>
                <c:pt idx="71">
                  <c:v>950298</c:v>
                </c:pt>
                <c:pt idx="72">
                  <c:v>1320605</c:v>
                </c:pt>
                <c:pt idx="73">
                  <c:v>724157</c:v>
                </c:pt>
                <c:pt idx="74">
                  <c:v>1050305</c:v>
                </c:pt>
                <c:pt idx="75">
                  <c:v>674837</c:v>
                </c:pt>
                <c:pt idx="76">
                  <c:v>740996</c:v>
                </c:pt>
                <c:pt idx="77">
                  <c:v>901381</c:v>
                </c:pt>
                <c:pt idx="78">
                  <c:v>1048711</c:v>
                </c:pt>
                <c:pt idx="79">
                  <c:v>1143012</c:v>
                </c:pt>
                <c:pt idx="80">
                  <c:v>1217257</c:v>
                </c:pt>
                <c:pt idx="81">
                  <c:v>1523468</c:v>
                </c:pt>
                <c:pt idx="82">
                  <c:v>1296473</c:v>
                </c:pt>
                <c:pt idx="83">
                  <c:v>1317460</c:v>
                </c:pt>
                <c:pt idx="84">
                  <c:v>1121160</c:v>
                </c:pt>
                <c:pt idx="85">
                  <c:v>901954</c:v>
                </c:pt>
                <c:pt idx="86">
                  <c:v>924491</c:v>
                </c:pt>
                <c:pt idx="87">
                  <c:v>902018</c:v>
                </c:pt>
                <c:pt idx="88">
                  <c:v>583313</c:v>
                </c:pt>
                <c:pt idx="89">
                  <c:v>748312</c:v>
                </c:pt>
                <c:pt idx="90">
                  <c:v>876331</c:v>
                </c:pt>
                <c:pt idx="91">
                  <c:v>999643</c:v>
                </c:pt>
                <c:pt idx="92">
                  <c:v>1197239</c:v>
                </c:pt>
                <c:pt idx="93">
                  <c:v>1484767</c:v>
                </c:pt>
                <c:pt idx="94">
                  <c:v>1298272</c:v>
                </c:pt>
                <c:pt idx="95">
                  <c:v>1288081</c:v>
                </c:pt>
                <c:pt idx="96">
                  <c:v>973735</c:v>
                </c:pt>
                <c:pt idx="97">
                  <c:v>855280</c:v>
                </c:pt>
                <c:pt idx="98">
                  <c:v>779713</c:v>
                </c:pt>
                <c:pt idx="99">
                  <c:v>731291</c:v>
                </c:pt>
                <c:pt idx="100">
                  <c:v>483826</c:v>
                </c:pt>
                <c:pt idx="101">
                  <c:v>437806</c:v>
                </c:pt>
                <c:pt idx="102">
                  <c:v>888444</c:v>
                </c:pt>
                <c:pt idx="103">
                  <c:v>981354</c:v>
                </c:pt>
                <c:pt idx="104">
                  <c:v>1143535</c:v>
                </c:pt>
                <c:pt idx="105">
                  <c:v>1554026</c:v>
                </c:pt>
                <c:pt idx="106">
                  <c:v>938896</c:v>
                </c:pt>
                <c:pt idx="107">
                  <c:v>1102736</c:v>
                </c:pt>
                <c:pt idx="108">
                  <c:v>1130259</c:v>
                </c:pt>
                <c:pt idx="109">
                  <c:v>905175</c:v>
                </c:pt>
                <c:pt idx="110">
                  <c:v>904869</c:v>
                </c:pt>
                <c:pt idx="111">
                  <c:v>608869</c:v>
                </c:pt>
                <c:pt idx="112">
                  <c:v>565268</c:v>
                </c:pt>
                <c:pt idx="113">
                  <c:v>689094</c:v>
                </c:pt>
                <c:pt idx="114">
                  <c:v>716368</c:v>
                </c:pt>
                <c:pt idx="115">
                  <c:v>916913</c:v>
                </c:pt>
                <c:pt idx="116">
                  <c:v>1041877</c:v>
                </c:pt>
                <c:pt idx="117">
                  <c:v>1302185</c:v>
                </c:pt>
                <c:pt idx="118">
                  <c:v>1299587</c:v>
                </c:pt>
                <c:pt idx="119">
                  <c:v>1105953</c:v>
                </c:pt>
                <c:pt idx="120">
                  <c:v>879681</c:v>
                </c:pt>
                <c:pt idx="121">
                  <c:v>866483</c:v>
                </c:pt>
                <c:pt idx="122">
                  <c:v>494818</c:v>
                </c:pt>
                <c:pt idx="123">
                  <c:v>921667</c:v>
                </c:pt>
                <c:pt idx="124">
                  <c:v>642645</c:v>
                </c:pt>
                <c:pt idx="125">
                  <c:v>880574</c:v>
                </c:pt>
                <c:pt idx="126">
                  <c:v>820920</c:v>
                </c:pt>
                <c:pt idx="127">
                  <c:v>1105148</c:v>
                </c:pt>
                <c:pt idx="128">
                  <c:v>1031727</c:v>
                </c:pt>
                <c:pt idx="129">
                  <c:v>1054133</c:v>
                </c:pt>
                <c:pt idx="130">
                  <c:v>1160399</c:v>
                </c:pt>
                <c:pt idx="131">
                  <c:v>953706</c:v>
                </c:pt>
                <c:pt idx="132">
                  <c:v>909308</c:v>
                </c:pt>
                <c:pt idx="133">
                  <c:v>722205</c:v>
                </c:pt>
                <c:pt idx="1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68-4709-9D93-3DF5BAF805D1}"/>
            </c:ext>
          </c:extLst>
        </c:ser>
        <c:ser>
          <c:idx val="1"/>
          <c:order val="1"/>
          <c:tx>
            <c:strRef>
              <c:f>'Steam and MTHW'!$O$3</c:f>
              <c:strCache>
                <c:ptCount val="1"/>
                <c:pt idx="0">
                  <c:v>  A + B
kWh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multiLvlStrRef>
              <c:f>'Steam and MTHW'!$A$8:$B$139</c:f>
              <c:multiLvlStrCache>
                <c:ptCount val="127"/>
                <c:lvl>
                  <c:pt idx="6">
                    <c:v>2014</c:v>
                  </c:pt>
                  <c:pt idx="18">
                    <c:v>2015</c:v>
                  </c:pt>
                  <c:pt idx="30">
                    <c:v>2016</c:v>
                  </c:pt>
                  <c:pt idx="42">
                    <c:v>2017</c:v>
                  </c:pt>
                  <c:pt idx="54">
                    <c:v>2018</c:v>
                  </c:pt>
                  <c:pt idx="66">
                    <c:v>2019</c:v>
                  </c:pt>
                  <c:pt idx="78">
                    <c:v>2020</c:v>
                  </c:pt>
                  <c:pt idx="90">
                    <c:v>2021</c:v>
                  </c:pt>
                  <c:pt idx="102">
                    <c:v>2022</c:v>
                  </c:pt>
                  <c:pt idx="114">
                    <c:v>2023</c:v>
                  </c:pt>
                  <c:pt idx="126">
                    <c:v>2024</c:v>
                  </c:pt>
                </c:lvl>
                <c:lvl>
                  <c:pt idx="0">
                    <c:v>January</c:v>
                  </c:pt>
                  <c:pt idx="6">
                    <c:v>July</c:v>
                  </c:pt>
                  <c:pt idx="12">
                    <c:v>January</c:v>
                  </c:pt>
                  <c:pt idx="18">
                    <c:v>July</c:v>
                  </c:pt>
                  <c:pt idx="24">
                    <c:v>January</c:v>
                  </c:pt>
                  <c:pt idx="30">
                    <c:v>July</c:v>
                  </c:pt>
                  <c:pt idx="36">
                    <c:v>January</c:v>
                  </c:pt>
                  <c:pt idx="42">
                    <c:v>July</c:v>
                  </c:pt>
                  <c:pt idx="48">
                    <c:v>January</c:v>
                  </c:pt>
                  <c:pt idx="54">
                    <c:v>July</c:v>
                  </c:pt>
                  <c:pt idx="60">
                    <c:v>January</c:v>
                  </c:pt>
                  <c:pt idx="66">
                    <c:v>July</c:v>
                  </c:pt>
                  <c:pt idx="72">
                    <c:v>January</c:v>
                  </c:pt>
                  <c:pt idx="78">
                    <c:v>July</c:v>
                  </c:pt>
                  <c:pt idx="84">
                    <c:v>January</c:v>
                  </c:pt>
                  <c:pt idx="90">
                    <c:v>July</c:v>
                  </c:pt>
                  <c:pt idx="96">
                    <c:v>January</c:v>
                  </c:pt>
                  <c:pt idx="102">
                    <c:v>July</c:v>
                  </c:pt>
                  <c:pt idx="108">
                    <c:v>January</c:v>
                  </c:pt>
                  <c:pt idx="114">
                    <c:v>July</c:v>
                  </c:pt>
                  <c:pt idx="120">
                    <c:v>January</c:v>
                  </c:pt>
                  <c:pt idx="126">
                    <c:v>July</c:v>
                  </c:pt>
                </c:lvl>
              </c:multiLvlStrCache>
            </c:multiLvlStrRef>
          </c:cat>
          <c:val>
            <c:numRef>
              <c:f>'Steam and MTHW'!$O$5:$O$139</c:f>
              <c:numCache>
                <c:formatCode>#,##0</c:formatCode>
                <c:ptCount val="135"/>
                <c:pt idx="0">
                  <c:v>898028.326</c:v>
                </c:pt>
                <c:pt idx="1">
                  <c:v>670143.674</c:v>
                </c:pt>
                <c:pt idx="2">
                  <c:v>658405</c:v>
                </c:pt>
                <c:pt idx="3">
                  <c:v>624331</c:v>
                </c:pt>
                <c:pt idx="4">
                  <c:v>630391</c:v>
                </c:pt>
                <c:pt idx="5">
                  <c:v>664281</c:v>
                </c:pt>
                <c:pt idx="6">
                  <c:v>747062</c:v>
                </c:pt>
                <c:pt idx="7">
                  <c:v>1251398</c:v>
                </c:pt>
                <c:pt idx="8">
                  <c:v>1005186</c:v>
                </c:pt>
                <c:pt idx="9">
                  <c:v>1292649</c:v>
                </c:pt>
                <c:pt idx="10">
                  <c:v>1209981</c:v>
                </c:pt>
                <c:pt idx="11">
                  <c:v>947444</c:v>
                </c:pt>
                <c:pt idx="12">
                  <c:v>917787</c:v>
                </c:pt>
                <c:pt idx="13">
                  <c:v>1026155</c:v>
                </c:pt>
                <c:pt idx="14">
                  <c:v>728452</c:v>
                </c:pt>
                <c:pt idx="15">
                  <c:v>525224</c:v>
                </c:pt>
                <c:pt idx="16">
                  <c:v>458035</c:v>
                </c:pt>
                <c:pt idx="17">
                  <c:v>693553</c:v>
                </c:pt>
                <c:pt idx="18">
                  <c:v>845264</c:v>
                </c:pt>
                <c:pt idx="19">
                  <c:v>1118159</c:v>
                </c:pt>
                <c:pt idx="20">
                  <c:v>1189441</c:v>
                </c:pt>
                <c:pt idx="21">
                  <c:v>1459160</c:v>
                </c:pt>
                <c:pt idx="22">
                  <c:v>1319037</c:v>
                </c:pt>
                <c:pt idx="23">
                  <c:v>1192428</c:v>
                </c:pt>
                <c:pt idx="24">
                  <c:v>953244</c:v>
                </c:pt>
                <c:pt idx="25">
                  <c:v>755662</c:v>
                </c:pt>
                <c:pt idx="26">
                  <c:v>709376</c:v>
                </c:pt>
                <c:pt idx="27">
                  <c:v>604578</c:v>
                </c:pt>
                <c:pt idx="28">
                  <c:v>415161</c:v>
                </c:pt>
                <c:pt idx="29">
                  <c:v>568437</c:v>
                </c:pt>
                <c:pt idx="30">
                  <c:v>759446</c:v>
                </c:pt>
                <c:pt idx="31">
                  <c:v>936554</c:v>
                </c:pt>
                <c:pt idx="32">
                  <c:v>981764</c:v>
                </c:pt>
                <c:pt idx="33">
                  <c:v>1246385</c:v>
                </c:pt>
                <c:pt idx="34">
                  <c:v>1302193</c:v>
                </c:pt>
                <c:pt idx="35">
                  <c:v>1047905</c:v>
                </c:pt>
                <c:pt idx="36">
                  <c:v>832862</c:v>
                </c:pt>
                <c:pt idx="37">
                  <c:v>709123</c:v>
                </c:pt>
                <c:pt idx="38">
                  <c:v>798088</c:v>
                </c:pt>
                <c:pt idx="39">
                  <c:v>637467</c:v>
                </c:pt>
                <c:pt idx="40">
                  <c:v>548945</c:v>
                </c:pt>
                <c:pt idx="41">
                  <c:v>763204</c:v>
                </c:pt>
                <c:pt idx="42">
                  <c:v>763138</c:v>
                </c:pt>
                <c:pt idx="43">
                  <c:v>1014443</c:v>
                </c:pt>
                <c:pt idx="44">
                  <c:v>1160149</c:v>
                </c:pt>
                <c:pt idx="45">
                  <c:v>1199921</c:v>
                </c:pt>
                <c:pt idx="46">
                  <c:v>1056395</c:v>
                </c:pt>
                <c:pt idx="47">
                  <c:v>902478</c:v>
                </c:pt>
                <c:pt idx="48">
                  <c:v>710280</c:v>
                </c:pt>
                <c:pt idx="49">
                  <c:v>624533.66906986013</c:v>
                </c:pt>
                <c:pt idx="50">
                  <c:v>457770.33093013987</c:v>
                </c:pt>
                <c:pt idx="51">
                  <c:v>513746</c:v>
                </c:pt>
                <c:pt idx="52">
                  <c:v>450724</c:v>
                </c:pt>
                <c:pt idx="53">
                  <c:v>618372</c:v>
                </c:pt>
                <c:pt idx="54">
                  <c:v>731842</c:v>
                </c:pt>
                <c:pt idx="55">
                  <c:v>922568</c:v>
                </c:pt>
                <c:pt idx="56">
                  <c:v>931560</c:v>
                </c:pt>
                <c:pt idx="57">
                  <c:v>994643</c:v>
                </c:pt>
                <c:pt idx="58">
                  <c:v>1148075</c:v>
                </c:pt>
                <c:pt idx="59">
                  <c:v>594798</c:v>
                </c:pt>
                <c:pt idx="60">
                  <c:v>874899</c:v>
                </c:pt>
                <c:pt idx="61">
                  <c:v>816771</c:v>
                </c:pt>
                <c:pt idx="62">
                  <c:v>731614</c:v>
                </c:pt>
                <c:pt idx="63">
                  <c:v>627045</c:v>
                </c:pt>
                <c:pt idx="64">
                  <c:v>710991</c:v>
                </c:pt>
                <c:pt idx="65">
                  <c:v>625072</c:v>
                </c:pt>
                <c:pt idx="66">
                  <c:v>978383</c:v>
                </c:pt>
                <c:pt idx="67">
                  <c:v>1103652</c:v>
                </c:pt>
                <c:pt idx="68">
                  <c:v>1171603</c:v>
                </c:pt>
                <c:pt idx="69">
                  <c:v>809984</c:v>
                </c:pt>
                <c:pt idx="70">
                  <c:v>1368595</c:v>
                </c:pt>
                <c:pt idx="71">
                  <c:v>775330</c:v>
                </c:pt>
                <c:pt idx="72">
                  <c:v>1118712</c:v>
                </c:pt>
                <c:pt idx="73">
                  <c:v>613567</c:v>
                </c:pt>
                <c:pt idx="74">
                  <c:v>874800</c:v>
                </c:pt>
                <c:pt idx="75">
                  <c:v>564212</c:v>
                </c:pt>
                <c:pt idx="76">
                  <c:v>627670</c:v>
                </c:pt>
                <c:pt idx="77">
                  <c:v>756287</c:v>
                </c:pt>
                <c:pt idx="78">
                  <c:v>887506</c:v>
                </c:pt>
                <c:pt idx="79">
                  <c:v>968306</c:v>
                </c:pt>
                <c:pt idx="80">
                  <c:v>1031360</c:v>
                </c:pt>
                <c:pt idx="81">
                  <c:v>1284329</c:v>
                </c:pt>
                <c:pt idx="82">
                  <c:v>982856.18130000005</c:v>
                </c:pt>
                <c:pt idx="83">
                  <c:v>1225778.8187000044</c:v>
                </c:pt>
                <c:pt idx="84">
                  <c:v>947332</c:v>
                </c:pt>
                <c:pt idx="85">
                  <c:v>758475</c:v>
                </c:pt>
                <c:pt idx="86">
                  <c:v>774955</c:v>
                </c:pt>
                <c:pt idx="87">
                  <c:v>763173</c:v>
                </c:pt>
                <c:pt idx="88">
                  <c:v>491262</c:v>
                </c:pt>
                <c:pt idx="89">
                  <c:v>631738</c:v>
                </c:pt>
                <c:pt idx="90">
                  <c:v>731710</c:v>
                </c:pt>
                <c:pt idx="91">
                  <c:v>832027</c:v>
                </c:pt>
                <c:pt idx="92">
                  <c:v>1001777</c:v>
                </c:pt>
                <c:pt idx="93">
                  <c:v>1231897</c:v>
                </c:pt>
                <c:pt idx="94">
                  <c:v>1098095</c:v>
                </c:pt>
                <c:pt idx="95">
                  <c:v>1052798</c:v>
                </c:pt>
                <c:pt idx="96">
                  <c:v>798649</c:v>
                </c:pt>
                <c:pt idx="97">
                  <c:v>723850</c:v>
                </c:pt>
                <c:pt idx="98">
                  <c:v>653607</c:v>
                </c:pt>
                <c:pt idx="99">
                  <c:v>590514</c:v>
                </c:pt>
                <c:pt idx="100">
                  <c:v>401318</c:v>
                </c:pt>
                <c:pt idx="101">
                  <c:v>370932</c:v>
                </c:pt>
                <c:pt idx="102">
                  <c:v>738977</c:v>
                </c:pt>
                <c:pt idx="103">
                  <c:v>831502</c:v>
                </c:pt>
                <c:pt idx="104">
                  <c:v>969359</c:v>
                </c:pt>
                <c:pt idx="105">
                  <c:v>1312107</c:v>
                </c:pt>
                <c:pt idx="106">
                  <c:v>795003</c:v>
                </c:pt>
                <c:pt idx="107">
                  <c:v>934426</c:v>
                </c:pt>
                <c:pt idx="108">
                  <c:v>954776</c:v>
                </c:pt>
                <c:pt idx="109">
                  <c:v>765854</c:v>
                </c:pt>
                <c:pt idx="110">
                  <c:v>766556</c:v>
                </c:pt>
                <c:pt idx="111">
                  <c:v>515654</c:v>
                </c:pt>
                <c:pt idx="112">
                  <c:v>478983</c:v>
                </c:pt>
                <c:pt idx="113">
                  <c:v>583912</c:v>
                </c:pt>
                <c:pt idx="114">
                  <c:v>607081</c:v>
                </c:pt>
                <c:pt idx="115">
                  <c:v>768523</c:v>
                </c:pt>
                <c:pt idx="116">
                  <c:v>883035</c:v>
                </c:pt>
                <c:pt idx="117">
                  <c:v>1103702</c:v>
                </c:pt>
                <c:pt idx="118">
                  <c:v>1094251</c:v>
                </c:pt>
                <c:pt idx="119">
                  <c:v>928589</c:v>
                </c:pt>
                <c:pt idx="120">
                  <c:v>744957</c:v>
                </c:pt>
                <c:pt idx="121">
                  <c:v>733523</c:v>
                </c:pt>
                <c:pt idx="122">
                  <c:v>419260</c:v>
                </c:pt>
                <c:pt idx="123">
                  <c:v>780914</c:v>
                </c:pt>
                <c:pt idx="124">
                  <c:v>541965</c:v>
                </c:pt>
                <c:pt idx="125">
                  <c:v>744751</c:v>
                </c:pt>
                <c:pt idx="126">
                  <c:v>693855</c:v>
                </c:pt>
                <c:pt idx="127">
                  <c:v>924463</c:v>
                </c:pt>
                <c:pt idx="128">
                  <c:v>874541</c:v>
                </c:pt>
                <c:pt idx="129">
                  <c:v>893551</c:v>
                </c:pt>
                <c:pt idx="130">
                  <c:v>983615</c:v>
                </c:pt>
                <c:pt idx="131">
                  <c:v>808321</c:v>
                </c:pt>
                <c:pt idx="132">
                  <c:v>770626</c:v>
                </c:pt>
                <c:pt idx="133">
                  <c:v>610205</c:v>
                </c:pt>
                <c:pt idx="1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68-4709-9D93-3DF5BAF805D1}"/>
            </c:ext>
          </c:extLst>
        </c:ser>
        <c:ser>
          <c:idx val="2"/>
          <c:order val="2"/>
          <c:tx>
            <c:strRef>
              <c:f>'Steam and MTHW'!$C$3</c:f>
              <c:strCache>
                <c:ptCount val="1"/>
                <c:pt idx="0">
                  <c:v>MTHW Consumption
kWh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multiLvlStrRef>
              <c:f>'Steam and MTHW'!$A$8:$B$139</c:f>
              <c:multiLvlStrCache>
                <c:ptCount val="127"/>
                <c:lvl>
                  <c:pt idx="6">
                    <c:v>2014</c:v>
                  </c:pt>
                  <c:pt idx="18">
                    <c:v>2015</c:v>
                  </c:pt>
                  <c:pt idx="30">
                    <c:v>2016</c:v>
                  </c:pt>
                  <c:pt idx="42">
                    <c:v>2017</c:v>
                  </c:pt>
                  <c:pt idx="54">
                    <c:v>2018</c:v>
                  </c:pt>
                  <c:pt idx="66">
                    <c:v>2019</c:v>
                  </c:pt>
                  <c:pt idx="78">
                    <c:v>2020</c:v>
                  </c:pt>
                  <c:pt idx="90">
                    <c:v>2021</c:v>
                  </c:pt>
                  <c:pt idx="102">
                    <c:v>2022</c:v>
                  </c:pt>
                  <c:pt idx="114">
                    <c:v>2023</c:v>
                  </c:pt>
                  <c:pt idx="126">
                    <c:v>2024</c:v>
                  </c:pt>
                </c:lvl>
                <c:lvl>
                  <c:pt idx="0">
                    <c:v>January</c:v>
                  </c:pt>
                  <c:pt idx="6">
                    <c:v>July</c:v>
                  </c:pt>
                  <c:pt idx="12">
                    <c:v>January</c:v>
                  </c:pt>
                  <c:pt idx="18">
                    <c:v>July</c:v>
                  </c:pt>
                  <c:pt idx="24">
                    <c:v>January</c:v>
                  </c:pt>
                  <c:pt idx="30">
                    <c:v>July</c:v>
                  </c:pt>
                  <c:pt idx="36">
                    <c:v>January</c:v>
                  </c:pt>
                  <c:pt idx="42">
                    <c:v>July</c:v>
                  </c:pt>
                  <c:pt idx="48">
                    <c:v>January</c:v>
                  </c:pt>
                  <c:pt idx="54">
                    <c:v>July</c:v>
                  </c:pt>
                  <c:pt idx="60">
                    <c:v>January</c:v>
                  </c:pt>
                  <c:pt idx="66">
                    <c:v>July</c:v>
                  </c:pt>
                  <c:pt idx="72">
                    <c:v>January</c:v>
                  </c:pt>
                  <c:pt idx="78">
                    <c:v>July</c:v>
                  </c:pt>
                  <c:pt idx="84">
                    <c:v>January</c:v>
                  </c:pt>
                  <c:pt idx="90">
                    <c:v>July</c:v>
                  </c:pt>
                  <c:pt idx="96">
                    <c:v>January</c:v>
                  </c:pt>
                  <c:pt idx="102">
                    <c:v>July</c:v>
                  </c:pt>
                  <c:pt idx="108">
                    <c:v>January</c:v>
                  </c:pt>
                  <c:pt idx="114">
                    <c:v>July</c:v>
                  </c:pt>
                  <c:pt idx="120">
                    <c:v>January</c:v>
                  </c:pt>
                  <c:pt idx="126">
                    <c:v>July</c:v>
                  </c:pt>
                </c:lvl>
              </c:multiLvlStrCache>
            </c:multiLvlStrRef>
          </c:cat>
          <c:val>
            <c:numRef>
              <c:f>'Steam and MTHW'!$C$5:$C$127</c:f>
              <c:numCache>
                <c:formatCode>#,##0</c:formatCode>
                <c:ptCount val="123"/>
                <c:pt idx="0">
                  <c:v>1461660</c:v>
                </c:pt>
                <c:pt idx="1">
                  <c:v>890533</c:v>
                </c:pt>
                <c:pt idx="2">
                  <c:v>698871</c:v>
                </c:pt>
                <c:pt idx="3">
                  <c:v>742527</c:v>
                </c:pt>
                <c:pt idx="4">
                  <c:v>768501</c:v>
                </c:pt>
                <c:pt idx="5">
                  <c:v>824522</c:v>
                </c:pt>
                <c:pt idx="6">
                  <c:v>1392125</c:v>
                </c:pt>
                <c:pt idx="7">
                  <c:v>1793482</c:v>
                </c:pt>
                <c:pt idx="8">
                  <c:v>1649016</c:v>
                </c:pt>
                <c:pt idx="9">
                  <c:v>2143617</c:v>
                </c:pt>
                <c:pt idx="10">
                  <c:v>2019585</c:v>
                </c:pt>
                <c:pt idx="11">
                  <c:v>1590248</c:v>
                </c:pt>
                <c:pt idx="12">
                  <c:v>1588987</c:v>
                </c:pt>
                <c:pt idx="13">
                  <c:v>1263497</c:v>
                </c:pt>
                <c:pt idx="14">
                  <c:v>909064</c:v>
                </c:pt>
                <c:pt idx="15">
                  <c:v>133374</c:v>
                </c:pt>
                <c:pt idx="16">
                  <c:v>671217</c:v>
                </c:pt>
                <c:pt idx="17">
                  <c:v>221654</c:v>
                </c:pt>
                <c:pt idx="18">
                  <c:v>1251200</c:v>
                </c:pt>
                <c:pt idx="19">
                  <c:v>1937850</c:v>
                </c:pt>
                <c:pt idx="20">
                  <c:v>2310330</c:v>
                </c:pt>
                <c:pt idx="21">
                  <c:v>2610780</c:v>
                </c:pt>
                <c:pt idx="22">
                  <c:v>2538660</c:v>
                </c:pt>
                <c:pt idx="23">
                  <c:v>2239000</c:v>
                </c:pt>
                <c:pt idx="24">
                  <c:v>1592020</c:v>
                </c:pt>
                <c:pt idx="25">
                  <c:v>1259890</c:v>
                </c:pt>
                <c:pt idx="26">
                  <c:v>891480</c:v>
                </c:pt>
                <c:pt idx="27">
                  <c:v>965140</c:v>
                </c:pt>
                <c:pt idx="28">
                  <c:v>755550</c:v>
                </c:pt>
                <c:pt idx="29">
                  <c:v>1124730</c:v>
                </c:pt>
                <c:pt idx="30">
                  <c:v>1376570</c:v>
                </c:pt>
                <c:pt idx="31">
                  <c:v>1371580</c:v>
                </c:pt>
                <c:pt idx="32">
                  <c:v>2322200</c:v>
                </c:pt>
                <c:pt idx="33">
                  <c:v>2698640</c:v>
                </c:pt>
                <c:pt idx="34">
                  <c:v>2729420</c:v>
                </c:pt>
                <c:pt idx="35">
                  <c:v>2154610</c:v>
                </c:pt>
                <c:pt idx="36">
                  <c:v>1705270</c:v>
                </c:pt>
                <c:pt idx="37">
                  <c:v>1312070</c:v>
                </c:pt>
                <c:pt idx="38">
                  <c:v>983180</c:v>
                </c:pt>
                <c:pt idx="39">
                  <c:v>950000</c:v>
                </c:pt>
                <c:pt idx="40">
                  <c:v>760000</c:v>
                </c:pt>
                <c:pt idx="41">
                  <c:v>1100000</c:v>
                </c:pt>
                <c:pt idx="42">
                  <c:v>1250000</c:v>
                </c:pt>
                <c:pt idx="43">
                  <c:v>1860000</c:v>
                </c:pt>
                <c:pt idx="44">
                  <c:v>2250000</c:v>
                </c:pt>
                <c:pt idx="45">
                  <c:v>2600000</c:v>
                </c:pt>
                <c:pt idx="46">
                  <c:v>2280000</c:v>
                </c:pt>
                <c:pt idx="47">
                  <c:v>2050000</c:v>
                </c:pt>
                <c:pt idx="48">
                  <c:v>1800000</c:v>
                </c:pt>
                <c:pt idx="49">
                  <c:v>1250000</c:v>
                </c:pt>
                <c:pt idx="50">
                  <c:v>850000</c:v>
                </c:pt>
                <c:pt idx="51">
                  <c:v>900000</c:v>
                </c:pt>
                <c:pt idx="52">
                  <c:v>522148</c:v>
                </c:pt>
                <c:pt idx="53">
                  <c:v>951000</c:v>
                </c:pt>
                <c:pt idx="54">
                  <c:v>1600000</c:v>
                </c:pt>
                <c:pt idx="55">
                  <c:v>2280000</c:v>
                </c:pt>
                <c:pt idx="56">
                  <c:v>2099430</c:v>
                </c:pt>
                <c:pt idx="57">
                  <c:v>2564280</c:v>
                </c:pt>
                <c:pt idx="58">
                  <c:v>2436650</c:v>
                </c:pt>
                <c:pt idx="59">
                  <c:v>2135960</c:v>
                </c:pt>
                <c:pt idx="60">
                  <c:v>1854730</c:v>
                </c:pt>
                <c:pt idx="61">
                  <c:v>1339430</c:v>
                </c:pt>
                <c:pt idx="62">
                  <c:v>939950</c:v>
                </c:pt>
                <c:pt idx="63">
                  <c:v>843030</c:v>
                </c:pt>
                <c:pt idx="64">
                  <c:v>870650</c:v>
                </c:pt>
                <c:pt idx="65">
                  <c:v>928510</c:v>
                </c:pt>
                <c:pt idx="66">
                  <c:v>1570180</c:v>
                </c:pt>
                <c:pt idx="67">
                  <c:v>1903020</c:v>
                </c:pt>
                <c:pt idx="68">
                  <c:v>2117240</c:v>
                </c:pt>
                <c:pt idx="69">
                  <c:v>2240190</c:v>
                </c:pt>
                <c:pt idx="70">
                  <c:v>2502010</c:v>
                </c:pt>
                <c:pt idx="71">
                  <c:v>2104040</c:v>
                </c:pt>
                <c:pt idx="72">
                  <c:v>2059870</c:v>
                </c:pt>
                <c:pt idx="73">
                  <c:v>1153870</c:v>
                </c:pt>
                <c:pt idx="74">
                  <c:v>1088650</c:v>
                </c:pt>
                <c:pt idx="75">
                  <c:v>969870</c:v>
                </c:pt>
                <c:pt idx="76">
                  <c:v>917130</c:v>
                </c:pt>
                <c:pt idx="77">
                  <c:v>1310570</c:v>
                </c:pt>
                <c:pt idx="78">
                  <c:v>1112170</c:v>
                </c:pt>
                <c:pt idx="79">
                  <c:v>1570250</c:v>
                </c:pt>
                <c:pt idx="80">
                  <c:v>1991767</c:v>
                </c:pt>
                <c:pt idx="81">
                  <c:v>2034420</c:v>
                </c:pt>
                <c:pt idx="82">
                  <c:v>1554580</c:v>
                </c:pt>
                <c:pt idx="83" formatCode="General">
                  <c:v>1452960</c:v>
                </c:pt>
                <c:pt idx="84" formatCode="General">
                  <c:v>1348890</c:v>
                </c:pt>
                <c:pt idx="85" formatCode="General">
                  <c:v>1286760</c:v>
                </c:pt>
                <c:pt idx="86" formatCode="General">
                  <c:v>1115860</c:v>
                </c:pt>
                <c:pt idx="87">
                  <c:v>959670</c:v>
                </c:pt>
                <c:pt idx="88">
                  <c:v>829380</c:v>
                </c:pt>
                <c:pt idx="89">
                  <c:v>1082860</c:v>
                </c:pt>
                <c:pt idx="90">
                  <c:v>932860</c:v>
                </c:pt>
                <c:pt idx="91">
                  <c:v>2179897</c:v>
                </c:pt>
                <c:pt idx="92">
                  <c:v>2328480</c:v>
                </c:pt>
                <c:pt idx="93">
                  <c:v>2505780</c:v>
                </c:pt>
                <c:pt idx="94">
                  <c:v>2180230</c:v>
                </c:pt>
                <c:pt idx="95">
                  <c:v>2012460</c:v>
                </c:pt>
                <c:pt idx="96">
                  <c:v>1756730</c:v>
                </c:pt>
                <c:pt idx="97">
                  <c:v>1282250</c:v>
                </c:pt>
                <c:pt idx="98">
                  <c:v>939370</c:v>
                </c:pt>
                <c:pt idx="99">
                  <c:v>882860</c:v>
                </c:pt>
                <c:pt idx="100">
                  <c:v>886950</c:v>
                </c:pt>
                <c:pt idx="101">
                  <c:v>1057320</c:v>
                </c:pt>
                <c:pt idx="102">
                  <c:v>1390460</c:v>
                </c:pt>
                <c:pt idx="103">
                  <c:v>1902630</c:v>
                </c:pt>
                <c:pt idx="104">
                  <c:v>2352150</c:v>
                </c:pt>
                <c:pt idx="105">
                  <c:v>2631050</c:v>
                </c:pt>
                <c:pt idx="106">
                  <c:v>2193547</c:v>
                </c:pt>
                <c:pt idx="107">
                  <c:v>2084430</c:v>
                </c:pt>
                <c:pt idx="108">
                  <c:v>2046890</c:v>
                </c:pt>
                <c:pt idx="109">
                  <c:v>1236867</c:v>
                </c:pt>
                <c:pt idx="110">
                  <c:v>536240</c:v>
                </c:pt>
                <c:pt idx="111">
                  <c:v>806188</c:v>
                </c:pt>
                <c:pt idx="112">
                  <c:v>784246</c:v>
                </c:pt>
                <c:pt idx="113">
                  <c:v>1242068</c:v>
                </c:pt>
                <c:pt idx="114">
                  <c:v>1582880</c:v>
                </c:pt>
                <c:pt idx="115">
                  <c:v>1867226</c:v>
                </c:pt>
                <c:pt idx="116">
                  <c:v>2183608</c:v>
                </c:pt>
                <c:pt idx="117">
                  <c:v>2485373</c:v>
                </c:pt>
                <c:pt idx="118">
                  <c:v>2752910</c:v>
                </c:pt>
                <c:pt idx="119">
                  <c:v>2255240</c:v>
                </c:pt>
                <c:pt idx="120">
                  <c:v>2023701</c:v>
                </c:pt>
                <c:pt idx="121">
                  <c:v>1275338</c:v>
                </c:pt>
                <c:pt idx="122">
                  <c:v>1220450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68-4709-9D93-3DF5BAF805D1}"/>
            </c:ext>
          </c:extLst>
        </c:ser>
        <c:ser>
          <c:idx val="8"/>
          <c:order val="8"/>
          <c:tx>
            <c:strRef>
              <c:f>'Steam and MTHW'!$T$3</c:f>
              <c:strCache>
                <c:ptCount val="1"/>
                <c:pt idx="0">
                  <c:v>Total Steam Consumption - kWh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'Steam and MTHW'!$T$5:$T$139</c:f>
              <c:numCache>
                <c:formatCode>#,##0</c:formatCode>
                <c:ptCount val="135"/>
                <c:pt idx="34">
                  <c:v>1394833</c:v>
                </c:pt>
                <c:pt idx="35">
                  <c:v>1104955</c:v>
                </c:pt>
                <c:pt idx="36">
                  <c:v>886702</c:v>
                </c:pt>
                <c:pt idx="37">
                  <c:v>741743</c:v>
                </c:pt>
                <c:pt idx="38">
                  <c:v>816528</c:v>
                </c:pt>
                <c:pt idx="39">
                  <c:v>656297</c:v>
                </c:pt>
                <c:pt idx="40">
                  <c:v>566905</c:v>
                </c:pt>
                <c:pt idx="41">
                  <c:v>809474</c:v>
                </c:pt>
                <c:pt idx="42">
                  <c:v>811488</c:v>
                </c:pt>
                <c:pt idx="43">
                  <c:v>1087253</c:v>
                </c:pt>
                <c:pt idx="44">
                  <c:v>1226549</c:v>
                </c:pt>
                <c:pt idx="45">
                  <c:v>1282191</c:v>
                </c:pt>
                <c:pt idx="46">
                  <c:v>1128975</c:v>
                </c:pt>
                <c:pt idx="47">
                  <c:v>968268</c:v>
                </c:pt>
                <c:pt idx="48">
                  <c:v>762250</c:v>
                </c:pt>
                <c:pt idx="49">
                  <c:v>656533.66906986013</c:v>
                </c:pt>
                <c:pt idx="50">
                  <c:v>459550.33093013987</c:v>
                </c:pt>
                <c:pt idx="51">
                  <c:v>524046</c:v>
                </c:pt>
                <c:pt idx="52">
                  <c:v>468344</c:v>
                </c:pt>
                <c:pt idx="53">
                  <c:v>653572</c:v>
                </c:pt>
                <c:pt idx="54">
                  <c:v>780642</c:v>
                </c:pt>
                <c:pt idx="55">
                  <c:v>991608</c:v>
                </c:pt>
                <c:pt idx="56">
                  <c:v>998590</c:v>
                </c:pt>
                <c:pt idx="57">
                  <c:v>1072103</c:v>
                </c:pt>
                <c:pt idx="58">
                  <c:v>1226165</c:v>
                </c:pt>
                <c:pt idx="59">
                  <c:v>657478</c:v>
                </c:pt>
                <c:pt idx="60">
                  <c:v>930449</c:v>
                </c:pt>
                <c:pt idx="61">
                  <c:v>845711</c:v>
                </c:pt>
                <c:pt idx="62">
                  <c:v>751984</c:v>
                </c:pt>
                <c:pt idx="63">
                  <c:v>637075</c:v>
                </c:pt>
                <c:pt idx="64">
                  <c:v>732361</c:v>
                </c:pt>
                <c:pt idx="65">
                  <c:v>649502</c:v>
                </c:pt>
                <c:pt idx="66">
                  <c:v>1027573</c:v>
                </c:pt>
                <c:pt idx="67">
                  <c:v>1172022</c:v>
                </c:pt>
                <c:pt idx="68">
                  <c:v>1227633</c:v>
                </c:pt>
                <c:pt idx="69">
                  <c:v>888204</c:v>
                </c:pt>
                <c:pt idx="70">
                  <c:v>1448725</c:v>
                </c:pt>
                <c:pt idx="71">
                  <c:v>846780</c:v>
                </c:pt>
                <c:pt idx="72">
                  <c:v>1181642</c:v>
                </c:pt>
                <c:pt idx="73">
                  <c:v>641257</c:v>
                </c:pt>
                <c:pt idx="74">
                  <c:v>898530</c:v>
                </c:pt>
                <c:pt idx="75">
                  <c:v>564212</c:v>
                </c:pt>
                <c:pt idx="76">
                  <c:v>663030</c:v>
                </c:pt>
                <c:pt idx="77">
                  <c:v>789717</c:v>
                </c:pt>
                <c:pt idx="78">
                  <c:v>924486</c:v>
                </c:pt>
                <c:pt idx="79">
                  <c:v>1018826</c:v>
                </c:pt>
                <c:pt idx="80">
                  <c:v>1090080</c:v>
                </c:pt>
                <c:pt idx="81">
                  <c:v>1357769</c:v>
                </c:pt>
                <c:pt idx="82">
                  <c:v>1050356.1813000001</c:v>
                </c:pt>
                <c:pt idx="83">
                  <c:v>1287208.8187000044</c:v>
                </c:pt>
                <c:pt idx="84">
                  <c:v>1000232</c:v>
                </c:pt>
                <c:pt idx="85">
                  <c:v>785355</c:v>
                </c:pt>
                <c:pt idx="86">
                  <c:v>792685</c:v>
                </c:pt>
                <c:pt idx="87">
                  <c:v>777353</c:v>
                </c:pt>
                <c:pt idx="88">
                  <c:v>506842</c:v>
                </c:pt>
                <c:pt idx="89">
                  <c:v>659228</c:v>
                </c:pt>
                <c:pt idx="90">
                  <c:v>776210</c:v>
                </c:pt>
                <c:pt idx="91">
                  <c:v>889637</c:v>
                </c:pt>
                <c:pt idx="92">
                  <c:v>1069137</c:v>
                </c:pt>
                <c:pt idx="93">
                  <c:v>1311057</c:v>
                </c:pt>
                <c:pt idx="94">
                  <c:v>1167995</c:v>
                </c:pt>
                <c:pt idx="95">
                  <c:v>1114288</c:v>
                </c:pt>
                <c:pt idx="96">
                  <c:v>843099</c:v>
                </c:pt>
                <c:pt idx="97">
                  <c:v>741350</c:v>
                </c:pt>
                <c:pt idx="98">
                  <c:v>666957</c:v>
                </c:pt>
                <c:pt idx="99">
                  <c:v>603729.25423728814</c:v>
                </c:pt>
                <c:pt idx="100">
                  <c:v>466066.30508474575</c:v>
                </c:pt>
                <c:pt idx="101">
                  <c:v>544021.83050847461</c:v>
                </c:pt>
                <c:pt idx="102">
                  <c:v>882966.83050847461</c:v>
                </c:pt>
                <c:pt idx="103">
                  <c:v>1063783.3559322034</c:v>
                </c:pt>
                <c:pt idx="104">
                  <c:v>1207140.3559322034</c:v>
                </c:pt>
                <c:pt idx="105">
                  <c:v>1660269.7118644067</c:v>
                </c:pt>
                <c:pt idx="106">
                  <c:v>1074892.8305084745</c:v>
                </c:pt>
                <c:pt idx="107">
                  <c:v>1174694.6440677966</c:v>
                </c:pt>
                <c:pt idx="108">
                  <c:v>1201203.9661016949</c:v>
                </c:pt>
                <c:pt idx="109">
                  <c:v>845178.57627118647</c:v>
                </c:pt>
                <c:pt idx="110">
                  <c:v>798710.23728813557</c:v>
                </c:pt>
                <c:pt idx="111">
                  <c:v>552945.52542372886</c:v>
                </c:pt>
                <c:pt idx="112">
                  <c:v>550772.83050847461</c:v>
                </c:pt>
                <c:pt idx="113">
                  <c:v>682615.3898305085</c:v>
                </c:pt>
                <c:pt idx="114">
                  <c:v>768727.6101694915</c:v>
                </c:pt>
                <c:pt idx="115">
                  <c:v>984561.98305084743</c:v>
                </c:pt>
                <c:pt idx="116">
                  <c:v>1115680.7627118644</c:v>
                </c:pt>
                <c:pt idx="117">
                  <c:v>1372038.440677966</c:v>
                </c:pt>
                <c:pt idx="118">
                  <c:v>1403867.1016949152</c:v>
                </c:pt>
                <c:pt idx="119">
                  <c:v>1148142.3898305085</c:v>
                </c:pt>
                <c:pt idx="120">
                  <c:v>947406.15254237293</c:v>
                </c:pt>
                <c:pt idx="121">
                  <c:v>873028.93220338982</c:v>
                </c:pt>
                <c:pt idx="122">
                  <c:v>473948.98305084748</c:v>
                </c:pt>
                <c:pt idx="123">
                  <c:v>795980.10169491521</c:v>
                </c:pt>
                <c:pt idx="124">
                  <c:v>599494.6610169491</c:v>
                </c:pt>
                <c:pt idx="125">
                  <c:v>897756.08474576275</c:v>
                </c:pt>
                <c:pt idx="126">
                  <c:v>847275.3389830509</c:v>
                </c:pt>
                <c:pt idx="127">
                  <c:v>1175232.4915254237</c:v>
                </c:pt>
                <c:pt idx="128">
                  <c:v>1062959.6440677966</c:v>
                </c:pt>
                <c:pt idx="129">
                  <c:v>1116472.1864406778</c:v>
                </c:pt>
                <c:pt idx="130">
                  <c:v>1245431.9491525423</c:v>
                </c:pt>
                <c:pt idx="131">
                  <c:v>1052031.1694915255</c:v>
                </c:pt>
                <c:pt idx="132">
                  <c:v>932674.30508474575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17-4667-AF13-F65BEC416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74905400"/>
        <c:axId val="-167490424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'Steam and MTHW'!$E$3</c15:sqref>
                        </c15:formulaRef>
                      </c:ext>
                    </c:extLst>
                    <c:strCache>
                      <c:ptCount val="1"/>
                      <c:pt idx="0">
                        <c:v>192 Consumption
KWh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'Steam and MTHW'!$A$8:$B$139</c15:sqref>
                        </c15:formulaRef>
                      </c:ext>
                    </c:extLst>
                    <c:multiLvlStrCache>
                      <c:ptCount val="127"/>
                      <c:lvl>
                        <c:pt idx="6">
                          <c:v>2014</c:v>
                        </c:pt>
                        <c:pt idx="18">
                          <c:v>2015</c:v>
                        </c:pt>
                        <c:pt idx="30">
                          <c:v>2016</c:v>
                        </c:pt>
                        <c:pt idx="42">
                          <c:v>2017</c:v>
                        </c:pt>
                        <c:pt idx="54">
                          <c:v>2018</c:v>
                        </c:pt>
                        <c:pt idx="66">
                          <c:v>2019</c:v>
                        </c:pt>
                        <c:pt idx="78">
                          <c:v>2020</c:v>
                        </c:pt>
                        <c:pt idx="90">
                          <c:v>2021</c:v>
                        </c:pt>
                        <c:pt idx="102">
                          <c:v>2022</c:v>
                        </c:pt>
                        <c:pt idx="114">
                          <c:v>2023</c:v>
                        </c:pt>
                        <c:pt idx="126">
                          <c:v>2024</c:v>
                        </c:pt>
                      </c:lvl>
                      <c:lvl>
                        <c:pt idx="0">
                          <c:v>January</c:v>
                        </c:pt>
                        <c:pt idx="6">
                          <c:v>July</c:v>
                        </c:pt>
                        <c:pt idx="12">
                          <c:v>January</c:v>
                        </c:pt>
                        <c:pt idx="18">
                          <c:v>July</c:v>
                        </c:pt>
                        <c:pt idx="24">
                          <c:v>January</c:v>
                        </c:pt>
                        <c:pt idx="30">
                          <c:v>July</c:v>
                        </c:pt>
                        <c:pt idx="36">
                          <c:v>January</c:v>
                        </c:pt>
                        <c:pt idx="42">
                          <c:v>July</c:v>
                        </c:pt>
                        <c:pt idx="48">
                          <c:v>January</c:v>
                        </c:pt>
                        <c:pt idx="54">
                          <c:v>July</c:v>
                        </c:pt>
                        <c:pt idx="60">
                          <c:v>January</c:v>
                        </c:pt>
                        <c:pt idx="66">
                          <c:v>July</c:v>
                        </c:pt>
                        <c:pt idx="72">
                          <c:v>January</c:v>
                        </c:pt>
                        <c:pt idx="78">
                          <c:v>July</c:v>
                        </c:pt>
                        <c:pt idx="84">
                          <c:v>January</c:v>
                        </c:pt>
                        <c:pt idx="90">
                          <c:v>July</c:v>
                        </c:pt>
                        <c:pt idx="96">
                          <c:v>January</c:v>
                        </c:pt>
                        <c:pt idx="102">
                          <c:v>July</c:v>
                        </c:pt>
                        <c:pt idx="108">
                          <c:v>January</c:v>
                        </c:pt>
                        <c:pt idx="114">
                          <c:v>July</c:v>
                        </c:pt>
                        <c:pt idx="120">
                          <c:v>January</c:v>
                        </c:pt>
                        <c:pt idx="126">
                          <c:v>July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'Steam and MTHW'!$E$115</c15:sqref>
                        </c15:formulaRef>
                      </c:ext>
                    </c:extLst>
                    <c:numCache>
                      <c:formatCode>#,##0</c:formatCode>
                      <c:ptCount val="1"/>
                      <c:pt idx="0">
                        <c:v>16900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E68-4709-9D93-3DF5BAF805D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'Steam and MTHW'!$H$3</c15:sqref>
                        </c15:formulaRef>
                      </c:ext>
                    </c:extLst>
                    <c:strCache>
                      <c:ptCount val="1"/>
                      <c:pt idx="0">
                        <c:v>Line A Consumption kg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'Steam and MTHW'!$A$8:$B$139</c15:sqref>
                        </c15:formulaRef>
                      </c:ext>
                    </c:extLst>
                    <c:multiLvlStrCache>
                      <c:ptCount val="127"/>
                      <c:lvl>
                        <c:pt idx="6">
                          <c:v>2014</c:v>
                        </c:pt>
                        <c:pt idx="18">
                          <c:v>2015</c:v>
                        </c:pt>
                        <c:pt idx="30">
                          <c:v>2016</c:v>
                        </c:pt>
                        <c:pt idx="42">
                          <c:v>2017</c:v>
                        </c:pt>
                        <c:pt idx="54">
                          <c:v>2018</c:v>
                        </c:pt>
                        <c:pt idx="66">
                          <c:v>2019</c:v>
                        </c:pt>
                        <c:pt idx="78">
                          <c:v>2020</c:v>
                        </c:pt>
                        <c:pt idx="90">
                          <c:v>2021</c:v>
                        </c:pt>
                        <c:pt idx="102">
                          <c:v>2022</c:v>
                        </c:pt>
                        <c:pt idx="114">
                          <c:v>2023</c:v>
                        </c:pt>
                        <c:pt idx="126">
                          <c:v>2024</c:v>
                        </c:pt>
                      </c:lvl>
                      <c:lvl>
                        <c:pt idx="0">
                          <c:v>January</c:v>
                        </c:pt>
                        <c:pt idx="6">
                          <c:v>July</c:v>
                        </c:pt>
                        <c:pt idx="12">
                          <c:v>January</c:v>
                        </c:pt>
                        <c:pt idx="18">
                          <c:v>July</c:v>
                        </c:pt>
                        <c:pt idx="24">
                          <c:v>January</c:v>
                        </c:pt>
                        <c:pt idx="30">
                          <c:v>July</c:v>
                        </c:pt>
                        <c:pt idx="36">
                          <c:v>January</c:v>
                        </c:pt>
                        <c:pt idx="42">
                          <c:v>July</c:v>
                        </c:pt>
                        <c:pt idx="48">
                          <c:v>January</c:v>
                        </c:pt>
                        <c:pt idx="54">
                          <c:v>July</c:v>
                        </c:pt>
                        <c:pt idx="60">
                          <c:v>January</c:v>
                        </c:pt>
                        <c:pt idx="66">
                          <c:v>July</c:v>
                        </c:pt>
                        <c:pt idx="72">
                          <c:v>January</c:v>
                        </c:pt>
                        <c:pt idx="78">
                          <c:v>July</c:v>
                        </c:pt>
                        <c:pt idx="84">
                          <c:v>January</c:v>
                        </c:pt>
                        <c:pt idx="90">
                          <c:v>July</c:v>
                        </c:pt>
                        <c:pt idx="96">
                          <c:v>January</c:v>
                        </c:pt>
                        <c:pt idx="102">
                          <c:v>July</c:v>
                        </c:pt>
                        <c:pt idx="108">
                          <c:v>January</c:v>
                        </c:pt>
                        <c:pt idx="114">
                          <c:v>July</c:v>
                        </c:pt>
                        <c:pt idx="120">
                          <c:v>January</c:v>
                        </c:pt>
                        <c:pt idx="126">
                          <c:v>July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'Steam and MTHW'!$H$5:$H$115</c15:sqref>
                        </c15:formulaRef>
                      </c:ext>
                    </c:extLst>
                    <c:numCache>
                      <c:formatCode>#,##0</c:formatCode>
                      <c:ptCount val="111"/>
                      <c:pt idx="0">
                        <c:v>232965</c:v>
                      </c:pt>
                      <c:pt idx="1">
                        <c:v>176915</c:v>
                      </c:pt>
                      <c:pt idx="2">
                        <c:v>184234</c:v>
                      </c:pt>
                      <c:pt idx="3">
                        <c:v>166459</c:v>
                      </c:pt>
                      <c:pt idx="4">
                        <c:v>168300</c:v>
                      </c:pt>
                      <c:pt idx="5">
                        <c:v>178759</c:v>
                      </c:pt>
                      <c:pt idx="6">
                        <c:v>196786</c:v>
                      </c:pt>
                      <c:pt idx="7">
                        <c:v>575373</c:v>
                      </c:pt>
                      <c:pt idx="8">
                        <c:v>677574</c:v>
                      </c:pt>
                      <c:pt idx="9">
                        <c:v>881266</c:v>
                      </c:pt>
                      <c:pt idx="10">
                        <c:v>835054</c:v>
                      </c:pt>
                      <c:pt idx="11">
                        <c:v>652711</c:v>
                      </c:pt>
                      <c:pt idx="12">
                        <c:v>631400</c:v>
                      </c:pt>
                      <c:pt idx="13">
                        <c:v>694093</c:v>
                      </c:pt>
                      <c:pt idx="14">
                        <c:v>499033</c:v>
                      </c:pt>
                      <c:pt idx="15">
                        <c:v>362697</c:v>
                      </c:pt>
                      <c:pt idx="16">
                        <c:v>348469</c:v>
                      </c:pt>
                      <c:pt idx="17">
                        <c:v>496790</c:v>
                      </c:pt>
                      <c:pt idx="18">
                        <c:v>879150</c:v>
                      </c:pt>
                      <c:pt idx="19">
                        <c:v>1342052</c:v>
                      </c:pt>
                      <c:pt idx="20">
                        <c:v>1242301</c:v>
                      </c:pt>
                      <c:pt idx="21">
                        <c:v>1503519</c:v>
                      </c:pt>
                      <c:pt idx="22">
                        <c:v>1286933</c:v>
                      </c:pt>
                      <c:pt idx="23">
                        <c:v>1176933</c:v>
                      </c:pt>
                      <c:pt idx="24">
                        <c:v>868894</c:v>
                      </c:pt>
                      <c:pt idx="25">
                        <c:v>725883</c:v>
                      </c:pt>
                      <c:pt idx="26">
                        <c:v>667995</c:v>
                      </c:pt>
                      <c:pt idx="27">
                        <c:v>569690</c:v>
                      </c:pt>
                      <c:pt idx="28">
                        <c:v>399971</c:v>
                      </c:pt>
                      <c:pt idx="29">
                        <c:v>608628</c:v>
                      </c:pt>
                      <c:pt idx="30">
                        <c:v>808550</c:v>
                      </c:pt>
                      <c:pt idx="31">
                        <c:v>971815</c:v>
                      </c:pt>
                      <c:pt idx="32">
                        <c:v>1027294</c:v>
                      </c:pt>
                      <c:pt idx="33">
                        <c:v>1306252</c:v>
                      </c:pt>
                      <c:pt idx="34">
                        <c:v>1354350</c:v>
                      </c:pt>
                      <c:pt idx="35">
                        <c:v>1082311</c:v>
                      </c:pt>
                      <c:pt idx="36">
                        <c:v>855007</c:v>
                      </c:pt>
                      <c:pt idx="37">
                        <c:v>713551</c:v>
                      </c:pt>
                      <c:pt idx="38">
                        <c:v>804069</c:v>
                      </c:pt>
                      <c:pt idx="39">
                        <c:v>654588</c:v>
                      </c:pt>
                      <c:pt idx="40">
                        <c:v>509677</c:v>
                      </c:pt>
                      <c:pt idx="41">
                        <c:v>698086</c:v>
                      </c:pt>
                      <c:pt idx="42">
                        <c:v>701707</c:v>
                      </c:pt>
                      <c:pt idx="43">
                        <c:v>929916</c:v>
                      </c:pt>
                      <c:pt idx="44">
                        <c:v>1067031</c:v>
                      </c:pt>
                      <c:pt idx="45">
                        <c:v>1108124</c:v>
                      </c:pt>
                      <c:pt idx="46">
                        <c:v>971696</c:v>
                      </c:pt>
                      <c:pt idx="47">
                        <c:v>867194</c:v>
                      </c:pt>
                      <c:pt idx="48">
                        <c:v>733113</c:v>
                      </c:pt>
                      <c:pt idx="49">
                        <c:v>609749</c:v>
                      </c:pt>
                      <c:pt idx="50">
                        <c:v>494179</c:v>
                      </c:pt>
                      <c:pt idx="51">
                        <c:v>527875</c:v>
                      </c:pt>
                      <c:pt idx="52">
                        <c:v>451855</c:v>
                      </c:pt>
                      <c:pt idx="53">
                        <c:v>606179</c:v>
                      </c:pt>
                      <c:pt idx="54">
                        <c:v>772590</c:v>
                      </c:pt>
                      <c:pt idx="55">
                        <c:v>937558</c:v>
                      </c:pt>
                      <c:pt idx="56">
                        <c:v>706292</c:v>
                      </c:pt>
                      <c:pt idx="57">
                        <c:v>503910</c:v>
                      </c:pt>
                      <c:pt idx="58">
                        <c:v>0</c:v>
                      </c:pt>
                      <c:pt idx="59">
                        <c:v>115085</c:v>
                      </c:pt>
                      <c:pt idx="60">
                        <c:v>514529</c:v>
                      </c:pt>
                      <c:pt idx="61">
                        <c:v>488266</c:v>
                      </c:pt>
                      <c:pt idx="62">
                        <c:v>470385</c:v>
                      </c:pt>
                      <c:pt idx="63">
                        <c:v>377256</c:v>
                      </c:pt>
                      <c:pt idx="64">
                        <c:v>396033</c:v>
                      </c:pt>
                      <c:pt idx="65">
                        <c:v>339610</c:v>
                      </c:pt>
                      <c:pt idx="66">
                        <c:v>540085</c:v>
                      </c:pt>
                      <c:pt idx="67">
                        <c:v>638133</c:v>
                      </c:pt>
                      <c:pt idx="68">
                        <c:v>637110</c:v>
                      </c:pt>
                      <c:pt idx="69">
                        <c:v>649406</c:v>
                      </c:pt>
                      <c:pt idx="70">
                        <c:v>726817</c:v>
                      </c:pt>
                      <c:pt idx="71">
                        <c:v>537918</c:v>
                      </c:pt>
                      <c:pt idx="72">
                        <c:v>623223</c:v>
                      </c:pt>
                      <c:pt idx="73">
                        <c:v>387253</c:v>
                      </c:pt>
                      <c:pt idx="74">
                        <c:v>540764</c:v>
                      </c:pt>
                      <c:pt idx="75">
                        <c:v>336586</c:v>
                      </c:pt>
                      <c:pt idx="76">
                        <c:v>330671</c:v>
                      </c:pt>
                      <c:pt idx="77">
                        <c:v>408150</c:v>
                      </c:pt>
                      <c:pt idx="78">
                        <c:v>480733</c:v>
                      </c:pt>
                      <c:pt idx="79">
                        <c:v>545653</c:v>
                      </c:pt>
                      <c:pt idx="80">
                        <c:v>595058</c:v>
                      </c:pt>
                      <c:pt idx="81">
                        <c:v>733772</c:v>
                      </c:pt>
                      <c:pt idx="82">
                        <c:v>607174</c:v>
                      </c:pt>
                      <c:pt idx="83">
                        <c:v>588006</c:v>
                      </c:pt>
                      <c:pt idx="84">
                        <c:v>524833</c:v>
                      </c:pt>
                      <c:pt idx="85">
                        <c:v>476924</c:v>
                      </c:pt>
                      <c:pt idx="86">
                        <c:v>427528</c:v>
                      </c:pt>
                      <c:pt idx="87">
                        <c:v>372118</c:v>
                      </c:pt>
                      <c:pt idx="88">
                        <c:v>309135</c:v>
                      </c:pt>
                      <c:pt idx="89">
                        <c:v>333778</c:v>
                      </c:pt>
                      <c:pt idx="90">
                        <c:v>387422</c:v>
                      </c:pt>
                      <c:pt idx="91">
                        <c:v>458306</c:v>
                      </c:pt>
                      <c:pt idx="92">
                        <c:v>577826</c:v>
                      </c:pt>
                      <c:pt idx="93">
                        <c:v>691851</c:v>
                      </c:pt>
                      <c:pt idx="94">
                        <c:v>622470</c:v>
                      </c:pt>
                      <c:pt idx="95">
                        <c:v>596414</c:v>
                      </c:pt>
                      <c:pt idx="96">
                        <c:v>464627</c:v>
                      </c:pt>
                      <c:pt idx="97">
                        <c:v>407001</c:v>
                      </c:pt>
                      <c:pt idx="98">
                        <c:v>359824</c:v>
                      </c:pt>
                      <c:pt idx="99">
                        <c:v>342364</c:v>
                      </c:pt>
                      <c:pt idx="100">
                        <c:v>335058</c:v>
                      </c:pt>
                      <c:pt idx="101">
                        <c:v>348916</c:v>
                      </c:pt>
                      <c:pt idx="102">
                        <c:v>526045</c:v>
                      </c:pt>
                      <c:pt idx="103">
                        <c:v>510947</c:v>
                      </c:pt>
                      <c:pt idx="104">
                        <c:v>566272</c:v>
                      </c:pt>
                      <c:pt idx="105">
                        <c:v>748888</c:v>
                      </c:pt>
                      <c:pt idx="106">
                        <c:v>542469</c:v>
                      </c:pt>
                      <c:pt idx="107">
                        <c:v>540408</c:v>
                      </c:pt>
                      <c:pt idx="108">
                        <c:v>542343</c:v>
                      </c:pt>
                      <c:pt idx="109">
                        <c:v>423823</c:v>
                      </c:pt>
                      <c:pt idx="110">
                        <c:v>421657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E68-4709-9D93-3DF5BAF805D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'Steam and MTHW'!$I$3</c15:sqref>
                        </c15:formulaRef>
                      </c:ext>
                    </c:extLst>
                    <c:strCache>
                      <c:ptCount val="1"/>
                      <c:pt idx="0">
                        <c:v>Line A Consumption KWh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'Steam and MTHW'!$A$8:$B$139</c15:sqref>
                        </c15:formulaRef>
                      </c:ext>
                    </c:extLst>
                    <c:multiLvlStrCache>
                      <c:ptCount val="127"/>
                      <c:lvl>
                        <c:pt idx="6">
                          <c:v>2014</c:v>
                        </c:pt>
                        <c:pt idx="18">
                          <c:v>2015</c:v>
                        </c:pt>
                        <c:pt idx="30">
                          <c:v>2016</c:v>
                        </c:pt>
                        <c:pt idx="42">
                          <c:v>2017</c:v>
                        </c:pt>
                        <c:pt idx="54">
                          <c:v>2018</c:v>
                        </c:pt>
                        <c:pt idx="66">
                          <c:v>2019</c:v>
                        </c:pt>
                        <c:pt idx="78">
                          <c:v>2020</c:v>
                        </c:pt>
                        <c:pt idx="90">
                          <c:v>2021</c:v>
                        </c:pt>
                        <c:pt idx="102">
                          <c:v>2022</c:v>
                        </c:pt>
                        <c:pt idx="114">
                          <c:v>2023</c:v>
                        </c:pt>
                        <c:pt idx="126">
                          <c:v>2024</c:v>
                        </c:pt>
                      </c:lvl>
                      <c:lvl>
                        <c:pt idx="0">
                          <c:v>January</c:v>
                        </c:pt>
                        <c:pt idx="6">
                          <c:v>July</c:v>
                        </c:pt>
                        <c:pt idx="12">
                          <c:v>January</c:v>
                        </c:pt>
                        <c:pt idx="18">
                          <c:v>July</c:v>
                        </c:pt>
                        <c:pt idx="24">
                          <c:v>January</c:v>
                        </c:pt>
                        <c:pt idx="30">
                          <c:v>July</c:v>
                        </c:pt>
                        <c:pt idx="36">
                          <c:v>January</c:v>
                        </c:pt>
                        <c:pt idx="42">
                          <c:v>July</c:v>
                        </c:pt>
                        <c:pt idx="48">
                          <c:v>January</c:v>
                        </c:pt>
                        <c:pt idx="54">
                          <c:v>July</c:v>
                        </c:pt>
                        <c:pt idx="60">
                          <c:v>January</c:v>
                        </c:pt>
                        <c:pt idx="66">
                          <c:v>July</c:v>
                        </c:pt>
                        <c:pt idx="72">
                          <c:v>January</c:v>
                        </c:pt>
                        <c:pt idx="78">
                          <c:v>July</c:v>
                        </c:pt>
                        <c:pt idx="84">
                          <c:v>January</c:v>
                        </c:pt>
                        <c:pt idx="90">
                          <c:v>July</c:v>
                        </c:pt>
                        <c:pt idx="96">
                          <c:v>January</c:v>
                        </c:pt>
                        <c:pt idx="102">
                          <c:v>July</c:v>
                        </c:pt>
                        <c:pt idx="108">
                          <c:v>January</c:v>
                        </c:pt>
                        <c:pt idx="114">
                          <c:v>July</c:v>
                        </c:pt>
                        <c:pt idx="120">
                          <c:v>January</c:v>
                        </c:pt>
                        <c:pt idx="126">
                          <c:v>July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'Steam and MTHW'!$I$5:$I$115</c15:sqref>
                        </c15:formulaRef>
                      </c:ext>
                    </c:extLst>
                    <c:numCache>
                      <c:formatCode>#,##0</c:formatCode>
                      <c:ptCount val="111"/>
                      <c:pt idx="0">
                        <c:v>171973</c:v>
                      </c:pt>
                      <c:pt idx="1">
                        <c:v>130631</c:v>
                      </c:pt>
                      <c:pt idx="2">
                        <c:v>136058</c:v>
                      </c:pt>
                      <c:pt idx="3">
                        <c:v>122913</c:v>
                      </c:pt>
                      <c:pt idx="4">
                        <c:v>124258</c:v>
                      </c:pt>
                      <c:pt idx="5">
                        <c:v>131965</c:v>
                      </c:pt>
                      <c:pt idx="6">
                        <c:v>145249</c:v>
                      </c:pt>
                      <c:pt idx="7">
                        <c:v>424446</c:v>
                      </c:pt>
                      <c:pt idx="8">
                        <c:v>499820</c:v>
                      </c:pt>
                      <c:pt idx="9">
                        <c:v>650017</c:v>
                      </c:pt>
                      <c:pt idx="10">
                        <c:v>615978</c:v>
                      </c:pt>
                      <c:pt idx="11">
                        <c:v>481585</c:v>
                      </c:pt>
                      <c:pt idx="12">
                        <c:v>469129</c:v>
                      </c:pt>
                      <c:pt idx="13">
                        <c:v>534010</c:v>
                      </c:pt>
                      <c:pt idx="14">
                        <c:v>385242</c:v>
                      </c:pt>
                      <c:pt idx="15">
                        <c:v>280061</c:v>
                      </c:pt>
                      <c:pt idx="16">
                        <c:v>269030</c:v>
                      </c:pt>
                      <c:pt idx="17">
                        <c:v>383586</c:v>
                      </c:pt>
                      <c:pt idx="18">
                        <c:v>678270</c:v>
                      </c:pt>
                      <c:pt idx="19">
                        <c:v>1036273</c:v>
                      </c:pt>
                      <c:pt idx="20">
                        <c:v>959244</c:v>
                      </c:pt>
                      <c:pt idx="21">
                        <c:v>1174070</c:v>
                      </c:pt>
                      <c:pt idx="22">
                        <c:v>1048150</c:v>
                      </c:pt>
                      <c:pt idx="23">
                        <c:v>956241</c:v>
                      </c:pt>
                      <c:pt idx="24">
                        <c:v>726960</c:v>
                      </c:pt>
                      <c:pt idx="25">
                        <c:v>601104</c:v>
                      </c:pt>
                      <c:pt idx="26">
                        <c:v>565998</c:v>
                      </c:pt>
                      <c:pt idx="27">
                        <c:v>482770</c:v>
                      </c:pt>
                      <c:pt idx="28">
                        <c:v>306292</c:v>
                      </c:pt>
                      <c:pt idx="29">
                        <c:v>449396</c:v>
                      </c:pt>
                      <c:pt idx="30">
                        <c:v>596935</c:v>
                      </c:pt>
                      <c:pt idx="31">
                        <c:v>749780</c:v>
                      </c:pt>
                      <c:pt idx="32">
                        <c:v>792537</c:v>
                      </c:pt>
                      <c:pt idx="33">
                        <c:v>1007554</c:v>
                      </c:pt>
                      <c:pt idx="34">
                        <c:v>1044691</c:v>
                      </c:pt>
                      <c:pt idx="35">
                        <c:v>835189</c:v>
                      </c:pt>
                      <c:pt idx="36">
                        <c:v>659955</c:v>
                      </c:pt>
                      <c:pt idx="37">
                        <c:v>550721</c:v>
                      </c:pt>
                      <c:pt idx="38">
                        <c:v>629599</c:v>
                      </c:pt>
                      <c:pt idx="39">
                        <c:v>496314</c:v>
                      </c:pt>
                      <c:pt idx="40">
                        <c:v>393421</c:v>
                      </c:pt>
                      <c:pt idx="41">
                        <c:v>538738</c:v>
                      </c:pt>
                      <c:pt idx="42">
                        <c:v>541470</c:v>
                      </c:pt>
                      <c:pt idx="43">
                        <c:v>717338</c:v>
                      </c:pt>
                      <c:pt idx="44">
                        <c:v>823099</c:v>
                      </c:pt>
                      <c:pt idx="45">
                        <c:v>854518</c:v>
                      </c:pt>
                      <c:pt idx="46">
                        <c:v>749664</c:v>
                      </c:pt>
                      <c:pt idx="47">
                        <c:v>668937</c:v>
                      </c:pt>
                      <c:pt idx="48">
                        <c:v>565680</c:v>
                      </c:pt>
                      <c:pt idx="49">
                        <c:v>470490.65330992639</c:v>
                      </c:pt>
                      <c:pt idx="50">
                        <c:v>381581.34669007361</c:v>
                      </c:pt>
                      <c:pt idx="51">
                        <c:v>410149</c:v>
                      </c:pt>
                      <c:pt idx="52">
                        <c:v>344133</c:v>
                      </c:pt>
                      <c:pt idx="53">
                        <c:v>469795</c:v>
                      </c:pt>
                      <c:pt idx="54">
                        <c:v>596171</c:v>
                      </c:pt>
                      <c:pt idx="55">
                        <c:v>723282</c:v>
                      </c:pt>
                      <c:pt idx="56">
                        <c:v>544831</c:v>
                      </c:pt>
                      <c:pt idx="57">
                        <c:v>388701</c:v>
                      </c:pt>
                      <c:pt idx="58">
                        <c:v>0</c:v>
                      </c:pt>
                      <c:pt idx="59">
                        <c:v>97544</c:v>
                      </c:pt>
                      <c:pt idx="60">
                        <c:v>435729</c:v>
                      </c:pt>
                      <c:pt idx="61">
                        <c:v>413786</c:v>
                      </c:pt>
                      <c:pt idx="62">
                        <c:v>398521</c:v>
                      </c:pt>
                      <c:pt idx="63">
                        <c:v>319562</c:v>
                      </c:pt>
                      <c:pt idx="64">
                        <c:v>335664</c:v>
                      </c:pt>
                      <c:pt idx="65">
                        <c:v>287846</c:v>
                      </c:pt>
                      <c:pt idx="66">
                        <c:v>458061</c:v>
                      </c:pt>
                      <c:pt idx="67">
                        <c:v>541071</c:v>
                      </c:pt>
                      <c:pt idx="68">
                        <c:v>539936</c:v>
                      </c:pt>
                      <c:pt idx="69">
                        <c:v>550405</c:v>
                      </c:pt>
                      <c:pt idx="70">
                        <c:v>616061</c:v>
                      </c:pt>
                      <c:pt idx="71">
                        <c:v>455915</c:v>
                      </c:pt>
                      <c:pt idx="72">
                        <c:v>527937</c:v>
                      </c:pt>
                      <c:pt idx="73">
                        <c:v>328098</c:v>
                      </c:pt>
                      <c:pt idx="74">
                        <c:v>443102</c:v>
                      </c:pt>
                      <c:pt idx="75">
                        <c:v>277722</c:v>
                      </c:pt>
                      <c:pt idx="76">
                        <c:v>280148</c:v>
                      </c:pt>
                      <c:pt idx="77">
                        <c:v>345213</c:v>
                      </c:pt>
                      <c:pt idx="78">
                        <c:v>407919</c:v>
                      </c:pt>
                      <c:pt idx="79">
                        <c:v>462378</c:v>
                      </c:pt>
                      <c:pt idx="80">
                        <c:v>504326</c:v>
                      </c:pt>
                      <c:pt idx="81">
                        <c:v>621910</c:v>
                      </c:pt>
                      <c:pt idx="82">
                        <c:v>460298.60940000002</c:v>
                      </c:pt>
                      <c:pt idx="83">
                        <c:v>552664.3906000033</c:v>
                      </c:pt>
                      <c:pt idx="84">
                        <c:v>444711</c:v>
                      </c:pt>
                      <c:pt idx="85">
                        <c:v>404266</c:v>
                      </c:pt>
                      <c:pt idx="86">
                        <c:v>362284</c:v>
                      </c:pt>
                      <c:pt idx="87">
                        <c:v>315321</c:v>
                      </c:pt>
                      <c:pt idx="88">
                        <c:v>261960</c:v>
                      </c:pt>
                      <c:pt idx="89">
                        <c:v>282826</c:v>
                      </c:pt>
                      <c:pt idx="90">
                        <c:v>328295</c:v>
                      </c:pt>
                      <c:pt idx="91">
                        <c:v>388472</c:v>
                      </c:pt>
                      <c:pt idx="92">
                        <c:v>489731</c:v>
                      </c:pt>
                      <c:pt idx="93">
                        <c:v>586473</c:v>
                      </c:pt>
                      <c:pt idx="94">
                        <c:v>527591</c:v>
                      </c:pt>
                      <c:pt idx="95">
                        <c:v>505505</c:v>
                      </c:pt>
                      <c:pt idx="96">
                        <c:v>393751</c:v>
                      </c:pt>
                      <c:pt idx="97">
                        <c:v>344873</c:v>
                      </c:pt>
                      <c:pt idx="98">
                        <c:v>304904</c:v>
                      </c:pt>
                      <c:pt idx="99">
                        <c:v>290093</c:v>
                      </c:pt>
                      <c:pt idx="100">
                        <c:v>283894</c:v>
                      </c:pt>
                      <c:pt idx="101">
                        <c:v>295627</c:v>
                      </c:pt>
                      <c:pt idx="102">
                        <c:v>445659</c:v>
                      </c:pt>
                      <c:pt idx="103">
                        <c:v>432882</c:v>
                      </c:pt>
                      <c:pt idx="104">
                        <c:v>480106</c:v>
                      </c:pt>
                      <c:pt idx="105">
                        <c:v>634820</c:v>
                      </c:pt>
                      <c:pt idx="106">
                        <c:v>459776</c:v>
                      </c:pt>
                      <c:pt idx="107">
                        <c:v>458023</c:v>
                      </c:pt>
                      <c:pt idx="108">
                        <c:v>459651</c:v>
                      </c:pt>
                      <c:pt idx="109">
                        <c:v>359088</c:v>
                      </c:pt>
                      <c:pt idx="110">
                        <c:v>357265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E68-4709-9D93-3DF5BAF805D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'Steam and MTHW'!$L$3</c15:sqref>
                        </c15:formulaRef>
                      </c:ext>
                    </c:extLst>
                    <c:strCache>
                      <c:ptCount val="1"/>
                      <c:pt idx="0">
                        <c:v>Line B Consumption kg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'Steam and MTHW'!$A$8:$B$139</c15:sqref>
                        </c15:formulaRef>
                      </c:ext>
                    </c:extLst>
                    <c:multiLvlStrCache>
                      <c:ptCount val="127"/>
                      <c:lvl>
                        <c:pt idx="6">
                          <c:v>2014</c:v>
                        </c:pt>
                        <c:pt idx="18">
                          <c:v>2015</c:v>
                        </c:pt>
                        <c:pt idx="30">
                          <c:v>2016</c:v>
                        </c:pt>
                        <c:pt idx="42">
                          <c:v>2017</c:v>
                        </c:pt>
                        <c:pt idx="54">
                          <c:v>2018</c:v>
                        </c:pt>
                        <c:pt idx="66">
                          <c:v>2019</c:v>
                        </c:pt>
                        <c:pt idx="78">
                          <c:v>2020</c:v>
                        </c:pt>
                        <c:pt idx="90">
                          <c:v>2021</c:v>
                        </c:pt>
                        <c:pt idx="102">
                          <c:v>2022</c:v>
                        </c:pt>
                        <c:pt idx="114">
                          <c:v>2023</c:v>
                        </c:pt>
                        <c:pt idx="126">
                          <c:v>2024</c:v>
                        </c:pt>
                      </c:lvl>
                      <c:lvl>
                        <c:pt idx="0">
                          <c:v>January</c:v>
                        </c:pt>
                        <c:pt idx="6">
                          <c:v>July</c:v>
                        </c:pt>
                        <c:pt idx="12">
                          <c:v>January</c:v>
                        </c:pt>
                        <c:pt idx="18">
                          <c:v>July</c:v>
                        </c:pt>
                        <c:pt idx="24">
                          <c:v>January</c:v>
                        </c:pt>
                        <c:pt idx="30">
                          <c:v>July</c:v>
                        </c:pt>
                        <c:pt idx="36">
                          <c:v>January</c:v>
                        </c:pt>
                        <c:pt idx="42">
                          <c:v>July</c:v>
                        </c:pt>
                        <c:pt idx="48">
                          <c:v>January</c:v>
                        </c:pt>
                        <c:pt idx="54">
                          <c:v>July</c:v>
                        </c:pt>
                        <c:pt idx="60">
                          <c:v>January</c:v>
                        </c:pt>
                        <c:pt idx="66">
                          <c:v>July</c:v>
                        </c:pt>
                        <c:pt idx="72">
                          <c:v>January</c:v>
                        </c:pt>
                        <c:pt idx="78">
                          <c:v>July</c:v>
                        </c:pt>
                        <c:pt idx="84">
                          <c:v>January</c:v>
                        </c:pt>
                        <c:pt idx="90">
                          <c:v>July</c:v>
                        </c:pt>
                        <c:pt idx="96">
                          <c:v>January</c:v>
                        </c:pt>
                        <c:pt idx="102">
                          <c:v>July</c:v>
                        </c:pt>
                        <c:pt idx="108">
                          <c:v>January</c:v>
                        </c:pt>
                        <c:pt idx="114">
                          <c:v>July</c:v>
                        </c:pt>
                        <c:pt idx="120">
                          <c:v>January</c:v>
                        </c:pt>
                        <c:pt idx="126">
                          <c:v>July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'Steam and MTHW'!$L$5:$L$115</c15:sqref>
                        </c15:formulaRef>
                      </c:ext>
                    </c:extLst>
                    <c:numCache>
                      <c:formatCode>#,##0</c:formatCode>
                      <c:ptCount val="111"/>
                      <c:pt idx="0">
                        <c:v>941706</c:v>
                      </c:pt>
                      <c:pt idx="1">
                        <c:v>698186</c:v>
                      </c:pt>
                      <c:pt idx="2">
                        <c:v>676675</c:v>
                      </c:pt>
                      <c:pt idx="3">
                        <c:v>649639</c:v>
                      </c:pt>
                      <c:pt idx="4">
                        <c:v>655825</c:v>
                      </c:pt>
                      <c:pt idx="5">
                        <c:v>689793</c:v>
                      </c:pt>
                      <c:pt idx="6">
                        <c:v>779982</c:v>
                      </c:pt>
                      <c:pt idx="7">
                        <c:v>1072164</c:v>
                      </c:pt>
                      <c:pt idx="8">
                        <c:v>655202</c:v>
                      </c:pt>
                      <c:pt idx="9">
                        <c:v>833271</c:v>
                      </c:pt>
                      <c:pt idx="10">
                        <c:v>770181</c:v>
                      </c:pt>
                      <c:pt idx="11">
                        <c:v>603879</c:v>
                      </c:pt>
                      <c:pt idx="12">
                        <c:v>581403</c:v>
                      </c:pt>
                      <c:pt idx="13">
                        <c:v>637464</c:v>
                      </c:pt>
                      <c:pt idx="14">
                        <c:v>444348</c:v>
                      </c:pt>
                      <c:pt idx="15">
                        <c:v>317001</c:v>
                      </c:pt>
                      <c:pt idx="16">
                        <c:v>244011</c:v>
                      </c:pt>
                      <c:pt idx="17">
                        <c:v>376037</c:v>
                      </c:pt>
                      <c:pt idx="18">
                        <c:v>197352</c:v>
                      </c:pt>
                      <c:pt idx="19">
                        <c:v>96893</c:v>
                      </c:pt>
                      <c:pt idx="20">
                        <c:v>271836</c:v>
                      </c:pt>
                      <c:pt idx="21">
                        <c:v>353611</c:v>
                      </c:pt>
                      <c:pt idx="22">
                        <c:v>350600</c:v>
                      </c:pt>
                      <c:pt idx="23">
                        <c:v>305983</c:v>
                      </c:pt>
                      <c:pt idx="24">
                        <c:v>292800</c:v>
                      </c:pt>
                      <c:pt idx="25">
                        <c:v>200247</c:v>
                      </c:pt>
                      <c:pt idx="26">
                        <c:v>185748</c:v>
                      </c:pt>
                      <c:pt idx="27">
                        <c:v>157798</c:v>
                      </c:pt>
                      <c:pt idx="28">
                        <c:v>141032</c:v>
                      </c:pt>
                      <c:pt idx="29">
                        <c:v>154226</c:v>
                      </c:pt>
                      <c:pt idx="30">
                        <c:v>210556</c:v>
                      </c:pt>
                      <c:pt idx="31">
                        <c:v>242047</c:v>
                      </c:pt>
                      <c:pt idx="32">
                        <c:v>245234</c:v>
                      </c:pt>
                      <c:pt idx="33">
                        <c:v>309562</c:v>
                      </c:pt>
                      <c:pt idx="34">
                        <c:v>333772</c:v>
                      </c:pt>
                      <c:pt idx="35">
                        <c:v>275620</c:v>
                      </c:pt>
                      <c:pt idx="36">
                        <c:v>223996</c:v>
                      </c:pt>
                      <c:pt idx="37">
                        <c:v>205189</c:v>
                      </c:pt>
                      <c:pt idx="38">
                        <c:v>215557</c:v>
                      </c:pt>
                      <c:pt idx="39">
                        <c:v>185538</c:v>
                      </c:pt>
                      <c:pt idx="40">
                        <c:v>201454</c:v>
                      </c:pt>
                      <c:pt idx="41">
                        <c:v>290797</c:v>
                      </c:pt>
                      <c:pt idx="42">
                        <c:v>287209</c:v>
                      </c:pt>
                      <c:pt idx="43">
                        <c:v>385065</c:v>
                      </c:pt>
                      <c:pt idx="44">
                        <c:v>436833</c:v>
                      </c:pt>
                      <c:pt idx="45">
                        <c:v>447820</c:v>
                      </c:pt>
                      <c:pt idx="46">
                        <c:v>397528</c:v>
                      </c:pt>
                      <c:pt idx="47">
                        <c:v>296757</c:v>
                      </c:pt>
                      <c:pt idx="48">
                        <c:v>172653</c:v>
                      </c:pt>
                      <c:pt idx="49">
                        <c:v>183928</c:v>
                      </c:pt>
                      <c:pt idx="50">
                        <c:v>90696</c:v>
                      </c:pt>
                      <c:pt idx="51">
                        <c:v>122846</c:v>
                      </c:pt>
                      <c:pt idx="52">
                        <c:v>127931</c:v>
                      </c:pt>
                      <c:pt idx="53">
                        <c:v>174564</c:v>
                      </c:pt>
                      <c:pt idx="54">
                        <c:v>162363</c:v>
                      </c:pt>
                      <c:pt idx="55">
                        <c:v>235179</c:v>
                      </c:pt>
                      <c:pt idx="56">
                        <c:v>461854</c:v>
                      </c:pt>
                      <c:pt idx="57">
                        <c:v>717867</c:v>
                      </c:pt>
                      <c:pt idx="58">
                        <c:v>1402795</c:v>
                      </c:pt>
                      <c:pt idx="59">
                        <c:v>639095</c:v>
                      </c:pt>
                      <c:pt idx="60">
                        <c:v>568921</c:v>
                      </c:pt>
                      <c:pt idx="61">
                        <c:v>496527</c:v>
                      </c:pt>
                      <c:pt idx="62">
                        <c:v>405465</c:v>
                      </c:pt>
                      <c:pt idx="63">
                        <c:v>384721</c:v>
                      </c:pt>
                      <c:pt idx="64">
                        <c:v>460210</c:v>
                      </c:pt>
                      <c:pt idx="65">
                        <c:v>423753</c:v>
                      </c:pt>
                      <c:pt idx="66">
                        <c:v>635531</c:v>
                      </c:pt>
                      <c:pt idx="67">
                        <c:v>666051</c:v>
                      </c:pt>
                      <c:pt idx="68">
                        <c:v>797691</c:v>
                      </c:pt>
                      <c:pt idx="69">
                        <c:v>336112</c:v>
                      </c:pt>
                      <c:pt idx="70">
                        <c:v>974463</c:v>
                      </c:pt>
                      <c:pt idx="71">
                        <c:v>412380</c:v>
                      </c:pt>
                      <c:pt idx="72">
                        <c:v>697382</c:v>
                      </c:pt>
                      <c:pt idx="73">
                        <c:v>336904</c:v>
                      </c:pt>
                      <c:pt idx="74">
                        <c:v>509541</c:v>
                      </c:pt>
                      <c:pt idx="75">
                        <c:v>338251</c:v>
                      </c:pt>
                      <c:pt idx="76">
                        <c:v>410325</c:v>
                      </c:pt>
                      <c:pt idx="77">
                        <c:v>493231</c:v>
                      </c:pt>
                      <c:pt idx="78">
                        <c:v>567978</c:v>
                      </c:pt>
                      <c:pt idx="79">
                        <c:v>597359</c:v>
                      </c:pt>
                      <c:pt idx="80">
                        <c:v>622199</c:v>
                      </c:pt>
                      <c:pt idx="81">
                        <c:v>789696</c:v>
                      </c:pt>
                      <c:pt idx="82">
                        <c:v>689299</c:v>
                      </c:pt>
                      <c:pt idx="83">
                        <c:v>729454</c:v>
                      </c:pt>
                      <c:pt idx="84">
                        <c:v>596327</c:v>
                      </c:pt>
                      <c:pt idx="85">
                        <c:v>425030</c:v>
                      </c:pt>
                      <c:pt idx="86">
                        <c:v>496963</c:v>
                      </c:pt>
                      <c:pt idx="87">
                        <c:v>529900</c:v>
                      </c:pt>
                      <c:pt idx="88">
                        <c:v>274178</c:v>
                      </c:pt>
                      <c:pt idx="89">
                        <c:v>414534</c:v>
                      </c:pt>
                      <c:pt idx="90">
                        <c:v>488909</c:v>
                      </c:pt>
                      <c:pt idx="91">
                        <c:v>541337</c:v>
                      </c:pt>
                      <c:pt idx="92">
                        <c:v>619413</c:v>
                      </c:pt>
                      <c:pt idx="93">
                        <c:v>792916</c:v>
                      </c:pt>
                      <c:pt idx="94">
                        <c:v>675802</c:v>
                      </c:pt>
                      <c:pt idx="95">
                        <c:v>691667</c:v>
                      </c:pt>
                      <c:pt idx="96">
                        <c:v>509108</c:v>
                      </c:pt>
                      <c:pt idx="97">
                        <c:v>448279</c:v>
                      </c:pt>
                      <c:pt idx="98">
                        <c:v>419889</c:v>
                      </c:pt>
                      <c:pt idx="99">
                        <c:v>388927</c:v>
                      </c:pt>
                      <c:pt idx="100">
                        <c:v>148768</c:v>
                      </c:pt>
                      <c:pt idx="101">
                        <c:v>88890</c:v>
                      </c:pt>
                      <c:pt idx="102">
                        <c:v>362399</c:v>
                      </c:pt>
                      <c:pt idx="103">
                        <c:v>470407</c:v>
                      </c:pt>
                      <c:pt idx="104">
                        <c:v>577263</c:v>
                      </c:pt>
                      <c:pt idx="105">
                        <c:v>805138</c:v>
                      </c:pt>
                      <c:pt idx="106">
                        <c:v>396427</c:v>
                      </c:pt>
                      <c:pt idx="107">
                        <c:v>562328</c:v>
                      </c:pt>
                      <c:pt idx="108">
                        <c:v>587916</c:v>
                      </c:pt>
                      <c:pt idx="109">
                        <c:v>481352</c:v>
                      </c:pt>
                      <c:pt idx="110">
                        <c:v>483212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E68-4709-9D93-3DF5BAF805D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'Steam and MTHW'!$M$3</c15:sqref>
                        </c15:formulaRef>
                      </c:ext>
                    </c:extLst>
                    <c:strCache>
                      <c:ptCount val="1"/>
                      <c:pt idx="0">
                        <c:v>Line B Consumption KWh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'Steam and MTHW'!$A$8:$B$139</c15:sqref>
                        </c15:formulaRef>
                      </c:ext>
                    </c:extLst>
                    <c:multiLvlStrCache>
                      <c:ptCount val="127"/>
                      <c:lvl>
                        <c:pt idx="6">
                          <c:v>2014</c:v>
                        </c:pt>
                        <c:pt idx="18">
                          <c:v>2015</c:v>
                        </c:pt>
                        <c:pt idx="30">
                          <c:v>2016</c:v>
                        </c:pt>
                        <c:pt idx="42">
                          <c:v>2017</c:v>
                        </c:pt>
                        <c:pt idx="54">
                          <c:v>2018</c:v>
                        </c:pt>
                        <c:pt idx="66">
                          <c:v>2019</c:v>
                        </c:pt>
                        <c:pt idx="78">
                          <c:v>2020</c:v>
                        </c:pt>
                        <c:pt idx="90">
                          <c:v>2021</c:v>
                        </c:pt>
                        <c:pt idx="102">
                          <c:v>2022</c:v>
                        </c:pt>
                        <c:pt idx="114">
                          <c:v>2023</c:v>
                        </c:pt>
                        <c:pt idx="126">
                          <c:v>2024</c:v>
                        </c:pt>
                      </c:lvl>
                      <c:lvl>
                        <c:pt idx="0">
                          <c:v>January</c:v>
                        </c:pt>
                        <c:pt idx="6">
                          <c:v>July</c:v>
                        </c:pt>
                        <c:pt idx="12">
                          <c:v>January</c:v>
                        </c:pt>
                        <c:pt idx="18">
                          <c:v>July</c:v>
                        </c:pt>
                        <c:pt idx="24">
                          <c:v>January</c:v>
                        </c:pt>
                        <c:pt idx="30">
                          <c:v>July</c:v>
                        </c:pt>
                        <c:pt idx="36">
                          <c:v>January</c:v>
                        </c:pt>
                        <c:pt idx="42">
                          <c:v>July</c:v>
                        </c:pt>
                        <c:pt idx="48">
                          <c:v>January</c:v>
                        </c:pt>
                        <c:pt idx="54">
                          <c:v>July</c:v>
                        </c:pt>
                        <c:pt idx="60">
                          <c:v>January</c:v>
                        </c:pt>
                        <c:pt idx="66">
                          <c:v>July</c:v>
                        </c:pt>
                        <c:pt idx="72">
                          <c:v>January</c:v>
                        </c:pt>
                        <c:pt idx="78">
                          <c:v>July</c:v>
                        </c:pt>
                        <c:pt idx="84">
                          <c:v>January</c:v>
                        </c:pt>
                        <c:pt idx="90">
                          <c:v>July</c:v>
                        </c:pt>
                        <c:pt idx="96">
                          <c:v>January</c:v>
                        </c:pt>
                        <c:pt idx="102">
                          <c:v>July</c:v>
                        </c:pt>
                        <c:pt idx="108">
                          <c:v>January</c:v>
                        </c:pt>
                        <c:pt idx="114">
                          <c:v>July</c:v>
                        </c:pt>
                        <c:pt idx="120">
                          <c:v>January</c:v>
                        </c:pt>
                        <c:pt idx="126">
                          <c:v>July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'Steam and MTHW'!$M$5:$M$115</c15:sqref>
                        </c15:formulaRef>
                      </c:ext>
                    </c:extLst>
                    <c:numCache>
                      <c:formatCode>#,##0</c:formatCode>
                      <c:ptCount val="111"/>
                      <c:pt idx="0">
                        <c:v>726055.326</c:v>
                      </c:pt>
                      <c:pt idx="1">
                        <c:v>539512.674</c:v>
                      </c:pt>
                      <c:pt idx="2">
                        <c:v>522347</c:v>
                      </c:pt>
                      <c:pt idx="3">
                        <c:v>501418</c:v>
                      </c:pt>
                      <c:pt idx="4">
                        <c:v>506133</c:v>
                      </c:pt>
                      <c:pt idx="5">
                        <c:v>532316</c:v>
                      </c:pt>
                      <c:pt idx="6">
                        <c:v>601813</c:v>
                      </c:pt>
                      <c:pt idx="7">
                        <c:v>826952</c:v>
                      </c:pt>
                      <c:pt idx="8">
                        <c:v>505366</c:v>
                      </c:pt>
                      <c:pt idx="9">
                        <c:v>642632</c:v>
                      </c:pt>
                      <c:pt idx="10">
                        <c:v>594003</c:v>
                      </c:pt>
                      <c:pt idx="11">
                        <c:v>465859</c:v>
                      </c:pt>
                      <c:pt idx="12">
                        <c:v>448658</c:v>
                      </c:pt>
                      <c:pt idx="13">
                        <c:v>492145</c:v>
                      </c:pt>
                      <c:pt idx="14">
                        <c:v>343210</c:v>
                      </c:pt>
                      <c:pt idx="15">
                        <c:v>245163</c:v>
                      </c:pt>
                      <c:pt idx="16">
                        <c:v>189005</c:v>
                      </c:pt>
                      <c:pt idx="17">
                        <c:v>309967</c:v>
                      </c:pt>
                      <c:pt idx="18">
                        <c:v>166994</c:v>
                      </c:pt>
                      <c:pt idx="19">
                        <c:v>81886</c:v>
                      </c:pt>
                      <c:pt idx="20">
                        <c:v>230197</c:v>
                      </c:pt>
                      <c:pt idx="21">
                        <c:v>285090</c:v>
                      </c:pt>
                      <c:pt idx="22">
                        <c:v>270887</c:v>
                      </c:pt>
                      <c:pt idx="23">
                        <c:v>236187</c:v>
                      </c:pt>
                      <c:pt idx="24">
                        <c:v>226284</c:v>
                      </c:pt>
                      <c:pt idx="25">
                        <c:v>154558</c:v>
                      </c:pt>
                      <c:pt idx="26">
                        <c:v>143378</c:v>
                      </c:pt>
                      <c:pt idx="27">
                        <c:v>121808</c:v>
                      </c:pt>
                      <c:pt idx="28">
                        <c:v>108869</c:v>
                      </c:pt>
                      <c:pt idx="29">
                        <c:v>119041</c:v>
                      </c:pt>
                      <c:pt idx="30">
                        <c:v>162511</c:v>
                      </c:pt>
                      <c:pt idx="31">
                        <c:v>186774</c:v>
                      </c:pt>
                      <c:pt idx="32">
                        <c:v>189227</c:v>
                      </c:pt>
                      <c:pt idx="33">
                        <c:v>238831</c:v>
                      </c:pt>
                      <c:pt idx="34">
                        <c:v>257502</c:v>
                      </c:pt>
                      <c:pt idx="35">
                        <c:v>212716</c:v>
                      </c:pt>
                      <c:pt idx="36">
                        <c:v>172907</c:v>
                      </c:pt>
                      <c:pt idx="37">
                        <c:v>158402</c:v>
                      </c:pt>
                      <c:pt idx="38">
                        <c:v>168489</c:v>
                      </c:pt>
                      <c:pt idx="39">
                        <c:v>141153</c:v>
                      </c:pt>
                      <c:pt idx="40">
                        <c:v>155524</c:v>
                      </c:pt>
                      <c:pt idx="41">
                        <c:v>224466</c:v>
                      </c:pt>
                      <c:pt idx="42">
                        <c:v>221668</c:v>
                      </c:pt>
                      <c:pt idx="43">
                        <c:v>297105</c:v>
                      </c:pt>
                      <c:pt idx="44">
                        <c:v>337050</c:v>
                      </c:pt>
                      <c:pt idx="45">
                        <c:v>345403</c:v>
                      </c:pt>
                      <c:pt idx="46">
                        <c:v>306731</c:v>
                      </c:pt>
                      <c:pt idx="47">
                        <c:v>233541</c:v>
                      </c:pt>
                      <c:pt idx="48">
                        <c:v>144600</c:v>
                      </c:pt>
                      <c:pt idx="49">
                        <c:v>154043.01575993374</c:v>
                      </c:pt>
                      <c:pt idx="50">
                        <c:v>76188.98424006626</c:v>
                      </c:pt>
                      <c:pt idx="51">
                        <c:v>103597</c:v>
                      </c:pt>
                      <c:pt idx="52">
                        <c:v>106591</c:v>
                      </c:pt>
                      <c:pt idx="53">
                        <c:v>148577</c:v>
                      </c:pt>
                      <c:pt idx="54">
                        <c:v>135671</c:v>
                      </c:pt>
                      <c:pt idx="55">
                        <c:v>199286</c:v>
                      </c:pt>
                      <c:pt idx="56">
                        <c:v>386729</c:v>
                      </c:pt>
                      <c:pt idx="57">
                        <c:v>605942</c:v>
                      </c:pt>
                      <c:pt idx="58">
                        <c:v>1148075</c:v>
                      </c:pt>
                      <c:pt idx="59">
                        <c:v>497254</c:v>
                      </c:pt>
                      <c:pt idx="60">
                        <c:v>439170</c:v>
                      </c:pt>
                      <c:pt idx="61">
                        <c:v>402985</c:v>
                      </c:pt>
                      <c:pt idx="62">
                        <c:v>333093</c:v>
                      </c:pt>
                      <c:pt idx="63">
                        <c:v>307483</c:v>
                      </c:pt>
                      <c:pt idx="64">
                        <c:v>375327</c:v>
                      </c:pt>
                      <c:pt idx="65">
                        <c:v>337226</c:v>
                      </c:pt>
                      <c:pt idx="66">
                        <c:v>520322</c:v>
                      </c:pt>
                      <c:pt idx="67">
                        <c:v>562581</c:v>
                      </c:pt>
                      <c:pt idx="68">
                        <c:v>631667</c:v>
                      </c:pt>
                      <c:pt idx="69">
                        <c:v>259579</c:v>
                      </c:pt>
                      <c:pt idx="70">
                        <c:v>752534</c:v>
                      </c:pt>
                      <c:pt idx="71">
                        <c:v>319415</c:v>
                      </c:pt>
                      <c:pt idx="72">
                        <c:v>590775</c:v>
                      </c:pt>
                      <c:pt idx="73">
                        <c:v>285469</c:v>
                      </c:pt>
                      <c:pt idx="74">
                        <c:v>431698</c:v>
                      </c:pt>
                      <c:pt idx="75">
                        <c:v>286490</c:v>
                      </c:pt>
                      <c:pt idx="76">
                        <c:v>347522</c:v>
                      </c:pt>
                      <c:pt idx="77">
                        <c:v>411074</c:v>
                      </c:pt>
                      <c:pt idx="78">
                        <c:v>479587</c:v>
                      </c:pt>
                      <c:pt idx="79">
                        <c:v>505928</c:v>
                      </c:pt>
                      <c:pt idx="80">
                        <c:v>527034</c:v>
                      </c:pt>
                      <c:pt idx="81">
                        <c:v>662419</c:v>
                      </c:pt>
                      <c:pt idx="82">
                        <c:v>522557.57189999998</c:v>
                      </c:pt>
                      <c:pt idx="83">
                        <c:v>673114.42810000107</c:v>
                      </c:pt>
                      <c:pt idx="84">
                        <c:v>502621</c:v>
                      </c:pt>
                      <c:pt idx="85">
                        <c:v>354209</c:v>
                      </c:pt>
                      <c:pt idx="86">
                        <c:v>412671</c:v>
                      </c:pt>
                      <c:pt idx="87">
                        <c:v>447852</c:v>
                      </c:pt>
                      <c:pt idx="88">
                        <c:v>229302</c:v>
                      </c:pt>
                      <c:pt idx="89">
                        <c:v>348912</c:v>
                      </c:pt>
                      <c:pt idx="90">
                        <c:v>403415</c:v>
                      </c:pt>
                      <c:pt idx="91">
                        <c:v>443555</c:v>
                      </c:pt>
                      <c:pt idx="92">
                        <c:v>512046</c:v>
                      </c:pt>
                      <c:pt idx="93">
                        <c:v>645424</c:v>
                      </c:pt>
                      <c:pt idx="94">
                        <c:v>570504</c:v>
                      </c:pt>
                      <c:pt idx="95">
                        <c:v>547293</c:v>
                      </c:pt>
                      <c:pt idx="96">
                        <c:v>404898</c:v>
                      </c:pt>
                      <c:pt idx="97">
                        <c:v>378977</c:v>
                      </c:pt>
                      <c:pt idx="98">
                        <c:v>348703</c:v>
                      </c:pt>
                      <c:pt idx="99">
                        <c:v>300421</c:v>
                      </c:pt>
                      <c:pt idx="100">
                        <c:v>117424</c:v>
                      </c:pt>
                      <c:pt idx="101">
                        <c:v>75305</c:v>
                      </c:pt>
                      <c:pt idx="102">
                        <c:v>293318</c:v>
                      </c:pt>
                      <c:pt idx="103">
                        <c:v>398620</c:v>
                      </c:pt>
                      <c:pt idx="104">
                        <c:v>489253</c:v>
                      </c:pt>
                      <c:pt idx="105">
                        <c:v>677287</c:v>
                      </c:pt>
                      <c:pt idx="106">
                        <c:v>335227</c:v>
                      </c:pt>
                      <c:pt idx="107">
                        <c:v>476403</c:v>
                      </c:pt>
                      <c:pt idx="108">
                        <c:v>495125</c:v>
                      </c:pt>
                      <c:pt idx="109">
                        <c:v>406766</c:v>
                      </c:pt>
                      <c:pt idx="110">
                        <c:v>409291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E68-4709-9D93-3DF5BAF805D1}"/>
                  </c:ext>
                </c:extLst>
              </c15:ser>
            </c15:filteredLineSeries>
          </c:ext>
        </c:extLst>
      </c:lineChart>
      <c:catAx>
        <c:axId val="-167490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904248"/>
        <c:crosses val="autoZero"/>
        <c:auto val="1"/>
        <c:lblAlgn val="ctr"/>
        <c:lblOffset val="100"/>
        <c:noMultiLvlLbl val="0"/>
      </c:catAx>
      <c:valAx>
        <c:axId val="-167490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90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425153545529894"/>
          <c:y val="9.6594583178336899E-2"/>
          <c:w val="0.11212077138737515"/>
          <c:h val="0.637450850191732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Campus MTHW Consumption Breakdown</a:t>
            </a:r>
            <a:r>
              <a:rPr lang="en-NZ" baseline="0"/>
              <a:t> over Time</a:t>
            </a:r>
            <a:endParaRPr lang="en-NZ"/>
          </a:p>
        </c:rich>
      </c:tx>
      <c:layout>
        <c:manualLayout>
          <c:xMode val="edge"/>
          <c:yMode val="edge"/>
          <c:x val="0.28251607258770073"/>
          <c:y val="1.80987479086683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663523263772461"/>
          <c:y val="6.0654073362991411E-2"/>
          <c:w val="0.73019453613755037"/>
          <c:h val="0.84051879036806243"/>
        </c:manualLayout>
      </c:layout>
      <c:lineChart>
        <c:grouping val="standard"/>
        <c:varyColors val="0"/>
        <c:ser>
          <c:idx val="0"/>
          <c:order val="0"/>
          <c:tx>
            <c:strRef>
              <c:f>'MTHW Data'!$A$103</c:f>
              <c:strCache>
                <c:ptCount val="1"/>
                <c:pt idx="0">
                  <c:v>E201 Dental Steam 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'MTHW Data'!$I$75:$AS$75</c:f>
              <c:strCache>
                <c:ptCount val="37"/>
                <c:pt idx="0">
                  <c:v> Dec '21</c:v>
                </c:pt>
                <c:pt idx="1">
                  <c:v> Jan '22</c:v>
                </c:pt>
                <c:pt idx="2">
                  <c:v> Feb '22</c:v>
                </c:pt>
                <c:pt idx="3">
                  <c:v> Mar '22</c:v>
                </c:pt>
                <c:pt idx="4">
                  <c:v>Apr '22</c:v>
                </c:pt>
                <c:pt idx="5">
                  <c:v> May '22</c:v>
                </c:pt>
                <c:pt idx="6">
                  <c:v> Jun '22</c:v>
                </c:pt>
                <c:pt idx="7">
                  <c:v> Jul '22</c:v>
                </c:pt>
                <c:pt idx="8">
                  <c:v> Aug '22</c:v>
                </c:pt>
                <c:pt idx="9">
                  <c:v> Sep '22</c:v>
                </c:pt>
                <c:pt idx="10">
                  <c:v> Oct '22</c:v>
                </c:pt>
                <c:pt idx="11">
                  <c:v> Nov '22</c:v>
                </c:pt>
                <c:pt idx="12">
                  <c:v> Dec '22</c:v>
                </c:pt>
                <c:pt idx="13">
                  <c:v> Jan '23</c:v>
                </c:pt>
                <c:pt idx="14">
                  <c:v>Feb '23</c:v>
                </c:pt>
                <c:pt idx="15">
                  <c:v>Mar '23</c:v>
                </c:pt>
                <c:pt idx="16">
                  <c:v>Apr '23</c:v>
                </c:pt>
                <c:pt idx="17">
                  <c:v>May '23</c:v>
                </c:pt>
                <c:pt idx="18">
                  <c:v>Jun '23</c:v>
                </c:pt>
                <c:pt idx="19">
                  <c:v>Jul '23</c:v>
                </c:pt>
                <c:pt idx="20">
                  <c:v>Aug '23</c:v>
                </c:pt>
                <c:pt idx="21">
                  <c:v>Sep '23</c:v>
                </c:pt>
                <c:pt idx="22">
                  <c:v>Oct '23</c:v>
                </c:pt>
                <c:pt idx="23">
                  <c:v>Nov '23</c:v>
                </c:pt>
                <c:pt idx="24">
                  <c:v> Dec '23</c:v>
                </c:pt>
                <c:pt idx="25">
                  <c:v> Jan '24</c:v>
                </c:pt>
                <c:pt idx="26">
                  <c:v>Feb '24</c:v>
                </c:pt>
                <c:pt idx="27">
                  <c:v>Mar '24</c:v>
                </c:pt>
                <c:pt idx="28">
                  <c:v>Apr '24</c:v>
                </c:pt>
                <c:pt idx="29">
                  <c:v>May '24</c:v>
                </c:pt>
                <c:pt idx="30">
                  <c:v>Jun '24</c:v>
                </c:pt>
                <c:pt idx="31">
                  <c:v>Jul '24</c:v>
                </c:pt>
                <c:pt idx="32">
                  <c:v>Aug '24</c:v>
                </c:pt>
                <c:pt idx="33">
                  <c:v>Sep '24</c:v>
                </c:pt>
                <c:pt idx="34">
                  <c:v>Oct '24</c:v>
                </c:pt>
                <c:pt idx="35">
                  <c:v>Nov '24</c:v>
                </c:pt>
                <c:pt idx="36">
                  <c:v> Dec '24</c:v>
                </c:pt>
              </c:strCache>
            </c:strRef>
          </c:cat>
          <c:val>
            <c:numRef>
              <c:f>'MTHW Data'!$I$103:$AS$103</c:f>
              <c:numCache>
                <c:formatCode>General</c:formatCode>
                <c:ptCount val="37"/>
                <c:pt idx="0">
                  <c:v>97074</c:v>
                </c:pt>
                <c:pt idx="1">
                  <c:v>52172</c:v>
                </c:pt>
                <c:pt idx="2">
                  <c:v>52172</c:v>
                </c:pt>
                <c:pt idx="3">
                  <c:v>103367</c:v>
                </c:pt>
                <c:pt idx="4">
                  <c:v>81064</c:v>
                </c:pt>
                <c:pt idx="5">
                  <c:v>125486</c:v>
                </c:pt>
                <c:pt idx="6">
                  <c:v>131936</c:v>
                </c:pt>
                <c:pt idx="7">
                  <c:v>177402</c:v>
                </c:pt>
                <c:pt idx="8">
                  <c:v>91531</c:v>
                </c:pt>
                <c:pt idx="9">
                  <c:v>86872</c:v>
                </c:pt>
                <c:pt idx="10">
                  <c:v>59768</c:v>
                </c:pt>
                <c:pt idx="11">
                  <c:v>29643</c:v>
                </c:pt>
                <c:pt idx="12">
                  <c:v>47334.333333333489</c:v>
                </c:pt>
                <c:pt idx="13">
                  <c:v>47334.333333333023</c:v>
                </c:pt>
                <c:pt idx="14">
                  <c:v>57539.333333333489</c:v>
                </c:pt>
                <c:pt idx="15">
                  <c:v>67378</c:v>
                </c:pt>
                <c:pt idx="16">
                  <c:v>62339</c:v>
                </c:pt>
                <c:pt idx="17">
                  <c:v>65230</c:v>
                </c:pt>
                <c:pt idx="18">
                  <c:v>81034</c:v>
                </c:pt>
                <c:pt idx="19">
                  <c:v>98325</c:v>
                </c:pt>
                <c:pt idx="20">
                  <c:v>93371</c:v>
                </c:pt>
                <c:pt idx="21">
                  <c:v>69675</c:v>
                </c:pt>
                <c:pt idx="22">
                  <c:v>38946</c:v>
                </c:pt>
                <c:pt idx="23">
                  <c:v>46031</c:v>
                </c:pt>
                <c:pt idx="24">
                  <c:v>29125</c:v>
                </c:pt>
                <c:pt idx="25">
                  <c:v>26898</c:v>
                </c:pt>
                <c:pt idx="26">
                  <c:v>20095</c:v>
                </c:pt>
                <c:pt idx="27">
                  <c:v>45570</c:v>
                </c:pt>
                <c:pt idx="28">
                  <c:v>61887</c:v>
                </c:pt>
                <c:pt idx="29">
                  <c:v>85541</c:v>
                </c:pt>
                <c:pt idx="30">
                  <c:v>63962</c:v>
                </c:pt>
                <c:pt idx="31">
                  <c:v>38853</c:v>
                </c:pt>
                <c:pt idx="32">
                  <c:v>96742</c:v>
                </c:pt>
                <c:pt idx="33">
                  <c:v>86318</c:v>
                </c:pt>
                <c:pt idx="34">
                  <c:v>219582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47F-4C8A-AE3A-75AFD527EC25}"/>
            </c:ext>
          </c:extLst>
        </c:ser>
        <c:ser>
          <c:idx val="1"/>
          <c:order val="1"/>
          <c:tx>
            <c:strRef>
              <c:f>'MTHW Data'!$A$93</c:f>
              <c:strCache>
                <c:ptCount val="1"/>
                <c:pt idx="0">
                  <c:v>G413, Science 2 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'MTHW Data'!$I$75:$AS$75</c:f>
              <c:strCache>
                <c:ptCount val="37"/>
                <c:pt idx="0">
                  <c:v> Dec '21</c:v>
                </c:pt>
                <c:pt idx="1">
                  <c:v> Jan '22</c:v>
                </c:pt>
                <c:pt idx="2">
                  <c:v> Feb '22</c:v>
                </c:pt>
                <c:pt idx="3">
                  <c:v> Mar '22</c:v>
                </c:pt>
                <c:pt idx="4">
                  <c:v>Apr '22</c:v>
                </c:pt>
                <c:pt idx="5">
                  <c:v> May '22</c:v>
                </c:pt>
                <c:pt idx="6">
                  <c:v> Jun '22</c:v>
                </c:pt>
                <c:pt idx="7">
                  <c:v> Jul '22</c:v>
                </c:pt>
                <c:pt idx="8">
                  <c:v> Aug '22</c:v>
                </c:pt>
                <c:pt idx="9">
                  <c:v> Sep '22</c:v>
                </c:pt>
                <c:pt idx="10">
                  <c:v> Oct '22</c:v>
                </c:pt>
                <c:pt idx="11">
                  <c:v> Nov '22</c:v>
                </c:pt>
                <c:pt idx="12">
                  <c:v> Dec '22</c:v>
                </c:pt>
                <c:pt idx="13">
                  <c:v> Jan '23</c:v>
                </c:pt>
                <c:pt idx="14">
                  <c:v>Feb '23</c:v>
                </c:pt>
                <c:pt idx="15">
                  <c:v>Mar '23</c:v>
                </c:pt>
                <c:pt idx="16">
                  <c:v>Apr '23</c:v>
                </c:pt>
                <c:pt idx="17">
                  <c:v>May '23</c:v>
                </c:pt>
                <c:pt idx="18">
                  <c:v>Jun '23</c:v>
                </c:pt>
                <c:pt idx="19">
                  <c:v>Jul '23</c:v>
                </c:pt>
                <c:pt idx="20">
                  <c:v>Aug '23</c:v>
                </c:pt>
                <c:pt idx="21">
                  <c:v>Sep '23</c:v>
                </c:pt>
                <c:pt idx="22">
                  <c:v>Oct '23</c:v>
                </c:pt>
                <c:pt idx="23">
                  <c:v>Nov '23</c:v>
                </c:pt>
                <c:pt idx="24">
                  <c:v> Dec '23</c:v>
                </c:pt>
                <c:pt idx="25">
                  <c:v> Jan '24</c:v>
                </c:pt>
                <c:pt idx="26">
                  <c:v>Feb '24</c:v>
                </c:pt>
                <c:pt idx="27">
                  <c:v>Mar '24</c:v>
                </c:pt>
                <c:pt idx="28">
                  <c:v>Apr '24</c:v>
                </c:pt>
                <c:pt idx="29">
                  <c:v>May '24</c:v>
                </c:pt>
                <c:pt idx="30">
                  <c:v>Jun '24</c:v>
                </c:pt>
                <c:pt idx="31">
                  <c:v>Jul '24</c:v>
                </c:pt>
                <c:pt idx="32">
                  <c:v>Aug '24</c:v>
                </c:pt>
                <c:pt idx="33">
                  <c:v>Sep '24</c:v>
                </c:pt>
                <c:pt idx="34">
                  <c:v>Oct '24</c:v>
                </c:pt>
                <c:pt idx="35">
                  <c:v>Nov '24</c:v>
                </c:pt>
                <c:pt idx="36">
                  <c:v> Dec '24</c:v>
                </c:pt>
              </c:strCache>
            </c:strRef>
          </c:cat>
          <c:val>
            <c:numRef>
              <c:f>'MTHW Data'!$I$93:$AS$93</c:f>
              <c:numCache>
                <c:formatCode>General</c:formatCode>
                <c:ptCount val="37"/>
                <c:pt idx="0">
                  <c:v>89360</c:v>
                </c:pt>
                <c:pt idx="1">
                  <c:v>91850</c:v>
                </c:pt>
                <c:pt idx="2">
                  <c:v>76460.000000000044</c:v>
                </c:pt>
                <c:pt idx="3">
                  <c:v>112780</c:v>
                </c:pt>
                <c:pt idx="4">
                  <c:v>119449.99999999996</c:v>
                </c:pt>
                <c:pt idx="5">
                  <c:v>182660.00000000017</c:v>
                </c:pt>
                <c:pt idx="6">
                  <c:v>238799.99999999994</c:v>
                </c:pt>
                <c:pt idx="7">
                  <c:v>263150</c:v>
                </c:pt>
                <c:pt idx="8">
                  <c:v>229170.00000000006</c:v>
                </c:pt>
                <c:pt idx="9">
                  <c:v>237439.99999999994</c:v>
                </c:pt>
                <c:pt idx="10">
                  <c:v>216430.00000000006</c:v>
                </c:pt>
                <c:pt idx="11">
                  <c:v>132259.99999999991</c:v>
                </c:pt>
                <c:pt idx="12">
                  <c:v>112949.99999999994</c:v>
                </c:pt>
                <c:pt idx="13">
                  <c:v>83360.000000000146</c:v>
                </c:pt>
                <c:pt idx="14">
                  <c:v>76809.98535155991</c:v>
                </c:pt>
                <c:pt idx="15">
                  <c:v>97660.014648440003</c:v>
                </c:pt>
                <c:pt idx="16">
                  <c:v>132050</c:v>
                </c:pt>
                <c:pt idx="17">
                  <c:v>178980</c:v>
                </c:pt>
                <c:pt idx="18">
                  <c:v>202050</c:v>
                </c:pt>
                <c:pt idx="19">
                  <c:v>215250</c:v>
                </c:pt>
                <c:pt idx="20">
                  <c:v>217960</c:v>
                </c:pt>
                <c:pt idx="21">
                  <c:v>192470</c:v>
                </c:pt>
                <c:pt idx="22">
                  <c:v>178400</c:v>
                </c:pt>
                <c:pt idx="23">
                  <c:v>138960</c:v>
                </c:pt>
                <c:pt idx="24">
                  <c:v>100460.00000000004</c:v>
                </c:pt>
                <c:pt idx="25">
                  <c:v>91560.000000000044</c:v>
                </c:pt>
                <c:pt idx="26">
                  <c:v>99049.999999999913</c:v>
                </c:pt>
                <c:pt idx="27">
                  <c:v>150579.93699999998</c:v>
                </c:pt>
                <c:pt idx="28">
                  <c:v>166520.03899999999</c:v>
                </c:pt>
                <c:pt idx="29">
                  <c:v>226940.0040000001</c:v>
                </c:pt>
                <c:pt idx="30">
                  <c:v>203879.96100000001</c:v>
                </c:pt>
                <c:pt idx="31">
                  <c:v>221569.96600000001</c:v>
                </c:pt>
                <c:pt idx="32">
                  <c:v>211340.01999999993</c:v>
                </c:pt>
                <c:pt idx="33">
                  <c:v>169640.01900000006</c:v>
                </c:pt>
                <c:pt idx="34">
                  <c:v>148000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47F-4C8A-AE3A-75AFD527EC25}"/>
            </c:ext>
          </c:extLst>
        </c:ser>
        <c:ser>
          <c:idx val="2"/>
          <c:order val="2"/>
          <c:tx>
            <c:strRef>
              <c:f>'MTHW Data'!$A$88</c:f>
              <c:strCache>
                <c:ptCount val="1"/>
                <c:pt idx="0">
                  <c:v>G401 Mellor Lab total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'MTHW Data'!$I$75:$AS$75</c:f>
              <c:strCache>
                <c:ptCount val="37"/>
                <c:pt idx="0">
                  <c:v> Dec '21</c:v>
                </c:pt>
                <c:pt idx="1">
                  <c:v> Jan '22</c:v>
                </c:pt>
                <c:pt idx="2">
                  <c:v> Feb '22</c:v>
                </c:pt>
                <c:pt idx="3">
                  <c:v> Mar '22</c:v>
                </c:pt>
                <c:pt idx="4">
                  <c:v>Apr '22</c:v>
                </c:pt>
                <c:pt idx="5">
                  <c:v> May '22</c:v>
                </c:pt>
                <c:pt idx="6">
                  <c:v> Jun '22</c:v>
                </c:pt>
                <c:pt idx="7">
                  <c:v> Jul '22</c:v>
                </c:pt>
                <c:pt idx="8">
                  <c:v> Aug '22</c:v>
                </c:pt>
                <c:pt idx="9">
                  <c:v> Sep '22</c:v>
                </c:pt>
                <c:pt idx="10">
                  <c:v> Oct '22</c:v>
                </c:pt>
                <c:pt idx="11">
                  <c:v> Nov '22</c:v>
                </c:pt>
                <c:pt idx="12">
                  <c:v> Dec '22</c:v>
                </c:pt>
                <c:pt idx="13">
                  <c:v> Jan '23</c:v>
                </c:pt>
                <c:pt idx="14">
                  <c:v>Feb '23</c:v>
                </c:pt>
                <c:pt idx="15">
                  <c:v>Mar '23</c:v>
                </c:pt>
                <c:pt idx="16">
                  <c:v>Apr '23</c:v>
                </c:pt>
                <c:pt idx="17">
                  <c:v>May '23</c:v>
                </c:pt>
                <c:pt idx="18">
                  <c:v>Jun '23</c:v>
                </c:pt>
                <c:pt idx="19">
                  <c:v>Jul '23</c:v>
                </c:pt>
                <c:pt idx="20">
                  <c:v>Aug '23</c:v>
                </c:pt>
                <c:pt idx="21">
                  <c:v>Sep '23</c:v>
                </c:pt>
                <c:pt idx="22">
                  <c:v>Oct '23</c:v>
                </c:pt>
                <c:pt idx="23">
                  <c:v>Nov '23</c:v>
                </c:pt>
                <c:pt idx="24">
                  <c:v> Dec '23</c:v>
                </c:pt>
                <c:pt idx="25">
                  <c:v> Jan '24</c:v>
                </c:pt>
                <c:pt idx="26">
                  <c:v>Feb '24</c:v>
                </c:pt>
                <c:pt idx="27">
                  <c:v>Mar '24</c:v>
                </c:pt>
                <c:pt idx="28">
                  <c:v>Apr '24</c:v>
                </c:pt>
                <c:pt idx="29">
                  <c:v>May '24</c:v>
                </c:pt>
                <c:pt idx="30">
                  <c:v>Jun '24</c:v>
                </c:pt>
                <c:pt idx="31">
                  <c:v>Jul '24</c:v>
                </c:pt>
                <c:pt idx="32">
                  <c:v>Aug '24</c:v>
                </c:pt>
                <c:pt idx="33">
                  <c:v>Sep '24</c:v>
                </c:pt>
                <c:pt idx="34">
                  <c:v>Oct '24</c:v>
                </c:pt>
                <c:pt idx="35">
                  <c:v>Nov '24</c:v>
                </c:pt>
                <c:pt idx="36">
                  <c:v> Dec '24</c:v>
                </c:pt>
              </c:strCache>
            </c:strRef>
          </c:cat>
          <c:val>
            <c:numRef>
              <c:f>'MTHW Data'!$I$88:$AS$88</c:f>
              <c:numCache>
                <c:formatCode>General</c:formatCode>
                <c:ptCount val="37"/>
                <c:pt idx="0">
                  <c:v>149500</c:v>
                </c:pt>
                <c:pt idx="1">
                  <c:v>127500</c:v>
                </c:pt>
                <c:pt idx="2">
                  <c:v>131600.00000000035</c:v>
                </c:pt>
                <c:pt idx="3">
                  <c:v>157500</c:v>
                </c:pt>
                <c:pt idx="4">
                  <c:v>201800.00000000017</c:v>
                </c:pt>
                <c:pt idx="5">
                  <c:v>304299.9999999993</c:v>
                </c:pt>
                <c:pt idx="6">
                  <c:v>422100.00000000035</c:v>
                </c:pt>
                <c:pt idx="7">
                  <c:v>451200.0000000007</c:v>
                </c:pt>
                <c:pt idx="8">
                  <c:v>372099.99999999942</c:v>
                </c:pt>
                <c:pt idx="9">
                  <c:v>350599.99999999854</c:v>
                </c:pt>
                <c:pt idx="10">
                  <c:v>304500.0000000018</c:v>
                </c:pt>
                <c:pt idx="11">
                  <c:v>177799.99999999927</c:v>
                </c:pt>
                <c:pt idx="12">
                  <c:v>161399.99999999965</c:v>
                </c:pt>
                <c:pt idx="13">
                  <c:v>99400.000000001455</c:v>
                </c:pt>
                <c:pt idx="14">
                  <c:v>101599.80468749927</c:v>
                </c:pt>
                <c:pt idx="15">
                  <c:v>168100.19531250146</c:v>
                </c:pt>
                <c:pt idx="16">
                  <c:v>223500.99999999837</c:v>
                </c:pt>
                <c:pt idx="17">
                  <c:v>280000</c:v>
                </c:pt>
                <c:pt idx="18">
                  <c:v>349600.00000000035</c:v>
                </c:pt>
                <c:pt idx="19">
                  <c:v>399898.99999999942</c:v>
                </c:pt>
                <c:pt idx="20">
                  <c:v>408301.00000000128</c:v>
                </c:pt>
                <c:pt idx="21">
                  <c:v>271198.99999999872</c:v>
                </c:pt>
                <c:pt idx="22">
                  <c:v>242500</c:v>
                </c:pt>
                <c:pt idx="23">
                  <c:v>203700.58593750035</c:v>
                </c:pt>
                <c:pt idx="24">
                  <c:v>141999.41406249854</c:v>
                </c:pt>
                <c:pt idx="25">
                  <c:v>112700.00000000255</c:v>
                </c:pt>
                <c:pt idx="26">
                  <c:v>119299.60000000028</c:v>
                </c:pt>
                <c:pt idx="27">
                  <c:v>189800.78999999934</c:v>
                </c:pt>
                <c:pt idx="28">
                  <c:v>216200.19999999931</c:v>
                </c:pt>
                <c:pt idx="29">
                  <c:v>332200.19999999931</c:v>
                </c:pt>
                <c:pt idx="30">
                  <c:v>324798.81000000203</c:v>
                </c:pt>
                <c:pt idx="31">
                  <c:v>348000.98999999865</c:v>
                </c:pt>
                <c:pt idx="32">
                  <c:v>331899.40999999997</c:v>
                </c:pt>
                <c:pt idx="33">
                  <c:v>260099.60000000137</c:v>
                </c:pt>
                <c:pt idx="34">
                  <c:v>224101.57999999865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47F-4C8A-AE3A-75AFD527EC25}"/>
            </c:ext>
          </c:extLst>
        </c:ser>
        <c:ser>
          <c:idx val="3"/>
          <c:order val="3"/>
          <c:tx>
            <c:strRef>
              <c:f>'MTHW Data'!$A$84</c:f>
              <c:strCache>
                <c:ptCount val="1"/>
                <c:pt idx="0">
                  <c:v>F505, Richardson Total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'MTHW Data'!$I$75:$AS$75</c:f>
              <c:strCache>
                <c:ptCount val="37"/>
                <c:pt idx="0">
                  <c:v> Dec '21</c:v>
                </c:pt>
                <c:pt idx="1">
                  <c:v> Jan '22</c:v>
                </c:pt>
                <c:pt idx="2">
                  <c:v> Feb '22</c:v>
                </c:pt>
                <c:pt idx="3">
                  <c:v> Mar '22</c:v>
                </c:pt>
                <c:pt idx="4">
                  <c:v>Apr '22</c:v>
                </c:pt>
                <c:pt idx="5">
                  <c:v> May '22</c:v>
                </c:pt>
                <c:pt idx="6">
                  <c:v> Jun '22</c:v>
                </c:pt>
                <c:pt idx="7">
                  <c:v> Jul '22</c:v>
                </c:pt>
                <c:pt idx="8">
                  <c:v> Aug '22</c:v>
                </c:pt>
                <c:pt idx="9">
                  <c:v> Sep '22</c:v>
                </c:pt>
                <c:pt idx="10">
                  <c:v> Oct '22</c:v>
                </c:pt>
                <c:pt idx="11">
                  <c:v> Nov '22</c:v>
                </c:pt>
                <c:pt idx="12">
                  <c:v> Dec '22</c:v>
                </c:pt>
                <c:pt idx="13">
                  <c:v> Jan '23</c:v>
                </c:pt>
                <c:pt idx="14">
                  <c:v>Feb '23</c:v>
                </c:pt>
                <c:pt idx="15">
                  <c:v>Mar '23</c:v>
                </c:pt>
                <c:pt idx="16">
                  <c:v>Apr '23</c:v>
                </c:pt>
                <c:pt idx="17">
                  <c:v>May '23</c:v>
                </c:pt>
                <c:pt idx="18">
                  <c:v>Jun '23</c:v>
                </c:pt>
                <c:pt idx="19">
                  <c:v>Jul '23</c:v>
                </c:pt>
                <c:pt idx="20">
                  <c:v>Aug '23</c:v>
                </c:pt>
                <c:pt idx="21">
                  <c:v>Sep '23</c:v>
                </c:pt>
                <c:pt idx="22">
                  <c:v>Oct '23</c:v>
                </c:pt>
                <c:pt idx="23">
                  <c:v>Nov '23</c:v>
                </c:pt>
                <c:pt idx="24">
                  <c:v> Dec '23</c:v>
                </c:pt>
                <c:pt idx="25">
                  <c:v> Jan '24</c:v>
                </c:pt>
                <c:pt idx="26">
                  <c:v>Feb '24</c:v>
                </c:pt>
                <c:pt idx="27">
                  <c:v>Mar '24</c:v>
                </c:pt>
                <c:pt idx="28">
                  <c:v>Apr '24</c:v>
                </c:pt>
                <c:pt idx="29">
                  <c:v>May '24</c:v>
                </c:pt>
                <c:pt idx="30">
                  <c:v>Jun '24</c:v>
                </c:pt>
                <c:pt idx="31">
                  <c:v>Jul '24</c:v>
                </c:pt>
                <c:pt idx="32">
                  <c:v>Aug '24</c:v>
                </c:pt>
                <c:pt idx="33">
                  <c:v>Sep '24</c:v>
                </c:pt>
                <c:pt idx="34">
                  <c:v>Oct '24</c:v>
                </c:pt>
                <c:pt idx="35">
                  <c:v>Nov '24</c:v>
                </c:pt>
                <c:pt idx="36">
                  <c:v> Dec '24</c:v>
                </c:pt>
              </c:strCache>
            </c:strRef>
          </c:cat>
          <c:val>
            <c:numRef>
              <c:f>'MTHW Data'!$I$84:$AS$84</c:f>
              <c:numCache>
                <c:formatCode>General</c:formatCode>
                <c:ptCount val="37"/>
                <c:pt idx="0">
                  <c:v>93940</c:v>
                </c:pt>
                <c:pt idx="1">
                  <c:v>70400</c:v>
                </c:pt>
                <c:pt idx="2">
                  <c:v>57580</c:v>
                </c:pt>
                <c:pt idx="3">
                  <c:v>91180</c:v>
                </c:pt>
                <c:pt idx="4">
                  <c:v>113220</c:v>
                </c:pt>
                <c:pt idx="5">
                  <c:v>178900</c:v>
                </c:pt>
                <c:pt idx="6">
                  <c:v>244390</c:v>
                </c:pt>
                <c:pt idx="7">
                  <c:v>277480</c:v>
                </c:pt>
                <c:pt idx="8">
                  <c:v>230550</c:v>
                </c:pt>
                <c:pt idx="9">
                  <c:v>225400</c:v>
                </c:pt>
                <c:pt idx="10">
                  <c:v>181170</c:v>
                </c:pt>
                <c:pt idx="11">
                  <c:v>96060</c:v>
                </c:pt>
                <c:pt idx="12">
                  <c:v>81700</c:v>
                </c:pt>
                <c:pt idx="13">
                  <c:v>54320</c:v>
                </c:pt>
                <c:pt idx="14">
                  <c:v>33310</c:v>
                </c:pt>
                <c:pt idx="15">
                  <c:v>80260</c:v>
                </c:pt>
                <c:pt idx="16">
                  <c:v>144380</c:v>
                </c:pt>
                <c:pt idx="17">
                  <c:v>175910</c:v>
                </c:pt>
                <c:pt idx="18">
                  <c:v>215970</c:v>
                </c:pt>
                <c:pt idx="19">
                  <c:v>248420</c:v>
                </c:pt>
                <c:pt idx="20">
                  <c:v>235160</c:v>
                </c:pt>
                <c:pt idx="21">
                  <c:v>163090</c:v>
                </c:pt>
                <c:pt idx="22">
                  <c:v>140620</c:v>
                </c:pt>
                <c:pt idx="23">
                  <c:v>116000</c:v>
                </c:pt>
                <c:pt idx="24">
                  <c:v>74270</c:v>
                </c:pt>
                <c:pt idx="25">
                  <c:v>61660</c:v>
                </c:pt>
                <c:pt idx="26">
                  <c:v>70940</c:v>
                </c:pt>
                <c:pt idx="27">
                  <c:v>131450</c:v>
                </c:pt>
                <c:pt idx="28">
                  <c:v>123910</c:v>
                </c:pt>
                <c:pt idx="29">
                  <c:v>225300</c:v>
                </c:pt>
                <c:pt idx="30">
                  <c:v>228760</c:v>
                </c:pt>
                <c:pt idx="31">
                  <c:v>251010</c:v>
                </c:pt>
                <c:pt idx="32">
                  <c:v>233510</c:v>
                </c:pt>
                <c:pt idx="33">
                  <c:v>191820</c:v>
                </c:pt>
                <c:pt idx="34">
                  <c:v>154650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47F-4C8A-AE3A-75AFD527EC25}"/>
            </c:ext>
          </c:extLst>
        </c:ser>
        <c:ser>
          <c:idx val="4"/>
          <c:order val="4"/>
          <c:tx>
            <c:strRef>
              <c:f>'MTHW Data'!$A$89</c:f>
              <c:strCache>
                <c:ptCount val="1"/>
                <c:pt idx="0">
                  <c:v>G404, Microbiology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'MTHW Data'!$I$75:$AS$75</c:f>
              <c:strCache>
                <c:ptCount val="37"/>
                <c:pt idx="0">
                  <c:v> Dec '21</c:v>
                </c:pt>
                <c:pt idx="1">
                  <c:v> Jan '22</c:v>
                </c:pt>
                <c:pt idx="2">
                  <c:v> Feb '22</c:v>
                </c:pt>
                <c:pt idx="3">
                  <c:v> Mar '22</c:v>
                </c:pt>
                <c:pt idx="4">
                  <c:v>Apr '22</c:v>
                </c:pt>
                <c:pt idx="5">
                  <c:v> May '22</c:v>
                </c:pt>
                <c:pt idx="6">
                  <c:v> Jun '22</c:v>
                </c:pt>
                <c:pt idx="7">
                  <c:v> Jul '22</c:v>
                </c:pt>
                <c:pt idx="8">
                  <c:v> Aug '22</c:v>
                </c:pt>
                <c:pt idx="9">
                  <c:v> Sep '22</c:v>
                </c:pt>
                <c:pt idx="10">
                  <c:v> Oct '22</c:v>
                </c:pt>
                <c:pt idx="11">
                  <c:v> Nov '22</c:v>
                </c:pt>
                <c:pt idx="12">
                  <c:v> Dec '22</c:v>
                </c:pt>
                <c:pt idx="13">
                  <c:v> Jan '23</c:v>
                </c:pt>
                <c:pt idx="14">
                  <c:v>Feb '23</c:v>
                </c:pt>
                <c:pt idx="15">
                  <c:v>Mar '23</c:v>
                </c:pt>
                <c:pt idx="16">
                  <c:v>Apr '23</c:v>
                </c:pt>
                <c:pt idx="17">
                  <c:v>May '23</c:v>
                </c:pt>
                <c:pt idx="18">
                  <c:v>Jun '23</c:v>
                </c:pt>
                <c:pt idx="19">
                  <c:v>Jul '23</c:v>
                </c:pt>
                <c:pt idx="20">
                  <c:v>Aug '23</c:v>
                </c:pt>
                <c:pt idx="21">
                  <c:v>Sep '23</c:v>
                </c:pt>
                <c:pt idx="22">
                  <c:v>Oct '23</c:v>
                </c:pt>
                <c:pt idx="23">
                  <c:v>Nov '23</c:v>
                </c:pt>
                <c:pt idx="24">
                  <c:v> Dec '23</c:v>
                </c:pt>
                <c:pt idx="25">
                  <c:v> Jan '24</c:v>
                </c:pt>
                <c:pt idx="26">
                  <c:v>Feb '24</c:v>
                </c:pt>
                <c:pt idx="27">
                  <c:v>Mar '24</c:v>
                </c:pt>
                <c:pt idx="28">
                  <c:v>Apr '24</c:v>
                </c:pt>
                <c:pt idx="29">
                  <c:v>May '24</c:v>
                </c:pt>
                <c:pt idx="30">
                  <c:v>Jun '24</c:v>
                </c:pt>
                <c:pt idx="31">
                  <c:v>Jul '24</c:v>
                </c:pt>
                <c:pt idx="32">
                  <c:v>Aug '24</c:v>
                </c:pt>
                <c:pt idx="33">
                  <c:v>Sep '24</c:v>
                </c:pt>
                <c:pt idx="34">
                  <c:v>Oct '24</c:v>
                </c:pt>
                <c:pt idx="35">
                  <c:v>Nov '24</c:v>
                </c:pt>
                <c:pt idx="36">
                  <c:v> Dec '24</c:v>
                </c:pt>
              </c:strCache>
            </c:strRef>
          </c:cat>
          <c:val>
            <c:numRef>
              <c:f>'MTHW Data'!$I$88:$AS$88</c:f>
              <c:numCache>
                <c:formatCode>General</c:formatCode>
                <c:ptCount val="37"/>
                <c:pt idx="0">
                  <c:v>149500</c:v>
                </c:pt>
                <c:pt idx="1">
                  <c:v>127500</c:v>
                </c:pt>
                <c:pt idx="2">
                  <c:v>131600.00000000035</c:v>
                </c:pt>
                <c:pt idx="3">
                  <c:v>157500</c:v>
                </c:pt>
                <c:pt idx="4">
                  <c:v>201800.00000000017</c:v>
                </c:pt>
                <c:pt idx="5">
                  <c:v>304299.9999999993</c:v>
                </c:pt>
                <c:pt idx="6">
                  <c:v>422100.00000000035</c:v>
                </c:pt>
                <c:pt idx="7">
                  <c:v>451200.0000000007</c:v>
                </c:pt>
                <c:pt idx="8">
                  <c:v>372099.99999999942</c:v>
                </c:pt>
                <c:pt idx="9">
                  <c:v>350599.99999999854</c:v>
                </c:pt>
                <c:pt idx="10">
                  <c:v>304500.0000000018</c:v>
                </c:pt>
                <c:pt idx="11">
                  <c:v>177799.99999999927</c:v>
                </c:pt>
                <c:pt idx="12">
                  <c:v>161399.99999999965</c:v>
                </c:pt>
                <c:pt idx="13">
                  <c:v>99400.000000001455</c:v>
                </c:pt>
                <c:pt idx="14">
                  <c:v>101599.80468749927</c:v>
                </c:pt>
                <c:pt idx="15">
                  <c:v>168100.19531250146</c:v>
                </c:pt>
                <c:pt idx="16">
                  <c:v>223500.99999999837</c:v>
                </c:pt>
                <c:pt idx="17">
                  <c:v>280000</c:v>
                </c:pt>
                <c:pt idx="18">
                  <c:v>349600.00000000035</c:v>
                </c:pt>
                <c:pt idx="19">
                  <c:v>399898.99999999942</c:v>
                </c:pt>
                <c:pt idx="20">
                  <c:v>408301.00000000128</c:v>
                </c:pt>
                <c:pt idx="21">
                  <c:v>271198.99999999872</c:v>
                </c:pt>
                <c:pt idx="22">
                  <c:v>242500</c:v>
                </c:pt>
                <c:pt idx="23">
                  <c:v>203700.58593750035</c:v>
                </c:pt>
                <c:pt idx="24">
                  <c:v>141999.41406249854</c:v>
                </c:pt>
                <c:pt idx="25">
                  <c:v>112700.00000000255</c:v>
                </c:pt>
                <c:pt idx="26">
                  <c:v>119299.60000000028</c:v>
                </c:pt>
                <c:pt idx="27">
                  <c:v>189800.78999999934</c:v>
                </c:pt>
                <c:pt idx="28">
                  <c:v>216200.19999999931</c:v>
                </c:pt>
                <c:pt idx="29">
                  <c:v>332200.19999999931</c:v>
                </c:pt>
                <c:pt idx="30">
                  <c:v>324798.81000000203</c:v>
                </c:pt>
                <c:pt idx="31">
                  <c:v>348000.98999999865</c:v>
                </c:pt>
                <c:pt idx="32">
                  <c:v>331899.40999999997</c:v>
                </c:pt>
                <c:pt idx="33">
                  <c:v>260099.60000000137</c:v>
                </c:pt>
                <c:pt idx="34">
                  <c:v>224101.57999999865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47F-4C8A-AE3A-75AFD527EC25}"/>
            </c:ext>
          </c:extLst>
        </c:ser>
        <c:ser>
          <c:idx val="5"/>
          <c:order val="5"/>
          <c:tx>
            <c:strRef>
              <c:f>'MTHW Data'!$A$80</c:f>
              <c:strCache>
                <c:ptCount val="1"/>
                <c:pt idx="0">
                  <c:v>F402, Union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'MTHW Data'!$I$75:$AS$75</c:f>
              <c:strCache>
                <c:ptCount val="37"/>
                <c:pt idx="0">
                  <c:v> Dec '21</c:v>
                </c:pt>
                <c:pt idx="1">
                  <c:v> Jan '22</c:v>
                </c:pt>
                <c:pt idx="2">
                  <c:v> Feb '22</c:v>
                </c:pt>
                <c:pt idx="3">
                  <c:v> Mar '22</c:v>
                </c:pt>
                <c:pt idx="4">
                  <c:v>Apr '22</c:v>
                </c:pt>
                <c:pt idx="5">
                  <c:v> May '22</c:v>
                </c:pt>
                <c:pt idx="6">
                  <c:v> Jun '22</c:v>
                </c:pt>
                <c:pt idx="7">
                  <c:v> Jul '22</c:v>
                </c:pt>
                <c:pt idx="8">
                  <c:v> Aug '22</c:v>
                </c:pt>
                <c:pt idx="9">
                  <c:v> Sep '22</c:v>
                </c:pt>
                <c:pt idx="10">
                  <c:v> Oct '22</c:v>
                </c:pt>
                <c:pt idx="11">
                  <c:v> Nov '22</c:v>
                </c:pt>
                <c:pt idx="12">
                  <c:v> Dec '22</c:v>
                </c:pt>
                <c:pt idx="13">
                  <c:v> Jan '23</c:v>
                </c:pt>
                <c:pt idx="14">
                  <c:v>Feb '23</c:v>
                </c:pt>
                <c:pt idx="15">
                  <c:v>Mar '23</c:v>
                </c:pt>
                <c:pt idx="16">
                  <c:v>Apr '23</c:v>
                </c:pt>
                <c:pt idx="17">
                  <c:v>May '23</c:v>
                </c:pt>
                <c:pt idx="18">
                  <c:v>Jun '23</c:v>
                </c:pt>
                <c:pt idx="19">
                  <c:v>Jul '23</c:v>
                </c:pt>
                <c:pt idx="20">
                  <c:v>Aug '23</c:v>
                </c:pt>
                <c:pt idx="21">
                  <c:v>Sep '23</c:v>
                </c:pt>
                <c:pt idx="22">
                  <c:v>Oct '23</c:v>
                </c:pt>
                <c:pt idx="23">
                  <c:v>Nov '23</c:v>
                </c:pt>
                <c:pt idx="24">
                  <c:v> Dec '23</c:v>
                </c:pt>
                <c:pt idx="25">
                  <c:v> Jan '24</c:v>
                </c:pt>
                <c:pt idx="26">
                  <c:v>Feb '24</c:v>
                </c:pt>
                <c:pt idx="27">
                  <c:v>Mar '24</c:v>
                </c:pt>
                <c:pt idx="28">
                  <c:v>Apr '24</c:v>
                </c:pt>
                <c:pt idx="29">
                  <c:v>May '24</c:v>
                </c:pt>
                <c:pt idx="30">
                  <c:v>Jun '24</c:v>
                </c:pt>
                <c:pt idx="31">
                  <c:v>Jul '24</c:v>
                </c:pt>
                <c:pt idx="32">
                  <c:v>Aug '24</c:v>
                </c:pt>
                <c:pt idx="33">
                  <c:v>Sep '24</c:v>
                </c:pt>
                <c:pt idx="34">
                  <c:v>Oct '24</c:v>
                </c:pt>
                <c:pt idx="35">
                  <c:v>Nov '24</c:v>
                </c:pt>
                <c:pt idx="36">
                  <c:v> Dec '24</c:v>
                </c:pt>
              </c:strCache>
            </c:strRef>
          </c:cat>
          <c:val>
            <c:numRef>
              <c:f>'MTHW Data'!$I$80:$AS$80</c:f>
              <c:numCache>
                <c:formatCode>General</c:formatCode>
                <c:ptCount val="37"/>
                <c:pt idx="0">
                  <c:v>12650</c:v>
                </c:pt>
                <c:pt idx="1">
                  <c:v>13120</c:v>
                </c:pt>
                <c:pt idx="2">
                  <c:v>13350</c:v>
                </c:pt>
                <c:pt idx="3">
                  <c:v>41750</c:v>
                </c:pt>
                <c:pt idx="4">
                  <c:v>50500</c:v>
                </c:pt>
                <c:pt idx="5">
                  <c:v>76370</c:v>
                </c:pt>
                <c:pt idx="6">
                  <c:v>98280</c:v>
                </c:pt>
                <c:pt idx="7">
                  <c:v>107170</c:v>
                </c:pt>
                <c:pt idx="8">
                  <c:v>91040</c:v>
                </c:pt>
                <c:pt idx="9">
                  <c:v>79510</c:v>
                </c:pt>
                <c:pt idx="10">
                  <c:v>71710</c:v>
                </c:pt>
                <c:pt idx="11">
                  <c:v>45120</c:v>
                </c:pt>
                <c:pt idx="12">
                  <c:v>17770</c:v>
                </c:pt>
                <c:pt idx="13">
                  <c:v>0</c:v>
                </c:pt>
                <c:pt idx="14">
                  <c:v>3430</c:v>
                </c:pt>
                <c:pt idx="15">
                  <c:v>38300</c:v>
                </c:pt>
                <c:pt idx="16">
                  <c:v>46440</c:v>
                </c:pt>
                <c:pt idx="17">
                  <c:v>53870</c:v>
                </c:pt>
                <c:pt idx="18">
                  <c:v>86990</c:v>
                </c:pt>
                <c:pt idx="19">
                  <c:v>96740</c:v>
                </c:pt>
                <c:pt idx="20">
                  <c:v>99870</c:v>
                </c:pt>
                <c:pt idx="21">
                  <c:v>77980</c:v>
                </c:pt>
                <c:pt idx="22">
                  <c:v>60310</c:v>
                </c:pt>
                <c:pt idx="23">
                  <c:v>49370</c:v>
                </c:pt>
                <c:pt idx="24">
                  <c:v>28120</c:v>
                </c:pt>
                <c:pt idx="25">
                  <c:v>22630</c:v>
                </c:pt>
                <c:pt idx="26">
                  <c:v>29990</c:v>
                </c:pt>
                <c:pt idx="27">
                  <c:v>44990</c:v>
                </c:pt>
                <c:pt idx="28">
                  <c:v>48150</c:v>
                </c:pt>
                <c:pt idx="29">
                  <c:v>114170</c:v>
                </c:pt>
                <c:pt idx="30">
                  <c:v>135210</c:v>
                </c:pt>
                <c:pt idx="31">
                  <c:v>142510</c:v>
                </c:pt>
                <c:pt idx="32">
                  <c:v>133710</c:v>
                </c:pt>
                <c:pt idx="33">
                  <c:v>105000</c:v>
                </c:pt>
                <c:pt idx="34">
                  <c:v>99990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47F-4C8A-AE3A-75AFD527EC25}"/>
            </c:ext>
          </c:extLst>
        </c:ser>
        <c:ser>
          <c:idx val="6"/>
          <c:order val="6"/>
          <c:tx>
            <c:strRef>
              <c:f>'MTHW Data'!$A$85</c:f>
              <c:strCache>
                <c:ptCount val="1"/>
                <c:pt idx="0">
                  <c:v>F518, Arts Building 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'MTHW Data'!$I$75:$AS$75</c:f>
              <c:strCache>
                <c:ptCount val="37"/>
                <c:pt idx="0">
                  <c:v> Dec '21</c:v>
                </c:pt>
                <c:pt idx="1">
                  <c:v> Jan '22</c:v>
                </c:pt>
                <c:pt idx="2">
                  <c:v> Feb '22</c:v>
                </c:pt>
                <c:pt idx="3">
                  <c:v> Mar '22</c:v>
                </c:pt>
                <c:pt idx="4">
                  <c:v>Apr '22</c:v>
                </c:pt>
                <c:pt idx="5">
                  <c:v> May '22</c:v>
                </c:pt>
                <c:pt idx="6">
                  <c:v> Jun '22</c:v>
                </c:pt>
                <c:pt idx="7">
                  <c:v> Jul '22</c:v>
                </c:pt>
                <c:pt idx="8">
                  <c:v> Aug '22</c:v>
                </c:pt>
                <c:pt idx="9">
                  <c:v> Sep '22</c:v>
                </c:pt>
                <c:pt idx="10">
                  <c:v> Oct '22</c:v>
                </c:pt>
                <c:pt idx="11">
                  <c:v> Nov '22</c:v>
                </c:pt>
                <c:pt idx="12">
                  <c:v> Dec '22</c:v>
                </c:pt>
                <c:pt idx="13">
                  <c:v> Jan '23</c:v>
                </c:pt>
                <c:pt idx="14">
                  <c:v>Feb '23</c:v>
                </c:pt>
                <c:pt idx="15">
                  <c:v>Mar '23</c:v>
                </c:pt>
                <c:pt idx="16">
                  <c:v>Apr '23</c:v>
                </c:pt>
                <c:pt idx="17">
                  <c:v>May '23</c:v>
                </c:pt>
                <c:pt idx="18">
                  <c:v>Jun '23</c:v>
                </c:pt>
                <c:pt idx="19">
                  <c:v>Jul '23</c:v>
                </c:pt>
                <c:pt idx="20">
                  <c:v>Aug '23</c:v>
                </c:pt>
                <c:pt idx="21">
                  <c:v>Sep '23</c:v>
                </c:pt>
                <c:pt idx="22">
                  <c:v>Oct '23</c:v>
                </c:pt>
                <c:pt idx="23">
                  <c:v>Nov '23</c:v>
                </c:pt>
                <c:pt idx="24">
                  <c:v> Dec '23</c:v>
                </c:pt>
                <c:pt idx="25">
                  <c:v> Jan '24</c:v>
                </c:pt>
                <c:pt idx="26">
                  <c:v>Feb '24</c:v>
                </c:pt>
                <c:pt idx="27">
                  <c:v>Mar '24</c:v>
                </c:pt>
                <c:pt idx="28">
                  <c:v>Apr '24</c:v>
                </c:pt>
                <c:pt idx="29">
                  <c:v>May '24</c:v>
                </c:pt>
                <c:pt idx="30">
                  <c:v>Jun '24</c:v>
                </c:pt>
                <c:pt idx="31">
                  <c:v>Jul '24</c:v>
                </c:pt>
                <c:pt idx="32">
                  <c:v>Aug '24</c:v>
                </c:pt>
                <c:pt idx="33">
                  <c:v>Sep '24</c:v>
                </c:pt>
                <c:pt idx="34">
                  <c:v>Oct '24</c:v>
                </c:pt>
                <c:pt idx="35">
                  <c:v>Nov '24</c:v>
                </c:pt>
                <c:pt idx="36">
                  <c:v> Dec '24</c:v>
                </c:pt>
              </c:strCache>
            </c:strRef>
          </c:cat>
          <c:val>
            <c:numRef>
              <c:f>'MTHW Data'!$I$85:$AS$85</c:f>
              <c:numCache>
                <c:formatCode>General</c:formatCode>
                <c:ptCount val="37"/>
                <c:pt idx="0">
                  <c:v>9800</c:v>
                </c:pt>
                <c:pt idx="1">
                  <c:v>17100</c:v>
                </c:pt>
                <c:pt idx="2">
                  <c:v>16600</c:v>
                </c:pt>
                <c:pt idx="3">
                  <c:v>28100</c:v>
                </c:pt>
                <c:pt idx="4">
                  <c:v>43000</c:v>
                </c:pt>
                <c:pt idx="5">
                  <c:v>67800</c:v>
                </c:pt>
                <c:pt idx="6">
                  <c:v>80400</c:v>
                </c:pt>
                <c:pt idx="7">
                  <c:v>103400</c:v>
                </c:pt>
                <c:pt idx="8">
                  <c:v>90200</c:v>
                </c:pt>
                <c:pt idx="9">
                  <c:v>81000</c:v>
                </c:pt>
                <c:pt idx="10">
                  <c:v>69400</c:v>
                </c:pt>
                <c:pt idx="11">
                  <c:v>31400</c:v>
                </c:pt>
                <c:pt idx="12">
                  <c:v>22100</c:v>
                </c:pt>
                <c:pt idx="13">
                  <c:v>9500</c:v>
                </c:pt>
                <c:pt idx="14">
                  <c:v>6900</c:v>
                </c:pt>
                <c:pt idx="15">
                  <c:v>33500</c:v>
                </c:pt>
                <c:pt idx="16">
                  <c:v>50800</c:v>
                </c:pt>
                <c:pt idx="17">
                  <c:v>75300</c:v>
                </c:pt>
                <c:pt idx="18">
                  <c:v>71300</c:v>
                </c:pt>
                <c:pt idx="19">
                  <c:v>85400</c:v>
                </c:pt>
                <c:pt idx="20">
                  <c:v>102200</c:v>
                </c:pt>
                <c:pt idx="21">
                  <c:v>64900</c:v>
                </c:pt>
                <c:pt idx="22">
                  <c:v>54600</c:v>
                </c:pt>
                <c:pt idx="23">
                  <c:v>39400</c:v>
                </c:pt>
                <c:pt idx="24">
                  <c:v>19400</c:v>
                </c:pt>
                <c:pt idx="25">
                  <c:v>15000</c:v>
                </c:pt>
                <c:pt idx="26">
                  <c:v>18700</c:v>
                </c:pt>
                <c:pt idx="27">
                  <c:v>39900</c:v>
                </c:pt>
                <c:pt idx="28">
                  <c:v>55100</c:v>
                </c:pt>
                <c:pt idx="29">
                  <c:v>88900</c:v>
                </c:pt>
                <c:pt idx="30">
                  <c:v>68300</c:v>
                </c:pt>
                <c:pt idx="31">
                  <c:v>78200</c:v>
                </c:pt>
                <c:pt idx="32">
                  <c:v>80300</c:v>
                </c:pt>
                <c:pt idx="33">
                  <c:v>51600</c:v>
                </c:pt>
                <c:pt idx="34">
                  <c:v>47100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47F-4C8A-AE3A-75AFD527EC25}"/>
            </c:ext>
          </c:extLst>
        </c:ser>
        <c:ser>
          <c:idx val="7"/>
          <c:order val="7"/>
          <c:tx>
            <c:strRef>
              <c:f>'MTHW Data'!$A$97</c:f>
              <c:strCache>
                <c:ptCount val="1"/>
                <c:pt idx="0">
                  <c:v>G405, Science 3 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'MTHW Data'!$I$75:$AS$75</c:f>
              <c:strCache>
                <c:ptCount val="37"/>
                <c:pt idx="0">
                  <c:v> Dec '21</c:v>
                </c:pt>
                <c:pt idx="1">
                  <c:v> Jan '22</c:v>
                </c:pt>
                <c:pt idx="2">
                  <c:v> Feb '22</c:v>
                </c:pt>
                <c:pt idx="3">
                  <c:v> Mar '22</c:v>
                </c:pt>
                <c:pt idx="4">
                  <c:v>Apr '22</c:v>
                </c:pt>
                <c:pt idx="5">
                  <c:v> May '22</c:v>
                </c:pt>
                <c:pt idx="6">
                  <c:v> Jun '22</c:v>
                </c:pt>
                <c:pt idx="7">
                  <c:v> Jul '22</c:v>
                </c:pt>
                <c:pt idx="8">
                  <c:v> Aug '22</c:v>
                </c:pt>
                <c:pt idx="9">
                  <c:v> Sep '22</c:v>
                </c:pt>
                <c:pt idx="10">
                  <c:v> Oct '22</c:v>
                </c:pt>
                <c:pt idx="11">
                  <c:v> Nov '22</c:v>
                </c:pt>
                <c:pt idx="12">
                  <c:v> Dec '22</c:v>
                </c:pt>
                <c:pt idx="13">
                  <c:v> Jan '23</c:v>
                </c:pt>
                <c:pt idx="14">
                  <c:v>Feb '23</c:v>
                </c:pt>
                <c:pt idx="15">
                  <c:v>Mar '23</c:v>
                </c:pt>
                <c:pt idx="16">
                  <c:v>Apr '23</c:v>
                </c:pt>
                <c:pt idx="17">
                  <c:v>May '23</c:v>
                </c:pt>
                <c:pt idx="18">
                  <c:v>Jun '23</c:v>
                </c:pt>
                <c:pt idx="19">
                  <c:v>Jul '23</c:v>
                </c:pt>
                <c:pt idx="20">
                  <c:v>Aug '23</c:v>
                </c:pt>
                <c:pt idx="21">
                  <c:v>Sep '23</c:v>
                </c:pt>
                <c:pt idx="22">
                  <c:v>Oct '23</c:v>
                </c:pt>
                <c:pt idx="23">
                  <c:v>Nov '23</c:v>
                </c:pt>
                <c:pt idx="24">
                  <c:v> Dec '23</c:v>
                </c:pt>
                <c:pt idx="25">
                  <c:v> Jan '24</c:v>
                </c:pt>
                <c:pt idx="26">
                  <c:v>Feb '24</c:v>
                </c:pt>
                <c:pt idx="27">
                  <c:v>Mar '24</c:v>
                </c:pt>
                <c:pt idx="28">
                  <c:v>Apr '24</c:v>
                </c:pt>
                <c:pt idx="29">
                  <c:v>May '24</c:v>
                </c:pt>
                <c:pt idx="30">
                  <c:v>Jun '24</c:v>
                </c:pt>
                <c:pt idx="31">
                  <c:v>Jul '24</c:v>
                </c:pt>
                <c:pt idx="32">
                  <c:v>Aug '24</c:v>
                </c:pt>
                <c:pt idx="33">
                  <c:v>Sep '24</c:v>
                </c:pt>
                <c:pt idx="34">
                  <c:v>Oct '24</c:v>
                </c:pt>
                <c:pt idx="35">
                  <c:v>Nov '24</c:v>
                </c:pt>
                <c:pt idx="36">
                  <c:v> Dec '24</c:v>
                </c:pt>
              </c:strCache>
            </c:strRef>
          </c:cat>
          <c:val>
            <c:numRef>
              <c:f>'MTHW Data'!$I$97:$AS$97</c:f>
              <c:numCache>
                <c:formatCode>General</c:formatCode>
                <c:ptCount val="37"/>
                <c:pt idx="0">
                  <c:v>66600</c:v>
                </c:pt>
                <c:pt idx="1">
                  <c:v>76300</c:v>
                </c:pt>
                <c:pt idx="2">
                  <c:v>73200</c:v>
                </c:pt>
                <c:pt idx="3">
                  <c:v>77300</c:v>
                </c:pt>
                <c:pt idx="4">
                  <c:v>91400</c:v>
                </c:pt>
                <c:pt idx="5">
                  <c:v>161500</c:v>
                </c:pt>
                <c:pt idx="6">
                  <c:v>227500</c:v>
                </c:pt>
                <c:pt idx="7">
                  <c:v>259000</c:v>
                </c:pt>
                <c:pt idx="8">
                  <c:v>181900</c:v>
                </c:pt>
                <c:pt idx="9">
                  <c:v>197000</c:v>
                </c:pt>
                <c:pt idx="10">
                  <c:v>182200</c:v>
                </c:pt>
                <c:pt idx="11">
                  <c:v>84500</c:v>
                </c:pt>
                <c:pt idx="12">
                  <c:v>74300</c:v>
                </c:pt>
                <c:pt idx="13">
                  <c:v>39800</c:v>
                </c:pt>
                <c:pt idx="14">
                  <c:v>32900</c:v>
                </c:pt>
                <c:pt idx="15">
                  <c:v>52200</c:v>
                </c:pt>
                <c:pt idx="16">
                  <c:v>92000</c:v>
                </c:pt>
                <c:pt idx="17">
                  <c:v>107300</c:v>
                </c:pt>
                <c:pt idx="18">
                  <c:v>158000</c:v>
                </c:pt>
                <c:pt idx="19">
                  <c:v>184100</c:v>
                </c:pt>
                <c:pt idx="20">
                  <c:v>177600</c:v>
                </c:pt>
                <c:pt idx="21">
                  <c:v>132200</c:v>
                </c:pt>
                <c:pt idx="22">
                  <c:v>119800</c:v>
                </c:pt>
                <c:pt idx="23">
                  <c:v>103800</c:v>
                </c:pt>
                <c:pt idx="24">
                  <c:v>88900</c:v>
                </c:pt>
                <c:pt idx="25">
                  <c:v>84300</c:v>
                </c:pt>
                <c:pt idx="26">
                  <c:v>96400</c:v>
                </c:pt>
                <c:pt idx="27">
                  <c:v>96100</c:v>
                </c:pt>
                <c:pt idx="28">
                  <c:v>98700</c:v>
                </c:pt>
                <c:pt idx="29">
                  <c:v>163600</c:v>
                </c:pt>
                <c:pt idx="30">
                  <c:v>169000</c:v>
                </c:pt>
                <c:pt idx="31">
                  <c:v>184400</c:v>
                </c:pt>
                <c:pt idx="32">
                  <c:v>184500</c:v>
                </c:pt>
                <c:pt idx="33">
                  <c:v>146000</c:v>
                </c:pt>
                <c:pt idx="34">
                  <c:v>138400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47F-4C8A-AE3A-75AFD527EC25}"/>
            </c:ext>
          </c:extLst>
        </c:ser>
        <c:ser>
          <c:idx val="8"/>
          <c:order val="8"/>
          <c:tx>
            <c:strRef>
              <c:f>'MTHW Data'!$A$100</c:f>
              <c:strCache>
                <c:ptCount val="1"/>
                <c:pt idx="0">
                  <c:v>F419, ISB 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'MTHW Data'!$I$75:$AS$75</c:f>
              <c:strCache>
                <c:ptCount val="37"/>
                <c:pt idx="0">
                  <c:v> Dec '21</c:v>
                </c:pt>
                <c:pt idx="1">
                  <c:v> Jan '22</c:v>
                </c:pt>
                <c:pt idx="2">
                  <c:v> Feb '22</c:v>
                </c:pt>
                <c:pt idx="3">
                  <c:v> Mar '22</c:v>
                </c:pt>
                <c:pt idx="4">
                  <c:v>Apr '22</c:v>
                </c:pt>
                <c:pt idx="5">
                  <c:v> May '22</c:v>
                </c:pt>
                <c:pt idx="6">
                  <c:v> Jun '22</c:v>
                </c:pt>
                <c:pt idx="7">
                  <c:v> Jul '22</c:v>
                </c:pt>
                <c:pt idx="8">
                  <c:v> Aug '22</c:v>
                </c:pt>
                <c:pt idx="9">
                  <c:v> Sep '22</c:v>
                </c:pt>
                <c:pt idx="10">
                  <c:v> Oct '22</c:v>
                </c:pt>
                <c:pt idx="11">
                  <c:v> Nov '22</c:v>
                </c:pt>
                <c:pt idx="12">
                  <c:v> Dec '22</c:v>
                </c:pt>
                <c:pt idx="13">
                  <c:v> Jan '23</c:v>
                </c:pt>
                <c:pt idx="14">
                  <c:v>Feb '23</c:v>
                </c:pt>
                <c:pt idx="15">
                  <c:v>Mar '23</c:v>
                </c:pt>
                <c:pt idx="16">
                  <c:v>Apr '23</c:v>
                </c:pt>
                <c:pt idx="17">
                  <c:v>May '23</c:v>
                </c:pt>
                <c:pt idx="18">
                  <c:v>Jun '23</c:v>
                </c:pt>
                <c:pt idx="19">
                  <c:v>Jul '23</c:v>
                </c:pt>
                <c:pt idx="20">
                  <c:v>Aug '23</c:v>
                </c:pt>
                <c:pt idx="21">
                  <c:v>Sep '23</c:v>
                </c:pt>
                <c:pt idx="22">
                  <c:v>Oct '23</c:v>
                </c:pt>
                <c:pt idx="23">
                  <c:v>Nov '23</c:v>
                </c:pt>
                <c:pt idx="24">
                  <c:v> Dec '23</c:v>
                </c:pt>
                <c:pt idx="25">
                  <c:v> Jan '24</c:v>
                </c:pt>
                <c:pt idx="26">
                  <c:v>Feb '24</c:v>
                </c:pt>
                <c:pt idx="27">
                  <c:v>Mar '24</c:v>
                </c:pt>
                <c:pt idx="28">
                  <c:v>Apr '24</c:v>
                </c:pt>
                <c:pt idx="29">
                  <c:v>May '24</c:v>
                </c:pt>
                <c:pt idx="30">
                  <c:v>Jun '24</c:v>
                </c:pt>
                <c:pt idx="31">
                  <c:v>Jul '24</c:v>
                </c:pt>
                <c:pt idx="32">
                  <c:v>Aug '24</c:v>
                </c:pt>
                <c:pt idx="33">
                  <c:v>Sep '24</c:v>
                </c:pt>
                <c:pt idx="34">
                  <c:v>Oct '24</c:v>
                </c:pt>
                <c:pt idx="35">
                  <c:v>Nov '24</c:v>
                </c:pt>
                <c:pt idx="36">
                  <c:v> Dec '24</c:v>
                </c:pt>
              </c:strCache>
            </c:strRef>
          </c:cat>
          <c:val>
            <c:numRef>
              <c:f>'MTHW Data'!$I$100:$AS$100</c:f>
              <c:numCache>
                <c:formatCode>General</c:formatCode>
                <c:ptCount val="37"/>
                <c:pt idx="0">
                  <c:v>59000</c:v>
                </c:pt>
                <c:pt idx="1">
                  <c:v>23000</c:v>
                </c:pt>
                <c:pt idx="2">
                  <c:v>34000</c:v>
                </c:pt>
                <c:pt idx="3">
                  <c:v>20000</c:v>
                </c:pt>
                <c:pt idx="4">
                  <c:v>48000</c:v>
                </c:pt>
                <c:pt idx="5">
                  <c:v>68000</c:v>
                </c:pt>
                <c:pt idx="6">
                  <c:v>110000</c:v>
                </c:pt>
                <c:pt idx="7">
                  <c:v>175000</c:v>
                </c:pt>
                <c:pt idx="8">
                  <c:v>108000</c:v>
                </c:pt>
                <c:pt idx="9">
                  <c:v>83000</c:v>
                </c:pt>
                <c:pt idx="10">
                  <c:v>82000</c:v>
                </c:pt>
                <c:pt idx="11">
                  <c:v>52000</c:v>
                </c:pt>
                <c:pt idx="12">
                  <c:v>35000</c:v>
                </c:pt>
                <c:pt idx="13">
                  <c:v>19799.999999999272</c:v>
                </c:pt>
                <c:pt idx="14">
                  <c:v>25200.000000000728</c:v>
                </c:pt>
                <c:pt idx="15">
                  <c:v>58159.999999999854</c:v>
                </c:pt>
                <c:pt idx="16">
                  <c:v>80840.000000000146</c:v>
                </c:pt>
                <c:pt idx="17">
                  <c:v>121000</c:v>
                </c:pt>
                <c:pt idx="18">
                  <c:v>118000</c:v>
                </c:pt>
                <c:pt idx="19">
                  <c:v>143000</c:v>
                </c:pt>
                <c:pt idx="20">
                  <c:v>139000</c:v>
                </c:pt>
                <c:pt idx="21">
                  <c:v>135000</c:v>
                </c:pt>
                <c:pt idx="22">
                  <c:v>61540.000000000873</c:v>
                </c:pt>
                <c:pt idx="23">
                  <c:v>62459.999999999127</c:v>
                </c:pt>
                <c:pt idx="24">
                  <c:v>51000</c:v>
                </c:pt>
                <c:pt idx="25">
                  <c:v>27000</c:v>
                </c:pt>
                <c:pt idx="26">
                  <c:v>36000</c:v>
                </c:pt>
                <c:pt idx="27">
                  <c:v>110000</c:v>
                </c:pt>
                <c:pt idx="28">
                  <c:v>101340.00000000015</c:v>
                </c:pt>
                <c:pt idx="29">
                  <c:v>145659.99999999985</c:v>
                </c:pt>
                <c:pt idx="30">
                  <c:v>120000</c:v>
                </c:pt>
                <c:pt idx="31">
                  <c:v>177000</c:v>
                </c:pt>
                <c:pt idx="32">
                  <c:v>130000</c:v>
                </c:pt>
                <c:pt idx="33">
                  <c:v>140000</c:v>
                </c:pt>
                <c:pt idx="34">
                  <c:v>112000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47F-4C8A-AE3A-75AFD527E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74905400"/>
        <c:axId val="-1674904248"/>
        <c:extLst/>
      </c:lineChart>
      <c:catAx>
        <c:axId val="-167490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904248"/>
        <c:crosses val="autoZero"/>
        <c:auto val="1"/>
        <c:lblAlgn val="ctr"/>
        <c:lblOffset val="100"/>
        <c:noMultiLvlLbl val="0"/>
      </c:catAx>
      <c:valAx>
        <c:axId val="-167490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90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0779729963548991E-2"/>
          <c:y val="5.8720210298452834E-2"/>
          <c:w val="0.17616081029518887"/>
          <c:h val="0.458819768185911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Eccles Steam Consumption </a:t>
            </a:r>
            <a:r>
              <a:rPr lang="en-NZ" baseline="0"/>
              <a:t>over Time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187750760229863"/>
          <c:y val="0.11667847320312683"/>
          <c:w val="0.6949521893463757"/>
          <c:h val="0.76197237508343474"/>
        </c:manualLayout>
      </c:layout>
      <c:lineChart>
        <c:grouping val="standard"/>
        <c:varyColors val="0"/>
        <c:ser>
          <c:idx val="9"/>
          <c:order val="0"/>
          <c:tx>
            <c:strRef>
              <c:f>'MTHW Data'!$A$104</c:f>
              <c:strCache>
                <c:ptCount val="1"/>
                <c:pt idx="0">
                  <c:v>E325 Eccles Steam 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'MTHW Data'!$J$75:$AS$75</c:f>
              <c:strCache>
                <c:ptCount val="36"/>
                <c:pt idx="0">
                  <c:v> Jan '22</c:v>
                </c:pt>
                <c:pt idx="1">
                  <c:v> Feb '22</c:v>
                </c:pt>
                <c:pt idx="2">
                  <c:v> Mar '22</c:v>
                </c:pt>
                <c:pt idx="3">
                  <c:v>Apr '22</c:v>
                </c:pt>
                <c:pt idx="4">
                  <c:v> May '22</c:v>
                </c:pt>
                <c:pt idx="5">
                  <c:v> Jun '22</c:v>
                </c:pt>
                <c:pt idx="6">
                  <c:v> Jul '22</c:v>
                </c:pt>
                <c:pt idx="7">
                  <c:v> Aug '22</c:v>
                </c:pt>
                <c:pt idx="8">
                  <c:v> Sep '22</c:v>
                </c:pt>
                <c:pt idx="9">
                  <c:v> Oct '22</c:v>
                </c:pt>
                <c:pt idx="10">
                  <c:v> Nov '22</c:v>
                </c:pt>
                <c:pt idx="11">
                  <c:v> Dec '22</c:v>
                </c:pt>
                <c:pt idx="12">
                  <c:v> Jan '23</c:v>
                </c:pt>
                <c:pt idx="13">
                  <c:v>Feb '23</c:v>
                </c:pt>
                <c:pt idx="14">
                  <c:v>Mar '23</c:v>
                </c:pt>
                <c:pt idx="15">
                  <c:v>Apr '23</c:v>
                </c:pt>
                <c:pt idx="16">
                  <c:v>May '23</c:v>
                </c:pt>
                <c:pt idx="17">
                  <c:v>Jun '23</c:v>
                </c:pt>
                <c:pt idx="18">
                  <c:v>Jul '23</c:v>
                </c:pt>
                <c:pt idx="19">
                  <c:v>Aug '23</c:v>
                </c:pt>
                <c:pt idx="20">
                  <c:v>Sep '23</c:v>
                </c:pt>
                <c:pt idx="21">
                  <c:v>Oct '23</c:v>
                </c:pt>
                <c:pt idx="22">
                  <c:v>Nov '23</c:v>
                </c:pt>
                <c:pt idx="23">
                  <c:v> Dec '23</c:v>
                </c:pt>
                <c:pt idx="24">
                  <c:v> Jan '24</c:v>
                </c:pt>
                <c:pt idx="25">
                  <c:v>Feb '24</c:v>
                </c:pt>
                <c:pt idx="26">
                  <c:v>Mar '24</c:v>
                </c:pt>
                <c:pt idx="27">
                  <c:v>Apr '24</c:v>
                </c:pt>
                <c:pt idx="28">
                  <c:v>May '24</c:v>
                </c:pt>
                <c:pt idx="29">
                  <c:v>Jun '24</c:v>
                </c:pt>
                <c:pt idx="30">
                  <c:v>Jul '24</c:v>
                </c:pt>
                <c:pt idx="31">
                  <c:v>Aug '24</c:v>
                </c:pt>
                <c:pt idx="32">
                  <c:v>Sep '24</c:v>
                </c:pt>
                <c:pt idx="33">
                  <c:v>Oct '24</c:v>
                </c:pt>
                <c:pt idx="34">
                  <c:v>Nov '24</c:v>
                </c:pt>
                <c:pt idx="35">
                  <c:v> Dec '24</c:v>
                </c:pt>
              </c:strCache>
            </c:strRef>
          </c:cat>
          <c:val>
            <c:numRef>
              <c:f>'MTHW Data'!$I$104:$AS$104</c:f>
              <c:numCache>
                <c:formatCode>General</c:formatCode>
                <c:ptCount val="37"/>
                <c:pt idx="2">
                  <c:v>3523058.3740000003</c:v>
                </c:pt>
                <c:pt idx="3">
                  <c:v>3347502.6780000003</c:v>
                </c:pt>
                <c:pt idx="4">
                  <c:v>3459169.4340000004</c:v>
                </c:pt>
                <c:pt idx="5">
                  <c:v>3659169.594</c:v>
                </c:pt>
                <c:pt idx="6">
                  <c:v>3511669.4760000003</c:v>
                </c:pt>
                <c:pt idx="7">
                  <c:v>3656669.5920000002</c:v>
                </c:pt>
                <c:pt idx="8">
                  <c:v>3527502.8220000002</c:v>
                </c:pt>
                <c:pt idx="9">
                  <c:v>3547502.8380000005</c:v>
                </c:pt>
                <c:pt idx="10">
                  <c:v>3523613.93</c:v>
                </c:pt>
                <c:pt idx="11">
                  <c:v>3215558.128</c:v>
                </c:pt>
                <c:pt idx="12">
                  <c:v>3831947.5100000002</c:v>
                </c:pt>
                <c:pt idx="13">
                  <c:v>3499725.0220000003</c:v>
                </c:pt>
                <c:pt idx="14">
                  <c:v>2256112.9160000002</c:v>
                </c:pt>
                <c:pt idx="15">
                  <c:v>1936390.4380000001</c:v>
                </c:pt>
                <c:pt idx="16">
                  <c:v>2121390.5860000001</c:v>
                </c:pt>
                <c:pt idx="17">
                  <c:v>5041948.4780000001</c:v>
                </c:pt>
                <c:pt idx="18">
                  <c:v>4953892.852</c:v>
                </c:pt>
                <c:pt idx="19">
                  <c:v>3110558.0440000002</c:v>
                </c:pt>
                <c:pt idx="20">
                  <c:v>4230836.7180000003</c:v>
                </c:pt>
                <c:pt idx="21">
                  <c:v>4098892.1680000001</c:v>
                </c:pt>
                <c:pt idx="22">
                  <c:v>4840003.8720000004</c:v>
                </c:pt>
                <c:pt idx="23">
                  <c:v>4972781.7560000001</c:v>
                </c:pt>
                <c:pt idx="24">
                  <c:v>4490559.148</c:v>
                </c:pt>
                <c:pt idx="25">
                  <c:v>2694724.378</c:v>
                </c:pt>
                <c:pt idx="26">
                  <c:v>1940557.1080000002</c:v>
                </c:pt>
                <c:pt idx="27">
                  <c:v>1912223.7520000001</c:v>
                </c:pt>
                <c:pt idx="28">
                  <c:v>4016947.6580000003</c:v>
                </c:pt>
                <c:pt idx="29">
                  <c:v>2157501.7260000003</c:v>
                </c:pt>
                <c:pt idx="30">
                  <c:v>1743334.7280000001</c:v>
                </c:pt>
                <c:pt idx="31">
                  <c:v>1775834.7540000002</c:v>
                </c:pt>
                <c:pt idx="32">
                  <c:v>2932224.5680000004</c:v>
                </c:pt>
                <c:pt idx="33">
                  <c:v>1968612.6860000002</c:v>
                </c:pt>
                <c:pt idx="34">
                  <c:v>1314445.496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07B-43A4-BDBE-B4EA265E0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74905400"/>
        <c:axId val="-1674904248"/>
        <c:extLst/>
      </c:lineChart>
      <c:catAx>
        <c:axId val="-167490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904248"/>
        <c:crosses val="autoZero"/>
        <c:auto val="1"/>
        <c:lblAlgn val="ctr"/>
        <c:lblOffset val="100"/>
        <c:noMultiLvlLbl val="0"/>
      </c:catAx>
      <c:valAx>
        <c:axId val="-167490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90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0779729963548991E-2"/>
          <c:y val="5.8720210298452834E-2"/>
          <c:w val="0.14614763779527559"/>
          <c:h val="5.11344521574561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College MTHW</a:t>
            </a:r>
            <a:r>
              <a:rPr lang="en-NZ" baseline="0"/>
              <a:t> </a:t>
            </a:r>
            <a:r>
              <a:rPr lang="en-NZ"/>
              <a:t>Consumption Breakdown</a:t>
            </a:r>
            <a:r>
              <a:rPr lang="en-NZ" baseline="0"/>
              <a:t> over Time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36249378519315"/>
          <c:y val="0.13315846338364076"/>
          <c:w val="0.68320475909674283"/>
          <c:h val="0.76801440381589781"/>
        </c:manualLayout>
      </c:layout>
      <c:lineChart>
        <c:grouping val="standard"/>
        <c:varyColors val="0"/>
        <c:ser>
          <c:idx val="0"/>
          <c:order val="0"/>
          <c:tx>
            <c:strRef>
              <c:f>'MTHW Data'!$A$76</c:f>
              <c:strCache>
                <c:ptCount val="1"/>
                <c:pt idx="0">
                  <c:v>St Margaret's MTHW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'MTHW Data'!$I$75:$AS$75</c:f>
              <c:strCache>
                <c:ptCount val="37"/>
                <c:pt idx="0">
                  <c:v> Dec '21</c:v>
                </c:pt>
                <c:pt idx="1">
                  <c:v> Jan '22</c:v>
                </c:pt>
                <c:pt idx="2">
                  <c:v> Feb '22</c:v>
                </c:pt>
                <c:pt idx="3">
                  <c:v> Mar '22</c:v>
                </c:pt>
                <c:pt idx="4">
                  <c:v>Apr '22</c:v>
                </c:pt>
                <c:pt idx="5">
                  <c:v> May '22</c:v>
                </c:pt>
                <c:pt idx="6">
                  <c:v> Jun '22</c:v>
                </c:pt>
                <c:pt idx="7">
                  <c:v> Jul '22</c:v>
                </c:pt>
                <c:pt idx="8">
                  <c:v> Aug '22</c:v>
                </c:pt>
                <c:pt idx="9">
                  <c:v> Sep '22</c:v>
                </c:pt>
                <c:pt idx="10">
                  <c:v> Oct '22</c:v>
                </c:pt>
                <c:pt idx="11">
                  <c:v> Nov '22</c:v>
                </c:pt>
                <c:pt idx="12">
                  <c:v> Dec '22</c:v>
                </c:pt>
                <c:pt idx="13">
                  <c:v> Jan '23</c:v>
                </c:pt>
                <c:pt idx="14">
                  <c:v>Feb '23</c:v>
                </c:pt>
                <c:pt idx="15">
                  <c:v>Mar '23</c:v>
                </c:pt>
                <c:pt idx="16">
                  <c:v>Apr '23</c:v>
                </c:pt>
                <c:pt idx="17">
                  <c:v>May '23</c:v>
                </c:pt>
                <c:pt idx="18">
                  <c:v>Jun '23</c:v>
                </c:pt>
                <c:pt idx="19">
                  <c:v>Jul '23</c:v>
                </c:pt>
                <c:pt idx="20">
                  <c:v>Aug '23</c:v>
                </c:pt>
                <c:pt idx="21">
                  <c:v>Sep '23</c:v>
                </c:pt>
                <c:pt idx="22">
                  <c:v>Oct '23</c:v>
                </c:pt>
                <c:pt idx="23">
                  <c:v>Nov '23</c:v>
                </c:pt>
                <c:pt idx="24">
                  <c:v> Dec '23</c:v>
                </c:pt>
                <c:pt idx="25">
                  <c:v> Jan '24</c:v>
                </c:pt>
                <c:pt idx="26">
                  <c:v>Feb '24</c:v>
                </c:pt>
                <c:pt idx="27">
                  <c:v>Mar '24</c:v>
                </c:pt>
                <c:pt idx="28">
                  <c:v>Apr '24</c:v>
                </c:pt>
                <c:pt idx="29">
                  <c:v>May '24</c:v>
                </c:pt>
                <c:pt idx="30">
                  <c:v>Jun '24</c:v>
                </c:pt>
                <c:pt idx="31">
                  <c:v>Jul '24</c:v>
                </c:pt>
                <c:pt idx="32">
                  <c:v>Aug '24</c:v>
                </c:pt>
                <c:pt idx="33">
                  <c:v>Sep '24</c:v>
                </c:pt>
                <c:pt idx="34">
                  <c:v>Oct '24</c:v>
                </c:pt>
                <c:pt idx="35">
                  <c:v>Nov '24</c:v>
                </c:pt>
                <c:pt idx="36">
                  <c:v> Dec '24</c:v>
                </c:pt>
              </c:strCache>
            </c:strRef>
          </c:cat>
          <c:val>
            <c:numRef>
              <c:f>'MTHW Data'!$I$76:$AS$76</c:f>
              <c:numCache>
                <c:formatCode>General</c:formatCode>
                <c:ptCount val="37"/>
                <c:pt idx="0">
                  <c:v>45000</c:v>
                </c:pt>
                <c:pt idx="1">
                  <c:v>47000</c:v>
                </c:pt>
                <c:pt idx="2">
                  <c:v>47000</c:v>
                </c:pt>
                <c:pt idx="3">
                  <c:v>89000</c:v>
                </c:pt>
                <c:pt idx="4">
                  <c:v>88000</c:v>
                </c:pt>
                <c:pt idx="5">
                  <c:v>88000</c:v>
                </c:pt>
                <c:pt idx="6">
                  <c:v>107000</c:v>
                </c:pt>
                <c:pt idx="7">
                  <c:v>223000</c:v>
                </c:pt>
                <c:pt idx="8">
                  <c:v>118000</c:v>
                </c:pt>
                <c:pt idx="9">
                  <c:v>133000</c:v>
                </c:pt>
                <c:pt idx="10">
                  <c:v>91000</c:v>
                </c:pt>
                <c:pt idx="11">
                  <c:v>47000</c:v>
                </c:pt>
                <c:pt idx="12">
                  <c:v>36000</c:v>
                </c:pt>
                <c:pt idx="13">
                  <c:v>30199.999999999818</c:v>
                </c:pt>
                <c:pt idx="14">
                  <c:v>36760.000000000218</c:v>
                </c:pt>
                <c:pt idx="15">
                  <c:v>70039.999999999971</c:v>
                </c:pt>
                <c:pt idx="16">
                  <c:v>84000</c:v>
                </c:pt>
                <c:pt idx="17">
                  <c:v>106000</c:v>
                </c:pt>
                <c:pt idx="18">
                  <c:v>110000</c:v>
                </c:pt>
                <c:pt idx="19">
                  <c:v>131000</c:v>
                </c:pt>
                <c:pt idx="20">
                  <c:v>135000</c:v>
                </c:pt>
                <c:pt idx="21">
                  <c:v>111000</c:v>
                </c:pt>
                <c:pt idx="22">
                  <c:v>96000</c:v>
                </c:pt>
                <c:pt idx="23">
                  <c:v>16000</c:v>
                </c:pt>
                <c:pt idx="24">
                  <c:v>0</c:v>
                </c:pt>
                <c:pt idx="25">
                  <c:v>0</c:v>
                </c:pt>
                <c:pt idx="26">
                  <c:v>19000</c:v>
                </c:pt>
                <c:pt idx="27">
                  <c:v>69180.000000000291</c:v>
                </c:pt>
                <c:pt idx="28">
                  <c:v>82819.999999999709</c:v>
                </c:pt>
                <c:pt idx="29">
                  <c:v>123000</c:v>
                </c:pt>
                <c:pt idx="30">
                  <c:v>83200.000000000728</c:v>
                </c:pt>
                <c:pt idx="31">
                  <c:v>111799.99999999927</c:v>
                </c:pt>
                <c:pt idx="32">
                  <c:v>120000</c:v>
                </c:pt>
                <c:pt idx="33">
                  <c:v>108000</c:v>
                </c:pt>
                <c:pt idx="34">
                  <c:v>93649.999999999636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20-47CE-B756-DE46D287746F}"/>
            </c:ext>
          </c:extLst>
        </c:ser>
        <c:ser>
          <c:idx val="1"/>
          <c:order val="1"/>
          <c:tx>
            <c:strRef>
              <c:f>'MTHW Data'!$A$77</c:f>
              <c:strCache>
                <c:ptCount val="1"/>
                <c:pt idx="0">
                  <c:v>G601, UniCol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'MTHW Data'!$I$75:$AS$75</c:f>
              <c:strCache>
                <c:ptCount val="37"/>
                <c:pt idx="0">
                  <c:v> Dec '21</c:v>
                </c:pt>
                <c:pt idx="1">
                  <c:v> Jan '22</c:v>
                </c:pt>
                <c:pt idx="2">
                  <c:v> Feb '22</c:v>
                </c:pt>
                <c:pt idx="3">
                  <c:v> Mar '22</c:v>
                </c:pt>
                <c:pt idx="4">
                  <c:v>Apr '22</c:v>
                </c:pt>
                <c:pt idx="5">
                  <c:v> May '22</c:v>
                </c:pt>
                <c:pt idx="6">
                  <c:v> Jun '22</c:v>
                </c:pt>
                <c:pt idx="7">
                  <c:v> Jul '22</c:v>
                </c:pt>
                <c:pt idx="8">
                  <c:v> Aug '22</c:v>
                </c:pt>
                <c:pt idx="9">
                  <c:v> Sep '22</c:v>
                </c:pt>
                <c:pt idx="10">
                  <c:v> Oct '22</c:v>
                </c:pt>
                <c:pt idx="11">
                  <c:v> Nov '22</c:v>
                </c:pt>
                <c:pt idx="12">
                  <c:v> Dec '22</c:v>
                </c:pt>
                <c:pt idx="13">
                  <c:v> Jan '23</c:v>
                </c:pt>
                <c:pt idx="14">
                  <c:v>Feb '23</c:v>
                </c:pt>
                <c:pt idx="15">
                  <c:v>Mar '23</c:v>
                </c:pt>
                <c:pt idx="16">
                  <c:v>Apr '23</c:v>
                </c:pt>
                <c:pt idx="17">
                  <c:v>May '23</c:v>
                </c:pt>
                <c:pt idx="18">
                  <c:v>Jun '23</c:v>
                </c:pt>
                <c:pt idx="19">
                  <c:v>Jul '23</c:v>
                </c:pt>
                <c:pt idx="20">
                  <c:v>Aug '23</c:v>
                </c:pt>
                <c:pt idx="21">
                  <c:v>Sep '23</c:v>
                </c:pt>
                <c:pt idx="22">
                  <c:v>Oct '23</c:v>
                </c:pt>
                <c:pt idx="23">
                  <c:v>Nov '23</c:v>
                </c:pt>
                <c:pt idx="24">
                  <c:v> Dec '23</c:v>
                </c:pt>
                <c:pt idx="25">
                  <c:v> Jan '24</c:v>
                </c:pt>
                <c:pt idx="26">
                  <c:v>Feb '24</c:v>
                </c:pt>
                <c:pt idx="27">
                  <c:v>Mar '24</c:v>
                </c:pt>
                <c:pt idx="28">
                  <c:v>Apr '24</c:v>
                </c:pt>
                <c:pt idx="29">
                  <c:v>May '24</c:v>
                </c:pt>
                <c:pt idx="30">
                  <c:v>Jun '24</c:v>
                </c:pt>
                <c:pt idx="31">
                  <c:v>Jul '24</c:v>
                </c:pt>
                <c:pt idx="32">
                  <c:v>Aug '24</c:v>
                </c:pt>
                <c:pt idx="33">
                  <c:v>Sep '24</c:v>
                </c:pt>
                <c:pt idx="34">
                  <c:v>Oct '24</c:v>
                </c:pt>
                <c:pt idx="35">
                  <c:v>Nov '24</c:v>
                </c:pt>
                <c:pt idx="36">
                  <c:v> Dec '24</c:v>
                </c:pt>
              </c:strCache>
            </c:strRef>
          </c:cat>
          <c:val>
            <c:numRef>
              <c:f>'MTHW Data'!$I$77:$AS$77</c:f>
              <c:numCache>
                <c:formatCode>General</c:formatCode>
                <c:ptCount val="37"/>
                <c:pt idx="0">
                  <c:v>31503</c:v>
                </c:pt>
                <c:pt idx="1">
                  <c:v>24138</c:v>
                </c:pt>
                <c:pt idx="2">
                  <c:v>85526</c:v>
                </c:pt>
                <c:pt idx="3">
                  <c:v>162178</c:v>
                </c:pt>
                <c:pt idx="4">
                  <c:v>209670</c:v>
                </c:pt>
                <c:pt idx="5">
                  <c:v>276338</c:v>
                </c:pt>
                <c:pt idx="6">
                  <c:v>329276</c:v>
                </c:pt>
                <c:pt idx="7">
                  <c:v>373018</c:v>
                </c:pt>
                <c:pt idx="8">
                  <c:v>330343</c:v>
                </c:pt>
                <c:pt idx="9">
                  <c:v>322623</c:v>
                </c:pt>
                <c:pt idx="10">
                  <c:v>312603</c:v>
                </c:pt>
                <c:pt idx="11">
                  <c:v>129948</c:v>
                </c:pt>
                <c:pt idx="12">
                  <c:v>22276</c:v>
                </c:pt>
                <c:pt idx="13">
                  <c:v>19916</c:v>
                </c:pt>
                <c:pt idx="14">
                  <c:v>74997</c:v>
                </c:pt>
                <c:pt idx="15">
                  <c:v>155022</c:v>
                </c:pt>
                <c:pt idx="16">
                  <c:v>223318</c:v>
                </c:pt>
                <c:pt idx="17">
                  <c:v>271056</c:v>
                </c:pt>
                <c:pt idx="18">
                  <c:v>316107</c:v>
                </c:pt>
                <c:pt idx="19">
                  <c:v>355508</c:v>
                </c:pt>
                <c:pt idx="20">
                  <c:v>380432</c:v>
                </c:pt>
                <c:pt idx="21">
                  <c:v>299324</c:v>
                </c:pt>
                <c:pt idx="22">
                  <c:v>249872</c:v>
                </c:pt>
                <c:pt idx="23">
                  <c:v>77874</c:v>
                </c:pt>
                <c:pt idx="24">
                  <c:v>33660</c:v>
                </c:pt>
                <c:pt idx="25">
                  <c:v>39114</c:v>
                </c:pt>
                <c:pt idx="26">
                  <c:v>79302</c:v>
                </c:pt>
                <c:pt idx="27">
                  <c:v>185658</c:v>
                </c:pt>
                <c:pt idx="28">
                  <c:v>217654</c:v>
                </c:pt>
                <c:pt idx="29">
                  <c:v>351516</c:v>
                </c:pt>
                <c:pt idx="30">
                  <c:v>316107</c:v>
                </c:pt>
                <c:pt idx="31">
                  <c:v>310959</c:v>
                </c:pt>
                <c:pt idx="32">
                  <c:v>339190</c:v>
                </c:pt>
                <c:pt idx="33">
                  <c:v>273786</c:v>
                </c:pt>
                <c:pt idx="34">
                  <c:v>281304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20-47CE-B756-DE46D287746F}"/>
            </c:ext>
          </c:extLst>
        </c:ser>
        <c:ser>
          <c:idx val="2"/>
          <c:order val="2"/>
          <c:tx>
            <c:strRef>
              <c:f>'MTHW Data'!$A$78</c:f>
              <c:strCache>
                <c:ptCount val="1"/>
                <c:pt idx="0">
                  <c:v>D402, Hayward College 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'MTHW Data'!$I$75:$AS$75</c:f>
              <c:strCache>
                <c:ptCount val="37"/>
                <c:pt idx="0">
                  <c:v> Dec '21</c:v>
                </c:pt>
                <c:pt idx="1">
                  <c:v> Jan '22</c:v>
                </c:pt>
                <c:pt idx="2">
                  <c:v> Feb '22</c:v>
                </c:pt>
                <c:pt idx="3">
                  <c:v> Mar '22</c:v>
                </c:pt>
                <c:pt idx="4">
                  <c:v>Apr '22</c:v>
                </c:pt>
                <c:pt idx="5">
                  <c:v> May '22</c:v>
                </c:pt>
                <c:pt idx="6">
                  <c:v> Jun '22</c:v>
                </c:pt>
                <c:pt idx="7">
                  <c:v> Jul '22</c:v>
                </c:pt>
                <c:pt idx="8">
                  <c:v> Aug '22</c:v>
                </c:pt>
                <c:pt idx="9">
                  <c:v> Sep '22</c:v>
                </c:pt>
                <c:pt idx="10">
                  <c:v> Oct '22</c:v>
                </c:pt>
                <c:pt idx="11">
                  <c:v> Nov '22</c:v>
                </c:pt>
                <c:pt idx="12">
                  <c:v> Dec '22</c:v>
                </c:pt>
                <c:pt idx="13">
                  <c:v> Jan '23</c:v>
                </c:pt>
                <c:pt idx="14">
                  <c:v>Feb '23</c:v>
                </c:pt>
                <c:pt idx="15">
                  <c:v>Mar '23</c:v>
                </c:pt>
                <c:pt idx="16">
                  <c:v>Apr '23</c:v>
                </c:pt>
                <c:pt idx="17">
                  <c:v>May '23</c:v>
                </c:pt>
                <c:pt idx="18">
                  <c:v>Jun '23</c:v>
                </c:pt>
                <c:pt idx="19">
                  <c:v>Jul '23</c:v>
                </c:pt>
                <c:pt idx="20">
                  <c:v>Aug '23</c:v>
                </c:pt>
                <c:pt idx="21">
                  <c:v>Sep '23</c:v>
                </c:pt>
                <c:pt idx="22">
                  <c:v>Oct '23</c:v>
                </c:pt>
                <c:pt idx="23">
                  <c:v>Nov '23</c:v>
                </c:pt>
                <c:pt idx="24">
                  <c:v> Dec '23</c:v>
                </c:pt>
                <c:pt idx="25">
                  <c:v> Jan '24</c:v>
                </c:pt>
                <c:pt idx="26">
                  <c:v>Feb '24</c:v>
                </c:pt>
                <c:pt idx="27">
                  <c:v>Mar '24</c:v>
                </c:pt>
                <c:pt idx="28">
                  <c:v>Apr '24</c:v>
                </c:pt>
                <c:pt idx="29">
                  <c:v>May '24</c:v>
                </c:pt>
                <c:pt idx="30">
                  <c:v>Jun '24</c:v>
                </c:pt>
                <c:pt idx="31">
                  <c:v>Jul '24</c:v>
                </c:pt>
                <c:pt idx="32">
                  <c:v>Aug '24</c:v>
                </c:pt>
                <c:pt idx="33">
                  <c:v>Sep '24</c:v>
                </c:pt>
                <c:pt idx="34">
                  <c:v>Oct '24</c:v>
                </c:pt>
                <c:pt idx="35">
                  <c:v>Nov '24</c:v>
                </c:pt>
                <c:pt idx="36">
                  <c:v> Dec '24</c:v>
                </c:pt>
              </c:strCache>
            </c:strRef>
          </c:cat>
          <c:val>
            <c:numRef>
              <c:f>'MTHW Data'!$I$78:$AS$78</c:f>
              <c:numCache>
                <c:formatCode>General</c:formatCode>
                <c:ptCount val="37"/>
                <c:pt idx="0">
                  <c:v>34000</c:v>
                </c:pt>
                <c:pt idx="1">
                  <c:v>35789.999999999964</c:v>
                </c:pt>
                <c:pt idx="2">
                  <c:v>36210.000000000036</c:v>
                </c:pt>
                <c:pt idx="3">
                  <c:v>44630.000000000109</c:v>
                </c:pt>
                <c:pt idx="4">
                  <c:v>52840.000000000146</c:v>
                </c:pt>
                <c:pt idx="5">
                  <c:v>68779.999999999738</c:v>
                </c:pt>
                <c:pt idx="6">
                  <c:v>81640.00000000032</c:v>
                </c:pt>
                <c:pt idx="7">
                  <c:v>91529.999999999738</c:v>
                </c:pt>
                <c:pt idx="8">
                  <c:v>79579.999999999927</c:v>
                </c:pt>
                <c:pt idx="9">
                  <c:v>74159.999999999854</c:v>
                </c:pt>
                <c:pt idx="10">
                  <c:v>70500</c:v>
                </c:pt>
                <c:pt idx="11">
                  <c:v>43090.000000000146</c:v>
                </c:pt>
                <c:pt idx="12">
                  <c:v>38659.999999999854</c:v>
                </c:pt>
                <c:pt idx="13">
                  <c:v>33760.000000000218</c:v>
                </c:pt>
                <c:pt idx="14">
                  <c:v>35920.000000000073</c:v>
                </c:pt>
                <c:pt idx="15">
                  <c:v>56930.000000000291</c:v>
                </c:pt>
                <c:pt idx="16">
                  <c:v>64979.999999999563</c:v>
                </c:pt>
                <c:pt idx="17">
                  <c:v>78489.999999999782</c:v>
                </c:pt>
                <c:pt idx="18">
                  <c:v>82510.000000000218</c:v>
                </c:pt>
                <c:pt idx="19">
                  <c:v>94000</c:v>
                </c:pt>
                <c:pt idx="20">
                  <c:v>100000</c:v>
                </c:pt>
                <c:pt idx="21">
                  <c:v>84689.999999999593</c:v>
                </c:pt>
                <c:pt idx="22">
                  <c:v>67910.000000000757</c:v>
                </c:pt>
                <c:pt idx="23">
                  <c:v>46399.999999999636</c:v>
                </c:pt>
                <c:pt idx="24">
                  <c:v>32000</c:v>
                </c:pt>
                <c:pt idx="25">
                  <c:v>34399.999999999636</c:v>
                </c:pt>
                <c:pt idx="26">
                  <c:v>39600.000000000364</c:v>
                </c:pt>
                <c:pt idx="27">
                  <c:v>55170.000000000073</c:v>
                </c:pt>
                <c:pt idx="28">
                  <c:v>57189.9999999996</c:v>
                </c:pt>
                <c:pt idx="29">
                  <c:v>74400.000000000553</c:v>
                </c:pt>
                <c:pt idx="30">
                  <c:v>55429.999999999382</c:v>
                </c:pt>
                <c:pt idx="31">
                  <c:v>57470.000000000255</c:v>
                </c:pt>
                <c:pt idx="32">
                  <c:v>68340.000000000146</c:v>
                </c:pt>
                <c:pt idx="33">
                  <c:v>82000</c:v>
                </c:pt>
                <c:pt idx="34">
                  <c:v>71529.999999999738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A20-47CE-B756-DE46D287746F}"/>
            </c:ext>
          </c:extLst>
        </c:ser>
        <c:ser>
          <c:idx val="3"/>
          <c:order val="3"/>
          <c:tx>
            <c:strRef>
              <c:f>'Steam and MTHW'!$S$1</c:f>
              <c:strCache>
                <c:ptCount val="1"/>
                <c:pt idx="0">
                  <c:v>D401/4 Cumberland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'MTHW Data'!$I$75:$AS$75</c:f>
              <c:strCache>
                <c:ptCount val="37"/>
                <c:pt idx="0">
                  <c:v> Dec '21</c:v>
                </c:pt>
                <c:pt idx="1">
                  <c:v> Jan '22</c:v>
                </c:pt>
                <c:pt idx="2">
                  <c:v> Feb '22</c:v>
                </c:pt>
                <c:pt idx="3">
                  <c:v> Mar '22</c:v>
                </c:pt>
                <c:pt idx="4">
                  <c:v>Apr '22</c:v>
                </c:pt>
                <c:pt idx="5">
                  <c:v> May '22</c:v>
                </c:pt>
                <c:pt idx="6">
                  <c:v> Jun '22</c:v>
                </c:pt>
                <c:pt idx="7">
                  <c:v> Jul '22</c:v>
                </c:pt>
                <c:pt idx="8">
                  <c:v> Aug '22</c:v>
                </c:pt>
                <c:pt idx="9">
                  <c:v> Sep '22</c:v>
                </c:pt>
                <c:pt idx="10">
                  <c:v> Oct '22</c:v>
                </c:pt>
                <c:pt idx="11">
                  <c:v> Nov '22</c:v>
                </c:pt>
                <c:pt idx="12">
                  <c:v> Dec '22</c:v>
                </c:pt>
                <c:pt idx="13">
                  <c:v> Jan '23</c:v>
                </c:pt>
                <c:pt idx="14">
                  <c:v>Feb '23</c:v>
                </c:pt>
                <c:pt idx="15">
                  <c:v>Mar '23</c:v>
                </c:pt>
                <c:pt idx="16">
                  <c:v>Apr '23</c:v>
                </c:pt>
                <c:pt idx="17">
                  <c:v>May '23</c:v>
                </c:pt>
                <c:pt idx="18">
                  <c:v>Jun '23</c:v>
                </c:pt>
                <c:pt idx="19">
                  <c:v>Jul '23</c:v>
                </c:pt>
                <c:pt idx="20">
                  <c:v>Aug '23</c:v>
                </c:pt>
                <c:pt idx="21">
                  <c:v>Sep '23</c:v>
                </c:pt>
                <c:pt idx="22">
                  <c:v>Oct '23</c:v>
                </c:pt>
                <c:pt idx="23">
                  <c:v>Nov '23</c:v>
                </c:pt>
                <c:pt idx="24">
                  <c:v> Dec '23</c:v>
                </c:pt>
                <c:pt idx="25">
                  <c:v> Jan '24</c:v>
                </c:pt>
                <c:pt idx="26">
                  <c:v>Feb '24</c:v>
                </c:pt>
                <c:pt idx="27">
                  <c:v>Mar '24</c:v>
                </c:pt>
                <c:pt idx="28">
                  <c:v>Apr '24</c:v>
                </c:pt>
                <c:pt idx="29">
                  <c:v>May '24</c:v>
                </c:pt>
                <c:pt idx="30">
                  <c:v>Jun '24</c:v>
                </c:pt>
                <c:pt idx="31">
                  <c:v>Jul '24</c:v>
                </c:pt>
                <c:pt idx="32">
                  <c:v>Aug '24</c:v>
                </c:pt>
                <c:pt idx="33">
                  <c:v>Sep '24</c:v>
                </c:pt>
                <c:pt idx="34">
                  <c:v>Oct '24</c:v>
                </c:pt>
                <c:pt idx="35">
                  <c:v>Nov '24</c:v>
                </c:pt>
                <c:pt idx="36">
                  <c:v> Dec '24</c:v>
                </c:pt>
              </c:strCache>
            </c:strRef>
          </c:cat>
          <c:val>
            <c:numRef>
              <c:f>'Steam and MTHW'!$S$104:$S$139</c:f>
              <c:numCache>
                <c:formatCode>#,##0</c:formatCode>
                <c:ptCount val="36"/>
                <c:pt idx="0">
                  <c:v>13215.254237288136</c:v>
                </c:pt>
                <c:pt idx="1">
                  <c:v>36448.305084745763</c:v>
                </c:pt>
                <c:pt idx="2">
                  <c:v>103089.83050847458</c:v>
                </c:pt>
                <c:pt idx="3">
                  <c:v>103089.83050847458</c:v>
                </c:pt>
                <c:pt idx="4">
                  <c:v>163781.35593220341</c:v>
                </c:pt>
                <c:pt idx="5">
                  <c:v>163781.35593220341</c:v>
                </c:pt>
                <c:pt idx="6">
                  <c:v>251062.7118644068</c:v>
                </c:pt>
                <c:pt idx="7">
                  <c:v>203389.83050847458</c:v>
                </c:pt>
                <c:pt idx="8">
                  <c:v>166368.64406779662</c:v>
                </c:pt>
                <c:pt idx="9">
                  <c:v>177627.96610169491</c:v>
                </c:pt>
                <c:pt idx="10">
                  <c:v>45924.576271186445</c:v>
                </c:pt>
                <c:pt idx="11">
                  <c:v>15254.237288135593</c:v>
                </c:pt>
                <c:pt idx="12">
                  <c:v>19491.525423728814</c:v>
                </c:pt>
                <c:pt idx="13">
                  <c:v>53989.830508474581</c:v>
                </c:pt>
                <c:pt idx="14">
                  <c:v>68703.389830508473</c:v>
                </c:pt>
                <c:pt idx="15">
                  <c:v>123746.61016949153</c:v>
                </c:pt>
                <c:pt idx="16">
                  <c:v>168138.98305084746</c:v>
                </c:pt>
                <c:pt idx="17">
                  <c:v>180145.76271186443</c:v>
                </c:pt>
                <c:pt idx="18">
                  <c:v>201936.44067796611</c:v>
                </c:pt>
                <c:pt idx="19">
                  <c:v>235916.10169491527</c:v>
                </c:pt>
                <c:pt idx="20">
                  <c:v>173053.38983050847</c:v>
                </c:pt>
                <c:pt idx="21">
                  <c:v>158149.1525423729</c:v>
                </c:pt>
                <c:pt idx="22">
                  <c:v>114005.93220338984</c:v>
                </c:pt>
                <c:pt idx="23">
                  <c:v>42788.983050847462</c:v>
                </c:pt>
                <c:pt idx="24">
                  <c:v>11666.101694915254</c:v>
                </c:pt>
                <c:pt idx="25">
                  <c:v>39129.661016949154</c:v>
                </c:pt>
                <c:pt idx="26">
                  <c:v>111105.08474576272</c:v>
                </c:pt>
                <c:pt idx="27">
                  <c:v>109420.33898305085</c:v>
                </c:pt>
                <c:pt idx="28">
                  <c:v>184469.49152542374</c:v>
                </c:pt>
                <c:pt idx="29">
                  <c:v>126818.64406779662</c:v>
                </c:pt>
                <c:pt idx="30">
                  <c:v>156921.18644067796</c:v>
                </c:pt>
                <c:pt idx="31">
                  <c:v>190316.94915254239</c:v>
                </c:pt>
                <c:pt idx="32">
                  <c:v>189910.16949152542</c:v>
                </c:pt>
                <c:pt idx="33">
                  <c:v>113948.30508474576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20-47CE-B756-DE46D287746F}"/>
            </c:ext>
          </c:extLst>
        </c:ser>
        <c:ser>
          <c:idx val="4"/>
          <c:order val="4"/>
          <c:tx>
            <c:strRef>
              <c:f>'LTHW Data'!$A$101</c:f>
              <c:strCache>
                <c:ptCount val="1"/>
                <c:pt idx="0">
                  <c:v>J141 Aquinas Priory solar (Desigo)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'MTHW Data'!$I$75:$AS$75</c:f>
              <c:strCache>
                <c:ptCount val="37"/>
                <c:pt idx="0">
                  <c:v> Dec '21</c:v>
                </c:pt>
                <c:pt idx="1">
                  <c:v> Jan '22</c:v>
                </c:pt>
                <c:pt idx="2">
                  <c:v> Feb '22</c:v>
                </c:pt>
                <c:pt idx="3">
                  <c:v> Mar '22</c:v>
                </c:pt>
                <c:pt idx="4">
                  <c:v>Apr '22</c:v>
                </c:pt>
                <c:pt idx="5">
                  <c:v> May '22</c:v>
                </c:pt>
                <c:pt idx="6">
                  <c:v> Jun '22</c:v>
                </c:pt>
                <c:pt idx="7">
                  <c:v> Jul '22</c:v>
                </c:pt>
                <c:pt idx="8">
                  <c:v> Aug '22</c:v>
                </c:pt>
                <c:pt idx="9">
                  <c:v> Sep '22</c:v>
                </c:pt>
                <c:pt idx="10">
                  <c:v> Oct '22</c:v>
                </c:pt>
                <c:pt idx="11">
                  <c:v> Nov '22</c:v>
                </c:pt>
                <c:pt idx="12">
                  <c:v> Dec '22</c:v>
                </c:pt>
                <c:pt idx="13">
                  <c:v> Jan '23</c:v>
                </c:pt>
                <c:pt idx="14">
                  <c:v>Feb '23</c:v>
                </c:pt>
                <c:pt idx="15">
                  <c:v>Mar '23</c:v>
                </c:pt>
                <c:pt idx="16">
                  <c:v>Apr '23</c:v>
                </c:pt>
                <c:pt idx="17">
                  <c:v>May '23</c:v>
                </c:pt>
                <c:pt idx="18">
                  <c:v>Jun '23</c:v>
                </c:pt>
                <c:pt idx="19">
                  <c:v>Jul '23</c:v>
                </c:pt>
                <c:pt idx="20">
                  <c:v>Aug '23</c:v>
                </c:pt>
                <c:pt idx="21">
                  <c:v>Sep '23</c:v>
                </c:pt>
                <c:pt idx="22">
                  <c:v>Oct '23</c:v>
                </c:pt>
                <c:pt idx="23">
                  <c:v>Nov '23</c:v>
                </c:pt>
                <c:pt idx="24">
                  <c:v> Dec '23</c:v>
                </c:pt>
                <c:pt idx="25">
                  <c:v> Jan '24</c:v>
                </c:pt>
                <c:pt idx="26">
                  <c:v>Feb '24</c:v>
                </c:pt>
                <c:pt idx="27">
                  <c:v>Mar '24</c:v>
                </c:pt>
                <c:pt idx="28">
                  <c:v>Apr '24</c:v>
                </c:pt>
                <c:pt idx="29">
                  <c:v>May '24</c:v>
                </c:pt>
                <c:pt idx="30">
                  <c:v>Jun '24</c:v>
                </c:pt>
                <c:pt idx="31">
                  <c:v>Jul '24</c:v>
                </c:pt>
                <c:pt idx="32">
                  <c:v>Aug '24</c:v>
                </c:pt>
                <c:pt idx="33">
                  <c:v>Sep '24</c:v>
                </c:pt>
                <c:pt idx="34">
                  <c:v>Oct '24</c:v>
                </c:pt>
                <c:pt idx="35">
                  <c:v>Nov '24</c:v>
                </c:pt>
                <c:pt idx="36">
                  <c:v> Dec '24</c:v>
                </c:pt>
              </c:strCache>
            </c:strRef>
          </c:cat>
          <c:val>
            <c:numRef>
              <c:f>'LTHW Data'!$G$101:$AS$101</c:f>
              <c:numCache>
                <c:formatCode>General</c:formatCode>
                <c:ptCount val="39"/>
                <c:pt idx="0">
                  <c:v>0</c:v>
                </c:pt>
                <c:pt idx="1">
                  <c:v>1841</c:v>
                </c:pt>
                <c:pt idx="2">
                  <c:v>2147</c:v>
                </c:pt>
                <c:pt idx="3">
                  <c:v>1471</c:v>
                </c:pt>
                <c:pt idx="4">
                  <c:v>835</c:v>
                </c:pt>
                <c:pt idx="5">
                  <c:v>279</c:v>
                </c:pt>
                <c:pt idx="6">
                  <c:v>401</c:v>
                </c:pt>
                <c:pt idx="7">
                  <c:v>1348</c:v>
                </c:pt>
                <c:pt idx="8">
                  <c:v>1401</c:v>
                </c:pt>
                <c:pt idx="9">
                  <c:v>1720</c:v>
                </c:pt>
                <c:pt idx="10">
                  <c:v>1092</c:v>
                </c:pt>
                <c:pt idx="11">
                  <c:v>1200</c:v>
                </c:pt>
                <c:pt idx="12">
                  <c:v>578</c:v>
                </c:pt>
                <c:pt idx="13">
                  <c:v>292</c:v>
                </c:pt>
                <c:pt idx="14">
                  <c:v>1438</c:v>
                </c:pt>
                <c:pt idx="15">
                  <c:v>1364</c:v>
                </c:pt>
                <c:pt idx="16">
                  <c:v>741</c:v>
                </c:pt>
                <c:pt idx="17">
                  <c:v>305</c:v>
                </c:pt>
                <c:pt idx="18">
                  <c:v>481</c:v>
                </c:pt>
                <c:pt idx="19">
                  <c:v>781</c:v>
                </c:pt>
                <c:pt idx="20">
                  <c:v>1415</c:v>
                </c:pt>
                <c:pt idx="21">
                  <c:v>1575</c:v>
                </c:pt>
                <c:pt idx="22">
                  <c:v>804</c:v>
                </c:pt>
                <c:pt idx="23">
                  <c:v>335</c:v>
                </c:pt>
                <c:pt idx="24">
                  <c:v>682</c:v>
                </c:pt>
                <c:pt idx="25">
                  <c:v>1287</c:v>
                </c:pt>
                <c:pt idx="26">
                  <c:v>1012</c:v>
                </c:pt>
                <c:pt idx="27">
                  <c:v>828</c:v>
                </c:pt>
                <c:pt idx="28">
                  <c:v>462</c:v>
                </c:pt>
                <c:pt idx="29">
                  <c:v>226</c:v>
                </c:pt>
                <c:pt idx="30">
                  <c:v>280</c:v>
                </c:pt>
                <c:pt idx="31">
                  <c:v>757</c:v>
                </c:pt>
                <c:pt idx="32">
                  <c:v>596</c:v>
                </c:pt>
                <c:pt idx="33">
                  <c:v>718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CB-4CA3-96C7-9345C25C989A}"/>
            </c:ext>
          </c:extLst>
        </c:ser>
        <c:ser>
          <c:idx val="5"/>
          <c:order val="5"/>
          <c:tx>
            <c:strRef>
              <c:f>'MTHW Data'!$A$79</c:f>
              <c:strCache>
                <c:ptCount val="1"/>
                <c:pt idx="0">
                  <c:v>E811, Te Rangihiroa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'MTHW Data'!$I$75:$AS$75</c:f>
              <c:strCache>
                <c:ptCount val="37"/>
                <c:pt idx="0">
                  <c:v> Dec '21</c:v>
                </c:pt>
                <c:pt idx="1">
                  <c:v> Jan '22</c:v>
                </c:pt>
                <c:pt idx="2">
                  <c:v> Feb '22</c:v>
                </c:pt>
                <c:pt idx="3">
                  <c:v> Mar '22</c:v>
                </c:pt>
                <c:pt idx="4">
                  <c:v>Apr '22</c:v>
                </c:pt>
                <c:pt idx="5">
                  <c:v> May '22</c:v>
                </c:pt>
                <c:pt idx="6">
                  <c:v> Jun '22</c:v>
                </c:pt>
                <c:pt idx="7">
                  <c:v> Jul '22</c:v>
                </c:pt>
                <c:pt idx="8">
                  <c:v> Aug '22</c:v>
                </c:pt>
                <c:pt idx="9">
                  <c:v> Sep '22</c:v>
                </c:pt>
                <c:pt idx="10">
                  <c:v> Oct '22</c:v>
                </c:pt>
                <c:pt idx="11">
                  <c:v> Nov '22</c:v>
                </c:pt>
                <c:pt idx="12">
                  <c:v> Dec '22</c:v>
                </c:pt>
                <c:pt idx="13">
                  <c:v> Jan '23</c:v>
                </c:pt>
                <c:pt idx="14">
                  <c:v>Feb '23</c:v>
                </c:pt>
                <c:pt idx="15">
                  <c:v>Mar '23</c:v>
                </c:pt>
                <c:pt idx="16">
                  <c:v>Apr '23</c:v>
                </c:pt>
                <c:pt idx="17">
                  <c:v>May '23</c:v>
                </c:pt>
                <c:pt idx="18">
                  <c:v>Jun '23</c:v>
                </c:pt>
                <c:pt idx="19">
                  <c:v>Jul '23</c:v>
                </c:pt>
                <c:pt idx="20">
                  <c:v>Aug '23</c:v>
                </c:pt>
                <c:pt idx="21">
                  <c:v>Sep '23</c:v>
                </c:pt>
                <c:pt idx="22">
                  <c:v>Oct '23</c:v>
                </c:pt>
                <c:pt idx="23">
                  <c:v>Nov '23</c:v>
                </c:pt>
                <c:pt idx="24">
                  <c:v> Dec '23</c:v>
                </c:pt>
                <c:pt idx="25">
                  <c:v> Jan '24</c:v>
                </c:pt>
                <c:pt idx="26">
                  <c:v>Feb '24</c:v>
                </c:pt>
                <c:pt idx="27">
                  <c:v>Mar '24</c:v>
                </c:pt>
                <c:pt idx="28">
                  <c:v>Apr '24</c:v>
                </c:pt>
                <c:pt idx="29">
                  <c:v>May '24</c:v>
                </c:pt>
                <c:pt idx="30">
                  <c:v>Jun '24</c:v>
                </c:pt>
                <c:pt idx="31">
                  <c:v>Jul '24</c:v>
                </c:pt>
                <c:pt idx="32">
                  <c:v>Aug '24</c:v>
                </c:pt>
                <c:pt idx="33">
                  <c:v>Sep '24</c:v>
                </c:pt>
                <c:pt idx="34">
                  <c:v>Oct '24</c:v>
                </c:pt>
                <c:pt idx="35">
                  <c:v>Nov '24</c:v>
                </c:pt>
                <c:pt idx="36">
                  <c:v> Dec '24</c:v>
                </c:pt>
              </c:strCache>
            </c:strRef>
          </c:cat>
          <c:val>
            <c:numRef>
              <c:f>'MTHW Data'!$I$79:$AS$79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">
                  <c:v>211700</c:v>
                </c:pt>
                <c:pt idx="21" formatCode="0">
                  <c:v>155300</c:v>
                </c:pt>
                <c:pt idx="22" formatCode="0">
                  <c:v>151599.99999999994</c:v>
                </c:pt>
                <c:pt idx="23" formatCode="0">
                  <c:v>66800.000000000058</c:v>
                </c:pt>
                <c:pt idx="24" formatCode="0">
                  <c:v>48199.999999999964</c:v>
                </c:pt>
                <c:pt idx="25" formatCode="0">
                  <c:v>47220.000000000044</c:v>
                </c:pt>
                <c:pt idx="26" formatCode="0">
                  <c:v>74909.988130000012</c:v>
                </c:pt>
                <c:pt idx="27" formatCode="0">
                  <c:v>101619.98746999999</c:v>
                </c:pt>
                <c:pt idx="28" formatCode="0">
                  <c:v>133590.01149999996</c:v>
                </c:pt>
                <c:pt idx="29" formatCode="0">
                  <c:v>197260.01289999997</c:v>
                </c:pt>
                <c:pt idx="30" formatCode="0">
                  <c:v>183799.93890000007</c:v>
                </c:pt>
                <c:pt idx="31" formatCode="0">
                  <c:v>181369.99510000006</c:v>
                </c:pt>
                <c:pt idx="32" formatCode="0">
                  <c:v>201440.033</c:v>
                </c:pt>
                <c:pt idx="33" formatCode="0">
                  <c:v>156639.9841</c:v>
                </c:pt>
                <c:pt idx="34" formatCode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7-4C0A-8DFE-629555FD627F}"/>
            </c:ext>
          </c:extLst>
        </c:ser>
        <c:ser>
          <c:idx val="6"/>
          <c:order val="6"/>
          <c:tx>
            <c:strRef>
              <c:f>'Steam and MTHW'!$D$2</c:f>
              <c:strCache>
                <c:ptCount val="1"/>
                <c:pt idx="0">
                  <c:v>192 Castle (kWh)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'Steam and MTHW'!$E$103:$E$139</c:f>
              <c:numCache>
                <c:formatCode>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28300</c:v>
                </c:pt>
                <c:pt idx="3">
                  <c:v>70000</c:v>
                </c:pt>
                <c:pt idx="4">
                  <c:v>40900</c:v>
                </c:pt>
                <c:pt idx="5">
                  <c:v>68500</c:v>
                </c:pt>
                <c:pt idx="6">
                  <c:v>74000</c:v>
                </c:pt>
                <c:pt idx="7">
                  <c:v>97100</c:v>
                </c:pt>
                <c:pt idx="8">
                  <c:v>76500</c:v>
                </c:pt>
                <c:pt idx="9">
                  <c:v>73900</c:v>
                </c:pt>
                <c:pt idx="10">
                  <c:v>68800</c:v>
                </c:pt>
                <c:pt idx="11">
                  <c:v>33400</c:v>
                </c:pt>
                <c:pt idx="12">
                  <c:v>16900</c:v>
                </c:pt>
                <c:pt idx="13">
                  <c:v>17800</c:v>
                </c:pt>
                <c:pt idx="14">
                  <c:v>17800</c:v>
                </c:pt>
                <c:pt idx="15">
                  <c:v>30000</c:v>
                </c:pt>
                <c:pt idx="16">
                  <c:v>37900</c:v>
                </c:pt>
                <c:pt idx="17">
                  <c:v>47900</c:v>
                </c:pt>
                <c:pt idx="18">
                  <c:v>52500</c:v>
                </c:pt>
                <c:pt idx="19">
                  <c:v>66400</c:v>
                </c:pt>
                <c:pt idx="20">
                  <c:v>73700</c:v>
                </c:pt>
                <c:pt idx="21">
                  <c:v>46500</c:v>
                </c:pt>
                <c:pt idx="22">
                  <c:v>44300</c:v>
                </c:pt>
                <c:pt idx="23">
                  <c:v>25500</c:v>
                </c:pt>
                <c:pt idx="24">
                  <c:v>11900</c:v>
                </c:pt>
                <c:pt idx="25">
                  <c:v>3400</c:v>
                </c:pt>
                <c:pt idx="26">
                  <c:v>18400</c:v>
                </c:pt>
                <c:pt idx="27">
                  <c:v>41900</c:v>
                </c:pt>
                <c:pt idx="28">
                  <c:v>44000</c:v>
                </c:pt>
                <c:pt idx="29">
                  <c:v>66300</c:v>
                </c:pt>
                <c:pt idx="30">
                  <c:v>61600</c:v>
                </c:pt>
                <c:pt idx="31">
                  <c:v>66000</c:v>
                </c:pt>
                <c:pt idx="32">
                  <c:v>71500</c:v>
                </c:pt>
                <c:pt idx="33">
                  <c:v>53800</c:v>
                </c:pt>
                <c:pt idx="34">
                  <c:v>48100</c:v>
                </c:pt>
                <c:pt idx="35">
                  <c:v>25700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67-4C0A-8DFE-629555FD6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74905400"/>
        <c:axId val="-1674904248"/>
        <c:extLst/>
      </c:lineChart>
      <c:catAx>
        <c:axId val="-167490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904248"/>
        <c:crosses val="autoZero"/>
        <c:auto val="1"/>
        <c:lblAlgn val="ctr"/>
        <c:lblOffset val="100"/>
        <c:noMultiLvlLbl val="0"/>
      </c:catAx>
      <c:valAx>
        <c:axId val="-167490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90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0779729963548991E-2"/>
          <c:y val="5.8720210298452834E-2"/>
          <c:w val="0.22024451782236898"/>
          <c:h val="0.356859819700153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Wood boiler consumption</a:t>
            </a:r>
          </a:p>
        </c:rich>
      </c:tx>
      <c:layout>
        <c:manualLayout>
          <c:xMode val="edge"/>
          <c:yMode val="edge"/>
          <c:x val="0.55236815638826897"/>
          <c:y val="2.05399061032863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705727911239287"/>
          <c:y val="6.925783704853794E-2"/>
          <c:w val="0.52293507177908216"/>
          <c:h val="0.81951451083123961"/>
        </c:manualLayout>
      </c:layout>
      <c:lineChart>
        <c:grouping val="standard"/>
        <c:varyColors val="0"/>
        <c:ser>
          <c:idx val="0"/>
          <c:order val="0"/>
          <c:tx>
            <c:strRef>
              <c:f>'LTHW Data'!$A$78</c:f>
              <c:strCache>
                <c:ptCount val="1"/>
                <c:pt idx="0">
                  <c:v>F622 Psychology wood boiler (IP 10.81.146.160)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'LTHW Data'!$G$65:$AS$65</c:f>
              <c:numCache>
                <c:formatCode>mmm\-yy</c:formatCode>
                <c:ptCount val="3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  <c:pt idx="36">
                  <c:v>45658</c:v>
                </c:pt>
              </c:numCache>
            </c:numRef>
          </c:cat>
          <c:val>
            <c:numRef>
              <c:f>'LTHW Data'!$G$78:$AQ$78</c:f>
              <c:numCache>
                <c:formatCode>General</c:formatCode>
                <c:ptCount val="37"/>
                <c:pt idx="0">
                  <c:v>22880</c:v>
                </c:pt>
                <c:pt idx="1">
                  <c:v>32730</c:v>
                </c:pt>
                <c:pt idx="2">
                  <c:v>44600</c:v>
                </c:pt>
                <c:pt idx="3">
                  <c:v>7290</c:v>
                </c:pt>
                <c:pt idx="4">
                  <c:v>43200</c:v>
                </c:pt>
                <c:pt idx="5">
                  <c:v>74810</c:v>
                </c:pt>
                <c:pt idx="6">
                  <c:v>73780</c:v>
                </c:pt>
                <c:pt idx="7">
                  <c:v>71450</c:v>
                </c:pt>
                <c:pt idx="8">
                  <c:v>63170</c:v>
                </c:pt>
                <c:pt idx="9">
                  <c:v>57240</c:v>
                </c:pt>
                <c:pt idx="10">
                  <c:v>38800</c:v>
                </c:pt>
                <c:pt idx="11">
                  <c:v>37500</c:v>
                </c:pt>
                <c:pt idx="12">
                  <c:v>23120</c:v>
                </c:pt>
                <c:pt idx="13">
                  <c:v>580</c:v>
                </c:pt>
                <c:pt idx="14">
                  <c:v>42540</c:v>
                </c:pt>
                <c:pt idx="15">
                  <c:v>53450</c:v>
                </c:pt>
                <c:pt idx="16">
                  <c:v>64830</c:v>
                </c:pt>
                <c:pt idx="17">
                  <c:v>78300</c:v>
                </c:pt>
                <c:pt idx="18">
                  <c:v>87470</c:v>
                </c:pt>
                <c:pt idx="19">
                  <c:v>84770</c:v>
                </c:pt>
                <c:pt idx="20">
                  <c:v>64140</c:v>
                </c:pt>
                <c:pt idx="21">
                  <c:v>44110</c:v>
                </c:pt>
                <c:pt idx="22">
                  <c:v>40390</c:v>
                </c:pt>
                <c:pt idx="23">
                  <c:v>12120</c:v>
                </c:pt>
                <c:pt idx="24">
                  <c:v>0</c:v>
                </c:pt>
                <c:pt idx="25">
                  <c:v>17400</c:v>
                </c:pt>
                <c:pt idx="26">
                  <c:v>49780</c:v>
                </c:pt>
                <c:pt idx="27">
                  <c:v>53510</c:v>
                </c:pt>
                <c:pt idx="28">
                  <c:v>79910</c:v>
                </c:pt>
                <c:pt idx="29">
                  <c:v>77720</c:v>
                </c:pt>
                <c:pt idx="30">
                  <c:v>86910</c:v>
                </c:pt>
                <c:pt idx="31">
                  <c:v>79510</c:v>
                </c:pt>
                <c:pt idx="32">
                  <c:v>63940</c:v>
                </c:pt>
                <c:pt idx="33">
                  <c:v>64950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17F-453D-9457-4CA4C227779F}"/>
            </c:ext>
          </c:extLst>
        </c:ser>
        <c:ser>
          <c:idx val="1"/>
          <c:order val="1"/>
          <c:tx>
            <c:strRef>
              <c:f>'LTHW Data'!$A$90</c:f>
              <c:strCache>
                <c:ptCount val="1"/>
                <c:pt idx="0">
                  <c:v>F916 College of Education wood boiler (10.81.147.145)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'LTHW Data'!$G$65:$AS$65</c:f>
              <c:numCache>
                <c:formatCode>mmm\-yy</c:formatCode>
                <c:ptCount val="3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  <c:pt idx="36">
                  <c:v>45658</c:v>
                </c:pt>
              </c:numCache>
            </c:numRef>
          </c:cat>
          <c:val>
            <c:numRef>
              <c:f>'LTHW Data'!$G$90:$AQ$90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9600</c:v>
                </c:pt>
                <c:pt idx="3">
                  <c:v>47100</c:v>
                </c:pt>
                <c:pt idx="4">
                  <c:v>182100</c:v>
                </c:pt>
                <c:pt idx="5">
                  <c:v>219300</c:v>
                </c:pt>
                <c:pt idx="6">
                  <c:v>333600</c:v>
                </c:pt>
                <c:pt idx="7">
                  <c:v>264800</c:v>
                </c:pt>
                <c:pt idx="8">
                  <c:v>284300</c:v>
                </c:pt>
                <c:pt idx="9">
                  <c:v>210700</c:v>
                </c:pt>
                <c:pt idx="10">
                  <c:v>62300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42900</c:v>
                </c:pt>
                <c:pt idx="15">
                  <c:v>99300</c:v>
                </c:pt>
                <c:pt idx="16">
                  <c:v>227100</c:v>
                </c:pt>
                <c:pt idx="17">
                  <c:v>227600</c:v>
                </c:pt>
                <c:pt idx="18">
                  <c:v>342800</c:v>
                </c:pt>
                <c:pt idx="19">
                  <c:v>305000</c:v>
                </c:pt>
                <c:pt idx="20">
                  <c:v>213800</c:v>
                </c:pt>
                <c:pt idx="21">
                  <c:v>165700</c:v>
                </c:pt>
                <c:pt idx="22">
                  <c:v>98100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131300</c:v>
                </c:pt>
                <c:pt idx="27">
                  <c:v>190400</c:v>
                </c:pt>
                <c:pt idx="28">
                  <c:v>241800</c:v>
                </c:pt>
                <c:pt idx="29">
                  <c:v>109200</c:v>
                </c:pt>
                <c:pt idx="30">
                  <c:v>57900</c:v>
                </c:pt>
                <c:pt idx="31">
                  <c:v>271400</c:v>
                </c:pt>
                <c:pt idx="32">
                  <c:v>218800</c:v>
                </c:pt>
                <c:pt idx="33">
                  <c:v>171600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17F-453D-9457-4CA4C227779F}"/>
            </c:ext>
          </c:extLst>
        </c:ser>
        <c:ser>
          <c:idx val="2"/>
          <c:order val="2"/>
          <c:tx>
            <c:strRef>
              <c:f>'LTHW Data'!$A$95</c:f>
              <c:strCache>
                <c:ptCount val="1"/>
                <c:pt idx="0">
                  <c:v>H538 Childcare boiler (IP 10.81.149.14)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'LTHW Data'!$G$65:$AS$65</c:f>
              <c:numCache>
                <c:formatCode>mmm\-yy</c:formatCode>
                <c:ptCount val="3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  <c:pt idx="36">
                  <c:v>45658</c:v>
                </c:pt>
              </c:numCache>
            </c:numRef>
          </c:cat>
          <c:val>
            <c:numRef>
              <c:f>'LTHW Data'!$G$95:$AQ$95</c:f>
              <c:numCache>
                <c:formatCode>General</c:formatCode>
                <c:ptCount val="37"/>
                <c:pt idx="0">
                  <c:v>25790</c:v>
                </c:pt>
                <c:pt idx="1">
                  <c:v>26040</c:v>
                </c:pt>
                <c:pt idx="2">
                  <c:v>42250</c:v>
                </c:pt>
                <c:pt idx="3">
                  <c:v>43170</c:v>
                </c:pt>
                <c:pt idx="4">
                  <c:v>61950</c:v>
                </c:pt>
                <c:pt idx="5">
                  <c:v>75690</c:v>
                </c:pt>
                <c:pt idx="6">
                  <c:v>79630</c:v>
                </c:pt>
                <c:pt idx="7">
                  <c:v>65340</c:v>
                </c:pt>
                <c:pt idx="8">
                  <c:v>57740</c:v>
                </c:pt>
                <c:pt idx="9">
                  <c:v>49260</c:v>
                </c:pt>
                <c:pt idx="10">
                  <c:v>43700</c:v>
                </c:pt>
                <c:pt idx="11">
                  <c:v>37410</c:v>
                </c:pt>
                <c:pt idx="12">
                  <c:v>25680</c:v>
                </c:pt>
                <c:pt idx="13">
                  <c:v>31210</c:v>
                </c:pt>
                <c:pt idx="14">
                  <c:v>54260</c:v>
                </c:pt>
                <c:pt idx="15">
                  <c:v>59610</c:v>
                </c:pt>
                <c:pt idx="16">
                  <c:v>66900</c:v>
                </c:pt>
                <c:pt idx="17">
                  <c:v>77910</c:v>
                </c:pt>
                <c:pt idx="18">
                  <c:v>71750</c:v>
                </c:pt>
                <c:pt idx="19">
                  <c:v>73940</c:v>
                </c:pt>
                <c:pt idx="20">
                  <c:v>51600</c:v>
                </c:pt>
                <c:pt idx="21">
                  <c:v>58860</c:v>
                </c:pt>
                <c:pt idx="22">
                  <c:v>58650</c:v>
                </c:pt>
                <c:pt idx="23">
                  <c:v>39380</c:v>
                </c:pt>
                <c:pt idx="24">
                  <c:v>29110</c:v>
                </c:pt>
                <c:pt idx="25">
                  <c:v>35020</c:v>
                </c:pt>
                <c:pt idx="26">
                  <c:v>42780</c:v>
                </c:pt>
                <c:pt idx="27">
                  <c:v>57550</c:v>
                </c:pt>
                <c:pt idx="28">
                  <c:v>82640</c:v>
                </c:pt>
                <c:pt idx="29">
                  <c:v>75660</c:v>
                </c:pt>
                <c:pt idx="30">
                  <c:v>71000</c:v>
                </c:pt>
                <c:pt idx="31">
                  <c:v>70470</c:v>
                </c:pt>
                <c:pt idx="32">
                  <c:v>70500</c:v>
                </c:pt>
                <c:pt idx="33">
                  <c:v>70650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17F-453D-9457-4CA4C227779F}"/>
            </c:ext>
          </c:extLst>
        </c:ser>
        <c:ser>
          <c:idx val="3"/>
          <c:order val="3"/>
          <c:tx>
            <c:strRef>
              <c:f>'LTHW Data'!$A$100</c:f>
              <c:strCache>
                <c:ptCount val="1"/>
                <c:pt idx="0">
                  <c:v>H633 Arana Boiler (IP 10.81.148.22)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'LTHW Data'!$G$65:$AS$65</c:f>
              <c:numCache>
                <c:formatCode>mmm\-yy</c:formatCode>
                <c:ptCount val="3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  <c:pt idx="36">
                  <c:v>45658</c:v>
                </c:pt>
              </c:numCache>
            </c:numRef>
          </c:cat>
          <c:val>
            <c:numRef>
              <c:f>'LTHW Data'!$G$100:$AQ$100</c:f>
              <c:numCache>
                <c:formatCode>General</c:formatCode>
                <c:ptCount val="37"/>
                <c:pt idx="0">
                  <c:v>25100</c:v>
                </c:pt>
                <c:pt idx="1">
                  <c:v>56800</c:v>
                </c:pt>
                <c:pt idx="2">
                  <c:v>83400</c:v>
                </c:pt>
                <c:pt idx="3">
                  <c:v>85100</c:v>
                </c:pt>
                <c:pt idx="4">
                  <c:v>146700</c:v>
                </c:pt>
                <c:pt idx="5">
                  <c:v>188100</c:v>
                </c:pt>
                <c:pt idx="6">
                  <c:v>218700</c:v>
                </c:pt>
                <c:pt idx="7">
                  <c:v>186500</c:v>
                </c:pt>
                <c:pt idx="8">
                  <c:v>170200</c:v>
                </c:pt>
                <c:pt idx="9">
                  <c:v>147800</c:v>
                </c:pt>
                <c:pt idx="10">
                  <c:v>60200</c:v>
                </c:pt>
                <c:pt idx="11">
                  <c:v>26500</c:v>
                </c:pt>
                <c:pt idx="12">
                  <c:v>28400</c:v>
                </c:pt>
                <c:pt idx="13">
                  <c:v>39300</c:v>
                </c:pt>
                <c:pt idx="14">
                  <c:v>84700</c:v>
                </c:pt>
                <c:pt idx="15">
                  <c:v>99700</c:v>
                </c:pt>
                <c:pt idx="16">
                  <c:v>147300</c:v>
                </c:pt>
                <c:pt idx="17">
                  <c:v>166100</c:v>
                </c:pt>
                <c:pt idx="18">
                  <c:v>191600</c:v>
                </c:pt>
                <c:pt idx="19">
                  <c:v>203700</c:v>
                </c:pt>
                <c:pt idx="20">
                  <c:v>154900</c:v>
                </c:pt>
                <c:pt idx="21">
                  <c:v>135900</c:v>
                </c:pt>
                <c:pt idx="22">
                  <c:v>63100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17F-453D-9457-4CA4C227779F}"/>
            </c:ext>
          </c:extLst>
        </c:ser>
        <c:ser>
          <c:idx val="4"/>
          <c:order val="4"/>
          <c:tx>
            <c:strRef>
              <c:f>'LTHW Data'!$A$104</c:f>
              <c:strCache>
                <c:ptCount val="1"/>
                <c:pt idx="0">
                  <c:v>XI01 Invercargill Boiler (IP 10.85.4.21)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'LTHW Data'!$G$65:$AS$65</c:f>
              <c:numCache>
                <c:formatCode>mmm\-yy</c:formatCode>
                <c:ptCount val="3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  <c:pt idx="36">
                  <c:v>45658</c:v>
                </c:pt>
              </c:numCache>
            </c:numRef>
          </c:cat>
          <c:val>
            <c:numRef>
              <c:f>'LTHW Data'!$G$104:$AQ$104</c:f>
              <c:numCache>
                <c:formatCode>General</c:formatCode>
                <c:ptCount val="37"/>
                <c:pt idx="1">
                  <c:v>5000</c:v>
                </c:pt>
                <c:pt idx="2">
                  <c:v>3000</c:v>
                </c:pt>
                <c:pt idx="3">
                  <c:v>3000</c:v>
                </c:pt>
                <c:pt idx="4">
                  <c:v>2790</c:v>
                </c:pt>
                <c:pt idx="5">
                  <c:v>8330</c:v>
                </c:pt>
                <c:pt idx="6">
                  <c:v>14190</c:v>
                </c:pt>
                <c:pt idx="7">
                  <c:v>15190</c:v>
                </c:pt>
                <c:pt idx="8">
                  <c:v>12000</c:v>
                </c:pt>
                <c:pt idx="9">
                  <c:v>7660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1600</c:v>
                </c:pt>
                <c:pt idx="15">
                  <c:v>3340</c:v>
                </c:pt>
                <c:pt idx="16">
                  <c:v>11020</c:v>
                </c:pt>
                <c:pt idx="17">
                  <c:v>18010</c:v>
                </c:pt>
                <c:pt idx="18">
                  <c:v>18730</c:v>
                </c:pt>
                <c:pt idx="19">
                  <c:v>20060</c:v>
                </c:pt>
                <c:pt idx="20">
                  <c:v>15470</c:v>
                </c:pt>
                <c:pt idx="21">
                  <c:v>4320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10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17F-453D-9457-4CA4C227779F}"/>
            </c:ext>
          </c:extLst>
        </c:ser>
        <c:ser>
          <c:idx val="5"/>
          <c:order val="5"/>
          <c:tx>
            <c:strRef>
              <c:f>'LTHW Data'!$A$102</c:f>
              <c:strCache>
                <c:ptCount val="1"/>
                <c:pt idx="0">
                  <c:v>J122 Carrington Jenkins boiler 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'LTHW Data'!$G$65:$AS$65</c:f>
              <c:numCache>
                <c:formatCode>mmm\-yy</c:formatCode>
                <c:ptCount val="3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  <c:pt idx="36">
                  <c:v>45658</c:v>
                </c:pt>
              </c:numCache>
            </c:numRef>
          </c:cat>
          <c:val>
            <c:numRef>
              <c:f>'LTHW Data'!$G$102:$AO$102</c:f>
              <c:numCache>
                <c:formatCode>General</c:formatCode>
                <c:ptCount val="35"/>
                <c:pt idx="0">
                  <c:v>0</c:v>
                </c:pt>
                <c:pt idx="1">
                  <c:v>6000</c:v>
                </c:pt>
                <c:pt idx="2">
                  <c:v>9429.9999999999491</c:v>
                </c:pt>
                <c:pt idx="3">
                  <c:v>5570.00000000005</c:v>
                </c:pt>
                <c:pt idx="4">
                  <c:v>20000</c:v>
                </c:pt>
                <c:pt idx="5">
                  <c:v>31000</c:v>
                </c:pt>
                <c:pt idx="6">
                  <c:v>34000</c:v>
                </c:pt>
                <c:pt idx="7">
                  <c:v>30000</c:v>
                </c:pt>
                <c:pt idx="8">
                  <c:v>20400.000000000091</c:v>
                </c:pt>
                <c:pt idx="9">
                  <c:v>17949.999999999818</c:v>
                </c:pt>
                <c:pt idx="10">
                  <c:v>3940.0000000000546</c:v>
                </c:pt>
                <c:pt idx="11">
                  <c:v>0</c:v>
                </c:pt>
                <c:pt idx="12">
                  <c:v>0</c:v>
                </c:pt>
                <c:pt idx="13">
                  <c:v>6000</c:v>
                </c:pt>
                <c:pt idx="14">
                  <c:v>9429.9999999999491</c:v>
                </c:pt>
                <c:pt idx="15">
                  <c:v>5570.00000000005</c:v>
                </c:pt>
                <c:pt idx="16">
                  <c:v>20000</c:v>
                </c:pt>
                <c:pt idx="17">
                  <c:v>31000</c:v>
                </c:pt>
                <c:pt idx="18">
                  <c:v>34000</c:v>
                </c:pt>
                <c:pt idx="19">
                  <c:v>30000</c:v>
                </c:pt>
                <c:pt idx="20">
                  <c:v>20400.000000000091</c:v>
                </c:pt>
                <c:pt idx="21">
                  <c:v>17949.999999999818</c:v>
                </c:pt>
                <c:pt idx="22">
                  <c:v>3940.0000000000546</c:v>
                </c:pt>
                <c:pt idx="23">
                  <c:v>0</c:v>
                </c:pt>
                <c:pt idx="24">
                  <c:v>0</c:v>
                </c:pt>
                <c:pt idx="25">
                  <c:v>4.9700000000000273</c:v>
                </c:pt>
                <c:pt idx="26">
                  <c:v>13.599999999999909</c:v>
                </c:pt>
                <c:pt idx="27">
                  <c:v>25.380000000000109</c:v>
                </c:pt>
                <c:pt idx="28">
                  <c:v>23.6099999999999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38.7800000000002</c:v>
                </c:pt>
                <c:pt idx="33">
                  <c:v>5.0299999999999727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1D-43CF-A3BA-F00D49652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74905400"/>
        <c:axId val="-1674904248"/>
        <c:extLst/>
      </c:lineChart>
      <c:dateAx>
        <c:axId val="-167490540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904248"/>
        <c:crosses val="autoZero"/>
        <c:auto val="1"/>
        <c:lblOffset val="100"/>
        <c:baseTimeUnit val="months"/>
      </c:dateAx>
      <c:valAx>
        <c:axId val="-167490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90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0717300456411706E-3"/>
          <c:y val="5.5201926255197632E-2"/>
          <c:w val="0.16093559733604729"/>
          <c:h val="0.839261358996792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Gas Consumption Breakdown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631443795480854"/>
          <c:y val="6.6599814036698332E-2"/>
          <c:w val="0.75699863887242369"/>
          <c:h val="0.8045669291338583"/>
        </c:manualLayout>
      </c:layout>
      <c:lineChart>
        <c:grouping val="standard"/>
        <c:varyColors val="0"/>
        <c:ser>
          <c:idx val="6"/>
          <c:order val="6"/>
          <c:tx>
            <c:v>Plaza</c:v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'Gas Data'!$G$28:$AP$28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'Gas Data'!$G$35:$AP$35</c:f>
              <c:numCache>
                <c:formatCode>0.00</c:formatCode>
                <c:ptCount val="36"/>
                <c:pt idx="0">
                  <c:v>11064.033862700002</c:v>
                </c:pt>
                <c:pt idx="1">
                  <c:v>11064.033862700002</c:v>
                </c:pt>
                <c:pt idx="2">
                  <c:v>10418.895054399996</c:v>
                </c:pt>
                <c:pt idx="3">
                  <c:v>9196.4208696999995</c:v>
                </c:pt>
                <c:pt idx="4">
                  <c:v>16893.116595600004</c:v>
                </c:pt>
                <c:pt idx="5">
                  <c:v>15645.178017100028</c:v>
                </c:pt>
                <c:pt idx="6">
                  <c:v>10170.514785000001</c:v>
                </c:pt>
                <c:pt idx="7">
                  <c:v>262738.29861250002</c:v>
                </c:pt>
                <c:pt idx="8">
                  <c:v>102722.19932850001</c:v>
                </c:pt>
                <c:pt idx="9">
                  <c:v>113745.2880385</c:v>
                </c:pt>
                <c:pt idx="10">
                  <c:v>10546.452276199998</c:v>
                </c:pt>
                <c:pt idx="11">
                  <c:v>7732.6098523499968</c:v>
                </c:pt>
                <c:pt idx="12">
                  <c:v>11936.422630150002</c:v>
                </c:pt>
                <c:pt idx="13">
                  <c:v>14326.338973349993</c:v>
                </c:pt>
                <c:pt idx="14">
                  <c:v>15631.709668700001</c:v>
                </c:pt>
                <c:pt idx="15">
                  <c:v>4302.4993098999985</c:v>
                </c:pt>
                <c:pt idx="16">
                  <c:v>12645.340049350001</c:v>
                </c:pt>
                <c:pt idx="17">
                  <c:v>12238.51945795</c:v>
                </c:pt>
                <c:pt idx="18" formatCode="General">
                  <c:v>10455</c:v>
                </c:pt>
                <c:pt idx="19" formatCode="General">
                  <c:v>10498</c:v>
                </c:pt>
                <c:pt idx="20" formatCode="General">
                  <c:v>419596</c:v>
                </c:pt>
                <c:pt idx="21" formatCode="General">
                  <c:v>129573</c:v>
                </c:pt>
                <c:pt idx="22" formatCode="General">
                  <c:v>27148</c:v>
                </c:pt>
                <c:pt idx="23" formatCode="General">
                  <c:v>139221</c:v>
                </c:pt>
                <c:pt idx="24" formatCode="General">
                  <c:v>9558</c:v>
                </c:pt>
                <c:pt idx="25" formatCode="#,##0.00">
                  <c:v>11243</c:v>
                </c:pt>
                <c:pt idx="26" formatCode="General">
                  <c:v>10289</c:v>
                </c:pt>
                <c:pt idx="27" formatCode="General">
                  <c:v>10170</c:v>
                </c:pt>
                <c:pt idx="28" formatCode="General">
                  <c:v>11645</c:v>
                </c:pt>
                <c:pt idx="29" formatCode="General">
                  <c:v>10277</c:v>
                </c:pt>
                <c:pt idx="30" formatCode="General">
                  <c:v>10347</c:v>
                </c:pt>
                <c:pt idx="31" formatCode="General">
                  <c:v>336539</c:v>
                </c:pt>
                <c:pt idx="32" formatCode="General">
                  <c:v>68660</c:v>
                </c:pt>
                <c:pt idx="33" formatCode="General">
                  <c:v>115147</c:v>
                </c:pt>
                <c:pt idx="34" formatCode="General">
                  <c:v>54624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6B-4F2C-8054-0D0400BA80ED}"/>
            </c:ext>
          </c:extLst>
        </c:ser>
        <c:ser>
          <c:idx val="8"/>
          <c:order val="8"/>
          <c:tx>
            <c:v>Science 2 Boilerhouse</c:v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'Gas Data'!$G$28:$AP$28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'Gas Data'!$G$38:$AP$38</c:f>
              <c:numCache>
                <c:formatCode>0.00</c:formatCode>
                <c:ptCount val="36"/>
                <c:pt idx="0">
                  <c:v>148.92260399999998</c:v>
                </c:pt>
                <c:pt idx="1">
                  <c:v>148.92260399999998</c:v>
                </c:pt>
                <c:pt idx="2">
                  <c:v>0</c:v>
                </c:pt>
                <c:pt idx="3">
                  <c:v>8091.4614839999995</c:v>
                </c:pt>
                <c:pt idx="4">
                  <c:v>14098.006512</c:v>
                </c:pt>
                <c:pt idx="5">
                  <c:v>55845.976499999997</c:v>
                </c:pt>
                <c:pt idx="6">
                  <c:v>46017.084636</c:v>
                </c:pt>
                <c:pt idx="7">
                  <c:v>15934.718627999999</c:v>
                </c:pt>
                <c:pt idx="8">
                  <c:v>25763.610492</c:v>
                </c:pt>
                <c:pt idx="9">
                  <c:v>2779.8886080000002</c:v>
                </c:pt>
                <c:pt idx="10">
                  <c:v>40506.948288</c:v>
                </c:pt>
                <c:pt idx="11">
                  <c:v>6304.3902360000002</c:v>
                </c:pt>
                <c:pt idx="12">
                  <c:v>434059.74979199999</c:v>
                </c:pt>
                <c:pt idx="13">
                  <c:v>40273.447044</c:v>
                </c:pt>
                <c:pt idx="14">
                  <c:v>17955.291120000009</c:v>
                </c:pt>
                <c:pt idx="15">
                  <c:v>3177.0155519999998</c:v>
                </c:pt>
                <c:pt idx="16">
                  <c:v>1092.0990959999999</c:v>
                </c:pt>
                <c:pt idx="17">
                  <c:v>11715.244848</c:v>
                </c:pt>
                <c:pt idx="18" formatCode="General">
                  <c:v>53925</c:v>
                </c:pt>
                <c:pt idx="19" formatCode="General">
                  <c:v>18887</c:v>
                </c:pt>
                <c:pt idx="20" formatCode="General">
                  <c:v>15545</c:v>
                </c:pt>
                <c:pt idx="21" formatCode="General">
                  <c:v>237</c:v>
                </c:pt>
                <c:pt idx="22" formatCode="General">
                  <c:v>609</c:v>
                </c:pt>
                <c:pt idx="23" formatCode="General">
                  <c:v>7669</c:v>
                </c:pt>
                <c:pt idx="24" formatCode="General">
                  <c:v>4944</c:v>
                </c:pt>
                <c:pt idx="25" formatCode="#,##0.00">
                  <c:v>6348</c:v>
                </c:pt>
                <c:pt idx="26" formatCode="General">
                  <c:v>6412</c:v>
                </c:pt>
                <c:pt idx="27" formatCode="General">
                  <c:v>-12538</c:v>
                </c:pt>
                <c:pt idx="28" formatCode="General">
                  <c:v>0</c:v>
                </c:pt>
                <c:pt idx="29" formatCode="General">
                  <c:v>4404</c:v>
                </c:pt>
                <c:pt idx="30" formatCode="General">
                  <c:v>0</c:v>
                </c:pt>
                <c:pt idx="31" formatCode="General">
                  <c:v>1849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6B-4F2C-8054-0D0400BA80ED}"/>
            </c:ext>
          </c:extLst>
        </c:ser>
        <c:ser>
          <c:idx val="18"/>
          <c:order val="18"/>
          <c:tx>
            <c:v>Eccles</c:v>
          </c:tx>
          <c:spPr>
            <a:ln w="349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'Gas Data'!$G$51:$AP$51</c:f>
              <c:numCache>
                <c:formatCode>0.00</c:formatCode>
                <c:ptCount val="36"/>
                <c:pt idx="0">
                  <c:v>252499.974552</c:v>
                </c:pt>
                <c:pt idx="1">
                  <c:v>252499.974552</c:v>
                </c:pt>
                <c:pt idx="2">
                  <c:v>252499.974552</c:v>
                </c:pt>
                <c:pt idx="3">
                  <c:v>505845.66039200005</c:v>
                </c:pt>
                <c:pt idx="4">
                  <c:v>259192.124744</c:v>
                </c:pt>
                <c:pt idx="5">
                  <c:v>327952.129464</c:v>
                </c:pt>
                <c:pt idx="6">
                  <c:v>374613.33052800002</c:v>
                </c:pt>
                <c:pt idx="7">
                  <c:v>376782.76383199997</c:v>
                </c:pt>
                <c:pt idx="8">
                  <c:v>399396.34827199997</c:v>
                </c:pt>
                <c:pt idx="9">
                  <c:v>333467.63786399999</c:v>
                </c:pt>
                <c:pt idx="10">
                  <c:v>358986.056728</c:v>
                </c:pt>
                <c:pt idx="11">
                  <c:v>222679.45913599999</c:v>
                </c:pt>
                <c:pt idx="12">
                  <c:v>261140.93771200001</c:v>
                </c:pt>
                <c:pt idx="13">
                  <c:v>255257.728752</c:v>
                </c:pt>
                <c:pt idx="14">
                  <c:v>216943.33039999998</c:v>
                </c:pt>
                <c:pt idx="15">
                  <c:v>229077.44887999998</c:v>
                </c:pt>
                <c:pt idx="16">
                  <c:v>266877.06644800003</c:v>
                </c:pt>
                <c:pt idx="17">
                  <c:v>272613.19518400001</c:v>
                </c:pt>
                <c:pt idx="18" formatCode="General">
                  <c:v>293222</c:v>
                </c:pt>
                <c:pt idx="19" formatCode="General">
                  <c:v>382678</c:v>
                </c:pt>
                <c:pt idx="20" formatCode="General">
                  <c:v>361583</c:v>
                </c:pt>
                <c:pt idx="21" formatCode="General">
                  <c:v>296108</c:v>
                </c:pt>
                <c:pt idx="22" formatCode="General">
                  <c:v>312208</c:v>
                </c:pt>
                <c:pt idx="23" formatCode="General">
                  <c:v>271198</c:v>
                </c:pt>
                <c:pt idx="24" formatCode="General">
                  <c:v>229596</c:v>
                </c:pt>
                <c:pt idx="25" formatCode="#,##0.00">
                  <c:v>191548</c:v>
                </c:pt>
                <c:pt idx="26" formatCode="General">
                  <c:v>210008</c:v>
                </c:pt>
                <c:pt idx="27" formatCode="General">
                  <c:v>225157</c:v>
                </c:pt>
                <c:pt idx="28" formatCode="General">
                  <c:v>303085</c:v>
                </c:pt>
                <c:pt idx="29" formatCode="General">
                  <c:v>321948</c:v>
                </c:pt>
                <c:pt idx="30" formatCode="General">
                  <c:v>345686</c:v>
                </c:pt>
                <c:pt idx="31" formatCode="General">
                  <c:v>342506</c:v>
                </c:pt>
                <c:pt idx="32" formatCode="General">
                  <c:v>390787</c:v>
                </c:pt>
                <c:pt idx="33" formatCode="General">
                  <c:v>365907</c:v>
                </c:pt>
                <c:pt idx="34" formatCode="General">
                  <c:v>294191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C8F-4718-A809-45B61811A403}"/>
            </c:ext>
          </c:extLst>
        </c:ser>
        <c:ser>
          <c:idx val="23"/>
          <c:order val="23"/>
          <c:tx>
            <c:v>Total DN Gas Consumption</c:v>
          </c:tx>
          <c:spPr>
            <a:ln w="349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'Gas Data'!$G$77:$AO$77</c:f>
              <c:numCache>
                <c:formatCode>mmm\-yy</c:formatCode>
                <c:ptCount val="35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C8F-4718-A809-45B61811A403}"/>
            </c:ext>
          </c:extLst>
        </c:ser>
        <c:ser>
          <c:idx val="24"/>
          <c:order val="24"/>
          <c:tx>
            <c:v>Total Colleges Gas Consumption</c:v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'Gas Data'!$G$78:$AO$78</c:f>
              <c:numCache>
                <c:formatCode>General</c:formatCode>
                <c:ptCount val="35"/>
                <c:pt idx="0">
                  <c:v>267055.75258008996</c:v>
                </c:pt>
                <c:pt idx="1">
                  <c:v>267055.75258008996</c:v>
                </c:pt>
                <c:pt idx="2">
                  <c:v>272338.72861555999</c:v>
                </c:pt>
                <c:pt idx="3">
                  <c:v>535314.41312719998</c:v>
                </c:pt>
                <c:pt idx="4">
                  <c:v>284853.39754032996</c:v>
                </c:pt>
                <c:pt idx="5">
                  <c:v>365154.52493005001</c:v>
                </c:pt>
                <c:pt idx="6">
                  <c:v>408923.90263407002</c:v>
                </c:pt>
                <c:pt idx="7">
                  <c:v>403953.48197907</c:v>
                </c:pt>
                <c:pt idx="8">
                  <c:v>485490.33778653992</c:v>
                </c:pt>
                <c:pt idx="9">
                  <c:v>383857.62254503998</c:v>
                </c:pt>
                <c:pt idx="10">
                  <c:v>398442.34764607</c:v>
                </c:pt>
                <c:pt idx="11">
                  <c:v>242447.50712279996</c:v>
                </c:pt>
                <c:pt idx="12" formatCode="0.00">
                  <c:v>281549.50384453003</c:v>
                </c:pt>
                <c:pt idx="13">
                  <c:v>267110.33803516004</c:v>
                </c:pt>
                <c:pt idx="14">
                  <c:v>254303.15954453999</c:v>
                </c:pt>
                <c:pt idx="15">
                  <c:v>273815.94763764</c:v>
                </c:pt>
                <c:pt idx="16">
                  <c:v>323616.41831425996</c:v>
                </c:pt>
                <c:pt idx="17">
                  <c:v>306719.32860818005</c:v>
                </c:pt>
                <c:pt idx="18">
                  <c:v>323355</c:v>
                </c:pt>
                <c:pt idx="19">
                  <c:v>410408</c:v>
                </c:pt>
                <c:pt idx="20">
                  <c:v>389175</c:v>
                </c:pt>
                <c:pt idx="21">
                  <c:v>351762</c:v>
                </c:pt>
                <c:pt idx="22">
                  <c:v>347413</c:v>
                </c:pt>
                <c:pt idx="23">
                  <c:v>306124</c:v>
                </c:pt>
                <c:pt idx="24">
                  <c:v>260482</c:v>
                </c:pt>
                <c:pt idx="25">
                  <c:v>189425</c:v>
                </c:pt>
                <c:pt idx="26">
                  <c:v>213297</c:v>
                </c:pt>
                <c:pt idx="27">
                  <c:v>234802</c:v>
                </c:pt>
                <c:pt idx="28">
                  <c:v>315945</c:v>
                </c:pt>
                <c:pt idx="29">
                  <c:v>342520</c:v>
                </c:pt>
                <c:pt idx="30">
                  <c:v>362369</c:v>
                </c:pt>
                <c:pt idx="31">
                  <c:v>359128</c:v>
                </c:pt>
                <c:pt idx="32">
                  <c:v>405043</c:v>
                </c:pt>
                <c:pt idx="33">
                  <c:v>382578</c:v>
                </c:pt>
                <c:pt idx="34">
                  <c:v>309866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C8F-4718-A809-45B61811A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74905400"/>
        <c:axId val="-1674904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University College</c:v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'Gas Data'!$G$28:$AP$28</c15:sqref>
                        </c15:formulaRef>
                      </c:ext>
                    </c:extLst>
                    <c:numCache>
                      <c:formatCode>mmm\-yy</c:formatCode>
                      <c:ptCount val="36"/>
                      <c:pt idx="0">
                        <c:v>44562</c:v>
                      </c:pt>
                      <c:pt idx="1">
                        <c:v>44593</c:v>
                      </c:pt>
                      <c:pt idx="2">
                        <c:v>44621</c:v>
                      </c:pt>
                      <c:pt idx="3">
                        <c:v>44652</c:v>
                      </c:pt>
                      <c:pt idx="4">
                        <c:v>44682</c:v>
                      </c:pt>
                      <c:pt idx="5">
                        <c:v>44713</c:v>
                      </c:pt>
                      <c:pt idx="6">
                        <c:v>44743</c:v>
                      </c:pt>
                      <c:pt idx="7">
                        <c:v>44774</c:v>
                      </c:pt>
                      <c:pt idx="8">
                        <c:v>44805</c:v>
                      </c:pt>
                      <c:pt idx="9">
                        <c:v>44835</c:v>
                      </c:pt>
                      <c:pt idx="10">
                        <c:v>44866</c:v>
                      </c:pt>
                      <c:pt idx="11">
                        <c:v>44896</c:v>
                      </c:pt>
                      <c:pt idx="12">
                        <c:v>44927</c:v>
                      </c:pt>
                      <c:pt idx="13">
                        <c:v>44958</c:v>
                      </c:pt>
                      <c:pt idx="14">
                        <c:v>44986</c:v>
                      </c:pt>
                      <c:pt idx="15">
                        <c:v>45017</c:v>
                      </c:pt>
                      <c:pt idx="16">
                        <c:v>45047</c:v>
                      </c:pt>
                      <c:pt idx="17">
                        <c:v>45078</c:v>
                      </c:pt>
                      <c:pt idx="18">
                        <c:v>45108</c:v>
                      </c:pt>
                      <c:pt idx="19">
                        <c:v>45139</c:v>
                      </c:pt>
                      <c:pt idx="20">
                        <c:v>45170</c:v>
                      </c:pt>
                      <c:pt idx="21">
                        <c:v>45200</c:v>
                      </c:pt>
                      <c:pt idx="22">
                        <c:v>45231</c:v>
                      </c:pt>
                      <c:pt idx="23">
                        <c:v>45261</c:v>
                      </c:pt>
                      <c:pt idx="24">
                        <c:v>45292</c:v>
                      </c:pt>
                      <c:pt idx="25">
                        <c:v>45323</c:v>
                      </c:pt>
                      <c:pt idx="26">
                        <c:v>45352</c:v>
                      </c:pt>
                      <c:pt idx="27">
                        <c:v>45383</c:v>
                      </c:pt>
                      <c:pt idx="28">
                        <c:v>45413</c:v>
                      </c:pt>
                      <c:pt idx="29">
                        <c:v>45444</c:v>
                      </c:pt>
                      <c:pt idx="30">
                        <c:v>45474</c:v>
                      </c:pt>
                      <c:pt idx="31">
                        <c:v>45505</c:v>
                      </c:pt>
                      <c:pt idx="32">
                        <c:v>45536</c:v>
                      </c:pt>
                      <c:pt idx="33">
                        <c:v>45566</c:v>
                      </c:pt>
                      <c:pt idx="34">
                        <c:v>45597</c:v>
                      </c:pt>
                      <c:pt idx="35">
                        <c:v>45627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'Gas Data'!$G$47:$AP$47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395.92140588000001</c:v>
                      </c:pt>
                      <c:pt idx="3">
                        <c:v>1400.95266696</c:v>
                      </c:pt>
                      <c:pt idx="4">
                        <c:v>1126.85323212</c:v>
                      </c:pt>
                      <c:pt idx="5">
                        <c:v>1492.3191452399999</c:v>
                      </c:pt>
                      <c:pt idx="6">
                        <c:v>1370.4971742</c:v>
                      </c:pt>
                      <c:pt idx="7">
                        <c:v>1096.3977393600001</c:v>
                      </c:pt>
                      <c:pt idx="8">
                        <c:v>1492.3191452399999</c:v>
                      </c:pt>
                      <c:pt idx="9">
                        <c:v>1370.4971742</c:v>
                      </c:pt>
                      <c:pt idx="10">
                        <c:v>1461.8636524799999</c:v>
                      </c:pt>
                      <c:pt idx="11">
                        <c:v>944.12027555999998</c:v>
                      </c:pt>
                      <c:pt idx="12">
                        <c:v>60.910985520000004</c:v>
                      </c:pt>
                      <c:pt idx="13">
                        <c:v>121.82197104000001</c:v>
                      </c:pt>
                      <c:pt idx="14">
                        <c:v>395.92140588000001</c:v>
                      </c:pt>
                      <c:pt idx="15">
                        <c:v>639.56534796000005</c:v>
                      </c:pt>
                      <c:pt idx="16">
                        <c:v>730.93182623999996</c:v>
                      </c:pt>
                      <c:pt idx="17">
                        <c:v>944.12027555999998</c:v>
                      </c:pt>
                      <c:pt idx="18" formatCode="General">
                        <c:v>1010</c:v>
                      </c:pt>
                      <c:pt idx="19" formatCode="General">
                        <c:v>770</c:v>
                      </c:pt>
                      <c:pt idx="20" formatCode="General">
                        <c:v>920</c:v>
                      </c:pt>
                      <c:pt idx="21" formatCode="General">
                        <c:v>761</c:v>
                      </c:pt>
                      <c:pt idx="22" formatCode="General">
                        <c:v>881</c:v>
                      </c:pt>
                      <c:pt idx="23" formatCode="General">
                        <c:v>579</c:v>
                      </c:pt>
                      <c:pt idx="24" formatCode="General">
                        <c:v>0</c:v>
                      </c:pt>
                      <c:pt idx="25" formatCode="General">
                        <c:v>0</c:v>
                      </c:pt>
                      <c:pt idx="26" formatCode="General">
                        <c:v>210</c:v>
                      </c:pt>
                      <c:pt idx="27" formatCode="General">
                        <c:v>692</c:v>
                      </c:pt>
                      <c:pt idx="28" formatCode="General">
                        <c:v>696</c:v>
                      </c:pt>
                      <c:pt idx="29" formatCode="General">
                        <c:v>974</c:v>
                      </c:pt>
                      <c:pt idx="30" formatCode="General">
                        <c:v>919</c:v>
                      </c:pt>
                      <c:pt idx="31" formatCode="General">
                        <c:v>430</c:v>
                      </c:pt>
                      <c:pt idx="32" formatCode="General">
                        <c:v>919</c:v>
                      </c:pt>
                      <c:pt idx="33" formatCode="General">
                        <c:v>1097</c:v>
                      </c:pt>
                      <c:pt idx="34" formatCode="General">
                        <c:v>910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96B-4F2C-8054-0D0400BA80E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Caroline Freeman College East</c:v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Data'!$G$28:$AP$28</c15:sqref>
                        </c15:formulaRef>
                      </c:ext>
                    </c:extLst>
                    <c:numCache>
                      <c:formatCode>mmm\-yy</c:formatCode>
                      <c:ptCount val="36"/>
                      <c:pt idx="0">
                        <c:v>44562</c:v>
                      </c:pt>
                      <c:pt idx="1">
                        <c:v>44593</c:v>
                      </c:pt>
                      <c:pt idx="2">
                        <c:v>44621</c:v>
                      </c:pt>
                      <c:pt idx="3">
                        <c:v>44652</c:v>
                      </c:pt>
                      <c:pt idx="4">
                        <c:v>44682</c:v>
                      </c:pt>
                      <c:pt idx="5">
                        <c:v>44713</c:v>
                      </c:pt>
                      <c:pt idx="6">
                        <c:v>44743</c:v>
                      </c:pt>
                      <c:pt idx="7">
                        <c:v>44774</c:v>
                      </c:pt>
                      <c:pt idx="8">
                        <c:v>44805</c:v>
                      </c:pt>
                      <c:pt idx="9">
                        <c:v>44835</c:v>
                      </c:pt>
                      <c:pt idx="10">
                        <c:v>44866</c:v>
                      </c:pt>
                      <c:pt idx="11">
                        <c:v>44896</c:v>
                      </c:pt>
                      <c:pt idx="12">
                        <c:v>44927</c:v>
                      </c:pt>
                      <c:pt idx="13">
                        <c:v>44958</c:v>
                      </c:pt>
                      <c:pt idx="14">
                        <c:v>44986</c:v>
                      </c:pt>
                      <c:pt idx="15">
                        <c:v>45017</c:v>
                      </c:pt>
                      <c:pt idx="16">
                        <c:v>45047</c:v>
                      </c:pt>
                      <c:pt idx="17">
                        <c:v>45078</c:v>
                      </c:pt>
                      <c:pt idx="18">
                        <c:v>45108</c:v>
                      </c:pt>
                      <c:pt idx="19">
                        <c:v>45139</c:v>
                      </c:pt>
                      <c:pt idx="20">
                        <c:v>45170</c:v>
                      </c:pt>
                      <c:pt idx="21">
                        <c:v>45200</c:v>
                      </c:pt>
                      <c:pt idx="22">
                        <c:v>45231</c:v>
                      </c:pt>
                      <c:pt idx="23">
                        <c:v>45261</c:v>
                      </c:pt>
                      <c:pt idx="24">
                        <c:v>45292</c:v>
                      </c:pt>
                      <c:pt idx="25">
                        <c:v>45323</c:v>
                      </c:pt>
                      <c:pt idx="26">
                        <c:v>45352</c:v>
                      </c:pt>
                      <c:pt idx="27">
                        <c:v>45383</c:v>
                      </c:pt>
                      <c:pt idx="28">
                        <c:v>45413</c:v>
                      </c:pt>
                      <c:pt idx="29">
                        <c:v>45444</c:v>
                      </c:pt>
                      <c:pt idx="30">
                        <c:v>45474</c:v>
                      </c:pt>
                      <c:pt idx="31">
                        <c:v>45505</c:v>
                      </c:pt>
                      <c:pt idx="32">
                        <c:v>45536</c:v>
                      </c:pt>
                      <c:pt idx="33">
                        <c:v>45566</c:v>
                      </c:pt>
                      <c:pt idx="34">
                        <c:v>45597</c:v>
                      </c:pt>
                      <c:pt idx="35">
                        <c:v>45627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Data'!$G$32:$AP$32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3304.5247014000001</c:v>
                      </c:pt>
                      <c:pt idx="1">
                        <c:v>3304.5247014000001</c:v>
                      </c:pt>
                      <c:pt idx="2">
                        <c:v>8138.0085930000005</c:v>
                      </c:pt>
                      <c:pt idx="3">
                        <c:v>15338.9131662</c:v>
                      </c:pt>
                      <c:pt idx="4">
                        <c:v>20320.360850400004</c:v>
                      </c:pt>
                      <c:pt idx="5">
                        <c:v>20714.930964000003</c:v>
                      </c:pt>
                      <c:pt idx="6">
                        <c:v>25647.057384</c:v>
                      </c:pt>
                      <c:pt idx="7">
                        <c:v>17114.478677400002</c:v>
                      </c:pt>
                      <c:pt idx="8">
                        <c:v>20000</c:v>
                      </c:pt>
                      <c:pt idx="9">
                        <c:v>23501.3550244</c:v>
                      </c:pt>
                      <c:pt idx="10">
                        <c:v>22194.568890000002</c:v>
                      </c:pt>
                      <c:pt idx="11">
                        <c:v>17015.836149000002</c:v>
                      </c:pt>
                      <c:pt idx="12">
                        <c:v>8335.2936497999999</c:v>
                      </c:pt>
                      <c:pt idx="13">
                        <c:v>8631.2212350000009</c:v>
                      </c:pt>
                      <c:pt idx="14">
                        <c:v>8384.6149139999998</c:v>
                      </c:pt>
                      <c:pt idx="15">
                        <c:v>14895.021788400001</c:v>
                      </c:pt>
                      <c:pt idx="16">
                        <c:v>16621.2660354</c:v>
                      </c:pt>
                      <c:pt idx="17">
                        <c:v>22983.709117200004</c:v>
                      </c:pt>
                      <c:pt idx="18" formatCode="General">
                        <c:v>16110</c:v>
                      </c:pt>
                      <c:pt idx="19" formatCode="General">
                        <c:v>12604</c:v>
                      </c:pt>
                      <c:pt idx="20" formatCode="General">
                        <c:v>20616</c:v>
                      </c:pt>
                      <c:pt idx="21" formatCode="General">
                        <c:v>14507</c:v>
                      </c:pt>
                      <c:pt idx="22" formatCode="General">
                        <c:v>15591</c:v>
                      </c:pt>
                      <c:pt idx="23" formatCode="General">
                        <c:v>12037</c:v>
                      </c:pt>
                      <c:pt idx="24" formatCode="General">
                        <c:v>5065</c:v>
                      </c:pt>
                      <c:pt idx="25" formatCode="#,##0.00">
                        <c:v>5606</c:v>
                      </c:pt>
                      <c:pt idx="26" formatCode="General">
                        <c:v>4271</c:v>
                      </c:pt>
                      <c:pt idx="27" formatCode="General">
                        <c:v>10685</c:v>
                      </c:pt>
                      <c:pt idx="28" formatCode="General">
                        <c:v>13204</c:v>
                      </c:pt>
                      <c:pt idx="29" formatCode="General">
                        <c:v>14218</c:v>
                      </c:pt>
                      <c:pt idx="30" formatCode="General">
                        <c:v>15672</c:v>
                      </c:pt>
                      <c:pt idx="31" formatCode="General">
                        <c:v>5987</c:v>
                      </c:pt>
                      <c:pt idx="32" formatCode="General">
                        <c:v>20831</c:v>
                      </c:pt>
                      <c:pt idx="33" formatCode="General">
                        <c:v>15833</c:v>
                      </c:pt>
                      <c:pt idx="34" formatCode="General">
                        <c:v>16875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96B-4F2C-8054-0D0400BA80E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College of Education Boiler</c:v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Data'!$G$28:$AP$28</c15:sqref>
                        </c15:formulaRef>
                      </c:ext>
                    </c:extLst>
                    <c:numCache>
                      <c:formatCode>mmm\-yy</c:formatCode>
                      <c:ptCount val="36"/>
                      <c:pt idx="0">
                        <c:v>44562</c:v>
                      </c:pt>
                      <c:pt idx="1">
                        <c:v>44593</c:v>
                      </c:pt>
                      <c:pt idx="2">
                        <c:v>44621</c:v>
                      </c:pt>
                      <c:pt idx="3">
                        <c:v>44652</c:v>
                      </c:pt>
                      <c:pt idx="4">
                        <c:v>44682</c:v>
                      </c:pt>
                      <c:pt idx="5">
                        <c:v>44713</c:v>
                      </c:pt>
                      <c:pt idx="6">
                        <c:v>44743</c:v>
                      </c:pt>
                      <c:pt idx="7">
                        <c:v>44774</c:v>
                      </c:pt>
                      <c:pt idx="8">
                        <c:v>44805</c:v>
                      </c:pt>
                      <c:pt idx="9">
                        <c:v>44835</c:v>
                      </c:pt>
                      <c:pt idx="10">
                        <c:v>44866</c:v>
                      </c:pt>
                      <c:pt idx="11">
                        <c:v>44896</c:v>
                      </c:pt>
                      <c:pt idx="12">
                        <c:v>44927</c:v>
                      </c:pt>
                      <c:pt idx="13">
                        <c:v>44958</c:v>
                      </c:pt>
                      <c:pt idx="14">
                        <c:v>44986</c:v>
                      </c:pt>
                      <c:pt idx="15">
                        <c:v>45017</c:v>
                      </c:pt>
                      <c:pt idx="16">
                        <c:v>45047</c:v>
                      </c:pt>
                      <c:pt idx="17">
                        <c:v>45078</c:v>
                      </c:pt>
                      <c:pt idx="18">
                        <c:v>45108</c:v>
                      </c:pt>
                      <c:pt idx="19">
                        <c:v>45139</c:v>
                      </c:pt>
                      <c:pt idx="20">
                        <c:v>45170</c:v>
                      </c:pt>
                      <c:pt idx="21">
                        <c:v>45200</c:v>
                      </c:pt>
                      <c:pt idx="22">
                        <c:v>45231</c:v>
                      </c:pt>
                      <c:pt idx="23">
                        <c:v>45261</c:v>
                      </c:pt>
                      <c:pt idx="24">
                        <c:v>45292</c:v>
                      </c:pt>
                      <c:pt idx="25">
                        <c:v>45323</c:v>
                      </c:pt>
                      <c:pt idx="26">
                        <c:v>45352</c:v>
                      </c:pt>
                      <c:pt idx="27">
                        <c:v>45383</c:v>
                      </c:pt>
                      <c:pt idx="28">
                        <c:v>45413</c:v>
                      </c:pt>
                      <c:pt idx="29">
                        <c:v>45444</c:v>
                      </c:pt>
                      <c:pt idx="30">
                        <c:v>45474</c:v>
                      </c:pt>
                      <c:pt idx="31">
                        <c:v>45505</c:v>
                      </c:pt>
                      <c:pt idx="32">
                        <c:v>45536</c:v>
                      </c:pt>
                      <c:pt idx="33">
                        <c:v>45566</c:v>
                      </c:pt>
                      <c:pt idx="34">
                        <c:v>45597</c:v>
                      </c:pt>
                      <c:pt idx="35">
                        <c:v>45627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Data'!$G$41:$AP$41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39249.131524199998</c:v>
                      </c:pt>
                      <c:pt idx="1">
                        <c:v>39249.131524199998</c:v>
                      </c:pt>
                      <c:pt idx="2">
                        <c:v>3019.1639633999998</c:v>
                      </c:pt>
                      <c:pt idx="3">
                        <c:v>89489.37680279999</c:v>
                      </c:pt>
                      <c:pt idx="4">
                        <c:v>119036.4758154</c:v>
                      </c:pt>
                      <c:pt idx="5">
                        <c:v>10109.1107988</c:v>
                      </c:pt>
                      <c:pt idx="6">
                        <c:v>68762.307346200003</c:v>
                      </c:pt>
                      <c:pt idx="7">
                        <c:v>75377.329513200006</c:v>
                      </c:pt>
                      <c:pt idx="8">
                        <c:v>18759.524401799998</c:v>
                      </c:pt>
                      <c:pt idx="9">
                        <c:v>0</c:v>
                      </c:pt>
                      <c:pt idx="10">
                        <c:v>12551.580522</c:v>
                      </c:pt>
                      <c:pt idx="11">
                        <c:v>46780.079837400001</c:v>
                      </c:pt>
                      <c:pt idx="12">
                        <c:v>124769.49502680001</c:v>
                      </c:pt>
                      <c:pt idx="13">
                        <c:v>66319.837622999999</c:v>
                      </c:pt>
                      <c:pt idx="14">
                        <c:v>55159.107915599998</c:v>
                      </c:pt>
                      <c:pt idx="15">
                        <c:v>54209.2585788</c:v>
                      </c:pt>
                      <c:pt idx="16">
                        <c:v>106281.35614979999</c:v>
                      </c:pt>
                      <c:pt idx="17">
                        <c:v>22491.0753678</c:v>
                      </c:pt>
                      <c:pt idx="18" formatCode="General">
                        <c:v>91851</c:v>
                      </c:pt>
                      <c:pt idx="19" formatCode="General">
                        <c:v>36294</c:v>
                      </c:pt>
                      <c:pt idx="20" formatCode="General">
                        <c:v>51686</c:v>
                      </c:pt>
                      <c:pt idx="21" formatCode="General">
                        <c:v>780</c:v>
                      </c:pt>
                      <c:pt idx="22" formatCode="General">
                        <c:v>11980</c:v>
                      </c:pt>
                      <c:pt idx="23" formatCode="General">
                        <c:v>2239</c:v>
                      </c:pt>
                      <c:pt idx="24" formatCode="General">
                        <c:v>109448</c:v>
                      </c:pt>
                      <c:pt idx="25" formatCode="#,##0.00">
                        <c:v>135985</c:v>
                      </c:pt>
                      <c:pt idx="26" formatCode="General">
                        <c:v>105993</c:v>
                      </c:pt>
                      <c:pt idx="27" formatCode="General">
                        <c:v>67745</c:v>
                      </c:pt>
                      <c:pt idx="28" formatCode="General">
                        <c:v>104506</c:v>
                      </c:pt>
                      <c:pt idx="29" formatCode="General">
                        <c:v>8165</c:v>
                      </c:pt>
                      <c:pt idx="30" formatCode="General">
                        <c:v>68765</c:v>
                      </c:pt>
                      <c:pt idx="31" formatCode="General">
                        <c:v>314414</c:v>
                      </c:pt>
                      <c:pt idx="32" formatCode="General">
                        <c:v>613</c:v>
                      </c:pt>
                      <c:pt idx="33" formatCode="General">
                        <c:v>2239</c:v>
                      </c:pt>
                      <c:pt idx="34" formatCode="General">
                        <c:v>2837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96B-4F2C-8054-0D0400BA80E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444 Gt King St</c:v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Data'!$G$28:$AP$28</c15:sqref>
                        </c15:formulaRef>
                      </c:ext>
                    </c:extLst>
                    <c:numCache>
                      <c:formatCode>mmm\-yy</c:formatCode>
                      <c:ptCount val="36"/>
                      <c:pt idx="0">
                        <c:v>44562</c:v>
                      </c:pt>
                      <c:pt idx="1">
                        <c:v>44593</c:v>
                      </c:pt>
                      <c:pt idx="2">
                        <c:v>44621</c:v>
                      </c:pt>
                      <c:pt idx="3">
                        <c:v>44652</c:v>
                      </c:pt>
                      <c:pt idx="4">
                        <c:v>44682</c:v>
                      </c:pt>
                      <c:pt idx="5">
                        <c:v>44713</c:v>
                      </c:pt>
                      <c:pt idx="6">
                        <c:v>44743</c:v>
                      </c:pt>
                      <c:pt idx="7">
                        <c:v>44774</c:v>
                      </c:pt>
                      <c:pt idx="8">
                        <c:v>44805</c:v>
                      </c:pt>
                      <c:pt idx="9">
                        <c:v>44835</c:v>
                      </c:pt>
                      <c:pt idx="10">
                        <c:v>44866</c:v>
                      </c:pt>
                      <c:pt idx="11">
                        <c:v>44896</c:v>
                      </c:pt>
                      <c:pt idx="12">
                        <c:v>44927</c:v>
                      </c:pt>
                      <c:pt idx="13">
                        <c:v>44958</c:v>
                      </c:pt>
                      <c:pt idx="14">
                        <c:v>44986</c:v>
                      </c:pt>
                      <c:pt idx="15">
                        <c:v>45017</c:v>
                      </c:pt>
                      <c:pt idx="16">
                        <c:v>45047</c:v>
                      </c:pt>
                      <c:pt idx="17">
                        <c:v>45078</c:v>
                      </c:pt>
                      <c:pt idx="18">
                        <c:v>45108</c:v>
                      </c:pt>
                      <c:pt idx="19">
                        <c:v>45139</c:v>
                      </c:pt>
                      <c:pt idx="20">
                        <c:v>45170</c:v>
                      </c:pt>
                      <c:pt idx="21">
                        <c:v>45200</c:v>
                      </c:pt>
                      <c:pt idx="22">
                        <c:v>45231</c:v>
                      </c:pt>
                      <c:pt idx="23">
                        <c:v>45261</c:v>
                      </c:pt>
                      <c:pt idx="24">
                        <c:v>45292</c:v>
                      </c:pt>
                      <c:pt idx="25">
                        <c:v>45323</c:v>
                      </c:pt>
                      <c:pt idx="26">
                        <c:v>45352</c:v>
                      </c:pt>
                      <c:pt idx="27">
                        <c:v>45383</c:v>
                      </c:pt>
                      <c:pt idx="28">
                        <c:v>45413</c:v>
                      </c:pt>
                      <c:pt idx="29">
                        <c:v>45444</c:v>
                      </c:pt>
                      <c:pt idx="30">
                        <c:v>45474</c:v>
                      </c:pt>
                      <c:pt idx="31">
                        <c:v>45505</c:v>
                      </c:pt>
                      <c:pt idx="32">
                        <c:v>45536</c:v>
                      </c:pt>
                      <c:pt idx="33">
                        <c:v>45566</c:v>
                      </c:pt>
                      <c:pt idx="34">
                        <c:v>45597</c:v>
                      </c:pt>
                      <c:pt idx="35">
                        <c:v>45627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Data'!$G$45:$AP$45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1964.3503219199999</c:v>
                      </c:pt>
                      <c:pt idx="1">
                        <c:v>1964.3503219199999</c:v>
                      </c:pt>
                      <c:pt idx="2">
                        <c:v>3990.0865914000001</c:v>
                      </c:pt>
                      <c:pt idx="3">
                        <c:v>4450.4811981000003</c:v>
                      </c:pt>
                      <c:pt idx="4">
                        <c:v>6353.4455724600002</c:v>
                      </c:pt>
                      <c:pt idx="5">
                        <c:v>7212.8488382999994</c:v>
                      </c:pt>
                      <c:pt idx="6">
                        <c:v>11724.715983960001</c:v>
                      </c:pt>
                      <c:pt idx="7">
                        <c:v>10404.91811142</c:v>
                      </c:pt>
                      <c:pt idx="8">
                        <c:v>11847.487879080001</c:v>
                      </c:pt>
                      <c:pt idx="9">
                        <c:v>11694.023010180001</c:v>
                      </c:pt>
                      <c:pt idx="10">
                        <c:v>7918.78723524</c:v>
                      </c:pt>
                      <c:pt idx="11">
                        <c:v>4020.7795651800002</c:v>
                      </c:pt>
                      <c:pt idx="12">
                        <c:v>3345.5341420200002</c:v>
                      </c:pt>
                      <c:pt idx="13">
                        <c:v>920.78921339999999</c:v>
                      </c:pt>
                      <c:pt idx="14">
                        <c:v>1227.7189512</c:v>
                      </c:pt>
                      <c:pt idx="15">
                        <c:v>2117.8151908199998</c:v>
                      </c:pt>
                      <c:pt idx="16">
                        <c:v>4696.0249883400002</c:v>
                      </c:pt>
                      <c:pt idx="17">
                        <c:v>5678.2001493000007</c:v>
                      </c:pt>
                      <c:pt idx="18" formatCode="General">
                        <c:v>7498</c:v>
                      </c:pt>
                      <c:pt idx="19" formatCode="General">
                        <c:v>8593</c:v>
                      </c:pt>
                      <c:pt idx="20" formatCode="General">
                        <c:v>9178</c:v>
                      </c:pt>
                      <c:pt idx="21" formatCode="General">
                        <c:v>5770</c:v>
                      </c:pt>
                      <c:pt idx="22" formatCode="General">
                        <c:v>5758</c:v>
                      </c:pt>
                      <c:pt idx="23" formatCode="General">
                        <c:v>4300</c:v>
                      </c:pt>
                      <c:pt idx="24" formatCode="General">
                        <c:v>3325</c:v>
                      </c:pt>
                      <c:pt idx="25" formatCode="#,##0.00">
                        <c:v>1863</c:v>
                      </c:pt>
                      <c:pt idx="26" formatCode="General">
                        <c:v>1934</c:v>
                      </c:pt>
                      <c:pt idx="27" formatCode="General">
                        <c:v>3550</c:v>
                      </c:pt>
                      <c:pt idx="28" formatCode="General">
                        <c:v>5156</c:v>
                      </c:pt>
                      <c:pt idx="29" formatCode="General">
                        <c:v>6439</c:v>
                      </c:pt>
                      <c:pt idx="30" formatCode="General">
                        <c:v>7747</c:v>
                      </c:pt>
                      <c:pt idx="31" formatCode="General">
                        <c:v>6910</c:v>
                      </c:pt>
                      <c:pt idx="32" formatCode="General">
                        <c:v>6669</c:v>
                      </c:pt>
                      <c:pt idx="33" formatCode="General">
                        <c:v>4329</c:v>
                      </c:pt>
                      <c:pt idx="34" formatCode="General">
                        <c:v>3178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96B-4F2C-8054-0D0400BA80E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Microbiology, Biochemistry &amp; Staff Club</c:v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Data'!$G$28:$AP$28</c15:sqref>
                        </c15:formulaRef>
                      </c:ext>
                    </c:extLst>
                    <c:numCache>
                      <c:formatCode>mmm\-yy</c:formatCode>
                      <c:ptCount val="36"/>
                      <c:pt idx="0">
                        <c:v>44562</c:v>
                      </c:pt>
                      <c:pt idx="1">
                        <c:v>44593</c:v>
                      </c:pt>
                      <c:pt idx="2">
                        <c:v>44621</c:v>
                      </c:pt>
                      <c:pt idx="3">
                        <c:v>44652</c:v>
                      </c:pt>
                      <c:pt idx="4">
                        <c:v>44682</c:v>
                      </c:pt>
                      <c:pt idx="5">
                        <c:v>44713</c:v>
                      </c:pt>
                      <c:pt idx="6">
                        <c:v>44743</c:v>
                      </c:pt>
                      <c:pt idx="7">
                        <c:v>44774</c:v>
                      </c:pt>
                      <c:pt idx="8">
                        <c:v>44805</c:v>
                      </c:pt>
                      <c:pt idx="9">
                        <c:v>44835</c:v>
                      </c:pt>
                      <c:pt idx="10">
                        <c:v>44866</c:v>
                      </c:pt>
                      <c:pt idx="11">
                        <c:v>44896</c:v>
                      </c:pt>
                      <c:pt idx="12">
                        <c:v>44927</c:v>
                      </c:pt>
                      <c:pt idx="13">
                        <c:v>44958</c:v>
                      </c:pt>
                      <c:pt idx="14">
                        <c:v>44986</c:v>
                      </c:pt>
                      <c:pt idx="15">
                        <c:v>45017</c:v>
                      </c:pt>
                      <c:pt idx="16">
                        <c:v>45047</c:v>
                      </c:pt>
                      <c:pt idx="17">
                        <c:v>45078</c:v>
                      </c:pt>
                      <c:pt idx="18">
                        <c:v>45108</c:v>
                      </c:pt>
                      <c:pt idx="19">
                        <c:v>45139</c:v>
                      </c:pt>
                      <c:pt idx="20">
                        <c:v>45170</c:v>
                      </c:pt>
                      <c:pt idx="21">
                        <c:v>45200</c:v>
                      </c:pt>
                      <c:pt idx="22">
                        <c:v>45231</c:v>
                      </c:pt>
                      <c:pt idx="23">
                        <c:v>45261</c:v>
                      </c:pt>
                      <c:pt idx="24">
                        <c:v>45292</c:v>
                      </c:pt>
                      <c:pt idx="25">
                        <c:v>45323</c:v>
                      </c:pt>
                      <c:pt idx="26">
                        <c:v>45352</c:v>
                      </c:pt>
                      <c:pt idx="27">
                        <c:v>45383</c:v>
                      </c:pt>
                      <c:pt idx="28">
                        <c:v>45413</c:v>
                      </c:pt>
                      <c:pt idx="29">
                        <c:v>45444</c:v>
                      </c:pt>
                      <c:pt idx="30">
                        <c:v>45474</c:v>
                      </c:pt>
                      <c:pt idx="31">
                        <c:v>45505</c:v>
                      </c:pt>
                      <c:pt idx="32">
                        <c:v>45536</c:v>
                      </c:pt>
                      <c:pt idx="33">
                        <c:v>45566</c:v>
                      </c:pt>
                      <c:pt idx="34">
                        <c:v>45597</c:v>
                      </c:pt>
                      <c:pt idx="35">
                        <c:v>45627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Data'!$G$34:$AP$34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13860.560498400002</c:v>
                      </c:pt>
                      <c:pt idx="1">
                        <c:v>13860.560498400002</c:v>
                      </c:pt>
                      <c:pt idx="2">
                        <c:v>18351.099231300002</c:v>
                      </c:pt>
                      <c:pt idx="3">
                        <c:v>17714.644922700001</c:v>
                      </c:pt>
                      <c:pt idx="4">
                        <c:v>18315.740658600003</c:v>
                      </c:pt>
                      <c:pt idx="5">
                        <c:v>18740.043531000003</c:v>
                      </c:pt>
                      <c:pt idx="6">
                        <c:v>20720.123602200001</c:v>
                      </c:pt>
                      <c:pt idx="7">
                        <c:v>18952.194967200001</c:v>
                      </c:pt>
                      <c:pt idx="8">
                        <c:v>21674.805065100005</c:v>
                      </c:pt>
                      <c:pt idx="9">
                        <c:v>19517.9321304</c:v>
                      </c:pt>
                      <c:pt idx="10">
                        <c:v>16795.3220325</c:v>
                      </c:pt>
                      <c:pt idx="11">
                        <c:v>19517.9321304</c:v>
                      </c:pt>
                      <c:pt idx="12">
                        <c:v>18245.023513200002</c:v>
                      </c:pt>
                      <c:pt idx="13">
                        <c:v>11809.7632818</c:v>
                      </c:pt>
                      <c:pt idx="14">
                        <c:v>18174.306367800003</c:v>
                      </c:pt>
                      <c:pt idx="15">
                        <c:v>18492.533522100002</c:v>
                      </c:pt>
                      <c:pt idx="16">
                        <c:v>17856.079213500001</c:v>
                      </c:pt>
                      <c:pt idx="17">
                        <c:v>20048.310720900005</c:v>
                      </c:pt>
                      <c:pt idx="18" formatCode="General">
                        <c:v>19670</c:v>
                      </c:pt>
                      <c:pt idx="19" formatCode="General">
                        <c:v>20967</c:v>
                      </c:pt>
                      <c:pt idx="20" formatCode="General">
                        <c:v>22573</c:v>
                      </c:pt>
                      <c:pt idx="21" formatCode="General">
                        <c:v>21462</c:v>
                      </c:pt>
                      <c:pt idx="22" formatCode="General">
                        <c:v>19630</c:v>
                      </c:pt>
                      <c:pt idx="23" formatCode="General">
                        <c:v>19735</c:v>
                      </c:pt>
                      <c:pt idx="24" formatCode="General">
                        <c:v>15710</c:v>
                      </c:pt>
                      <c:pt idx="25" formatCode="#,##0.00">
                        <c:v>13000</c:v>
                      </c:pt>
                      <c:pt idx="26" formatCode="General">
                        <c:v>16932</c:v>
                      </c:pt>
                      <c:pt idx="27" formatCode="General">
                        <c:v>18482</c:v>
                      </c:pt>
                      <c:pt idx="28" formatCode="General">
                        <c:v>16651</c:v>
                      </c:pt>
                      <c:pt idx="29" formatCode="General">
                        <c:v>20445</c:v>
                      </c:pt>
                      <c:pt idx="30" formatCode="General">
                        <c:v>21624</c:v>
                      </c:pt>
                      <c:pt idx="31" formatCode="General">
                        <c:v>17687</c:v>
                      </c:pt>
                      <c:pt idx="32" formatCode="General">
                        <c:v>22802</c:v>
                      </c:pt>
                      <c:pt idx="33" formatCode="General">
                        <c:v>22059</c:v>
                      </c:pt>
                      <c:pt idx="34" formatCode="General">
                        <c:v>17180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96B-4F2C-8054-0D0400BA80E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97/99 Albany St Humanities</c:v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Data'!$G$28:$AP$28</c15:sqref>
                        </c15:formulaRef>
                      </c:ext>
                    </c:extLst>
                    <c:numCache>
                      <c:formatCode>mmm\-yy</c:formatCode>
                      <c:ptCount val="36"/>
                      <c:pt idx="0">
                        <c:v>44562</c:v>
                      </c:pt>
                      <c:pt idx="1">
                        <c:v>44593</c:v>
                      </c:pt>
                      <c:pt idx="2">
                        <c:v>44621</c:v>
                      </c:pt>
                      <c:pt idx="3">
                        <c:v>44652</c:v>
                      </c:pt>
                      <c:pt idx="4">
                        <c:v>44682</c:v>
                      </c:pt>
                      <c:pt idx="5">
                        <c:v>44713</c:v>
                      </c:pt>
                      <c:pt idx="6">
                        <c:v>44743</c:v>
                      </c:pt>
                      <c:pt idx="7">
                        <c:v>44774</c:v>
                      </c:pt>
                      <c:pt idx="8">
                        <c:v>44805</c:v>
                      </c:pt>
                      <c:pt idx="9">
                        <c:v>44835</c:v>
                      </c:pt>
                      <c:pt idx="10">
                        <c:v>44866</c:v>
                      </c:pt>
                      <c:pt idx="11">
                        <c:v>44896</c:v>
                      </c:pt>
                      <c:pt idx="12">
                        <c:v>44927</c:v>
                      </c:pt>
                      <c:pt idx="13">
                        <c:v>44958</c:v>
                      </c:pt>
                      <c:pt idx="14">
                        <c:v>44986</c:v>
                      </c:pt>
                      <c:pt idx="15">
                        <c:v>45017</c:v>
                      </c:pt>
                      <c:pt idx="16">
                        <c:v>45047</c:v>
                      </c:pt>
                      <c:pt idx="17">
                        <c:v>45078</c:v>
                      </c:pt>
                      <c:pt idx="18">
                        <c:v>45108</c:v>
                      </c:pt>
                      <c:pt idx="19">
                        <c:v>45139</c:v>
                      </c:pt>
                      <c:pt idx="20">
                        <c:v>45170</c:v>
                      </c:pt>
                      <c:pt idx="21">
                        <c:v>45200</c:v>
                      </c:pt>
                      <c:pt idx="22">
                        <c:v>45231</c:v>
                      </c:pt>
                      <c:pt idx="23">
                        <c:v>45261</c:v>
                      </c:pt>
                      <c:pt idx="24">
                        <c:v>45292</c:v>
                      </c:pt>
                      <c:pt idx="25">
                        <c:v>45323</c:v>
                      </c:pt>
                      <c:pt idx="26">
                        <c:v>45352</c:v>
                      </c:pt>
                      <c:pt idx="27">
                        <c:v>45383</c:v>
                      </c:pt>
                      <c:pt idx="28">
                        <c:v>45413</c:v>
                      </c:pt>
                      <c:pt idx="29">
                        <c:v>45444</c:v>
                      </c:pt>
                      <c:pt idx="30">
                        <c:v>45474</c:v>
                      </c:pt>
                      <c:pt idx="31">
                        <c:v>45505</c:v>
                      </c:pt>
                      <c:pt idx="32">
                        <c:v>45536</c:v>
                      </c:pt>
                      <c:pt idx="33">
                        <c:v>45566</c:v>
                      </c:pt>
                      <c:pt idx="34">
                        <c:v>45597</c:v>
                      </c:pt>
                      <c:pt idx="35">
                        <c:v>45627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Data'!$G$44:$AP$44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1459.9174665599999</c:v>
                      </c:pt>
                      <c:pt idx="1">
                        <c:v>1459.9174665599999</c:v>
                      </c:pt>
                      <c:pt idx="2">
                        <c:v>1733.6519915399999</c:v>
                      </c:pt>
                      <c:pt idx="3">
                        <c:v>1976.9715692999998</c:v>
                      </c:pt>
                      <c:pt idx="4">
                        <c:v>2828.5900914599997</c:v>
                      </c:pt>
                      <c:pt idx="5">
                        <c:v>3102.3246164399998</c:v>
                      </c:pt>
                      <c:pt idx="6">
                        <c:v>4805.5616607599995</c:v>
                      </c:pt>
                      <c:pt idx="7">
                        <c:v>6539.2136522999999</c:v>
                      </c:pt>
                      <c:pt idx="8">
                        <c:v>5505.10544682</c:v>
                      </c:pt>
                      <c:pt idx="9">
                        <c:v>5292.2008162799993</c:v>
                      </c:pt>
                      <c:pt idx="10">
                        <c:v>3953.9431385999997</c:v>
                      </c:pt>
                      <c:pt idx="11">
                        <c:v>2919.8349331199997</c:v>
                      </c:pt>
                      <c:pt idx="12">
                        <c:v>2281.1210415</c:v>
                      </c:pt>
                      <c:pt idx="13">
                        <c:v>1003.69325826</c:v>
                      </c:pt>
                      <c:pt idx="14">
                        <c:v>1155.7679943600001</c:v>
                      </c:pt>
                      <c:pt idx="15">
                        <c:v>2159.4612526199999</c:v>
                      </c:pt>
                      <c:pt idx="16">
                        <c:v>4075.6029274799998</c:v>
                      </c:pt>
                      <c:pt idx="17">
                        <c:v>4531.8271357799995</c:v>
                      </c:pt>
                      <c:pt idx="18" formatCode="General">
                        <c:v>4800</c:v>
                      </c:pt>
                      <c:pt idx="19" formatCode="General">
                        <c:v>5718</c:v>
                      </c:pt>
                      <c:pt idx="20" formatCode="General">
                        <c:v>5450</c:v>
                      </c:pt>
                      <c:pt idx="21" formatCode="General">
                        <c:v>3589</c:v>
                      </c:pt>
                      <c:pt idx="22" formatCode="General">
                        <c:v>4097</c:v>
                      </c:pt>
                      <c:pt idx="23" formatCode="General">
                        <c:v>2465</c:v>
                      </c:pt>
                      <c:pt idx="24" formatCode="General">
                        <c:v>2150</c:v>
                      </c:pt>
                      <c:pt idx="25" formatCode="#,##0.00">
                        <c:v>1413</c:v>
                      </c:pt>
                      <c:pt idx="26" formatCode="General">
                        <c:v>1018</c:v>
                      </c:pt>
                      <c:pt idx="27" formatCode="General">
                        <c:v>1533</c:v>
                      </c:pt>
                      <c:pt idx="28" formatCode="General">
                        <c:v>2419</c:v>
                      </c:pt>
                      <c:pt idx="29" formatCode="General">
                        <c:v>3160</c:v>
                      </c:pt>
                      <c:pt idx="30" formatCode="General">
                        <c:v>3089</c:v>
                      </c:pt>
                      <c:pt idx="31" formatCode="General">
                        <c:v>4360</c:v>
                      </c:pt>
                      <c:pt idx="32" formatCode="General">
                        <c:v>4956</c:v>
                      </c:pt>
                      <c:pt idx="33" formatCode="General">
                        <c:v>4198</c:v>
                      </c:pt>
                      <c:pt idx="34" formatCode="General">
                        <c:v>3361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96B-4F2C-8054-0D0400BA80E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Psychology</c:v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Data'!$G$28:$AP$28</c15:sqref>
                        </c15:formulaRef>
                      </c:ext>
                    </c:extLst>
                    <c:numCache>
                      <c:formatCode>mmm\-yy</c:formatCode>
                      <c:ptCount val="36"/>
                      <c:pt idx="0">
                        <c:v>44562</c:v>
                      </c:pt>
                      <c:pt idx="1">
                        <c:v>44593</c:v>
                      </c:pt>
                      <c:pt idx="2">
                        <c:v>44621</c:v>
                      </c:pt>
                      <c:pt idx="3">
                        <c:v>44652</c:v>
                      </c:pt>
                      <c:pt idx="4">
                        <c:v>44682</c:v>
                      </c:pt>
                      <c:pt idx="5">
                        <c:v>44713</c:v>
                      </c:pt>
                      <c:pt idx="6">
                        <c:v>44743</c:v>
                      </c:pt>
                      <c:pt idx="7">
                        <c:v>44774</c:v>
                      </c:pt>
                      <c:pt idx="8">
                        <c:v>44805</c:v>
                      </c:pt>
                      <c:pt idx="9">
                        <c:v>44835</c:v>
                      </c:pt>
                      <c:pt idx="10">
                        <c:v>44866</c:v>
                      </c:pt>
                      <c:pt idx="11">
                        <c:v>44896</c:v>
                      </c:pt>
                      <c:pt idx="12">
                        <c:v>44927</c:v>
                      </c:pt>
                      <c:pt idx="13">
                        <c:v>44958</c:v>
                      </c:pt>
                      <c:pt idx="14">
                        <c:v>44986</c:v>
                      </c:pt>
                      <c:pt idx="15">
                        <c:v>45017</c:v>
                      </c:pt>
                      <c:pt idx="16">
                        <c:v>45047</c:v>
                      </c:pt>
                      <c:pt idx="17">
                        <c:v>45078</c:v>
                      </c:pt>
                      <c:pt idx="18">
                        <c:v>45108</c:v>
                      </c:pt>
                      <c:pt idx="19">
                        <c:v>45139</c:v>
                      </c:pt>
                      <c:pt idx="20">
                        <c:v>45170</c:v>
                      </c:pt>
                      <c:pt idx="21">
                        <c:v>45200</c:v>
                      </c:pt>
                      <c:pt idx="22">
                        <c:v>45231</c:v>
                      </c:pt>
                      <c:pt idx="23">
                        <c:v>45261</c:v>
                      </c:pt>
                      <c:pt idx="24">
                        <c:v>45292</c:v>
                      </c:pt>
                      <c:pt idx="25">
                        <c:v>45323</c:v>
                      </c:pt>
                      <c:pt idx="26">
                        <c:v>45352</c:v>
                      </c:pt>
                      <c:pt idx="27">
                        <c:v>45383</c:v>
                      </c:pt>
                      <c:pt idx="28">
                        <c:v>45413</c:v>
                      </c:pt>
                      <c:pt idx="29">
                        <c:v>45444</c:v>
                      </c:pt>
                      <c:pt idx="30">
                        <c:v>45474</c:v>
                      </c:pt>
                      <c:pt idx="31">
                        <c:v>45505</c:v>
                      </c:pt>
                      <c:pt idx="32">
                        <c:v>45536</c:v>
                      </c:pt>
                      <c:pt idx="33">
                        <c:v>45566</c:v>
                      </c:pt>
                      <c:pt idx="34">
                        <c:v>45597</c:v>
                      </c:pt>
                      <c:pt idx="35">
                        <c:v>45627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Data'!$G$37:$AP$37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72668.219027040002</c:v>
                      </c:pt>
                      <c:pt idx="1">
                        <c:v>72668.219027040002</c:v>
                      </c:pt>
                      <c:pt idx="2">
                        <c:v>11321.2415232</c:v>
                      </c:pt>
                      <c:pt idx="3">
                        <c:v>5483.7263627999992</c:v>
                      </c:pt>
                      <c:pt idx="4">
                        <c:v>118554.62607576</c:v>
                      </c:pt>
                      <c:pt idx="5">
                        <c:v>150218.72346096</c:v>
                      </c:pt>
                      <c:pt idx="6">
                        <c:v>50131.872619920003</c:v>
                      </c:pt>
                      <c:pt idx="7">
                        <c:v>94603.124478239988</c:v>
                      </c:pt>
                      <c:pt idx="8">
                        <c:v>41393.289319200005</c:v>
                      </c:pt>
                      <c:pt idx="9">
                        <c:v>50627.176936559998</c:v>
                      </c:pt>
                      <c:pt idx="10">
                        <c:v>30496.594353119999</c:v>
                      </c:pt>
                      <c:pt idx="11">
                        <c:v>19069.21619064</c:v>
                      </c:pt>
                      <c:pt idx="12">
                        <c:v>17724.818759760001</c:v>
                      </c:pt>
                      <c:pt idx="13">
                        <c:v>6969.6393127199999</c:v>
                      </c:pt>
                      <c:pt idx="14">
                        <c:v>3396.3724569599999</c:v>
                      </c:pt>
                      <c:pt idx="15">
                        <c:v>3927.0556533600002</c:v>
                      </c:pt>
                      <c:pt idx="16">
                        <c:v>4563.8754890399996</c:v>
                      </c:pt>
                      <c:pt idx="17">
                        <c:v>3962.4345331200002</c:v>
                      </c:pt>
                      <c:pt idx="18" formatCode="General">
                        <c:v>4125</c:v>
                      </c:pt>
                      <c:pt idx="19" formatCode="General">
                        <c:v>4184</c:v>
                      </c:pt>
                      <c:pt idx="20" formatCode="General">
                        <c:v>4060</c:v>
                      </c:pt>
                      <c:pt idx="21" formatCode="General">
                        <c:v>3502</c:v>
                      </c:pt>
                      <c:pt idx="22" formatCode="General">
                        <c:v>2683</c:v>
                      </c:pt>
                      <c:pt idx="23" formatCode="General">
                        <c:v>4637</c:v>
                      </c:pt>
                      <c:pt idx="24" formatCode="General">
                        <c:v>1981</c:v>
                      </c:pt>
                      <c:pt idx="25" formatCode="#,##0.00">
                        <c:v>1912</c:v>
                      </c:pt>
                      <c:pt idx="26" formatCode="General">
                        <c:v>906</c:v>
                      </c:pt>
                      <c:pt idx="27" formatCode="General">
                        <c:v>944</c:v>
                      </c:pt>
                      <c:pt idx="28" formatCode="General">
                        <c:v>1442</c:v>
                      </c:pt>
                      <c:pt idx="29" formatCode="General">
                        <c:v>990</c:v>
                      </c:pt>
                      <c:pt idx="30" formatCode="General">
                        <c:v>1530</c:v>
                      </c:pt>
                      <c:pt idx="31" formatCode="General">
                        <c:v>1179</c:v>
                      </c:pt>
                      <c:pt idx="32" formatCode="General">
                        <c:v>1068</c:v>
                      </c:pt>
                      <c:pt idx="33" formatCode="General">
                        <c:v>1380</c:v>
                      </c:pt>
                      <c:pt idx="34" formatCode="General">
                        <c:v>986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96B-4F2C-8054-0D0400BA80E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v>Smithell's Gym</c:v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Data'!$G$28:$AP$28</c15:sqref>
                        </c15:formulaRef>
                      </c:ext>
                    </c:extLst>
                    <c:numCache>
                      <c:formatCode>mmm\-yy</c:formatCode>
                      <c:ptCount val="36"/>
                      <c:pt idx="0">
                        <c:v>44562</c:v>
                      </c:pt>
                      <c:pt idx="1">
                        <c:v>44593</c:v>
                      </c:pt>
                      <c:pt idx="2">
                        <c:v>44621</c:v>
                      </c:pt>
                      <c:pt idx="3">
                        <c:v>44652</c:v>
                      </c:pt>
                      <c:pt idx="4">
                        <c:v>44682</c:v>
                      </c:pt>
                      <c:pt idx="5">
                        <c:v>44713</c:v>
                      </c:pt>
                      <c:pt idx="6">
                        <c:v>44743</c:v>
                      </c:pt>
                      <c:pt idx="7">
                        <c:v>44774</c:v>
                      </c:pt>
                      <c:pt idx="8">
                        <c:v>44805</c:v>
                      </c:pt>
                      <c:pt idx="9">
                        <c:v>44835</c:v>
                      </c:pt>
                      <c:pt idx="10">
                        <c:v>44866</c:v>
                      </c:pt>
                      <c:pt idx="11">
                        <c:v>44896</c:v>
                      </c:pt>
                      <c:pt idx="12">
                        <c:v>44927</c:v>
                      </c:pt>
                      <c:pt idx="13">
                        <c:v>44958</c:v>
                      </c:pt>
                      <c:pt idx="14">
                        <c:v>44986</c:v>
                      </c:pt>
                      <c:pt idx="15">
                        <c:v>45017</c:v>
                      </c:pt>
                      <c:pt idx="16">
                        <c:v>45047</c:v>
                      </c:pt>
                      <c:pt idx="17">
                        <c:v>45078</c:v>
                      </c:pt>
                      <c:pt idx="18">
                        <c:v>45108</c:v>
                      </c:pt>
                      <c:pt idx="19">
                        <c:v>45139</c:v>
                      </c:pt>
                      <c:pt idx="20">
                        <c:v>45170</c:v>
                      </c:pt>
                      <c:pt idx="21">
                        <c:v>45200</c:v>
                      </c:pt>
                      <c:pt idx="22">
                        <c:v>45231</c:v>
                      </c:pt>
                      <c:pt idx="23">
                        <c:v>45261</c:v>
                      </c:pt>
                      <c:pt idx="24">
                        <c:v>45292</c:v>
                      </c:pt>
                      <c:pt idx="25">
                        <c:v>45323</c:v>
                      </c:pt>
                      <c:pt idx="26">
                        <c:v>45352</c:v>
                      </c:pt>
                      <c:pt idx="27">
                        <c:v>45383</c:v>
                      </c:pt>
                      <c:pt idx="28">
                        <c:v>45413</c:v>
                      </c:pt>
                      <c:pt idx="29">
                        <c:v>45444</c:v>
                      </c:pt>
                      <c:pt idx="30">
                        <c:v>45474</c:v>
                      </c:pt>
                      <c:pt idx="31">
                        <c:v>45505</c:v>
                      </c:pt>
                      <c:pt idx="32">
                        <c:v>45536</c:v>
                      </c:pt>
                      <c:pt idx="33">
                        <c:v>45566</c:v>
                      </c:pt>
                      <c:pt idx="34">
                        <c:v>45597</c:v>
                      </c:pt>
                      <c:pt idx="35">
                        <c:v>45627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Data'!$G$39:$AP$39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1220.3659519200003</c:v>
                      </c:pt>
                      <c:pt idx="3">
                        <c:v>169.4952711</c:v>
                      </c:pt>
                      <c:pt idx="4">
                        <c:v>6237.4259764800008</c:v>
                      </c:pt>
                      <c:pt idx="5">
                        <c:v>14678.290477260001</c:v>
                      </c:pt>
                      <c:pt idx="6">
                        <c:v>33051.577864500003</c:v>
                      </c:pt>
                      <c:pt idx="7">
                        <c:v>24610.713363720002</c:v>
                      </c:pt>
                      <c:pt idx="8">
                        <c:v>9152.7446394000017</c:v>
                      </c:pt>
                      <c:pt idx="9">
                        <c:v>21627.596592360002</c:v>
                      </c:pt>
                      <c:pt idx="10">
                        <c:v>17254.618597980003</c:v>
                      </c:pt>
                      <c:pt idx="11">
                        <c:v>7254.3976030800004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891.9030666000001</c:v>
                      </c:pt>
                      <c:pt idx="16">
                        <c:v>6140.4095739000004</c:v>
                      </c:pt>
                      <c:pt idx="17">
                        <c:v>14064.625281000001</c:v>
                      </c:pt>
                      <c:pt idx="18" formatCode="General">
                        <c:v>27911</c:v>
                      </c:pt>
                      <c:pt idx="19" formatCode="General">
                        <c:v>23807</c:v>
                      </c:pt>
                      <c:pt idx="20" formatCode="General">
                        <c:v>23417</c:v>
                      </c:pt>
                      <c:pt idx="21" formatCode="General">
                        <c:v>16271</c:v>
                      </c:pt>
                      <c:pt idx="22" formatCode="General">
                        <c:v>16653</c:v>
                      </c:pt>
                      <c:pt idx="23" formatCode="General">
                        <c:v>14165</c:v>
                      </c:pt>
                      <c:pt idx="24" formatCode="General">
                        <c:v>0</c:v>
                      </c:pt>
                      <c:pt idx="25" formatCode="General">
                        <c:v>0</c:v>
                      </c:pt>
                      <c:pt idx="26" formatCode="General">
                        <c:v>0</c:v>
                      </c:pt>
                      <c:pt idx="27" formatCode="General">
                        <c:v>0</c:v>
                      </c:pt>
                      <c:pt idx="28" formatCode="General">
                        <c:v>10463</c:v>
                      </c:pt>
                      <c:pt idx="29" formatCode="General">
                        <c:v>24926</c:v>
                      </c:pt>
                      <c:pt idx="30" formatCode="General">
                        <c:v>32106</c:v>
                      </c:pt>
                      <c:pt idx="31" formatCode="General">
                        <c:v>22472</c:v>
                      </c:pt>
                      <c:pt idx="32" formatCode="General">
                        <c:v>24521</c:v>
                      </c:pt>
                      <c:pt idx="33" formatCode="General">
                        <c:v>22403</c:v>
                      </c:pt>
                      <c:pt idx="34" formatCode="General">
                        <c:v>17753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96B-4F2C-8054-0D0400BA80ED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v>Hocken Library</c:v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Data'!$G$43:$AP$43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124805.8461309</c:v>
                      </c:pt>
                      <c:pt idx="1">
                        <c:v>124805.8461309</c:v>
                      </c:pt>
                      <c:pt idx="2">
                        <c:v>88032.995156699995</c:v>
                      </c:pt>
                      <c:pt idx="3">
                        <c:v>95192.608737600007</c:v>
                      </c:pt>
                      <c:pt idx="4">
                        <c:v>76638.117203999995</c:v>
                      </c:pt>
                      <c:pt idx="5">
                        <c:v>86486.787528900008</c:v>
                      </c:pt>
                      <c:pt idx="6">
                        <c:v>72907.050971699995</c:v>
                      </c:pt>
                      <c:pt idx="7">
                        <c:v>55024.823624099998</c:v>
                      </c:pt>
                      <c:pt idx="8">
                        <c:v>54621.465112500002</c:v>
                      </c:pt>
                      <c:pt idx="9">
                        <c:v>45411.445764299999</c:v>
                      </c:pt>
                      <c:pt idx="10">
                        <c:v>49310.578043100002</c:v>
                      </c:pt>
                      <c:pt idx="11">
                        <c:v>67797.843158100004</c:v>
                      </c:pt>
                      <c:pt idx="12">
                        <c:v>67764.229948799999</c:v>
                      </c:pt>
                      <c:pt idx="13">
                        <c:v>41064.522912</c:v>
                      </c:pt>
                      <c:pt idx="14">
                        <c:v>50338.261002959996</c:v>
                      </c:pt>
                      <c:pt idx="15">
                        <c:v>76243.130873279995</c:v>
                      </c:pt>
                      <c:pt idx="16">
                        <c:v>88973.132975999994</c:v>
                      </c:pt>
                      <c:pt idx="17">
                        <c:v>72376.221632399989</c:v>
                      </c:pt>
                      <c:pt idx="18" formatCode="General">
                        <c:v>75266</c:v>
                      </c:pt>
                      <c:pt idx="19" formatCode="General">
                        <c:v>50601</c:v>
                      </c:pt>
                      <c:pt idx="20" formatCode="General">
                        <c:v>61980</c:v>
                      </c:pt>
                      <c:pt idx="21" formatCode="General">
                        <c:v>49483</c:v>
                      </c:pt>
                      <c:pt idx="22" formatCode="General">
                        <c:v>50162</c:v>
                      </c:pt>
                      <c:pt idx="23" formatCode="General">
                        <c:v>66873</c:v>
                      </c:pt>
                      <c:pt idx="24" formatCode="General">
                        <c:v>57687</c:v>
                      </c:pt>
                      <c:pt idx="25" formatCode="#,##0.00">
                        <c:v>89911</c:v>
                      </c:pt>
                      <c:pt idx="26" formatCode="General">
                        <c:v>69310</c:v>
                      </c:pt>
                      <c:pt idx="27" formatCode="General">
                        <c:v>63831</c:v>
                      </c:pt>
                      <c:pt idx="28" formatCode="General">
                        <c:v>78917</c:v>
                      </c:pt>
                      <c:pt idx="29" formatCode="General">
                        <c:v>56579</c:v>
                      </c:pt>
                      <c:pt idx="30" formatCode="General">
                        <c:v>69992</c:v>
                      </c:pt>
                      <c:pt idx="31" formatCode="General">
                        <c:v>70162</c:v>
                      </c:pt>
                      <c:pt idx="32" formatCode="General">
                        <c:v>68910</c:v>
                      </c:pt>
                      <c:pt idx="33" formatCode="General">
                        <c:v>55175</c:v>
                      </c:pt>
                      <c:pt idx="34" formatCode="General">
                        <c:v>67394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C8F-4718-A809-45B61811A40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v>Property Services</c:v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Data'!$G$36:$AP$36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368.44311419999997</c:v>
                      </c:pt>
                      <c:pt idx="1">
                        <c:v>368.44311419999997</c:v>
                      </c:pt>
                      <c:pt idx="2">
                        <c:v>736.88622839999994</c:v>
                      </c:pt>
                      <c:pt idx="3">
                        <c:v>884.26347407999992</c:v>
                      </c:pt>
                      <c:pt idx="4">
                        <c:v>2394.8802422999997</c:v>
                      </c:pt>
                      <c:pt idx="5">
                        <c:v>2505.41317656</c:v>
                      </c:pt>
                      <c:pt idx="6">
                        <c:v>2837.0119793399999</c:v>
                      </c:pt>
                      <c:pt idx="7">
                        <c:v>773.73053981999999</c:v>
                      </c:pt>
                      <c:pt idx="8">
                        <c:v>4163.4071904599996</c:v>
                      </c:pt>
                      <c:pt idx="9">
                        <c:v>2358.0359308799998</c:v>
                      </c:pt>
                      <c:pt idx="10">
                        <c:v>1768.5269481599998</c:v>
                      </c:pt>
                      <c:pt idx="11">
                        <c:v>663.19760556000006</c:v>
                      </c:pt>
                      <c:pt idx="12">
                        <c:v>589.50898271999995</c:v>
                      </c:pt>
                      <c:pt idx="13">
                        <c:v>221.06586851999998</c:v>
                      </c:pt>
                      <c:pt idx="14">
                        <c:v>368.44311419999997</c:v>
                      </c:pt>
                      <c:pt idx="15">
                        <c:v>921.10778549999986</c:v>
                      </c:pt>
                      <c:pt idx="16">
                        <c:v>1400.08383396</c:v>
                      </c:pt>
                      <c:pt idx="17">
                        <c:v>1805.3712595799998</c:v>
                      </c:pt>
                      <c:pt idx="18" formatCode="General">
                        <c:v>2630</c:v>
                      </c:pt>
                      <c:pt idx="19" formatCode="General">
                        <c:v>2383</c:v>
                      </c:pt>
                      <c:pt idx="20" formatCode="General">
                        <c:v>4637</c:v>
                      </c:pt>
                      <c:pt idx="21" formatCode="General">
                        <c:v>1769</c:v>
                      </c:pt>
                      <c:pt idx="22" formatCode="General">
                        <c:v>1397</c:v>
                      </c:pt>
                      <c:pt idx="23" formatCode="General">
                        <c:v>1032</c:v>
                      </c:pt>
                      <c:pt idx="24" formatCode="General">
                        <c:v>744</c:v>
                      </c:pt>
                      <c:pt idx="25" formatCode="General">
                        <c:v>105</c:v>
                      </c:pt>
                      <c:pt idx="26" formatCode="General">
                        <c:v>181</c:v>
                      </c:pt>
                      <c:pt idx="27" formatCode="General">
                        <c:v>3314</c:v>
                      </c:pt>
                      <c:pt idx="28" formatCode="General">
                        <c:v>-696</c:v>
                      </c:pt>
                      <c:pt idx="29" formatCode="General">
                        <c:v>2871</c:v>
                      </c:pt>
                      <c:pt idx="30" formatCode="General">
                        <c:v>3557</c:v>
                      </c:pt>
                      <c:pt idx="31" formatCode="General">
                        <c:v>3831</c:v>
                      </c:pt>
                      <c:pt idx="32" formatCode="General">
                        <c:v>4633</c:v>
                      </c:pt>
                      <c:pt idx="33" formatCode="General">
                        <c:v>3023</c:v>
                      </c:pt>
                      <c:pt idx="34" formatCode="General">
                        <c:v>405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C8F-4718-A809-45B61811A403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v>St Margaret's College</c:v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Data'!$G$40:$AP$40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2364.4739834100001</c:v>
                      </c:pt>
                      <c:pt idx="1">
                        <c:v>2364.4739834100001</c:v>
                      </c:pt>
                      <c:pt idx="2">
                        <c:v>2610.1336180499998</c:v>
                      </c:pt>
                      <c:pt idx="3">
                        <c:v>3899.8466999099996</c:v>
                      </c:pt>
                      <c:pt idx="4">
                        <c:v>3254.9901589799997</c:v>
                      </c:pt>
                      <c:pt idx="5">
                        <c:v>3347.1125219700002</c:v>
                      </c:pt>
                      <c:pt idx="6">
                        <c:v>4084.0914258899998</c:v>
                      </c:pt>
                      <c:pt idx="7">
                        <c:v>3316.4050676400002</c:v>
                      </c:pt>
                      <c:pt idx="8">
                        <c:v>3807.72433692</c:v>
                      </c:pt>
                      <c:pt idx="9">
                        <c:v>3285.6976133100002</c:v>
                      </c:pt>
                      <c:pt idx="10">
                        <c:v>3838.4317912500001</c:v>
                      </c:pt>
                      <c:pt idx="11">
                        <c:v>3930.5541542399997</c:v>
                      </c:pt>
                      <c:pt idx="12">
                        <c:v>31198.773599279997</c:v>
                      </c:pt>
                      <c:pt idx="13">
                        <c:v>4790.3628754800002</c:v>
                      </c:pt>
                      <c:pt idx="14">
                        <c:v>2364.4739834100001</c:v>
                      </c:pt>
                      <c:pt idx="15">
                        <c:v>3408.5274306300003</c:v>
                      </c:pt>
                      <c:pt idx="16">
                        <c:v>3562.0647022799999</c:v>
                      </c:pt>
                      <c:pt idx="17">
                        <c:v>4667.5330581600001</c:v>
                      </c:pt>
                      <c:pt idx="18" formatCode="General">
                        <c:v>4568</c:v>
                      </c:pt>
                      <c:pt idx="19" formatCode="General">
                        <c:v>4283</c:v>
                      </c:pt>
                      <c:pt idx="20" formatCode="General">
                        <c:v>4266</c:v>
                      </c:pt>
                      <c:pt idx="21" formatCode="General">
                        <c:v>3593</c:v>
                      </c:pt>
                      <c:pt idx="22" formatCode="General">
                        <c:v>3983</c:v>
                      </c:pt>
                      <c:pt idx="23" formatCode="General">
                        <c:v>8081</c:v>
                      </c:pt>
                      <c:pt idx="24" formatCode="General">
                        <c:v>13589</c:v>
                      </c:pt>
                      <c:pt idx="25" formatCode="#,##0.00">
                        <c:v>21312</c:v>
                      </c:pt>
                      <c:pt idx="26" formatCode="General">
                        <c:v>20620</c:v>
                      </c:pt>
                      <c:pt idx="27" formatCode="General">
                        <c:v>3369</c:v>
                      </c:pt>
                      <c:pt idx="28" formatCode="General">
                        <c:v>3663</c:v>
                      </c:pt>
                      <c:pt idx="29" formatCode="General">
                        <c:v>5798</c:v>
                      </c:pt>
                      <c:pt idx="30" formatCode="General">
                        <c:v>33903</c:v>
                      </c:pt>
                      <c:pt idx="31" formatCode="General">
                        <c:v>33198</c:v>
                      </c:pt>
                      <c:pt idx="32" formatCode="General">
                        <c:v>10995</c:v>
                      </c:pt>
                      <c:pt idx="33" formatCode="General">
                        <c:v>19932</c:v>
                      </c:pt>
                      <c:pt idx="34" formatCode="General">
                        <c:v>27271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C8F-4718-A809-45B61811A403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v>University Union</c:v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Data'!$G$42:$AP$42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48.216629999999896</c:v>
                      </c:pt>
                      <c:pt idx="1">
                        <c:v>48.216629999999896</c:v>
                      </c:pt>
                      <c:pt idx="2">
                        <c:v>125.94829639999989</c:v>
                      </c:pt>
                      <c:pt idx="3">
                        <c:v>3019.0602064000004</c:v>
                      </c:pt>
                      <c:pt idx="4">
                        <c:v>3376.5804940000003</c:v>
                      </c:pt>
                      <c:pt idx="5">
                        <c:v>4171.0700220000008</c:v>
                      </c:pt>
                      <c:pt idx="6">
                        <c:v>5680.6001252000005</c:v>
                      </c:pt>
                      <c:pt idx="7">
                        <c:v>3495.7539232000004</c:v>
                      </c:pt>
                      <c:pt idx="8">
                        <c:v>5124.4574556000007</c:v>
                      </c:pt>
                      <c:pt idx="9">
                        <c:v>5045.0085028000003</c:v>
                      </c:pt>
                      <c:pt idx="10">
                        <c:v>4290.2434512000009</c:v>
                      </c:pt>
                      <c:pt idx="11">
                        <c:v>4687.4882152000009</c:v>
                      </c:pt>
                      <c:pt idx="12">
                        <c:v>4528.5903096000011</c:v>
                      </c:pt>
                      <c:pt idx="13">
                        <c:v>4845.6612992</c:v>
                      </c:pt>
                      <c:pt idx="14">
                        <c:v>4101.1702387200003</c:v>
                      </c:pt>
                      <c:pt idx="15">
                        <c:v>9127.1141587200018</c:v>
                      </c:pt>
                      <c:pt idx="16">
                        <c:v>7559.0196556800011</c:v>
                      </c:pt>
                      <c:pt idx="17">
                        <c:v>10252.925596800002</c:v>
                      </c:pt>
                      <c:pt idx="18" formatCode="General">
                        <c:v>7528</c:v>
                      </c:pt>
                      <c:pt idx="19" formatCode="General">
                        <c:v>7559</c:v>
                      </c:pt>
                      <c:pt idx="20" formatCode="General">
                        <c:v>9202</c:v>
                      </c:pt>
                      <c:pt idx="21" formatCode="General">
                        <c:v>9337</c:v>
                      </c:pt>
                      <c:pt idx="22" formatCode="General">
                        <c:v>9640</c:v>
                      </c:pt>
                      <c:pt idx="23" formatCode="General">
                        <c:v>6728</c:v>
                      </c:pt>
                      <c:pt idx="24" formatCode="General">
                        <c:v>4689</c:v>
                      </c:pt>
                      <c:pt idx="25" formatCode="General">
                        <c:v>-915</c:v>
                      </c:pt>
                      <c:pt idx="26" formatCode="General">
                        <c:v>6773</c:v>
                      </c:pt>
                      <c:pt idx="27" formatCode="General">
                        <c:v>9676</c:v>
                      </c:pt>
                      <c:pt idx="28" formatCode="General">
                        <c:v>7793</c:v>
                      </c:pt>
                      <c:pt idx="29" formatCode="General">
                        <c:v>11090</c:v>
                      </c:pt>
                      <c:pt idx="30" formatCode="General">
                        <c:v>7286</c:v>
                      </c:pt>
                      <c:pt idx="31" formatCode="General">
                        <c:v>5099</c:v>
                      </c:pt>
                      <c:pt idx="32" formatCode="General">
                        <c:v>11632</c:v>
                      </c:pt>
                      <c:pt idx="33" formatCode="General">
                        <c:v>10011</c:v>
                      </c:pt>
                      <c:pt idx="34" formatCode="General">
                        <c:v>10246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C8F-4718-A809-45B61811A403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v>Zoology Benham &amp; Marples</c:v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Data'!$G$46:$AP$46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42007.997355029998</c:v>
                      </c:pt>
                      <c:pt idx="1">
                        <c:v>42007.997355029998</c:v>
                      </c:pt>
                      <c:pt idx="2">
                        <c:v>35532.18823896</c:v>
                      </c:pt>
                      <c:pt idx="3">
                        <c:v>38481.90233895</c:v>
                      </c:pt>
                      <c:pt idx="4">
                        <c:v>51501.330090629999</c:v>
                      </c:pt>
                      <c:pt idx="5">
                        <c:v>58756.948681410002</c:v>
                      </c:pt>
                      <c:pt idx="6">
                        <c:v>99171.422327250009</c:v>
                      </c:pt>
                      <c:pt idx="7">
                        <c:v>96357.327266339998</c:v>
                      </c:pt>
                      <c:pt idx="8">
                        <c:v>85745.137458330006</c:v>
                      </c:pt>
                      <c:pt idx="9">
                        <c:v>85982.470776720002</c:v>
                      </c:pt>
                      <c:pt idx="10">
                        <c:v>78523.423627319993</c:v>
                      </c:pt>
                      <c:pt idx="11">
                        <c:v>61774.472300940004</c:v>
                      </c:pt>
                      <c:pt idx="12">
                        <c:v>54925.710827399998</c:v>
                      </c:pt>
                      <c:pt idx="13">
                        <c:v>46178.282806740004</c:v>
                      </c:pt>
                      <c:pt idx="14">
                        <c:v>36922.283389529999</c:v>
                      </c:pt>
                      <c:pt idx="15">
                        <c:v>43703.235343529996</c:v>
                      </c:pt>
                      <c:pt idx="16">
                        <c:v>65741.329194029997</c:v>
                      </c:pt>
                      <c:pt idx="17">
                        <c:v>67809.519539999994</c:v>
                      </c:pt>
                      <c:pt idx="18" formatCode="General">
                        <c:v>89873</c:v>
                      </c:pt>
                      <c:pt idx="19" formatCode="General">
                        <c:v>113153</c:v>
                      </c:pt>
                      <c:pt idx="20" formatCode="General">
                        <c:v>112043</c:v>
                      </c:pt>
                      <c:pt idx="21" formatCode="General">
                        <c:v>81100</c:v>
                      </c:pt>
                      <c:pt idx="22" formatCode="General">
                        <c:v>74463</c:v>
                      </c:pt>
                      <c:pt idx="23" formatCode="General">
                        <c:v>65645</c:v>
                      </c:pt>
                      <c:pt idx="24" formatCode="General">
                        <c:v>49309</c:v>
                      </c:pt>
                      <c:pt idx="25" formatCode="#,##0.00">
                        <c:v>48800</c:v>
                      </c:pt>
                      <c:pt idx="26" formatCode="General">
                        <c:v>50142</c:v>
                      </c:pt>
                      <c:pt idx="27" formatCode="General">
                        <c:v>51578</c:v>
                      </c:pt>
                      <c:pt idx="28" formatCode="General">
                        <c:v>62078</c:v>
                      </c:pt>
                      <c:pt idx="29" formatCode="General">
                        <c:v>75430</c:v>
                      </c:pt>
                      <c:pt idx="30" formatCode="General">
                        <c:v>97711</c:v>
                      </c:pt>
                      <c:pt idx="31" formatCode="General">
                        <c:v>90596</c:v>
                      </c:pt>
                      <c:pt idx="32" formatCode="General">
                        <c:v>94123</c:v>
                      </c:pt>
                      <c:pt idx="33" formatCode="General">
                        <c:v>80301</c:v>
                      </c:pt>
                      <c:pt idx="34" formatCode="General">
                        <c:v>73151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C8F-4718-A809-45B61811A403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v>Zoology Parker</c:v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Data'!$G$48:$AP$48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8116.9246008900009</c:v>
                      </c:pt>
                      <c:pt idx="1">
                        <c:v>8116.9246008900009</c:v>
                      </c:pt>
                      <c:pt idx="2">
                        <c:v>5472.0840005999999</c:v>
                      </c:pt>
                      <c:pt idx="3">
                        <c:v>5593.6858672799999</c:v>
                      </c:pt>
                      <c:pt idx="4">
                        <c:v>6353.6975340300005</c:v>
                      </c:pt>
                      <c:pt idx="5">
                        <c:v>6080.0933340000001</c:v>
                      </c:pt>
                      <c:pt idx="6">
                        <c:v>8208.1260008999998</c:v>
                      </c:pt>
                      <c:pt idx="7">
                        <c:v>3587.2550670600003</c:v>
                      </c:pt>
                      <c:pt idx="8">
                        <c:v>7660.91760084</c:v>
                      </c:pt>
                      <c:pt idx="9">
                        <c:v>7934.5218008700003</c:v>
                      </c:pt>
                      <c:pt idx="10">
                        <c:v>7356.9129341400003</c:v>
                      </c:pt>
                      <c:pt idx="11">
                        <c:v>6840.1050007499998</c:v>
                      </c:pt>
                      <c:pt idx="12">
                        <c:v>6049.6928673299999</c:v>
                      </c:pt>
                      <c:pt idx="13">
                        <c:v>6080.0933340000001</c:v>
                      </c:pt>
                      <c:pt idx="14">
                        <c:v>60.80093334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3344.0513337000002</c:v>
                      </c:pt>
                      <c:pt idx="18" formatCode="General">
                        <c:v>8465</c:v>
                      </c:pt>
                      <c:pt idx="19" formatCode="General">
                        <c:v>8880</c:v>
                      </c:pt>
                      <c:pt idx="20" formatCode="General">
                        <c:v>8416</c:v>
                      </c:pt>
                      <c:pt idx="21" formatCode="General">
                        <c:v>7175</c:v>
                      </c:pt>
                      <c:pt idx="22" formatCode="General">
                        <c:v>7250</c:v>
                      </c:pt>
                      <c:pt idx="23" formatCode="General">
                        <c:v>7818</c:v>
                      </c:pt>
                      <c:pt idx="24" formatCode="General">
                        <c:v>5248</c:v>
                      </c:pt>
                      <c:pt idx="25" formatCode="General">
                        <c:v>0</c:v>
                      </c:pt>
                      <c:pt idx="26" formatCode="General">
                        <c:v>269</c:v>
                      </c:pt>
                      <c:pt idx="27" formatCode="General">
                        <c:v>6792</c:v>
                      </c:pt>
                      <c:pt idx="28" formatCode="General">
                        <c:v>8371</c:v>
                      </c:pt>
                      <c:pt idx="29" formatCode="General">
                        <c:v>8717</c:v>
                      </c:pt>
                      <c:pt idx="30" formatCode="General">
                        <c:v>10700</c:v>
                      </c:pt>
                      <c:pt idx="31" formatCode="General">
                        <c:v>9299</c:v>
                      </c:pt>
                      <c:pt idx="32" formatCode="General">
                        <c:v>11375</c:v>
                      </c:pt>
                      <c:pt idx="33" formatCode="General">
                        <c:v>12133</c:v>
                      </c:pt>
                      <c:pt idx="34" formatCode="General">
                        <c:v>11472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C8F-4718-A809-45B61811A403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v>F512 270 Leith Walk</c:v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Data'!$G$29:$AP$29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6594.8749229999994</c:v>
                      </c:pt>
                      <c:pt idx="1">
                        <c:v>6594.8749229999994</c:v>
                      </c:pt>
                      <c:pt idx="2">
                        <c:v>5208.2601955999999</c:v>
                      </c:pt>
                      <c:pt idx="3">
                        <c:v>7744.7505505999998</c:v>
                      </c:pt>
                      <c:pt idx="4">
                        <c:v>13697.047917</c:v>
                      </c:pt>
                      <c:pt idx="5">
                        <c:v>17045.215185600002</c:v>
                      </c:pt>
                      <c:pt idx="6">
                        <c:v>27969.033647799999</c:v>
                      </c:pt>
                      <c:pt idx="7">
                        <c:v>25973.661235200001</c:v>
                      </c:pt>
                      <c:pt idx="8">
                        <c:v>23707.729851399999</c:v>
                      </c:pt>
                      <c:pt idx="9">
                        <c:v>21509.4382104</c:v>
                      </c:pt>
                      <c:pt idx="10">
                        <c:v>3531.3918384600001</c:v>
                      </c:pt>
                      <c:pt idx="11">
                        <c:v>12390.848556000001</c:v>
                      </c:pt>
                      <c:pt idx="12">
                        <c:v>12390.848556000001</c:v>
                      </c:pt>
                      <c:pt idx="13">
                        <c:v>12390.848556000001</c:v>
                      </c:pt>
                      <c:pt idx="14">
                        <c:v>3283.5748673400008</c:v>
                      </c:pt>
                      <c:pt idx="15">
                        <c:v>5854.6759427100005</c:v>
                      </c:pt>
                      <c:pt idx="16">
                        <c:v>13629.933411600001</c:v>
                      </c:pt>
                      <c:pt idx="17">
                        <c:v>12669.642648510002</c:v>
                      </c:pt>
                      <c:pt idx="18" formatCode="General">
                        <c:v>17327</c:v>
                      </c:pt>
                      <c:pt idx="19" formatCode="General">
                        <c:v>20565</c:v>
                      </c:pt>
                      <c:pt idx="20" formatCode="General">
                        <c:v>22678</c:v>
                      </c:pt>
                      <c:pt idx="21" formatCode="General">
                        <c:v>15768</c:v>
                      </c:pt>
                      <c:pt idx="22" formatCode="General">
                        <c:v>14012</c:v>
                      </c:pt>
                      <c:pt idx="23" formatCode="General">
                        <c:v>12882</c:v>
                      </c:pt>
                      <c:pt idx="24" formatCode="General">
                        <c:v>8585</c:v>
                      </c:pt>
                      <c:pt idx="25" formatCode="#,##0.00">
                        <c:v>4818</c:v>
                      </c:pt>
                      <c:pt idx="26" formatCode="General">
                        <c:v>5952</c:v>
                      </c:pt>
                      <c:pt idx="27" formatCode="General">
                        <c:v>11562</c:v>
                      </c:pt>
                      <c:pt idx="28" formatCode="General">
                        <c:v>12368</c:v>
                      </c:pt>
                      <c:pt idx="29" formatCode="General">
                        <c:v>19958</c:v>
                      </c:pt>
                      <c:pt idx="30" formatCode="General">
                        <c:v>23378</c:v>
                      </c:pt>
                      <c:pt idx="31" formatCode="General">
                        <c:v>18783</c:v>
                      </c:pt>
                      <c:pt idx="32" formatCode="General">
                        <c:v>23531</c:v>
                      </c:pt>
                      <c:pt idx="33" formatCode="General">
                        <c:v>20101</c:v>
                      </c:pt>
                      <c:pt idx="34" formatCode="General">
                        <c:v>15884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C8F-4718-A809-45B61811A403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v>Dental</c:v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Data'!$G$50:$AP$50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744.79919887999995</c:v>
                      </c:pt>
                      <c:pt idx="3">
                        <c:v>1523.4529067999999</c:v>
                      </c:pt>
                      <c:pt idx="4">
                        <c:v>0</c:v>
                      </c:pt>
                      <c:pt idx="5">
                        <c:v>1958.5250624</c:v>
                      </c:pt>
                      <c:pt idx="6">
                        <c:v>1979.5912096000029</c:v>
                      </c:pt>
                      <c:pt idx="7">
                        <c:v>1546.3141924800002</c:v>
                      </c:pt>
                      <c:pt idx="8">
                        <c:v>52943.547147999998</c:v>
                      </c:pt>
                      <c:pt idx="9">
                        <c:v>19393.991632079997</c:v>
                      </c:pt>
                      <c:pt idx="10">
                        <c:v>8619.979972000001</c:v>
                      </c:pt>
                      <c:pt idx="11">
                        <c:v>0</c:v>
                      </c:pt>
                      <c:pt idx="12">
                        <c:v>6639.7314056000032</c:v>
                      </c:pt>
                      <c:pt idx="13">
                        <c:v>661.45490960000006</c:v>
                      </c:pt>
                      <c:pt idx="14">
                        <c:v>1015.6352711999999</c:v>
                      </c:pt>
                      <c:pt idx="15">
                        <c:v>1049.4897802400001</c:v>
                      </c:pt>
                      <c:pt idx="16">
                        <c:v>6026.1026091200001</c:v>
                      </c:pt>
                      <c:pt idx="17">
                        <c:v>2166.6885785600002</c:v>
                      </c:pt>
                      <c:pt idx="18" formatCode="General">
                        <c:v>1983</c:v>
                      </c:pt>
                      <c:pt idx="19" formatCode="General">
                        <c:v>4049</c:v>
                      </c:pt>
                      <c:pt idx="20" formatCode="General">
                        <c:v>2660</c:v>
                      </c:pt>
                      <c:pt idx="21" formatCode="General">
                        <c:v>2573</c:v>
                      </c:pt>
                      <c:pt idx="22" formatCode="General">
                        <c:v>2912</c:v>
                      </c:pt>
                      <c:pt idx="23" formatCode="General">
                        <c:v>2880</c:v>
                      </c:pt>
                      <c:pt idx="24" formatCode="General">
                        <c:v>2082</c:v>
                      </c:pt>
                      <c:pt idx="25" formatCode="#,##0.00">
                        <c:v>2204</c:v>
                      </c:pt>
                      <c:pt idx="26" formatCode="General">
                        <c:v>2205</c:v>
                      </c:pt>
                      <c:pt idx="27" formatCode="General">
                        <c:v>2082</c:v>
                      </c:pt>
                      <c:pt idx="28" formatCode="General">
                        <c:v>-2904</c:v>
                      </c:pt>
                      <c:pt idx="29" formatCode="General">
                        <c:v>1798</c:v>
                      </c:pt>
                      <c:pt idx="30" formatCode="General">
                        <c:v>-1333</c:v>
                      </c:pt>
                      <c:pt idx="31" formatCode="General">
                        <c:v>240</c:v>
                      </c:pt>
                      <c:pt idx="32" formatCode="General">
                        <c:v>239</c:v>
                      </c:pt>
                      <c:pt idx="33" formatCode="General">
                        <c:v>1660</c:v>
                      </c:pt>
                      <c:pt idx="34" formatCode="General">
                        <c:v>1552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C8F-4718-A809-45B61811A403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v>Childcare</c:v>
                </c:tx>
                <c:spPr>
                  <a:ln w="349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Data'!$G$53:$AP$53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597.81652259999998</c:v>
                      </c:pt>
                      <c:pt idx="8">
                        <c:v>39.854434839999996</c:v>
                      </c:pt>
                      <c:pt idx="9">
                        <c:v>358.68991355999998</c:v>
                      </c:pt>
                      <c:pt idx="10">
                        <c:v>597.81652259999998</c:v>
                      </c:pt>
                      <c:pt idx="11">
                        <c:v>39.854434839999996</c:v>
                      </c:pt>
                      <c:pt idx="12">
                        <c:v>597.81652259999998</c:v>
                      </c:pt>
                      <c:pt idx="13">
                        <c:v>79.708869679999992</c:v>
                      </c:pt>
                      <c:pt idx="14">
                        <c:v>10999.82401584</c:v>
                      </c:pt>
                      <c:pt idx="15">
                        <c:v>26383.635864080003</c:v>
                      </c:pt>
                      <c:pt idx="16">
                        <c:v>31564.712393279999</c:v>
                      </c:pt>
                      <c:pt idx="17">
                        <c:v>7851.3236634799996</c:v>
                      </c:pt>
                      <c:pt idx="18" formatCode="General">
                        <c:v>7660</c:v>
                      </c:pt>
                      <c:pt idx="19" formatCode="General">
                        <c:v>3569</c:v>
                      </c:pt>
                      <c:pt idx="20" formatCode="General">
                        <c:v>4430</c:v>
                      </c:pt>
                      <c:pt idx="21" formatCode="General">
                        <c:v>40</c:v>
                      </c:pt>
                      <c:pt idx="22" formatCode="General">
                        <c:v>600</c:v>
                      </c:pt>
                      <c:pt idx="23" formatCode="General">
                        <c:v>13237</c:v>
                      </c:pt>
                      <c:pt idx="24" formatCode="General">
                        <c:v>17453</c:v>
                      </c:pt>
                      <c:pt idx="25" formatCode="General">
                        <c:v>196</c:v>
                      </c:pt>
                      <c:pt idx="26" formatCode="General">
                        <c:v>705</c:v>
                      </c:pt>
                      <c:pt idx="27" formatCode="General">
                        <c:v>79</c:v>
                      </c:pt>
                      <c:pt idx="28" formatCode="General">
                        <c:v>6697</c:v>
                      </c:pt>
                      <c:pt idx="29" formatCode="General">
                        <c:v>8870</c:v>
                      </c:pt>
                      <c:pt idx="30" formatCode="General">
                        <c:v>6366</c:v>
                      </c:pt>
                      <c:pt idx="31" formatCode="General">
                        <c:v>3245</c:v>
                      </c:pt>
                      <c:pt idx="32" formatCode="General">
                        <c:v>80</c:v>
                      </c:pt>
                      <c:pt idx="33" formatCode="General">
                        <c:v>79</c:v>
                      </c:pt>
                      <c:pt idx="34" formatCode="General">
                        <c:v>394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C8F-4718-A809-45B61811A403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v>Arana</c:v>
                </c:tx>
                <c:spPr>
                  <a:ln w="349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Data'!$G$49:$AP$49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3168.6385244799999</c:v>
                      </c:pt>
                      <c:pt idx="1">
                        <c:v>3168.6385244799999</c:v>
                      </c:pt>
                      <c:pt idx="2">
                        <c:v>8226.2730924000007</c:v>
                      </c:pt>
                      <c:pt idx="3">
                        <c:v>12004.265179279999</c:v>
                      </c:pt>
                      <c:pt idx="4">
                        <c:v>10237.139848319999</c:v>
                      </c:pt>
                      <c:pt idx="5">
                        <c:v>14654.95317572</c:v>
                      </c:pt>
                      <c:pt idx="6">
                        <c:v>12430.812672959999</c:v>
                      </c:pt>
                      <c:pt idx="7">
                        <c:v>9627.7862859199995</c:v>
                      </c:pt>
                      <c:pt idx="8">
                        <c:v>10359.010560799999</c:v>
                      </c:pt>
                      <c:pt idx="9">
                        <c:v>9079.3680797599991</c:v>
                      </c:pt>
                      <c:pt idx="10">
                        <c:v>9201.2387922399994</c:v>
                      </c:pt>
                      <c:pt idx="11">
                        <c:v>5910.7295552799997</c:v>
                      </c:pt>
                      <c:pt idx="12">
                        <c:v>3534.2506619199999</c:v>
                      </c:pt>
                      <c:pt idx="13">
                        <c:v>1286</c:v>
                      </c:pt>
                      <c:pt idx="14">
                        <c:v>20041.130626319999</c:v>
                      </c:pt>
                      <c:pt idx="15">
                        <c:v>7891.1286330799994</c:v>
                      </c:pt>
                      <c:pt idx="16">
                        <c:v>9384.0448609600007</c:v>
                      </c:pt>
                      <c:pt idx="17">
                        <c:v>9323.1095047199997</c:v>
                      </c:pt>
                      <c:pt idx="18" formatCode="General">
                        <c:v>9379</c:v>
                      </c:pt>
                      <c:pt idx="19" formatCode="General">
                        <c:v>9413</c:v>
                      </c:pt>
                      <c:pt idx="20" formatCode="General">
                        <c:v>10068</c:v>
                      </c:pt>
                      <c:pt idx="21" formatCode="General">
                        <c:v>8775</c:v>
                      </c:pt>
                      <c:pt idx="22" formatCode="General">
                        <c:v>10152</c:v>
                      </c:pt>
                      <c:pt idx="23" formatCode="General">
                        <c:v>4824</c:v>
                      </c:pt>
                      <c:pt idx="24" formatCode="General">
                        <c:v>4748</c:v>
                      </c:pt>
                      <c:pt idx="25" formatCode="#,##0.00">
                        <c:v>-4724</c:v>
                      </c:pt>
                      <c:pt idx="26" formatCode="General">
                        <c:v>0</c:v>
                      </c:pt>
                      <c:pt idx="27" formatCode="General">
                        <c:v>0</c:v>
                      </c:pt>
                      <c:pt idx="28" formatCode="General">
                        <c:v>0</c:v>
                      </c:pt>
                      <c:pt idx="29" formatCode="General">
                        <c:v>0</c:v>
                      </c:pt>
                      <c:pt idx="30" formatCode="General">
                        <c:v>0</c:v>
                      </c:pt>
                      <c:pt idx="31" formatCode="General">
                        <c:v>0</c:v>
                      </c:pt>
                      <c:pt idx="32" formatCode="General">
                        <c:v>0</c:v>
                      </c:pt>
                      <c:pt idx="33" formatCode="General">
                        <c:v>0</c:v>
                      </c:pt>
                      <c:pt idx="34" formatCode="General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C8F-4718-A809-45B61811A403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v>Aquinas</c:v>
                </c:tx>
                <c:spPr>
                  <a:ln w="3492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Data'!$G$55:$AP$55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2926.78093752</c:v>
                      </c:pt>
                      <c:pt idx="1">
                        <c:v>2926.78093752</c:v>
                      </c:pt>
                      <c:pt idx="2">
                        <c:v>4656.2424006000001</c:v>
                      </c:pt>
                      <c:pt idx="3">
                        <c:v>8602.9621496799991</c:v>
                      </c:pt>
                      <c:pt idx="4">
                        <c:v>7538.6781724000002</c:v>
                      </c:pt>
                      <c:pt idx="5">
                        <c:v>12150.575407280001</c:v>
                      </c:pt>
                      <c:pt idx="6">
                        <c:v>9578.5557955200002</c:v>
                      </c:pt>
                      <c:pt idx="7">
                        <c:v>10421.1139442</c:v>
                      </c:pt>
                      <c:pt idx="8">
                        <c:v>12727.062561639999</c:v>
                      </c:pt>
                      <c:pt idx="9">
                        <c:v>11618.433418640001</c:v>
                      </c:pt>
                      <c:pt idx="10">
                        <c:v>11529.7430872</c:v>
                      </c:pt>
                      <c:pt idx="11">
                        <c:v>5498.8005492800003</c:v>
                      </c:pt>
                      <c:pt idx="12">
                        <c:v>3503.2680918799997</c:v>
                      </c:pt>
                      <c:pt idx="13">
                        <c:v>3325.8874289999999</c:v>
                      </c:pt>
                      <c:pt idx="14">
                        <c:v>4789.2778977600001</c:v>
                      </c:pt>
                      <c:pt idx="15">
                        <c:v>8602.9621496799991</c:v>
                      </c:pt>
                      <c:pt idx="16">
                        <c:v>8425.5814867999998</c:v>
                      </c:pt>
                      <c:pt idx="17">
                        <c:v>9933.3171212800007</c:v>
                      </c:pt>
                      <c:pt idx="18" formatCode="General">
                        <c:v>0</c:v>
                      </c:pt>
                      <c:pt idx="19" formatCode="General">
                        <c:v>0</c:v>
                      </c:pt>
                      <c:pt idx="20" formatCode="General">
                        <c:v>0</c:v>
                      </c:pt>
                      <c:pt idx="21" formatCode="General">
                        <c:v>35872</c:v>
                      </c:pt>
                      <c:pt idx="22" formatCode="General">
                        <c:v>13238</c:v>
                      </c:pt>
                      <c:pt idx="23" formatCode="General">
                        <c:v>5341</c:v>
                      </c:pt>
                      <c:pt idx="24" formatCode="General">
                        <c:v>1288</c:v>
                      </c:pt>
                      <c:pt idx="25" formatCode="General">
                        <c:v>0</c:v>
                      </c:pt>
                      <c:pt idx="26" formatCode="General">
                        <c:v>0</c:v>
                      </c:pt>
                      <c:pt idx="27" formatCode="General">
                        <c:v>0</c:v>
                      </c:pt>
                      <c:pt idx="28" formatCode="General">
                        <c:v>0</c:v>
                      </c:pt>
                      <c:pt idx="29" formatCode="General">
                        <c:v>0</c:v>
                      </c:pt>
                      <c:pt idx="30" formatCode="General">
                        <c:v>0</c:v>
                      </c:pt>
                      <c:pt idx="31" formatCode="General">
                        <c:v>0</c:v>
                      </c:pt>
                      <c:pt idx="32" formatCode="General">
                        <c:v>0</c:v>
                      </c:pt>
                      <c:pt idx="33" formatCode="General">
                        <c:v>0</c:v>
                      </c:pt>
                      <c:pt idx="34" formatCode="General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C8F-4718-A809-45B61811A403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v>Marsh Study</c:v>
                </c:tx>
                <c:spPr>
                  <a:ln w="3492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Data'!$G$52:$AP$52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61.470044260000002</c:v>
                      </c:pt>
                      <c:pt idx="5">
                        <c:v>522.49537621000002</c:v>
                      </c:pt>
                      <c:pt idx="6">
                        <c:v>399.55528769000006</c:v>
                      </c:pt>
                      <c:pt idx="7">
                        <c:v>30.735022130000001</c:v>
                      </c:pt>
                      <c:pt idx="8">
                        <c:v>184.41013278000003</c:v>
                      </c:pt>
                      <c:pt idx="9">
                        <c:v>153.67511065000002</c:v>
                      </c:pt>
                      <c:pt idx="10">
                        <c:v>276.61519917000004</c:v>
                      </c:pt>
                      <c:pt idx="11">
                        <c:v>30.735022130000001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184.41013278000003</c:v>
                      </c:pt>
                      <c:pt idx="17">
                        <c:v>245.88017704000001</c:v>
                      </c:pt>
                      <c:pt idx="18" formatCode="General">
                        <c:v>1198</c:v>
                      </c:pt>
                      <c:pt idx="19" formatCode="General">
                        <c:v>645</c:v>
                      </c:pt>
                      <c:pt idx="20" formatCode="General">
                        <c:v>489</c:v>
                      </c:pt>
                      <c:pt idx="21" formatCode="General">
                        <c:v>0</c:v>
                      </c:pt>
                      <c:pt idx="22" formatCode="General">
                        <c:v>92</c:v>
                      </c:pt>
                      <c:pt idx="23" formatCode="General">
                        <c:v>0</c:v>
                      </c:pt>
                      <c:pt idx="24" formatCode="General">
                        <c:v>0</c:v>
                      </c:pt>
                      <c:pt idx="25" formatCode="General">
                        <c:v>0</c:v>
                      </c:pt>
                      <c:pt idx="26" formatCode="General">
                        <c:v>0</c:v>
                      </c:pt>
                      <c:pt idx="27" formatCode="General">
                        <c:v>0</c:v>
                      </c:pt>
                      <c:pt idx="28" formatCode="General">
                        <c:v>0</c:v>
                      </c:pt>
                      <c:pt idx="29" formatCode="General">
                        <c:v>213</c:v>
                      </c:pt>
                      <c:pt idx="30" formatCode="General">
                        <c:v>31</c:v>
                      </c:pt>
                      <c:pt idx="31" formatCode="General">
                        <c:v>0</c:v>
                      </c:pt>
                      <c:pt idx="32" formatCode="General">
                        <c:v>31</c:v>
                      </c:pt>
                      <c:pt idx="33" formatCode="General">
                        <c:v>30</c:v>
                      </c:pt>
                      <c:pt idx="34" formatCode="General">
                        <c:v>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C8F-4718-A809-45B61811A403}"/>
                  </c:ext>
                </c:extLst>
              </c15:ser>
            </c15:filteredLineSeries>
          </c:ext>
        </c:extLst>
      </c:lineChart>
      <c:dateAx>
        <c:axId val="-167490540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904248"/>
        <c:crosses val="autoZero"/>
        <c:auto val="1"/>
        <c:lblOffset val="100"/>
        <c:baseTimeUnit val="months"/>
      </c:dateAx>
      <c:valAx>
        <c:axId val="-167490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90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2320460247309038E-2"/>
          <c:y val="0.17179383967138637"/>
          <c:w val="0.12229631247998515"/>
          <c:h val="0.553069924555394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Gas Consumption Breakdown - Colleges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366363700086452"/>
          <c:y val="5.1652110607820614E-2"/>
          <c:w val="0.69964957644389403"/>
          <c:h val="0.81951451083123961"/>
        </c:manualLayout>
      </c:layout>
      <c:lineChart>
        <c:grouping val="standard"/>
        <c:varyColors val="0"/>
        <c:ser>
          <c:idx val="0"/>
          <c:order val="0"/>
          <c:tx>
            <c:v>University College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'Gas Data'!$G$28:$AP$28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'Gas Data'!$G$47:$AP$47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395.92140588000001</c:v>
                </c:pt>
                <c:pt idx="3">
                  <c:v>1400.95266696</c:v>
                </c:pt>
                <c:pt idx="4">
                  <c:v>1126.85323212</c:v>
                </c:pt>
                <c:pt idx="5">
                  <c:v>1492.3191452399999</c:v>
                </c:pt>
                <c:pt idx="6">
                  <c:v>1370.4971742</c:v>
                </c:pt>
                <c:pt idx="7">
                  <c:v>1096.3977393600001</c:v>
                </c:pt>
                <c:pt idx="8">
                  <c:v>1492.3191452399999</c:v>
                </c:pt>
                <c:pt idx="9">
                  <c:v>1370.4971742</c:v>
                </c:pt>
                <c:pt idx="10">
                  <c:v>1461.8636524799999</c:v>
                </c:pt>
                <c:pt idx="11">
                  <c:v>944.12027555999998</c:v>
                </c:pt>
                <c:pt idx="12">
                  <c:v>60.910985520000004</c:v>
                </c:pt>
                <c:pt idx="13">
                  <c:v>121.82197104000001</c:v>
                </c:pt>
                <c:pt idx="14">
                  <c:v>395.92140588000001</c:v>
                </c:pt>
                <c:pt idx="15">
                  <c:v>639.56534796000005</c:v>
                </c:pt>
                <c:pt idx="16">
                  <c:v>730.93182623999996</c:v>
                </c:pt>
                <c:pt idx="17">
                  <c:v>944.12027555999998</c:v>
                </c:pt>
                <c:pt idx="18" formatCode="General">
                  <c:v>1010</c:v>
                </c:pt>
                <c:pt idx="19" formatCode="General">
                  <c:v>770</c:v>
                </c:pt>
                <c:pt idx="20" formatCode="General">
                  <c:v>920</c:v>
                </c:pt>
                <c:pt idx="21" formatCode="General">
                  <c:v>761</c:v>
                </c:pt>
                <c:pt idx="22" formatCode="General">
                  <c:v>881</c:v>
                </c:pt>
                <c:pt idx="23" formatCode="General">
                  <c:v>579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210</c:v>
                </c:pt>
                <c:pt idx="27" formatCode="General">
                  <c:v>692</c:v>
                </c:pt>
                <c:pt idx="28" formatCode="General">
                  <c:v>696</c:v>
                </c:pt>
                <c:pt idx="29" formatCode="General">
                  <c:v>974</c:v>
                </c:pt>
                <c:pt idx="30" formatCode="General">
                  <c:v>919</c:v>
                </c:pt>
                <c:pt idx="31" formatCode="General">
                  <c:v>430</c:v>
                </c:pt>
                <c:pt idx="32" formatCode="General">
                  <c:v>919</c:v>
                </c:pt>
                <c:pt idx="33" formatCode="General">
                  <c:v>1097</c:v>
                </c:pt>
                <c:pt idx="34" formatCode="General">
                  <c:v>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FF-45CD-B2D8-D3445C15B710}"/>
            </c:ext>
          </c:extLst>
        </c:ser>
        <c:ser>
          <c:idx val="1"/>
          <c:order val="1"/>
          <c:tx>
            <c:v>Caroline Freeman College East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'Gas Data'!$G$28:$AP$28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'Gas Data'!$G$32:$AP$32</c:f>
              <c:numCache>
                <c:formatCode>0.00</c:formatCode>
                <c:ptCount val="36"/>
                <c:pt idx="0">
                  <c:v>3304.5247014000001</c:v>
                </c:pt>
                <c:pt idx="1">
                  <c:v>3304.5247014000001</c:v>
                </c:pt>
                <c:pt idx="2">
                  <c:v>8138.0085930000005</c:v>
                </c:pt>
                <c:pt idx="3">
                  <c:v>15338.9131662</c:v>
                </c:pt>
                <c:pt idx="4">
                  <c:v>20320.360850400004</c:v>
                </c:pt>
                <c:pt idx="5">
                  <c:v>20714.930964000003</c:v>
                </c:pt>
                <c:pt idx="6">
                  <c:v>25647.057384</c:v>
                </c:pt>
                <c:pt idx="7">
                  <c:v>17114.478677400002</c:v>
                </c:pt>
                <c:pt idx="8">
                  <c:v>20000</c:v>
                </c:pt>
                <c:pt idx="9">
                  <c:v>23501.3550244</c:v>
                </c:pt>
                <c:pt idx="10">
                  <c:v>22194.568890000002</c:v>
                </c:pt>
                <c:pt idx="11">
                  <c:v>17015.836149000002</c:v>
                </c:pt>
                <c:pt idx="12">
                  <c:v>8335.2936497999999</c:v>
                </c:pt>
                <c:pt idx="13">
                  <c:v>8631.2212350000009</c:v>
                </c:pt>
                <c:pt idx="14">
                  <c:v>8384.6149139999998</c:v>
                </c:pt>
                <c:pt idx="15">
                  <c:v>14895.021788400001</c:v>
                </c:pt>
                <c:pt idx="16">
                  <c:v>16621.2660354</c:v>
                </c:pt>
                <c:pt idx="17">
                  <c:v>22983.709117200004</c:v>
                </c:pt>
                <c:pt idx="18" formatCode="General">
                  <c:v>16110</c:v>
                </c:pt>
                <c:pt idx="19" formatCode="General">
                  <c:v>12604</c:v>
                </c:pt>
                <c:pt idx="20" formatCode="General">
                  <c:v>20616</c:v>
                </c:pt>
                <c:pt idx="21" formatCode="General">
                  <c:v>14507</c:v>
                </c:pt>
                <c:pt idx="22" formatCode="General">
                  <c:v>15591</c:v>
                </c:pt>
                <c:pt idx="23" formatCode="General">
                  <c:v>12037</c:v>
                </c:pt>
                <c:pt idx="24" formatCode="General">
                  <c:v>5065</c:v>
                </c:pt>
                <c:pt idx="25" formatCode="#,##0.00">
                  <c:v>5606</c:v>
                </c:pt>
                <c:pt idx="26" formatCode="General">
                  <c:v>4271</c:v>
                </c:pt>
                <c:pt idx="27" formatCode="General">
                  <c:v>10685</c:v>
                </c:pt>
                <c:pt idx="28" formatCode="General">
                  <c:v>13204</c:v>
                </c:pt>
                <c:pt idx="29" formatCode="General">
                  <c:v>14218</c:v>
                </c:pt>
                <c:pt idx="30" formatCode="General">
                  <c:v>15672</c:v>
                </c:pt>
                <c:pt idx="31" formatCode="General">
                  <c:v>5987</c:v>
                </c:pt>
                <c:pt idx="32" formatCode="General">
                  <c:v>20831</c:v>
                </c:pt>
                <c:pt idx="33" formatCode="General">
                  <c:v>15833</c:v>
                </c:pt>
                <c:pt idx="34" formatCode="General">
                  <c:v>16875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FF-45CD-B2D8-D3445C15B710}"/>
            </c:ext>
          </c:extLst>
        </c:ser>
        <c:ser>
          <c:idx val="12"/>
          <c:order val="12"/>
          <c:tx>
            <c:v>St Margaret's College</c:v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'Gas Data'!$G$40:$AP$40</c:f>
              <c:numCache>
                <c:formatCode>0.00</c:formatCode>
                <c:ptCount val="36"/>
                <c:pt idx="0">
                  <c:v>2364.4739834100001</c:v>
                </c:pt>
                <c:pt idx="1">
                  <c:v>2364.4739834100001</c:v>
                </c:pt>
                <c:pt idx="2">
                  <c:v>2610.1336180499998</c:v>
                </c:pt>
                <c:pt idx="3">
                  <c:v>3899.8466999099996</c:v>
                </c:pt>
                <c:pt idx="4">
                  <c:v>3254.9901589799997</c:v>
                </c:pt>
                <c:pt idx="5">
                  <c:v>3347.1125219700002</c:v>
                </c:pt>
                <c:pt idx="6">
                  <c:v>4084.0914258899998</c:v>
                </c:pt>
                <c:pt idx="7">
                  <c:v>3316.4050676400002</c:v>
                </c:pt>
                <c:pt idx="8">
                  <c:v>3807.72433692</c:v>
                </c:pt>
                <c:pt idx="9">
                  <c:v>3285.6976133100002</c:v>
                </c:pt>
                <c:pt idx="10">
                  <c:v>3838.4317912500001</c:v>
                </c:pt>
                <c:pt idx="11">
                  <c:v>3930.5541542399997</c:v>
                </c:pt>
                <c:pt idx="12">
                  <c:v>31198.773599279997</c:v>
                </c:pt>
                <c:pt idx="13">
                  <c:v>4790.3628754800002</c:v>
                </c:pt>
                <c:pt idx="14">
                  <c:v>2364.4739834100001</c:v>
                </c:pt>
                <c:pt idx="15">
                  <c:v>3408.5274306300003</c:v>
                </c:pt>
                <c:pt idx="16">
                  <c:v>3562.0647022799999</c:v>
                </c:pt>
                <c:pt idx="17">
                  <c:v>4667.5330581600001</c:v>
                </c:pt>
                <c:pt idx="18" formatCode="General">
                  <c:v>4568</c:v>
                </c:pt>
                <c:pt idx="19" formatCode="General">
                  <c:v>4283</c:v>
                </c:pt>
                <c:pt idx="20" formatCode="General">
                  <c:v>4266</c:v>
                </c:pt>
                <c:pt idx="21" formatCode="General">
                  <c:v>3593</c:v>
                </c:pt>
                <c:pt idx="22" formatCode="General">
                  <c:v>3983</c:v>
                </c:pt>
                <c:pt idx="23" formatCode="General">
                  <c:v>8081</c:v>
                </c:pt>
                <c:pt idx="24" formatCode="General">
                  <c:v>13589</c:v>
                </c:pt>
                <c:pt idx="25" formatCode="#,##0.00">
                  <c:v>21312</c:v>
                </c:pt>
                <c:pt idx="26" formatCode="General">
                  <c:v>20620</c:v>
                </c:pt>
                <c:pt idx="27" formatCode="General">
                  <c:v>3369</c:v>
                </c:pt>
                <c:pt idx="28" formatCode="General">
                  <c:v>3663</c:v>
                </c:pt>
                <c:pt idx="29" formatCode="General">
                  <c:v>5798</c:v>
                </c:pt>
                <c:pt idx="30" formatCode="General">
                  <c:v>33903</c:v>
                </c:pt>
                <c:pt idx="31" formatCode="General">
                  <c:v>33198</c:v>
                </c:pt>
                <c:pt idx="32" formatCode="General">
                  <c:v>10995</c:v>
                </c:pt>
                <c:pt idx="33" formatCode="General">
                  <c:v>19932</c:v>
                </c:pt>
                <c:pt idx="34" formatCode="General">
                  <c:v>27271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2FF-45CD-B2D8-D3445C15B710}"/>
            </c:ext>
          </c:extLst>
        </c:ser>
        <c:ser>
          <c:idx val="20"/>
          <c:order val="20"/>
          <c:tx>
            <c:v>Arana</c:v>
          </c:tx>
          <c:spPr>
            <a:ln w="349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'Gas Data'!$G$49:$AP$49</c:f>
              <c:numCache>
                <c:formatCode>0.00</c:formatCode>
                <c:ptCount val="36"/>
                <c:pt idx="0">
                  <c:v>3168.6385244799999</c:v>
                </c:pt>
                <c:pt idx="1">
                  <c:v>3168.6385244799999</c:v>
                </c:pt>
                <c:pt idx="2">
                  <c:v>8226.2730924000007</c:v>
                </c:pt>
                <c:pt idx="3">
                  <c:v>12004.265179279999</c:v>
                </c:pt>
                <c:pt idx="4">
                  <c:v>10237.139848319999</c:v>
                </c:pt>
                <c:pt idx="5">
                  <c:v>14654.95317572</c:v>
                </c:pt>
                <c:pt idx="6">
                  <c:v>12430.812672959999</c:v>
                </c:pt>
                <c:pt idx="7">
                  <c:v>9627.7862859199995</c:v>
                </c:pt>
                <c:pt idx="8">
                  <c:v>10359.010560799999</c:v>
                </c:pt>
                <c:pt idx="9">
                  <c:v>9079.3680797599991</c:v>
                </c:pt>
                <c:pt idx="10">
                  <c:v>9201.2387922399994</c:v>
                </c:pt>
                <c:pt idx="11">
                  <c:v>5910.7295552799997</c:v>
                </c:pt>
                <c:pt idx="12">
                  <c:v>3534.2506619199999</c:v>
                </c:pt>
                <c:pt idx="13">
                  <c:v>1286</c:v>
                </c:pt>
                <c:pt idx="14">
                  <c:v>20041.130626319999</c:v>
                </c:pt>
                <c:pt idx="15">
                  <c:v>7891.1286330799994</c:v>
                </c:pt>
                <c:pt idx="16">
                  <c:v>9384.0448609600007</c:v>
                </c:pt>
                <c:pt idx="17">
                  <c:v>9323.1095047199997</c:v>
                </c:pt>
                <c:pt idx="18" formatCode="General">
                  <c:v>9379</c:v>
                </c:pt>
                <c:pt idx="19" formatCode="General">
                  <c:v>9413</c:v>
                </c:pt>
                <c:pt idx="20" formatCode="General">
                  <c:v>10068</c:v>
                </c:pt>
                <c:pt idx="21" formatCode="General">
                  <c:v>8775</c:v>
                </c:pt>
                <c:pt idx="22" formatCode="General">
                  <c:v>10152</c:v>
                </c:pt>
                <c:pt idx="23" formatCode="General">
                  <c:v>4824</c:v>
                </c:pt>
                <c:pt idx="24" formatCode="General">
                  <c:v>4748</c:v>
                </c:pt>
                <c:pt idx="25" formatCode="#,##0.00">
                  <c:v>-4724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2FF-45CD-B2D8-D3445C15B710}"/>
            </c:ext>
          </c:extLst>
        </c:ser>
        <c:ser>
          <c:idx val="21"/>
          <c:order val="21"/>
          <c:tx>
            <c:v>Aquinas</c:v>
          </c:tx>
          <c:spPr>
            <a:ln w="349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'Gas Data'!$G$55:$AP$55</c:f>
              <c:numCache>
                <c:formatCode>0.00</c:formatCode>
                <c:ptCount val="36"/>
                <c:pt idx="0">
                  <c:v>2926.78093752</c:v>
                </c:pt>
                <c:pt idx="1">
                  <c:v>2926.78093752</c:v>
                </c:pt>
                <c:pt idx="2">
                  <c:v>4656.2424006000001</c:v>
                </c:pt>
                <c:pt idx="3">
                  <c:v>8602.9621496799991</c:v>
                </c:pt>
                <c:pt idx="4">
                  <c:v>7538.6781724000002</c:v>
                </c:pt>
                <c:pt idx="5">
                  <c:v>12150.575407280001</c:v>
                </c:pt>
                <c:pt idx="6">
                  <c:v>9578.5557955200002</c:v>
                </c:pt>
                <c:pt idx="7">
                  <c:v>10421.1139442</c:v>
                </c:pt>
                <c:pt idx="8">
                  <c:v>12727.062561639999</c:v>
                </c:pt>
                <c:pt idx="9">
                  <c:v>11618.433418640001</c:v>
                </c:pt>
                <c:pt idx="10">
                  <c:v>11529.7430872</c:v>
                </c:pt>
                <c:pt idx="11">
                  <c:v>5498.8005492800003</c:v>
                </c:pt>
                <c:pt idx="12">
                  <c:v>3503.2680918799997</c:v>
                </c:pt>
                <c:pt idx="13">
                  <c:v>3325.8874289999999</c:v>
                </c:pt>
                <c:pt idx="14">
                  <c:v>4789.2778977600001</c:v>
                </c:pt>
                <c:pt idx="15">
                  <c:v>8602.9621496799991</c:v>
                </c:pt>
                <c:pt idx="16">
                  <c:v>8425.5814867999998</c:v>
                </c:pt>
                <c:pt idx="17">
                  <c:v>9933.3171212800007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35872</c:v>
                </c:pt>
                <c:pt idx="22" formatCode="General">
                  <c:v>13238</c:v>
                </c:pt>
                <c:pt idx="23" formatCode="General">
                  <c:v>5341</c:v>
                </c:pt>
                <c:pt idx="24" formatCode="General">
                  <c:v>1288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2FF-45CD-B2D8-D3445C15B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74905400"/>
        <c:axId val="-167490424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College of Education Boiler</c:v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'Gas Data'!$G$28:$AP$28</c15:sqref>
                        </c15:formulaRef>
                      </c:ext>
                    </c:extLst>
                    <c:numCache>
                      <c:formatCode>mmm\-yy</c:formatCode>
                      <c:ptCount val="36"/>
                      <c:pt idx="0">
                        <c:v>44562</c:v>
                      </c:pt>
                      <c:pt idx="1">
                        <c:v>44593</c:v>
                      </c:pt>
                      <c:pt idx="2">
                        <c:v>44621</c:v>
                      </c:pt>
                      <c:pt idx="3">
                        <c:v>44652</c:v>
                      </c:pt>
                      <c:pt idx="4">
                        <c:v>44682</c:v>
                      </c:pt>
                      <c:pt idx="5">
                        <c:v>44713</c:v>
                      </c:pt>
                      <c:pt idx="6">
                        <c:v>44743</c:v>
                      </c:pt>
                      <c:pt idx="7">
                        <c:v>44774</c:v>
                      </c:pt>
                      <c:pt idx="8">
                        <c:v>44805</c:v>
                      </c:pt>
                      <c:pt idx="9">
                        <c:v>44835</c:v>
                      </c:pt>
                      <c:pt idx="10">
                        <c:v>44866</c:v>
                      </c:pt>
                      <c:pt idx="11">
                        <c:v>44896</c:v>
                      </c:pt>
                      <c:pt idx="12">
                        <c:v>44927</c:v>
                      </c:pt>
                      <c:pt idx="13">
                        <c:v>44958</c:v>
                      </c:pt>
                      <c:pt idx="14">
                        <c:v>44986</c:v>
                      </c:pt>
                      <c:pt idx="15">
                        <c:v>45017</c:v>
                      </c:pt>
                      <c:pt idx="16">
                        <c:v>45047</c:v>
                      </c:pt>
                      <c:pt idx="17">
                        <c:v>45078</c:v>
                      </c:pt>
                      <c:pt idx="18">
                        <c:v>45108</c:v>
                      </c:pt>
                      <c:pt idx="19">
                        <c:v>45139</c:v>
                      </c:pt>
                      <c:pt idx="20">
                        <c:v>45170</c:v>
                      </c:pt>
                      <c:pt idx="21">
                        <c:v>45200</c:v>
                      </c:pt>
                      <c:pt idx="22">
                        <c:v>45231</c:v>
                      </c:pt>
                      <c:pt idx="23">
                        <c:v>45261</c:v>
                      </c:pt>
                      <c:pt idx="24">
                        <c:v>45292</c:v>
                      </c:pt>
                      <c:pt idx="25">
                        <c:v>45323</c:v>
                      </c:pt>
                      <c:pt idx="26">
                        <c:v>45352</c:v>
                      </c:pt>
                      <c:pt idx="27">
                        <c:v>45383</c:v>
                      </c:pt>
                      <c:pt idx="28">
                        <c:v>45413</c:v>
                      </c:pt>
                      <c:pt idx="29">
                        <c:v>45444</c:v>
                      </c:pt>
                      <c:pt idx="30">
                        <c:v>45474</c:v>
                      </c:pt>
                      <c:pt idx="31">
                        <c:v>45505</c:v>
                      </c:pt>
                      <c:pt idx="32">
                        <c:v>45536</c:v>
                      </c:pt>
                      <c:pt idx="33">
                        <c:v>45566</c:v>
                      </c:pt>
                      <c:pt idx="34">
                        <c:v>45597</c:v>
                      </c:pt>
                      <c:pt idx="35">
                        <c:v>45627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'Gas Data'!$G$41:$AP$41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39249.131524199998</c:v>
                      </c:pt>
                      <c:pt idx="1">
                        <c:v>39249.131524199998</c:v>
                      </c:pt>
                      <c:pt idx="2">
                        <c:v>3019.1639633999998</c:v>
                      </c:pt>
                      <c:pt idx="3">
                        <c:v>89489.37680279999</c:v>
                      </c:pt>
                      <c:pt idx="4">
                        <c:v>119036.4758154</c:v>
                      </c:pt>
                      <c:pt idx="5">
                        <c:v>10109.1107988</c:v>
                      </c:pt>
                      <c:pt idx="6">
                        <c:v>68762.307346200003</c:v>
                      </c:pt>
                      <c:pt idx="7">
                        <c:v>75377.329513200006</c:v>
                      </c:pt>
                      <c:pt idx="8">
                        <c:v>18759.524401799998</c:v>
                      </c:pt>
                      <c:pt idx="9">
                        <c:v>0</c:v>
                      </c:pt>
                      <c:pt idx="10">
                        <c:v>12551.580522</c:v>
                      </c:pt>
                      <c:pt idx="11">
                        <c:v>46780.079837400001</c:v>
                      </c:pt>
                      <c:pt idx="12">
                        <c:v>124769.49502680001</c:v>
                      </c:pt>
                      <c:pt idx="13">
                        <c:v>66319.837622999999</c:v>
                      </c:pt>
                      <c:pt idx="14">
                        <c:v>55159.107915599998</c:v>
                      </c:pt>
                      <c:pt idx="15">
                        <c:v>54209.2585788</c:v>
                      </c:pt>
                      <c:pt idx="16">
                        <c:v>106281.35614979999</c:v>
                      </c:pt>
                      <c:pt idx="17">
                        <c:v>22491.0753678</c:v>
                      </c:pt>
                      <c:pt idx="18" formatCode="General">
                        <c:v>91851</c:v>
                      </c:pt>
                      <c:pt idx="19" formatCode="General">
                        <c:v>36294</c:v>
                      </c:pt>
                      <c:pt idx="20" formatCode="General">
                        <c:v>51686</c:v>
                      </c:pt>
                      <c:pt idx="21" formatCode="General">
                        <c:v>780</c:v>
                      </c:pt>
                      <c:pt idx="22" formatCode="General">
                        <c:v>11980</c:v>
                      </c:pt>
                      <c:pt idx="23" formatCode="General">
                        <c:v>2239</c:v>
                      </c:pt>
                      <c:pt idx="24" formatCode="General">
                        <c:v>109448</c:v>
                      </c:pt>
                      <c:pt idx="25" formatCode="#,##0.00">
                        <c:v>135985</c:v>
                      </c:pt>
                      <c:pt idx="26" formatCode="General">
                        <c:v>105993</c:v>
                      </c:pt>
                      <c:pt idx="27" formatCode="General">
                        <c:v>67745</c:v>
                      </c:pt>
                      <c:pt idx="28" formatCode="General">
                        <c:v>104506</c:v>
                      </c:pt>
                      <c:pt idx="29" formatCode="General">
                        <c:v>8165</c:v>
                      </c:pt>
                      <c:pt idx="30" formatCode="General">
                        <c:v>68765</c:v>
                      </c:pt>
                      <c:pt idx="31" formatCode="General">
                        <c:v>314414</c:v>
                      </c:pt>
                      <c:pt idx="32" formatCode="General">
                        <c:v>613</c:v>
                      </c:pt>
                      <c:pt idx="33" formatCode="General">
                        <c:v>2239</c:v>
                      </c:pt>
                      <c:pt idx="34" formatCode="General">
                        <c:v>2837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2FF-45CD-B2D8-D3445C15B71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444 Gt King St</c:v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Data'!$G$28:$AP$28</c15:sqref>
                        </c15:formulaRef>
                      </c:ext>
                    </c:extLst>
                    <c:numCache>
                      <c:formatCode>mmm\-yy</c:formatCode>
                      <c:ptCount val="36"/>
                      <c:pt idx="0">
                        <c:v>44562</c:v>
                      </c:pt>
                      <c:pt idx="1">
                        <c:v>44593</c:v>
                      </c:pt>
                      <c:pt idx="2">
                        <c:v>44621</c:v>
                      </c:pt>
                      <c:pt idx="3">
                        <c:v>44652</c:v>
                      </c:pt>
                      <c:pt idx="4">
                        <c:v>44682</c:v>
                      </c:pt>
                      <c:pt idx="5">
                        <c:v>44713</c:v>
                      </c:pt>
                      <c:pt idx="6">
                        <c:v>44743</c:v>
                      </c:pt>
                      <c:pt idx="7">
                        <c:v>44774</c:v>
                      </c:pt>
                      <c:pt idx="8">
                        <c:v>44805</c:v>
                      </c:pt>
                      <c:pt idx="9">
                        <c:v>44835</c:v>
                      </c:pt>
                      <c:pt idx="10">
                        <c:v>44866</c:v>
                      </c:pt>
                      <c:pt idx="11">
                        <c:v>44896</c:v>
                      </c:pt>
                      <c:pt idx="12">
                        <c:v>44927</c:v>
                      </c:pt>
                      <c:pt idx="13">
                        <c:v>44958</c:v>
                      </c:pt>
                      <c:pt idx="14">
                        <c:v>44986</c:v>
                      </c:pt>
                      <c:pt idx="15">
                        <c:v>45017</c:v>
                      </c:pt>
                      <c:pt idx="16">
                        <c:v>45047</c:v>
                      </c:pt>
                      <c:pt idx="17">
                        <c:v>45078</c:v>
                      </c:pt>
                      <c:pt idx="18">
                        <c:v>45108</c:v>
                      </c:pt>
                      <c:pt idx="19">
                        <c:v>45139</c:v>
                      </c:pt>
                      <c:pt idx="20">
                        <c:v>45170</c:v>
                      </c:pt>
                      <c:pt idx="21">
                        <c:v>45200</c:v>
                      </c:pt>
                      <c:pt idx="22">
                        <c:v>45231</c:v>
                      </c:pt>
                      <c:pt idx="23">
                        <c:v>45261</c:v>
                      </c:pt>
                      <c:pt idx="24">
                        <c:v>45292</c:v>
                      </c:pt>
                      <c:pt idx="25">
                        <c:v>45323</c:v>
                      </c:pt>
                      <c:pt idx="26">
                        <c:v>45352</c:v>
                      </c:pt>
                      <c:pt idx="27">
                        <c:v>45383</c:v>
                      </c:pt>
                      <c:pt idx="28">
                        <c:v>45413</c:v>
                      </c:pt>
                      <c:pt idx="29">
                        <c:v>45444</c:v>
                      </c:pt>
                      <c:pt idx="30">
                        <c:v>45474</c:v>
                      </c:pt>
                      <c:pt idx="31">
                        <c:v>45505</c:v>
                      </c:pt>
                      <c:pt idx="32">
                        <c:v>45536</c:v>
                      </c:pt>
                      <c:pt idx="33">
                        <c:v>45566</c:v>
                      </c:pt>
                      <c:pt idx="34">
                        <c:v>45597</c:v>
                      </c:pt>
                      <c:pt idx="35">
                        <c:v>45627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Data'!$G$45:$AP$45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1964.3503219199999</c:v>
                      </c:pt>
                      <c:pt idx="1">
                        <c:v>1964.3503219199999</c:v>
                      </c:pt>
                      <c:pt idx="2">
                        <c:v>3990.0865914000001</c:v>
                      </c:pt>
                      <c:pt idx="3">
                        <c:v>4450.4811981000003</c:v>
                      </c:pt>
                      <c:pt idx="4">
                        <c:v>6353.4455724600002</c:v>
                      </c:pt>
                      <c:pt idx="5">
                        <c:v>7212.8488382999994</c:v>
                      </c:pt>
                      <c:pt idx="6">
                        <c:v>11724.715983960001</c:v>
                      </c:pt>
                      <c:pt idx="7">
                        <c:v>10404.91811142</c:v>
                      </c:pt>
                      <c:pt idx="8">
                        <c:v>11847.487879080001</c:v>
                      </c:pt>
                      <c:pt idx="9">
                        <c:v>11694.023010180001</c:v>
                      </c:pt>
                      <c:pt idx="10">
                        <c:v>7918.78723524</c:v>
                      </c:pt>
                      <c:pt idx="11">
                        <c:v>4020.7795651800002</c:v>
                      </c:pt>
                      <c:pt idx="12">
                        <c:v>3345.5341420200002</c:v>
                      </c:pt>
                      <c:pt idx="13">
                        <c:v>920.78921339999999</c:v>
                      </c:pt>
                      <c:pt idx="14">
                        <c:v>1227.7189512</c:v>
                      </c:pt>
                      <c:pt idx="15">
                        <c:v>2117.8151908199998</c:v>
                      </c:pt>
                      <c:pt idx="16">
                        <c:v>4696.0249883400002</c:v>
                      </c:pt>
                      <c:pt idx="17">
                        <c:v>5678.2001493000007</c:v>
                      </c:pt>
                      <c:pt idx="18" formatCode="General">
                        <c:v>7498</c:v>
                      </c:pt>
                      <c:pt idx="19" formatCode="General">
                        <c:v>8593</c:v>
                      </c:pt>
                      <c:pt idx="20" formatCode="General">
                        <c:v>9178</c:v>
                      </c:pt>
                      <c:pt idx="21" formatCode="General">
                        <c:v>5770</c:v>
                      </c:pt>
                      <c:pt idx="22" formatCode="General">
                        <c:v>5758</c:v>
                      </c:pt>
                      <c:pt idx="23" formatCode="General">
                        <c:v>4300</c:v>
                      </c:pt>
                      <c:pt idx="24" formatCode="General">
                        <c:v>3325</c:v>
                      </c:pt>
                      <c:pt idx="25" formatCode="#,##0.00">
                        <c:v>1863</c:v>
                      </c:pt>
                      <c:pt idx="26" formatCode="General">
                        <c:v>1934</c:v>
                      </c:pt>
                      <c:pt idx="27" formatCode="General">
                        <c:v>3550</c:v>
                      </c:pt>
                      <c:pt idx="28" formatCode="General">
                        <c:v>5156</c:v>
                      </c:pt>
                      <c:pt idx="29" formatCode="General">
                        <c:v>6439</c:v>
                      </c:pt>
                      <c:pt idx="30" formatCode="General">
                        <c:v>7747</c:v>
                      </c:pt>
                      <c:pt idx="31" formatCode="General">
                        <c:v>6910</c:v>
                      </c:pt>
                      <c:pt idx="32" formatCode="General">
                        <c:v>6669</c:v>
                      </c:pt>
                      <c:pt idx="33" formatCode="General">
                        <c:v>4329</c:v>
                      </c:pt>
                      <c:pt idx="34" formatCode="General">
                        <c:v>3178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FF-45CD-B2D8-D3445C15B71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Microbiology, Biochemistry &amp; Staff Club</c:v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Data'!$G$28:$AP$28</c15:sqref>
                        </c15:formulaRef>
                      </c:ext>
                    </c:extLst>
                    <c:numCache>
                      <c:formatCode>mmm\-yy</c:formatCode>
                      <c:ptCount val="36"/>
                      <c:pt idx="0">
                        <c:v>44562</c:v>
                      </c:pt>
                      <c:pt idx="1">
                        <c:v>44593</c:v>
                      </c:pt>
                      <c:pt idx="2">
                        <c:v>44621</c:v>
                      </c:pt>
                      <c:pt idx="3">
                        <c:v>44652</c:v>
                      </c:pt>
                      <c:pt idx="4">
                        <c:v>44682</c:v>
                      </c:pt>
                      <c:pt idx="5">
                        <c:v>44713</c:v>
                      </c:pt>
                      <c:pt idx="6">
                        <c:v>44743</c:v>
                      </c:pt>
                      <c:pt idx="7">
                        <c:v>44774</c:v>
                      </c:pt>
                      <c:pt idx="8">
                        <c:v>44805</c:v>
                      </c:pt>
                      <c:pt idx="9">
                        <c:v>44835</c:v>
                      </c:pt>
                      <c:pt idx="10">
                        <c:v>44866</c:v>
                      </c:pt>
                      <c:pt idx="11">
                        <c:v>44896</c:v>
                      </c:pt>
                      <c:pt idx="12">
                        <c:v>44927</c:v>
                      </c:pt>
                      <c:pt idx="13">
                        <c:v>44958</c:v>
                      </c:pt>
                      <c:pt idx="14">
                        <c:v>44986</c:v>
                      </c:pt>
                      <c:pt idx="15">
                        <c:v>45017</c:v>
                      </c:pt>
                      <c:pt idx="16">
                        <c:v>45047</c:v>
                      </c:pt>
                      <c:pt idx="17">
                        <c:v>45078</c:v>
                      </c:pt>
                      <c:pt idx="18">
                        <c:v>45108</c:v>
                      </c:pt>
                      <c:pt idx="19">
                        <c:v>45139</c:v>
                      </c:pt>
                      <c:pt idx="20">
                        <c:v>45170</c:v>
                      </c:pt>
                      <c:pt idx="21">
                        <c:v>45200</c:v>
                      </c:pt>
                      <c:pt idx="22">
                        <c:v>45231</c:v>
                      </c:pt>
                      <c:pt idx="23">
                        <c:v>45261</c:v>
                      </c:pt>
                      <c:pt idx="24">
                        <c:v>45292</c:v>
                      </c:pt>
                      <c:pt idx="25">
                        <c:v>45323</c:v>
                      </c:pt>
                      <c:pt idx="26">
                        <c:v>45352</c:v>
                      </c:pt>
                      <c:pt idx="27">
                        <c:v>45383</c:v>
                      </c:pt>
                      <c:pt idx="28">
                        <c:v>45413</c:v>
                      </c:pt>
                      <c:pt idx="29">
                        <c:v>45444</c:v>
                      </c:pt>
                      <c:pt idx="30">
                        <c:v>45474</c:v>
                      </c:pt>
                      <c:pt idx="31">
                        <c:v>45505</c:v>
                      </c:pt>
                      <c:pt idx="32">
                        <c:v>45536</c:v>
                      </c:pt>
                      <c:pt idx="33">
                        <c:v>45566</c:v>
                      </c:pt>
                      <c:pt idx="34">
                        <c:v>45597</c:v>
                      </c:pt>
                      <c:pt idx="35">
                        <c:v>45627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Data'!$G$34:$AP$34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13860.560498400002</c:v>
                      </c:pt>
                      <c:pt idx="1">
                        <c:v>13860.560498400002</c:v>
                      </c:pt>
                      <c:pt idx="2">
                        <c:v>18351.099231300002</c:v>
                      </c:pt>
                      <c:pt idx="3">
                        <c:v>17714.644922700001</c:v>
                      </c:pt>
                      <c:pt idx="4">
                        <c:v>18315.740658600003</c:v>
                      </c:pt>
                      <c:pt idx="5">
                        <c:v>18740.043531000003</c:v>
                      </c:pt>
                      <c:pt idx="6">
                        <c:v>20720.123602200001</c:v>
                      </c:pt>
                      <c:pt idx="7">
                        <c:v>18952.194967200001</c:v>
                      </c:pt>
                      <c:pt idx="8">
                        <c:v>21674.805065100005</c:v>
                      </c:pt>
                      <c:pt idx="9">
                        <c:v>19517.9321304</c:v>
                      </c:pt>
                      <c:pt idx="10">
                        <c:v>16795.3220325</c:v>
                      </c:pt>
                      <c:pt idx="11">
                        <c:v>19517.9321304</c:v>
                      </c:pt>
                      <c:pt idx="12">
                        <c:v>18245.023513200002</c:v>
                      </c:pt>
                      <c:pt idx="13">
                        <c:v>11809.7632818</c:v>
                      </c:pt>
                      <c:pt idx="14">
                        <c:v>18174.306367800003</c:v>
                      </c:pt>
                      <c:pt idx="15">
                        <c:v>18492.533522100002</c:v>
                      </c:pt>
                      <c:pt idx="16">
                        <c:v>17856.079213500001</c:v>
                      </c:pt>
                      <c:pt idx="17">
                        <c:v>20048.310720900005</c:v>
                      </c:pt>
                      <c:pt idx="18" formatCode="General">
                        <c:v>19670</c:v>
                      </c:pt>
                      <c:pt idx="19" formatCode="General">
                        <c:v>20967</c:v>
                      </c:pt>
                      <c:pt idx="20" formatCode="General">
                        <c:v>22573</c:v>
                      </c:pt>
                      <c:pt idx="21" formatCode="General">
                        <c:v>21462</c:v>
                      </c:pt>
                      <c:pt idx="22" formatCode="General">
                        <c:v>19630</c:v>
                      </c:pt>
                      <c:pt idx="23" formatCode="General">
                        <c:v>19735</c:v>
                      </c:pt>
                      <c:pt idx="24" formatCode="General">
                        <c:v>15710</c:v>
                      </c:pt>
                      <c:pt idx="25" formatCode="#,##0.00">
                        <c:v>13000</c:v>
                      </c:pt>
                      <c:pt idx="26" formatCode="General">
                        <c:v>16932</c:v>
                      </c:pt>
                      <c:pt idx="27" formatCode="General">
                        <c:v>18482</c:v>
                      </c:pt>
                      <c:pt idx="28" formatCode="General">
                        <c:v>16651</c:v>
                      </c:pt>
                      <c:pt idx="29" formatCode="General">
                        <c:v>20445</c:v>
                      </c:pt>
                      <c:pt idx="30" formatCode="General">
                        <c:v>21624</c:v>
                      </c:pt>
                      <c:pt idx="31" formatCode="General">
                        <c:v>17687</c:v>
                      </c:pt>
                      <c:pt idx="32" formatCode="General">
                        <c:v>22802</c:v>
                      </c:pt>
                      <c:pt idx="33" formatCode="General">
                        <c:v>22059</c:v>
                      </c:pt>
                      <c:pt idx="34" formatCode="General">
                        <c:v>17180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2FF-45CD-B2D8-D3445C15B71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97/99 Albany St Humanities</c:v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Data'!$G$28:$AP$28</c15:sqref>
                        </c15:formulaRef>
                      </c:ext>
                    </c:extLst>
                    <c:numCache>
                      <c:formatCode>mmm\-yy</c:formatCode>
                      <c:ptCount val="36"/>
                      <c:pt idx="0">
                        <c:v>44562</c:v>
                      </c:pt>
                      <c:pt idx="1">
                        <c:v>44593</c:v>
                      </c:pt>
                      <c:pt idx="2">
                        <c:v>44621</c:v>
                      </c:pt>
                      <c:pt idx="3">
                        <c:v>44652</c:v>
                      </c:pt>
                      <c:pt idx="4">
                        <c:v>44682</c:v>
                      </c:pt>
                      <c:pt idx="5">
                        <c:v>44713</c:v>
                      </c:pt>
                      <c:pt idx="6">
                        <c:v>44743</c:v>
                      </c:pt>
                      <c:pt idx="7">
                        <c:v>44774</c:v>
                      </c:pt>
                      <c:pt idx="8">
                        <c:v>44805</c:v>
                      </c:pt>
                      <c:pt idx="9">
                        <c:v>44835</c:v>
                      </c:pt>
                      <c:pt idx="10">
                        <c:v>44866</c:v>
                      </c:pt>
                      <c:pt idx="11">
                        <c:v>44896</c:v>
                      </c:pt>
                      <c:pt idx="12">
                        <c:v>44927</c:v>
                      </c:pt>
                      <c:pt idx="13">
                        <c:v>44958</c:v>
                      </c:pt>
                      <c:pt idx="14">
                        <c:v>44986</c:v>
                      </c:pt>
                      <c:pt idx="15">
                        <c:v>45017</c:v>
                      </c:pt>
                      <c:pt idx="16">
                        <c:v>45047</c:v>
                      </c:pt>
                      <c:pt idx="17">
                        <c:v>45078</c:v>
                      </c:pt>
                      <c:pt idx="18">
                        <c:v>45108</c:v>
                      </c:pt>
                      <c:pt idx="19">
                        <c:v>45139</c:v>
                      </c:pt>
                      <c:pt idx="20">
                        <c:v>45170</c:v>
                      </c:pt>
                      <c:pt idx="21">
                        <c:v>45200</c:v>
                      </c:pt>
                      <c:pt idx="22">
                        <c:v>45231</c:v>
                      </c:pt>
                      <c:pt idx="23">
                        <c:v>45261</c:v>
                      </c:pt>
                      <c:pt idx="24">
                        <c:v>45292</c:v>
                      </c:pt>
                      <c:pt idx="25">
                        <c:v>45323</c:v>
                      </c:pt>
                      <c:pt idx="26">
                        <c:v>45352</c:v>
                      </c:pt>
                      <c:pt idx="27">
                        <c:v>45383</c:v>
                      </c:pt>
                      <c:pt idx="28">
                        <c:v>45413</c:v>
                      </c:pt>
                      <c:pt idx="29">
                        <c:v>45444</c:v>
                      </c:pt>
                      <c:pt idx="30">
                        <c:v>45474</c:v>
                      </c:pt>
                      <c:pt idx="31">
                        <c:v>45505</c:v>
                      </c:pt>
                      <c:pt idx="32">
                        <c:v>45536</c:v>
                      </c:pt>
                      <c:pt idx="33">
                        <c:v>45566</c:v>
                      </c:pt>
                      <c:pt idx="34">
                        <c:v>45597</c:v>
                      </c:pt>
                      <c:pt idx="35">
                        <c:v>45627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Data'!$G$44:$AP$44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1459.9174665599999</c:v>
                      </c:pt>
                      <c:pt idx="1">
                        <c:v>1459.9174665599999</c:v>
                      </c:pt>
                      <c:pt idx="2">
                        <c:v>1733.6519915399999</c:v>
                      </c:pt>
                      <c:pt idx="3">
                        <c:v>1976.9715692999998</c:v>
                      </c:pt>
                      <c:pt idx="4">
                        <c:v>2828.5900914599997</c:v>
                      </c:pt>
                      <c:pt idx="5">
                        <c:v>3102.3246164399998</c:v>
                      </c:pt>
                      <c:pt idx="6">
                        <c:v>4805.5616607599995</c:v>
                      </c:pt>
                      <c:pt idx="7">
                        <c:v>6539.2136522999999</c:v>
                      </c:pt>
                      <c:pt idx="8">
                        <c:v>5505.10544682</c:v>
                      </c:pt>
                      <c:pt idx="9">
                        <c:v>5292.2008162799993</c:v>
                      </c:pt>
                      <c:pt idx="10">
                        <c:v>3953.9431385999997</c:v>
                      </c:pt>
                      <c:pt idx="11">
                        <c:v>2919.8349331199997</c:v>
                      </c:pt>
                      <c:pt idx="12">
                        <c:v>2281.1210415</c:v>
                      </c:pt>
                      <c:pt idx="13">
                        <c:v>1003.69325826</c:v>
                      </c:pt>
                      <c:pt idx="14">
                        <c:v>1155.7679943600001</c:v>
                      </c:pt>
                      <c:pt idx="15">
                        <c:v>2159.4612526199999</c:v>
                      </c:pt>
                      <c:pt idx="16">
                        <c:v>4075.6029274799998</c:v>
                      </c:pt>
                      <c:pt idx="17">
                        <c:v>4531.8271357799995</c:v>
                      </c:pt>
                      <c:pt idx="18" formatCode="General">
                        <c:v>4800</c:v>
                      </c:pt>
                      <c:pt idx="19" formatCode="General">
                        <c:v>5718</c:v>
                      </c:pt>
                      <c:pt idx="20" formatCode="General">
                        <c:v>5450</c:v>
                      </c:pt>
                      <c:pt idx="21" formatCode="General">
                        <c:v>3589</c:v>
                      </c:pt>
                      <c:pt idx="22" formatCode="General">
                        <c:v>4097</c:v>
                      </c:pt>
                      <c:pt idx="23" formatCode="General">
                        <c:v>2465</c:v>
                      </c:pt>
                      <c:pt idx="24" formatCode="General">
                        <c:v>2150</c:v>
                      </c:pt>
                      <c:pt idx="25" formatCode="#,##0.00">
                        <c:v>1413</c:v>
                      </c:pt>
                      <c:pt idx="26" formatCode="General">
                        <c:v>1018</c:v>
                      </c:pt>
                      <c:pt idx="27" formatCode="General">
                        <c:v>1533</c:v>
                      </c:pt>
                      <c:pt idx="28" formatCode="General">
                        <c:v>2419</c:v>
                      </c:pt>
                      <c:pt idx="29" formatCode="General">
                        <c:v>3160</c:v>
                      </c:pt>
                      <c:pt idx="30" formatCode="General">
                        <c:v>3089</c:v>
                      </c:pt>
                      <c:pt idx="31" formatCode="General">
                        <c:v>4360</c:v>
                      </c:pt>
                      <c:pt idx="32" formatCode="General">
                        <c:v>4956</c:v>
                      </c:pt>
                      <c:pt idx="33" formatCode="General">
                        <c:v>4198</c:v>
                      </c:pt>
                      <c:pt idx="34" formatCode="General">
                        <c:v>3361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2FF-45CD-B2D8-D3445C15B71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Plaza</c:v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Data'!$G$28:$AP$28</c15:sqref>
                        </c15:formulaRef>
                      </c:ext>
                    </c:extLst>
                    <c:numCache>
                      <c:formatCode>mmm\-yy</c:formatCode>
                      <c:ptCount val="36"/>
                      <c:pt idx="0">
                        <c:v>44562</c:v>
                      </c:pt>
                      <c:pt idx="1">
                        <c:v>44593</c:v>
                      </c:pt>
                      <c:pt idx="2">
                        <c:v>44621</c:v>
                      </c:pt>
                      <c:pt idx="3">
                        <c:v>44652</c:v>
                      </c:pt>
                      <c:pt idx="4">
                        <c:v>44682</c:v>
                      </c:pt>
                      <c:pt idx="5">
                        <c:v>44713</c:v>
                      </c:pt>
                      <c:pt idx="6">
                        <c:v>44743</c:v>
                      </c:pt>
                      <c:pt idx="7">
                        <c:v>44774</c:v>
                      </c:pt>
                      <c:pt idx="8">
                        <c:v>44805</c:v>
                      </c:pt>
                      <c:pt idx="9">
                        <c:v>44835</c:v>
                      </c:pt>
                      <c:pt idx="10">
                        <c:v>44866</c:v>
                      </c:pt>
                      <c:pt idx="11">
                        <c:v>44896</c:v>
                      </c:pt>
                      <c:pt idx="12">
                        <c:v>44927</c:v>
                      </c:pt>
                      <c:pt idx="13">
                        <c:v>44958</c:v>
                      </c:pt>
                      <c:pt idx="14">
                        <c:v>44986</c:v>
                      </c:pt>
                      <c:pt idx="15">
                        <c:v>45017</c:v>
                      </c:pt>
                      <c:pt idx="16">
                        <c:v>45047</c:v>
                      </c:pt>
                      <c:pt idx="17">
                        <c:v>45078</c:v>
                      </c:pt>
                      <c:pt idx="18">
                        <c:v>45108</c:v>
                      </c:pt>
                      <c:pt idx="19">
                        <c:v>45139</c:v>
                      </c:pt>
                      <c:pt idx="20">
                        <c:v>45170</c:v>
                      </c:pt>
                      <c:pt idx="21">
                        <c:v>45200</c:v>
                      </c:pt>
                      <c:pt idx="22">
                        <c:v>45231</c:v>
                      </c:pt>
                      <c:pt idx="23">
                        <c:v>45261</c:v>
                      </c:pt>
                      <c:pt idx="24">
                        <c:v>45292</c:v>
                      </c:pt>
                      <c:pt idx="25">
                        <c:v>45323</c:v>
                      </c:pt>
                      <c:pt idx="26">
                        <c:v>45352</c:v>
                      </c:pt>
                      <c:pt idx="27">
                        <c:v>45383</c:v>
                      </c:pt>
                      <c:pt idx="28">
                        <c:v>45413</c:v>
                      </c:pt>
                      <c:pt idx="29">
                        <c:v>45444</c:v>
                      </c:pt>
                      <c:pt idx="30">
                        <c:v>45474</c:v>
                      </c:pt>
                      <c:pt idx="31">
                        <c:v>45505</c:v>
                      </c:pt>
                      <c:pt idx="32">
                        <c:v>45536</c:v>
                      </c:pt>
                      <c:pt idx="33">
                        <c:v>45566</c:v>
                      </c:pt>
                      <c:pt idx="34">
                        <c:v>45597</c:v>
                      </c:pt>
                      <c:pt idx="35">
                        <c:v>45627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Data'!$G$35:$AP$35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11064.033862700002</c:v>
                      </c:pt>
                      <c:pt idx="1">
                        <c:v>11064.033862700002</c:v>
                      </c:pt>
                      <c:pt idx="2">
                        <c:v>10418.895054399996</c:v>
                      </c:pt>
                      <c:pt idx="3">
                        <c:v>9196.4208696999995</c:v>
                      </c:pt>
                      <c:pt idx="4">
                        <c:v>16893.116595600004</c:v>
                      </c:pt>
                      <c:pt idx="5">
                        <c:v>15645.178017100028</c:v>
                      </c:pt>
                      <c:pt idx="6">
                        <c:v>10170.514785000001</c:v>
                      </c:pt>
                      <c:pt idx="7">
                        <c:v>262738.29861250002</c:v>
                      </c:pt>
                      <c:pt idx="8">
                        <c:v>102722.19932850001</c:v>
                      </c:pt>
                      <c:pt idx="9">
                        <c:v>113745.2880385</c:v>
                      </c:pt>
                      <c:pt idx="10">
                        <c:v>10546.452276199998</c:v>
                      </c:pt>
                      <c:pt idx="11">
                        <c:v>7732.6098523499968</c:v>
                      </c:pt>
                      <c:pt idx="12">
                        <c:v>11936.422630150002</c:v>
                      </c:pt>
                      <c:pt idx="13">
                        <c:v>14326.338973349993</c:v>
                      </c:pt>
                      <c:pt idx="14">
                        <c:v>15631.709668700001</c:v>
                      </c:pt>
                      <c:pt idx="15">
                        <c:v>4302.4993098999985</c:v>
                      </c:pt>
                      <c:pt idx="16">
                        <c:v>12645.340049350001</c:v>
                      </c:pt>
                      <c:pt idx="17">
                        <c:v>12238.51945795</c:v>
                      </c:pt>
                      <c:pt idx="18" formatCode="General">
                        <c:v>10455</c:v>
                      </c:pt>
                      <c:pt idx="19" formatCode="General">
                        <c:v>10498</c:v>
                      </c:pt>
                      <c:pt idx="20" formatCode="General">
                        <c:v>419596</c:v>
                      </c:pt>
                      <c:pt idx="21" formatCode="General">
                        <c:v>129573</c:v>
                      </c:pt>
                      <c:pt idx="22" formatCode="General">
                        <c:v>27148</c:v>
                      </c:pt>
                      <c:pt idx="23" formatCode="General">
                        <c:v>139221</c:v>
                      </c:pt>
                      <c:pt idx="24" formatCode="General">
                        <c:v>9558</c:v>
                      </c:pt>
                      <c:pt idx="25" formatCode="#,##0.00">
                        <c:v>11243</c:v>
                      </c:pt>
                      <c:pt idx="26" formatCode="General">
                        <c:v>10289</c:v>
                      </c:pt>
                      <c:pt idx="27" formatCode="General">
                        <c:v>10170</c:v>
                      </c:pt>
                      <c:pt idx="28" formatCode="General">
                        <c:v>11645</c:v>
                      </c:pt>
                      <c:pt idx="29" formatCode="General">
                        <c:v>10277</c:v>
                      </c:pt>
                      <c:pt idx="30" formatCode="General">
                        <c:v>10347</c:v>
                      </c:pt>
                      <c:pt idx="31" formatCode="General">
                        <c:v>336539</c:v>
                      </c:pt>
                      <c:pt idx="32" formatCode="General">
                        <c:v>68660</c:v>
                      </c:pt>
                      <c:pt idx="33" formatCode="General">
                        <c:v>115147</c:v>
                      </c:pt>
                      <c:pt idx="34" formatCode="General">
                        <c:v>54624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2FF-45CD-B2D8-D3445C15B71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Psychology</c:v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Data'!$G$28:$AP$28</c15:sqref>
                        </c15:formulaRef>
                      </c:ext>
                    </c:extLst>
                    <c:numCache>
                      <c:formatCode>mmm\-yy</c:formatCode>
                      <c:ptCount val="36"/>
                      <c:pt idx="0">
                        <c:v>44562</c:v>
                      </c:pt>
                      <c:pt idx="1">
                        <c:v>44593</c:v>
                      </c:pt>
                      <c:pt idx="2">
                        <c:v>44621</c:v>
                      </c:pt>
                      <c:pt idx="3">
                        <c:v>44652</c:v>
                      </c:pt>
                      <c:pt idx="4">
                        <c:v>44682</c:v>
                      </c:pt>
                      <c:pt idx="5">
                        <c:v>44713</c:v>
                      </c:pt>
                      <c:pt idx="6">
                        <c:v>44743</c:v>
                      </c:pt>
                      <c:pt idx="7">
                        <c:v>44774</c:v>
                      </c:pt>
                      <c:pt idx="8">
                        <c:v>44805</c:v>
                      </c:pt>
                      <c:pt idx="9">
                        <c:v>44835</c:v>
                      </c:pt>
                      <c:pt idx="10">
                        <c:v>44866</c:v>
                      </c:pt>
                      <c:pt idx="11">
                        <c:v>44896</c:v>
                      </c:pt>
                      <c:pt idx="12">
                        <c:v>44927</c:v>
                      </c:pt>
                      <c:pt idx="13">
                        <c:v>44958</c:v>
                      </c:pt>
                      <c:pt idx="14">
                        <c:v>44986</c:v>
                      </c:pt>
                      <c:pt idx="15">
                        <c:v>45017</c:v>
                      </c:pt>
                      <c:pt idx="16">
                        <c:v>45047</c:v>
                      </c:pt>
                      <c:pt idx="17">
                        <c:v>45078</c:v>
                      </c:pt>
                      <c:pt idx="18">
                        <c:v>45108</c:v>
                      </c:pt>
                      <c:pt idx="19">
                        <c:v>45139</c:v>
                      </c:pt>
                      <c:pt idx="20">
                        <c:v>45170</c:v>
                      </c:pt>
                      <c:pt idx="21">
                        <c:v>45200</c:v>
                      </c:pt>
                      <c:pt idx="22">
                        <c:v>45231</c:v>
                      </c:pt>
                      <c:pt idx="23">
                        <c:v>45261</c:v>
                      </c:pt>
                      <c:pt idx="24">
                        <c:v>45292</c:v>
                      </c:pt>
                      <c:pt idx="25">
                        <c:v>45323</c:v>
                      </c:pt>
                      <c:pt idx="26">
                        <c:v>45352</c:v>
                      </c:pt>
                      <c:pt idx="27">
                        <c:v>45383</c:v>
                      </c:pt>
                      <c:pt idx="28">
                        <c:v>45413</c:v>
                      </c:pt>
                      <c:pt idx="29">
                        <c:v>45444</c:v>
                      </c:pt>
                      <c:pt idx="30">
                        <c:v>45474</c:v>
                      </c:pt>
                      <c:pt idx="31">
                        <c:v>45505</c:v>
                      </c:pt>
                      <c:pt idx="32">
                        <c:v>45536</c:v>
                      </c:pt>
                      <c:pt idx="33">
                        <c:v>45566</c:v>
                      </c:pt>
                      <c:pt idx="34">
                        <c:v>45597</c:v>
                      </c:pt>
                      <c:pt idx="35">
                        <c:v>45627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Data'!$G$37:$AP$37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72668.219027040002</c:v>
                      </c:pt>
                      <c:pt idx="1">
                        <c:v>72668.219027040002</c:v>
                      </c:pt>
                      <c:pt idx="2">
                        <c:v>11321.2415232</c:v>
                      </c:pt>
                      <c:pt idx="3">
                        <c:v>5483.7263627999992</c:v>
                      </c:pt>
                      <c:pt idx="4">
                        <c:v>118554.62607576</c:v>
                      </c:pt>
                      <c:pt idx="5">
                        <c:v>150218.72346096</c:v>
                      </c:pt>
                      <c:pt idx="6">
                        <c:v>50131.872619920003</c:v>
                      </c:pt>
                      <c:pt idx="7">
                        <c:v>94603.124478239988</c:v>
                      </c:pt>
                      <c:pt idx="8">
                        <c:v>41393.289319200005</c:v>
                      </c:pt>
                      <c:pt idx="9">
                        <c:v>50627.176936559998</c:v>
                      </c:pt>
                      <c:pt idx="10">
                        <c:v>30496.594353119999</c:v>
                      </c:pt>
                      <c:pt idx="11">
                        <c:v>19069.21619064</c:v>
                      </c:pt>
                      <c:pt idx="12">
                        <c:v>17724.818759760001</c:v>
                      </c:pt>
                      <c:pt idx="13">
                        <c:v>6969.6393127199999</c:v>
                      </c:pt>
                      <c:pt idx="14">
                        <c:v>3396.3724569599999</c:v>
                      </c:pt>
                      <c:pt idx="15">
                        <c:v>3927.0556533600002</c:v>
                      </c:pt>
                      <c:pt idx="16">
                        <c:v>4563.8754890399996</c:v>
                      </c:pt>
                      <c:pt idx="17">
                        <c:v>3962.4345331200002</c:v>
                      </c:pt>
                      <c:pt idx="18" formatCode="General">
                        <c:v>4125</c:v>
                      </c:pt>
                      <c:pt idx="19" formatCode="General">
                        <c:v>4184</c:v>
                      </c:pt>
                      <c:pt idx="20" formatCode="General">
                        <c:v>4060</c:v>
                      </c:pt>
                      <c:pt idx="21" formatCode="General">
                        <c:v>3502</c:v>
                      </c:pt>
                      <c:pt idx="22" formatCode="General">
                        <c:v>2683</c:v>
                      </c:pt>
                      <c:pt idx="23" formatCode="General">
                        <c:v>4637</c:v>
                      </c:pt>
                      <c:pt idx="24" formatCode="General">
                        <c:v>1981</c:v>
                      </c:pt>
                      <c:pt idx="25" formatCode="#,##0.00">
                        <c:v>1912</c:v>
                      </c:pt>
                      <c:pt idx="26" formatCode="General">
                        <c:v>906</c:v>
                      </c:pt>
                      <c:pt idx="27" formatCode="General">
                        <c:v>944</c:v>
                      </c:pt>
                      <c:pt idx="28" formatCode="General">
                        <c:v>1442</c:v>
                      </c:pt>
                      <c:pt idx="29" formatCode="General">
                        <c:v>990</c:v>
                      </c:pt>
                      <c:pt idx="30" formatCode="General">
                        <c:v>1530</c:v>
                      </c:pt>
                      <c:pt idx="31" formatCode="General">
                        <c:v>1179</c:v>
                      </c:pt>
                      <c:pt idx="32" formatCode="General">
                        <c:v>1068</c:v>
                      </c:pt>
                      <c:pt idx="33" formatCode="General">
                        <c:v>1380</c:v>
                      </c:pt>
                      <c:pt idx="34" formatCode="General">
                        <c:v>986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2FF-45CD-B2D8-D3445C15B71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Science 2 Boilerhouse</c:v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Data'!$G$28:$AP$28</c15:sqref>
                        </c15:formulaRef>
                      </c:ext>
                    </c:extLst>
                    <c:numCache>
                      <c:formatCode>mmm\-yy</c:formatCode>
                      <c:ptCount val="36"/>
                      <c:pt idx="0">
                        <c:v>44562</c:v>
                      </c:pt>
                      <c:pt idx="1">
                        <c:v>44593</c:v>
                      </c:pt>
                      <c:pt idx="2">
                        <c:v>44621</c:v>
                      </c:pt>
                      <c:pt idx="3">
                        <c:v>44652</c:v>
                      </c:pt>
                      <c:pt idx="4">
                        <c:v>44682</c:v>
                      </c:pt>
                      <c:pt idx="5">
                        <c:v>44713</c:v>
                      </c:pt>
                      <c:pt idx="6">
                        <c:v>44743</c:v>
                      </c:pt>
                      <c:pt idx="7">
                        <c:v>44774</c:v>
                      </c:pt>
                      <c:pt idx="8">
                        <c:v>44805</c:v>
                      </c:pt>
                      <c:pt idx="9">
                        <c:v>44835</c:v>
                      </c:pt>
                      <c:pt idx="10">
                        <c:v>44866</c:v>
                      </c:pt>
                      <c:pt idx="11">
                        <c:v>44896</c:v>
                      </c:pt>
                      <c:pt idx="12">
                        <c:v>44927</c:v>
                      </c:pt>
                      <c:pt idx="13">
                        <c:v>44958</c:v>
                      </c:pt>
                      <c:pt idx="14">
                        <c:v>44986</c:v>
                      </c:pt>
                      <c:pt idx="15">
                        <c:v>45017</c:v>
                      </c:pt>
                      <c:pt idx="16">
                        <c:v>45047</c:v>
                      </c:pt>
                      <c:pt idx="17">
                        <c:v>45078</c:v>
                      </c:pt>
                      <c:pt idx="18">
                        <c:v>45108</c:v>
                      </c:pt>
                      <c:pt idx="19">
                        <c:v>45139</c:v>
                      </c:pt>
                      <c:pt idx="20">
                        <c:v>45170</c:v>
                      </c:pt>
                      <c:pt idx="21">
                        <c:v>45200</c:v>
                      </c:pt>
                      <c:pt idx="22">
                        <c:v>45231</c:v>
                      </c:pt>
                      <c:pt idx="23">
                        <c:v>45261</c:v>
                      </c:pt>
                      <c:pt idx="24">
                        <c:v>45292</c:v>
                      </c:pt>
                      <c:pt idx="25">
                        <c:v>45323</c:v>
                      </c:pt>
                      <c:pt idx="26">
                        <c:v>45352</c:v>
                      </c:pt>
                      <c:pt idx="27">
                        <c:v>45383</c:v>
                      </c:pt>
                      <c:pt idx="28">
                        <c:v>45413</c:v>
                      </c:pt>
                      <c:pt idx="29">
                        <c:v>45444</c:v>
                      </c:pt>
                      <c:pt idx="30">
                        <c:v>45474</c:v>
                      </c:pt>
                      <c:pt idx="31">
                        <c:v>45505</c:v>
                      </c:pt>
                      <c:pt idx="32">
                        <c:v>45536</c:v>
                      </c:pt>
                      <c:pt idx="33">
                        <c:v>45566</c:v>
                      </c:pt>
                      <c:pt idx="34">
                        <c:v>45597</c:v>
                      </c:pt>
                      <c:pt idx="35">
                        <c:v>45627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Data'!$G$38:$AP$38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148.92260399999998</c:v>
                      </c:pt>
                      <c:pt idx="1">
                        <c:v>148.92260399999998</c:v>
                      </c:pt>
                      <c:pt idx="2">
                        <c:v>0</c:v>
                      </c:pt>
                      <c:pt idx="3">
                        <c:v>8091.4614839999995</c:v>
                      </c:pt>
                      <c:pt idx="4">
                        <c:v>14098.006512</c:v>
                      </c:pt>
                      <c:pt idx="5">
                        <c:v>55845.976499999997</c:v>
                      </c:pt>
                      <c:pt idx="6">
                        <c:v>46017.084636</c:v>
                      </c:pt>
                      <c:pt idx="7">
                        <c:v>15934.718627999999</c:v>
                      </c:pt>
                      <c:pt idx="8">
                        <c:v>25763.610492</c:v>
                      </c:pt>
                      <c:pt idx="9">
                        <c:v>2779.8886080000002</c:v>
                      </c:pt>
                      <c:pt idx="10">
                        <c:v>40506.948288</c:v>
                      </c:pt>
                      <c:pt idx="11">
                        <c:v>6304.3902360000002</c:v>
                      </c:pt>
                      <c:pt idx="12">
                        <c:v>434059.74979199999</c:v>
                      </c:pt>
                      <c:pt idx="13">
                        <c:v>40273.447044</c:v>
                      </c:pt>
                      <c:pt idx="14">
                        <c:v>17955.291120000009</c:v>
                      </c:pt>
                      <c:pt idx="15">
                        <c:v>3177.0155519999998</c:v>
                      </c:pt>
                      <c:pt idx="16">
                        <c:v>1092.0990959999999</c:v>
                      </c:pt>
                      <c:pt idx="17">
                        <c:v>11715.244848</c:v>
                      </c:pt>
                      <c:pt idx="18" formatCode="General">
                        <c:v>53925</c:v>
                      </c:pt>
                      <c:pt idx="19" formatCode="General">
                        <c:v>18887</c:v>
                      </c:pt>
                      <c:pt idx="20" formatCode="General">
                        <c:v>15545</c:v>
                      </c:pt>
                      <c:pt idx="21" formatCode="General">
                        <c:v>237</c:v>
                      </c:pt>
                      <c:pt idx="22" formatCode="General">
                        <c:v>609</c:v>
                      </c:pt>
                      <c:pt idx="23" formatCode="General">
                        <c:v>7669</c:v>
                      </c:pt>
                      <c:pt idx="24" formatCode="General">
                        <c:v>4944</c:v>
                      </c:pt>
                      <c:pt idx="25" formatCode="#,##0.00">
                        <c:v>6348</c:v>
                      </c:pt>
                      <c:pt idx="26" formatCode="General">
                        <c:v>6412</c:v>
                      </c:pt>
                      <c:pt idx="27" formatCode="General">
                        <c:v>-12538</c:v>
                      </c:pt>
                      <c:pt idx="28" formatCode="General">
                        <c:v>0</c:v>
                      </c:pt>
                      <c:pt idx="29" formatCode="General">
                        <c:v>4404</c:v>
                      </c:pt>
                      <c:pt idx="30" formatCode="General">
                        <c:v>0</c:v>
                      </c:pt>
                      <c:pt idx="31" formatCode="General">
                        <c:v>1849</c:v>
                      </c:pt>
                      <c:pt idx="32" formatCode="General">
                        <c:v>0</c:v>
                      </c:pt>
                      <c:pt idx="33" formatCode="General">
                        <c:v>0</c:v>
                      </c:pt>
                      <c:pt idx="34" formatCode="General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2FF-45CD-B2D8-D3445C15B71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v>Smithell's Gym</c:v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Data'!$G$28:$AP$28</c15:sqref>
                        </c15:formulaRef>
                      </c:ext>
                    </c:extLst>
                    <c:numCache>
                      <c:formatCode>mmm\-yy</c:formatCode>
                      <c:ptCount val="36"/>
                      <c:pt idx="0">
                        <c:v>44562</c:v>
                      </c:pt>
                      <c:pt idx="1">
                        <c:v>44593</c:v>
                      </c:pt>
                      <c:pt idx="2">
                        <c:v>44621</c:v>
                      </c:pt>
                      <c:pt idx="3">
                        <c:v>44652</c:v>
                      </c:pt>
                      <c:pt idx="4">
                        <c:v>44682</c:v>
                      </c:pt>
                      <c:pt idx="5">
                        <c:v>44713</c:v>
                      </c:pt>
                      <c:pt idx="6">
                        <c:v>44743</c:v>
                      </c:pt>
                      <c:pt idx="7">
                        <c:v>44774</c:v>
                      </c:pt>
                      <c:pt idx="8">
                        <c:v>44805</c:v>
                      </c:pt>
                      <c:pt idx="9">
                        <c:v>44835</c:v>
                      </c:pt>
                      <c:pt idx="10">
                        <c:v>44866</c:v>
                      </c:pt>
                      <c:pt idx="11">
                        <c:v>44896</c:v>
                      </c:pt>
                      <c:pt idx="12">
                        <c:v>44927</c:v>
                      </c:pt>
                      <c:pt idx="13">
                        <c:v>44958</c:v>
                      </c:pt>
                      <c:pt idx="14">
                        <c:v>44986</c:v>
                      </c:pt>
                      <c:pt idx="15">
                        <c:v>45017</c:v>
                      </c:pt>
                      <c:pt idx="16">
                        <c:v>45047</c:v>
                      </c:pt>
                      <c:pt idx="17">
                        <c:v>45078</c:v>
                      </c:pt>
                      <c:pt idx="18">
                        <c:v>45108</c:v>
                      </c:pt>
                      <c:pt idx="19">
                        <c:v>45139</c:v>
                      </c:pt>
                      <c:pt idx="20">
                        <c:v>45170</c:v>
                      </c:pt>
                      <c:pt idx="21">
                        <c:v>45200</c:v>
                      </c:pt>
                      <c:pt idx="22">
                        <c:v>45231</c:v>
                      </c:pt>
                      <c:pt idx="23">
                        <c:v>45261</c:v>
                      </c:pt>
                      <c:pt idx="24">
                        <c:v>45292</c:v>
                      </c:pt>
                      <c:pt idx="25">
                        <c:v>45323</c:v>
                      </c:pt>
                      <c:pt idx="26">
                        <c:v>45352</c:v>
                      </c:pt>
                      <c:pt idx="27">
                        <c:v>45383</c:v>
                      </c:pt>
                      <c:pt idx="28">
                        <c:v>45413</c:v>
                      </c:pt>
                      <c:pt idx="29">
                        <c:v>45444</c:v>
                      </c:pt>
                      <c:pt idx="30">
                        <c:v>45474</c:v>
                      </c:pt>
                      <c:pt idx="31">
                        <c:v>45505</c:v>
                      </c:pt>
                      <c:pt idx="32">
                        <c:v>45536</c:v>
                      </c:pt>
                      <c:pt idx="33">
                        <c:v>45566</c:v>
                      </c:pt>
                      <c:pt idx="34">
                        <c:v>45597</c:v>
                      </c:pt>
                      <c:pt idx="35">
                        <c:v>45627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Data'!$G$39:$AP$39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1220.3659519200003</c:v>
                      </c:pt>
                      <c:pt idx="3">
                        <c:v>169.4952711</c:v>
                      </c:pt>
                      <c:pt idx="4">
                        <c:v>6237.4259764800008</c:v>
                      </c:pt>
                      <c:pt idx="5">
                        <c:v>14678.290477260001</c:v>
                      </c:pt>
                      <c:pt idx="6">
                        <c:v>33051.577864500003</c:v>
                      </c:pt>
                      <c:pt idx="7">
                        <c:v>24610.713363720002</c:v>
                      </c:pt>
                      <c:pt idx="8">
                        <c:v>9152.7446394000017</c:v>
                      </c:pt>
                      <c:pt idx="9">
                        <c:v>21627.596592360002</c:v>
                      </c:pt>
                      <c:pt idx="10">
                        <c:v>17254.618597980003</c:v>
                      </c:pt>
                      <c:pt idx="11">
                        <c:v>7254.3976030800004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891.9030666000001</c:v>
                      </c:pt>
                      <c:pt idx="16">
                        <c:v>6140.4095739000004</c:v>
                      </c:pt>
                      <c:pt idx="17">
                        <c:v>14064.625281000001</c:v>
                      </c:pt>
                      <c:pt idx="18" formatCode="General">
                        <c:v>27911</c:v>
                      </c:pt>
                      <c:pt idx="19" formatCode="General">
                        <c:v>23807</c:v>
                      </c:pt>
                      <c:pt idx="20" formatCode="General">
                        <c:v>23417</c:v>
                      </c:pt>
                      <c:pt idx="21" formatCode="General">
                        <c:v>16271</c:v>
                      </c:pt>
                      <c:pt idx="22" formatCode="General">
                        <c:v>16653</c:v>
                      </c:pt>
                      <c:pt idx="23" formatCode="General">
                        <c:v>14165</c:v>
                      </c:pt>
                      <c:pt idx="24" formatCode="General">
                        <c:v>0</c:v>
                      </c:pt>
                      <c:pt idx="25" formatCode="General">
                        <c:v>0</c:v>
                      </c:pt>
                      <c:pt idx="26" formatCode="General">
                        <c:v>0</c:v>
                      </c:pt>
                      <c:pt idx="27" formatCode="General">
                        <c:v>0</c:v>
                      </c:pt>
                      <c:pt idx="28" formatCode="General">
                        <c:v>10463</c:v>
                      </c:pt>
                      <c:pt idx="29" formatCode="General">
                        <c:v>24926</c:v>
                      </c:pt>
                      <c:pt idx="30" formatCode="General">
                        <c:v>32106</c:v>
                      </c:pt>
                      <c:pt idx="31" formatCode="General">
                        <c:v>22472</c:v>
                      </c:pt>
                      <c:pt idx="32" formatCode="General">
                        <c:v>24521</c:v>
                      </c:pt>
                      <c:pt idx="33" formatCode="General">
                        <c:v>22403</c:v>
                      </c:pt>
                      <c:pt idx="34" formatCode="General">
                        <c:v>17753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2FF-45CD-B2D8-D3445C15B710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v>Hocken Library</c:v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Data'!$G$43:$AP$43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124805.8461309</c:v>
                      </c:pt>
                      <c:pt idx="1">
                        <c:v>124805.8461309</c:v>
                      </c:pt>
                      <c:pt idx="2">
                        <c:v>88032.995156699995</c:v>
                      </c:pt>
                      <c:pt idx="3">
                        <c:v>95192.608737600007</c:v>
                      </c:pt>
                      <c:pt idx="4">
                        <c:v>76638.117203999995</c:v>
                      </c:pt>
                      <c:pt idx="5">
                        <c:v>86486.787528900008</c:v>
                      </c:pt>
                      <c:pt idx="6">
                        <c:v>72907.050971699995</c:v>
                      </c:pt>
                      <c:pt idx="7">
                        <c:v>55024.823624099998</c:v>
                      </c:pt>
                      <c:pt idx="8">
                        <c:v>54621.465112500002</c:v>
                      </c:pt>
                      <c:pt idx="9">
                        <c:v>45411.445764299999</c:v>
                      </c:pt>
                      <c:pt idx="10">
                        <c:v>49310.578043100002</c:v>
                      </c:pt>
                      <c:pt idx="11">
                        <c:v>67797.843158100004</c:v>
                      </c:pt>
                      <c:pt idx="12">
                        <c:v>67764.229948799999</c:v>
                      </c:pt>
                      <c:pt idx="13">
                        <c:v>41064.522912</c:v>
                      </c:pt>
                      <c:pt idx="14">
                        <c:v>50338.261002959996</c:v>
                      </c:pt>
                      <c:pt idx="15">
                        <c:v>76243.130873279995</c:v>
                      </c:pt>
                      <c:pt idx="16">
                        <c:v>88973.132975999994</c:v>
                      </c:pt>
                      <c:pt idx="17">
                        <c:v>72376.221632399989</c:v>
                      </c:pt>
                      <c:pt idx="18" formatCode="General">
                        <c:v>75266</c:v>
                      </c:pt>
                      <c:pt idx="19" formatCode="General">
                        <c:v>50601</c:v>
                      </c:pt>
                      <c:pt idx="20" formatCode="General">
                        <c:v>61980</c:v>
                      </c:pt>
                      <c:pt idx="21" formatCode="General">
                        <c:v>49483</c:v>
                      </c:pt>
                      <c:pt idx="22" formatCode="General">
                        <c:v>50162</c:v>
                      </c:pt>
                      <c:pt idx="23" formatCode="General">
                        <c:v>66873</c:v>
                      </c:pt>
                      <c:pt idx="24" formatCode="General">
                        <c:v>57687</c:v>
                      </c:pt>
                      <c:pt idx="25" formatCode="#,##0.00">
                        <c:v>89911</c:v>
                      </c:pt>
                      <c:pt idx="26" formatCode="General">
                        <c:v>69310</c:v>
                      </c:pt>
                      <c:pt idx="27" formatCode="General">
                        <c:v>63831</c:v>
                      </c:pt>
                      <c:pt idx="28" formatCode="General">
                        <c:v>78917</c:v>
                      </c:pt>
                      <c:pt idx="29" formatCode="General">
                        <c:v>56579</c:v>
                      </c:pt>
                      <c:pt idx="30" formatCode="General">
                        <c:v>69992</c:v>
                      </c:pt>
                      <c:pt idx="31" formatCode="General">
                        <c:v>70162</c:v>
                      </c:pt>
                      <c:pt idx="32" formatCode="General">
                        <c:v>68910</c:v>
                      </c:pt>
                      <c:pt idx="33" formatCode="General">
                        <c:v>55175</c:v>
                      </c:pt>
                      <c:pt idx="34" formatCode="General">
                        <c:v>67394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2FF-45CD-B2D8-D3445C15B710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v>Property Services</c:v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Data'!$G$36:$AP$36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368.44311419999997</c:v>
                      </c:pt>
                      <c:pt idx="1">
                        <c:v>368.44311419999997</c:v>
                      </c:pt>
                      <c:pt idx="2">
                        <c:v>736.88622839999994</c:v>
                      </c:pt>
                      <c:pt idx="3">
                        <c:v>884.26347407999992</c:v>
                      </c:pt>
                      <c:pt idx="4">
                        <c:v>2394.8802422999997</c:v>
                      </c:pt>
                      <c:pt idx="5">
                        <c:v>2505.41317656</c:v>
                      </c:pt>
                      <c:pt idx="6">
                        <c:v>2837.0119793399999</c:v>
                      </c:pt>
                      <c:pt idx="7">
                        <c:v>773.73053981999999</c:v>
                      </c:pt>
                      <c:pt idx="8">
                        <c:v>4163.4071904599996</c:v>
                      </c:pt>
                      <c:pt idx="9">
                        <c:v>2358.0359308799998</c:v>
                      </c:pt>
                      <c:pt idx="10">
                        <c:v>1768.5269481599998</c:v>
                      </c:pt>
                      <c:pt idx="11">
                        <c:v>663.19760556000006</c:v>
                      </c:pt>
                      <c:pt idx="12">
                        <c:v>589.50898271999995</c:v>
                      </c:pt>
                      <c:pt idx="13">
                        <c:v>221.06586851999998</c:v>
                      </c:pt>
                      <c:pt idx="14">
                        <c:v>368.44311419999997</c:v>
                      </c:pt>
                      <c:pt idx="15">
                        <c:v>921.10778549999986</c:v>
                      </c:pt>
                      <c:pt idx="16">
                        <c:v>1400.08383396</c:v>
                      </c:pt>
                      <c:pt idx="17">
                        <c:v>1805.3712595799998</c:v>
                      </c:pt>
                      <c:pt idx="18" formatCode="General">
                        <c:v>2630</c:v>
                      </c:pt>
                      <c:pt idx="19" formatCode="General">
                        <c:v>2383</c:v>
                      </c:pt>
                      <c:pt idx="20" formatCode="General">
                        <c:v>4637</c:v>
                      </c:pt>
                      <c:pt idx="21" formatCode="General">
                        <c:v>1769</c:v>
                      </c:pt>
                      <c:pt idx="22" formatCode="General">
                        <c:v>1397</c:v>
                      </c:pt>
                      <c:pt idx="23" formatCode="General">
                        <c:v>1032</c:v>
                      </c:pt>
                      <c:pt idx="24" formatCode="General">
                        <c:v>744</c:v>
                      </c:pt>
                      <c:pt idx="25" formatCode="General">
                        <c:v>105</c:v>
                      </c:pt>
                      <c:pt idx="26" formatCode="General">
                        <c:v>181</c:v>
                      </c:pt>
                      <c:pt idx="27" formatCode="General">
                        <c:v>3314</c:v>
                      </c:pt>
                      <c:pt idx="28" formatCode="General">
                        <c:v>-696</c:v>
                      </c:pt>
                      <c:pt idx="29" formatCode="General">
                        <c:v>2871</c:v>
                      </c:pt>
                      <c:pt idx="30" formatCode="General">
                        <c:v>3557</c:v>
                      </c:pt>
                      <c:pt idx="31" formatCode="General">
                        <c:v>3831</c:v>
                      </c:pt>
                      <c:pt idx="32" formatCode="General">
                        <c:v>4633</c:v>
                      </c:pt>
                      <c:pt idx="33" formatCode="General">
                        <c:v>3023</c:v>
                      </c:pt>
                      <c:pt idx="34" formatCode="General">
                        <c:v>405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2FF-45CD-B2D8-D3445C15B710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v>University Union</c:v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Data'!$G$42:$AP$42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48.216629999999896</c:v>
                      </c:pt>
                      <c:pt idx="1">
                        <c:v>48.216629999999896</c:v>
                      </c:pt>
                      <c:pt idx="2">
                        <c:v>125.94829639999989</c:v>
                      </c:pt>
                      <c:pt idx="3">
                        <c:v>3019.0602064000004</c:v>
                      </c:pt>
                      <c:pt idx="4">
                        <c:v>3376.5804940000003</c:v>
                      </c:pt>
                      <c:pt idx="5">
                        <c:v>4171.0700220000008</c:v>
                      </c:pt>
                      <c:pt idx="6">
                        <c:v>5680.6001252000005</c:v>
                      </c:pt>
                      <c:pt idx="7">
                        <c:v>3495.7539232000004</c:v>
                      </c:pt>
                      <c:pt idx="8">
                        <c:v>5124.4574556000007</c:v>
                      </c:pt>
                      <c:pt idx="9">
                        <c:v>5045.0085028000003</c:v>
                      </c:pt>
                      <c:pt idx="10">
                        <c:v>4290.2434512000009</c:v>
                      </c:pt>
                      <c:pt idx="11">
                        <c:v>4687.4882152000009</c:v>
                      </c:pt>
                      <c:pt idx="12">
                        <c:v>4528.5903096000011</c:v>
                      </c:pt>
                      <c:pt idx="13">
                        <c:v>4845.6612992</c:v>
                      </c:pt>
                      <c:pt idx="14">
                        <c:v>4101.1702387200003</c:v>
                      </c:pt>
                      <c:pt idx="15">
                        <c:v>9127.1141587200018</c:v>
                      </c:pt>
                      <c:pt idx="16">
                        <c:v>7559.0196556800011</c:v>
                      </c:pt>
                      <c:pt idx="17">
                        <c:v>10252.925596800002</c:v>
                      </c:pt>
                      <c:pt idx="18" formatCode="General">
                        <c:v>7528</c:v>
                      </c:pt>
                      <c:pt idx="19" formatCode="General">
                        <c:v>7559</c:v>
                      </c:pt>
                      <c:pt idx="20" formatCode="General">
                        <c:v>9202</c:v>
                      </c:pt>
                      <c:pt idx="21" formatCode="General">
                        <c:v>9337</c:v>
                      </c:pt>
                      <c:pt idx="22" formatCode="General">
                        <c:v>9640</c:v>
                      </c:pt>
                      <c:pt idx="23" formatCode="General">
                        <c:v>6728</c:v>
                      </c:pt>
                      <c:pt idx="24" formatCode="General">
                        <c:v>4689</c:v>
                      </c:pt>
                      <c:pt idx="25" formatCode="General">
                        <c:v>-915</c:v>
                      </c:pt>
                      <c:pt idx="26" formatCode="General">
                        <c:v>6773</c:v>
                      </c:pt>
                      <c:pt idx="27" formatCode="General">
                        <c:v>9676</c:v>
                      </c:pt>
                      <c:pt idx="28" formatCode="General">
                        <c:v>7793</c:v>
                      </c:pt>
                      <c:pt idx="29" formatCode="General">
                        <c:v>11090</c:v>
                      </c:pt>
                      <c:pt idx="30" formatCode="General">
                        <c:v>7286</c:v>
                      </c:pt>
                      <c:pt idx="31" formatCode="General">
                        <c:v>5099</c:v>
                      </c:pt>
                      <c:pt idx="32" formatCode="General">
                        <c:v>11632</c:v>
                      </c:pt>
                      <c:pt idx="33" formatCode="General">
                        <c:v>10011</c:v>
                      </c:pt>
                      <c:pt idx="34" formatCode="General">
                        <c:v>10246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2FF-45CD-B2D8-D3445C15B710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v>Zoology Benham &amp; Marples</c:v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Data'!$G$46:$AP$46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42007.997355029998</c:v>
                      </c:pt>
                      <c:pt idx="1">
                        <c:v>42007.997355029998</c:v>
                      </c:pt>
                      <c:pt idx="2">
                        <c:v>35532.18823896</c:v>
                      </c:pt>
                      <c:pt idx="3">
                        <c:v>38481.90233895</c:v>
                      </c:pt>
                      <c:pt idx="4">
                        <c:v>51501.330090629999</c:v>
                      </c:pt>
                      <c:pt idx="5">
                        <c:v>58756.948681410002</c:v>
                      </c:pt>
                      <c:pt idx="6">
                        <c:v>99171.422327250009</c:v>
                      </c:pt>
                      <c:pt idx="7">
                        <c:v>96357.327266339998</c:v>
                      </c:pt>
                      <c:pt idx="8">
                        <c:v>85745.137458330006</c:v>
                      </c:pt>
                      <c:pt idx="9">
                        <c:v>85982.470776720002</c:v>
                      </c:pt>
                      <c:pt idx="10">
                        <c:v>78523.423627319993</c:v>
                      </c:pt>
                      <c:pt idx="11">
                        <c:v>61774.472300940004</c:v>
                      </c:pt>
                      <c:pt idx="12">
                        <c:v>54925.710827399998</c:v>
                      </c:pt>
                      <c:pt idx="13">
                        <c:v>46178.282806740004</c:v>
                      </c:pt>
                      <c:pt idx="14">
                        <c:v>36922.283389529999</c:v>
                      </c:pt>
                      <c:pt idx="15">
                        <c:v>43703.235343529996</c:v>
                      </c:pt>
                      <c:pt idx="16">
                        <c:v>65741.329194029997</c:v>
                      </c:pt>
                      <c:pt idx="17">
                        <c:v>67809.519539999994</c:v>
                      </c:pt>
                      <c:pt idx="18" formatCode="General">
                        <c:v>89873</c:v>
                      </c:pt>
                      <c:pt idx="19" formatCode="General">
                        <c:v>113153</c:v>
                      </c:pt>
                      <c:pt idx="20" formatCode="General">
                        <c:v>112043</c:v>
                      </c:pt>
                      <c:pt idx="21" formatCode="General">
                        <c:v>81100</c:v>
                      </c:pt>
                      <c:pt idx="22" formatCode="General">
                        <c:v>74463</c:v>
                      </c:pt>
                      <c:pt idx="23" formatCode="General">
                        <c:v>65645</c:v>
                      </c:pt>
                      <c:pt idx="24" formatCode="General">
                        <c:v>49309</c:v>
                      </c:pt>
                      <c:pt idx="25" formatCode="#,##0.00">
                        <c:v>48800</c:v>
                      </c:pt>
                      <c:pt idx="26" formatCode="General">
                        <c:v>50142</c:v>
                      </c:pt>
                      <c:pt idx="27" formatCode="General">
                        <c:v>51578</c:v>
                      </c:pt>
                      <c:pt idx="28" formatCode="General">
                        <c:v>62078</c:v>
                      </c:pt>
                      <c:pt idx="29" formatCode="General">
                        <c:v>75430</c:v>
                      </c:pt>
                      <c:pt idx="30" formatCode="General">
                        <c:v>97711</c:v>
                      </c:pt>
                      <c:pt idx="31" formatCode="General">
                        <c:v>90596</c:v>
                      </c:pt>
                      <c:pt idx="32" formatCode="General">
                        <c:v>94123</c:v>
                      </c:pt>
                      <c:pt idx="33" formatCode="General">
                        <c:v>80301</c:v>
                      </c:pt>
                      <c:pt idx="34" formatCode="General">
                        <c:v>73151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2FF-45CD-B2D8-D3445C15B710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v>Zoology Parker</c:v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Data'!$G$48:$AP$48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8116.9246008900009</c:v>
                      </c:pt>
                      <c:pt idx="1">
                        <c:v>8116.9246008900009</c:v>
                      </c:pt>
                      <c:pt idx="2">
                        <c:v>5472.0840005999999</c:v>
                      </c:pt>
                      <c:pt idx="3">
                        <c:v>5593.6858672799999</c:v>
                      </c:pt>
                      <c:pt idx="4">
                        <c:v>6353.6975340300005</c:v>
                      </c:pt>
                      <c:pt idx="5">
                        <c:v>6080.0933340000001</c:v>
                      </c:pt>
                      <c:pt idx="6">
                        <c:v>8208.1260008999998</c:v>
                      </c:pt>
                      <c:pt idx="7">
                        <c:v>3587.2550670600003</c:v>
                      </c:pt>
                      <c:pt idx="8">
                        <c:v>7660.91760084</c:v>
                      </c:pt>
                      <c:pt idx="9">
                        <c:v>7934.5218008700003</c:v>
                      </c:pt>
                      <c:pt idx="10">
                        <c:v>7356.9129341400003</c:v>
                      </c:pt>
                      <c:pt idx="11">
                        <c:v>6840.1050007499998</c:v>
                      </c:pt>
                      <c:pt idx="12">
                        <c:v>6049.6928673299999</c:v>
                      </c:pt>
                      <c:pt idx="13">
                        <c:v>6080.0933340000001</c:v>
                      </c:pt>
                      <c:pt idx="14">
                        <c:v>60.80093334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3344.0513337000002</c:v>
                      </c:pt>
                      <c:pt idx="18" formatCode="General">
                        <c:v>8465</c:v>
                      </c:pt>
                      <c:pt idx="19" formatCode="General">
                        <c:v>8880</c:v>
                      </c:pt>
                      <c:pt idx="20" formatCode="General">
                        <c:v>8416</c:v>
                      </c:pt>
                      <c:pt idx="21" formatCode="General">
                        <c:v>7175</c:v>
                      </c:pt>
                      <c:pt idx="22" formatCode="General">
                        <c:v>7250</c:v>
                      </c:pt>
                      <c:pt idx="23" formatCode="General">
                        <c:v>7818</c:v>
                      </c:pt>
                      <c:pt idx="24" formatCode="General">
                        <c:v>5248</c:v>
                      </c:pt>
                      <c:pt idx="25" formatCode="General">
                        <c:v>0</c:v>
                      </c:pt>
                      <c:pt idx="26" formatCode="General">
                        <c:v>269</c:v>
                      </c:pt>
                      <c:pt idx="27" formatCode="General">
                        <c:v>6792</c:v>
                      </c:pt>
                      <c:pt idx="28" formatCode="General">
                        <c:v>8371</c:v>
                      </c:pt>
                      <c:pt idx="29" formatCode="General">
                        <c:v>8717</c:v>
                      </c:pt>
                      <c:pt idx="30" formatCode="General">
                        <c:v>10700</c:v>
                      </c:pt>
                      <c:pt idx="31" formatCode="General">
                        <c:v>9299</c:v>
                      </c:pt>
                      <c:pt idx="32" formatCode="General">
                        <c:v>11375</c:v>
                      </c:pt>
                      <c:pt idx="33" formatCode="General">
                        <c:v>12133</c:v>
                      </c:pt>
                      <c:pt idx="34" formatCode="General">
                        <c:v>11472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2FF-45CD-B2D8-D3445C15B710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v>F512 270 Leith Walk</c:v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Data'!$G$29:$AP$29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6594.8749229999994</c:v>
                      </c:pt>
                      <c:pt idx="1">
                        <c:v>6594.8749229999994</c:v>
                      </c:pt>
                      <c:pt idx="2">
                        <c:v>5208.2601955999999</c:v>
                      </c:pt>
                      <c:pt idx="3">
                        <c:v>7744.7505505999998</c:v>
                      </c:pt>
                      <c:pt idx="4">
                        <c:v>13697.047917</c:v>
                      </c:pt>
                      <c:pt idx="5">
                        <c:v>17045.215185600002</c:v>
                      </c:pt>
                      <c:pt idx="6">
                        <c:v>27969.033647799999</c:v>
                      </c:pt>
                      <c:pt idx="7">
                        <c:v>25973.661235200001</c:v>
                      </c:pt>
                      <c:pt idx="8">
                        <c:v>23707.729851399999</c:v>
                      </c:pt>
                      <c:pt idx="9">
                        <c:v>21509.4382104</c:v>
                      </c:pt>
                      <c:pt idx="10">
                        <c:v>3531.3918384600001</c:v>
                      </c:pt>
                      <c:pt idx="11">
                        <c:v>12390.848556000001</c:v>
                      </c:pt>
                      <c:pt idx="12">
                        <c:v>12390.848556000001</c:v>
                      </c:pt>
                      <c:pt idx="13">
                        <c:v>12390.848556000001</c:v>
                      </c:pt>
                      <c:pt idx="14">
                        <c:v>3283.5748673400008</c:v>
                      </c:pt>
                      <c:pt idx="15">
                        <c:v>5854.6759427100005</c:v>
                      </c:pt>
                      <c:pt idx="16">
                        <c:v>13629.933411600001</c:v>
                      </c:pt>
                      <c:pt idx="17">
                        <c:v>12669.642648510002</c:v>
                      </c:pt>
                      <c:pt idx="18" formatCode="General">
                        <c:v>17327</c:v>
                      </c:pt>
                      <c:pt idx="19" formatCode="General">
                        <c:v>20565</c:v>
                      </c:pt>
                      <c:pt idx="20" formatCode="General">
                        <c:v>22678</c:v>
                      </c:pt>
                      <c:pt idx="21" formatCode="General">
                        <c:v>15768</c:v>
                      </c:pt>
                      <c:pt idx="22" formatCode="General">
                        <c:v>14012</c:v>
                      </c:pt>
                      <c:pt idx="23" formatCode="General">
                        <c:v>12882</c:v>
                      </c:pt>
                      <c:pt idx="24" formatCode="General">
                        <c:v>8585</c:v>
                      </c:pt>
                      <c:pt idx="25" formatCode="#,##0.00">
                        <c:v>4818</c:v>
                      </c:pt>
                      <c:pt idx="26" formatCode="General">
                        <c:v>5952</c:v>
                      </c:pt>
                      <c:pt idx="27" formatCode="General">
                        <c:v>11562</c:v>
                      </c:pt>
                      <c:pt idx="28" formatCode="General">
                        <c:v>12368</c:v>
                      </c:pt>
                      <c:pt idx="29" formatCode="General">
                        <c:v>19958</c:v>
                      </c:pt>
                      <c:pt idx="30" formatCode="General">
                        <c:v>23378</c:v>
                      </c:pt>
                      <c:pt idx="31" formatCode="General">
                        <c:v>18783</c:v>
                      </c:pt>
                      <c:pt idx="32" formatCode="General">
                        <c:v>23531</c:v>
                      </c:pt>
                      <c:pt idx="33" formatCode="General">
                        <c:v>20101</c:v>
                      </c:pt>
                      <c:pt idx="34" formatCode="General">
                        <c:v>15884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2FF-45CD-B2D8-D3445C15B710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v>Dental</c:v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Data'!$G$50:$AP$50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744.79919887999995</c:v>
                      </c:pt>
                      <c:pt idx="3">
                        <c:v>1523.4529067999999</c:v>
                      </c:pt>
                      <c:pt idx="4">
                        <c:v>0</c:v>
                      </c:pt>
                      <c:pt idx="5">
                        <c:v>1958.5250624</c:v>
                      </c:pt>
                      <c:pt idx="6">
                        <c:v>1979.5912096000029</c:v>
                      </c:pt>
                      <c:pt idx="7">
                        <c:v>1546.3141924800002</c:v>
                      </c:pt>
                      <c:pt idx="8">
                        <c:v>52943.547147999998</c:v>
                      </c:pt>
                      <c:pt idx="9">
                        <c:v>19393.991632079997</c:v>
                      </c:pt>
                      <c:pt idx="10">
                        <c:v>8619.979972000001</c:v>
                      </c:pt>
                      <c:pt idx="11">
                        <c:v>0</c:v>
                      </c:pt>
                      <c:pt idx="12">
                        <c:v>6639.7314056000032</c:v>
                      </c:pt>
                      <c:pt idx="13">
                        <c:v>661.45490960000006</c:v>
                      </c:pt>
                      <c:pt idx="14">
                        <c:v>1015.6352711999999</c:v>
                      </c:pt>
                      <c:pt idx="15">
                        <c:v>1049.4897802400001</c:v>
                      </c:pt>
                      <c:pt idx="16">
                        <c:v>6026.1026091200001</c:v>
                      </c:pt>
                      <c:pt idx="17">
                        <c:v>2166.6885785600002</c:v>
                      </c:pt>
                      <c:pt idx="18" formatCode="General">
                        <c:v>1983</c:v>
                      </c:pt>
                      <c:pt idx="19" formatCode="General">
                        <c:v>4049</c:v>
                      </c:pt>
                      <c:pt idx="20" formatCode="General">
                        <c:v>2660</c:v>
                      </c:pt>
                      <c:pt idx="21" formatCode="General">
                        <c:v>2573</c:v>
                      </c:pt>
                      <c:pt idx="22" formatCode="General">
                        <c:v>2912</c:v>
                      </c:pt>
                      <c:pt idx="23" formatCode="General">
                        <c:v>2880</c:v>
                      </c:pt>
                      <c:pt idx="24" formatCode="General">
                        <c:v>2082</c:v>
                      </c:pt>
                      <c:pt idx="25" formatCode="#,##0.00">
                        <c:v>2204</c:v>
                      </c:pt>
                      <c:pt idx="26" formatCode="General">
                        <c:v>2205</c:v>
                      </c:pt>
                      <c:pt idx="27" formatCode="General">
                        <c:v>2082</c:v>
                      </c:pt>
                      <c:pt idx="28" formatCode="General">
                        <c:v>-2904</c:v>
                      </c:pt>
                      <c:pt idx="29" formatCode="General">
                        <c:v>1798</c:v>
                      </c:pt>
                      <c:pt idx="30" formatCode="General">
                        <c:v>-1333</c:v>
                      </c:pt>
                      <c:pt idx="31" formatCode="General">
                        <c:v>240</c:v>
                      </c:pt>
                      <c:pt idx="32" formatCode="General">
                        <c:v>239</c:v>
                      </c:pt>
                      <c:pt idx="33" formatCode="General">
                        <c:v>1660</c:v>
                      </c:pt>
                      <c:pt idx="34" formatCode="General">
                        <c:v>1552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2FF-45CD-B2D8-D3445C15B710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v>Eccles</c:v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Data'!$G$51:$AP$51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252499.974552</c:v>
                      </c:pt>
                      <c:pt idx="1">
                        <c:v>252499.974552</c:v>
                      </c:pt>
                      <c:pt idx="2">
                        <c:v>252499.974552</c:v>
                      </c:pt>
                      <c:pt idx="3">
                        <c:v>505845.66039200005</c:v>
                      </c:pt>
                      <c:pt idx="4">
                        <c:v>259192.124744</c:v>
                      </c:pt>
                      <c:pt idx="5">
                        <c:v>327952.129464</c:v>
                      </c:pt>
                      <c:pt idx="6">
                        <c:v>374613.33052800002</c:v>
                      </c:pt>
                      <c:pt idx="7">
                        <c:v>376782.76383199997</c:v>
                      </c:pt>
                      <c:pt idx="8">
                        <c:v>399396.34827199997</c:v>
                      </c:pt>
                      <c:pt idx="9">
                        <c:v>333467.63786399999</c:v>
                      </c:pt>
                      <c:pt idx="10">
                        <c:v>358986.056728</c:v>
                      </c:pt>
                      <c:pt idx="11">
                        <c:v>222679.45913599999</c:v>
                      </c:pt>
                      <c:pt idx="12">
                        <c:v>261140.93771200001</c:v>
                      </c:pt>
                      <c:pt idx="13">
                        <c:v>255257.728752</c:v>
                      </c:pt>
                      <c:pt idx="14">
                        <c:v>216943.33039999998</c:v>
                      </c:pt>
                      <c:pt idx="15">
                        <c:v>229077.44887999998</c:v>
                      </c:pt>
                      <c:pt idx="16">
                        <c:v>266877.06644800003</c:v>
                      </c:pt>
                      <c:pt idx="17">
                        <c:v>272613.19518400001</c:v>
                      </c:pt>
                      <c:pt idx="18" formatCode="General">
                        <c:v>293222</c:v>
                      </c:pt>
                      <c:pt idx="19" formatCode="General">
                        <c:v>382678</c:v>
                      </c:pt>
                      <c:pt idx="20" formatCode="General">
                        <c:v>361583</c:v>
                      </c:pt>
                      <c:pt idx="21" formatCode="General">
                        <c:v>296108</c:v>
                      </c:pt>
                      <c:pt idx="22" formatCode="General">
                        <c:v>312208</c:v>
                      </c:pt>
                      <c:pt idx="23" formatCode="General">
                        <c:v>271198</c:v>
                      </c:pt>
                      <c:pt idx="24" formatCode="General">
                        <c:v>229596</c:v>
                      </c:pt>
                      <c:pt idx="25" formatCode="#,##0.00">
                        <c:v>191548</c:v>
                      </c:pt>
                      <c:pt idx="26" formatCode="General">
                        <c:v>210008</c:v>
                      </c:pt>
                      <c:pt idx="27" formatCode="General">
                        <c:v>225157</c:v>
                      </c:pt>
                      <c:pt idx="28" formatCode="General">
                        <c:v>303085</c:v>
                      </c:pt>
                      <c:pt idx="29" formatCode="General">
                        <c:v>321948</c:v>
                      </c:pt>
                      <c:pt idx="30" formatCode="General">
                        <c:v>345686</c:v>
                      </c:pt>
                      <c:pt idx="31" formatCode="General">
                        <c:v>342506</c:v>
                      </c:pt>
                      <c:pt idx="32" formatCode="General">
                        <c:v>390787</c:v>
                      </c:pt>
                      <c:pt idx="33" formatCode="General">
                        <c:v>365907</c:v>
                      </c:pt>
                      <c:pt idx="34" formatCode="General">
                        <c:v>294191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2FF-45CD-B2D8-D3445C15B710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v>Childcare</c:v>
                </c:tx>
                <c:spPr>
                  <a:ln w="349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Data'!$G$53:$AP$53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597.81652259999998</c:v>
                      </c:pt>
                      <c:pt idx="8">
                        <c:v>39.854434839999996</c:v>
                      </c:pt>
                      <c:pt idx="9">
                        <c:v>358.68991355999998</c:v>
                      </c:pt>
                      <c:pt idx="10">
                        <c:v>597.81652259999998</c:v>
                      </c:pt>
                      <c:pt idx="11">
                        <c:v>39.854434839999996</c:v>
                      </c:pt>
                      <c:pt idx="12">
                        <c:v>597.81652259999998</c:v>
                      </c:pt>
                      <c:pt idx="13">
                        <c:v>79.708869679999992</c:v>
                      </c:pt>
                      <c:pt idx="14">
                        <c:v>10999.82401584</c:v>
                      </c:pt>
                      <c:pt idx="15">
                        <c:v>26383.635864080003</c:v>
                      </c:pt>
                      <c:pt idx="16">
                        <c:v>31564.712393279999</c:v>
                      </c:pt>
                      <c:pt idx="17">
                        <c:v>7851.3236634799996</c:v>
                      </c:pt>
                      <c:pt idx="18" formatCode="General">
                        <c:v>7660</c:v>
                      </c:pt>
                      <c:pt idx="19" formatCode="General">
                        <c:v>3569</c:v>
                      </c:pt>
                      <c:pt idx="20" formatCode="General">
                        <c:v>4430</c:v>
                      </c:pt>
                      <c:pt idx="21" formatCode="General">
                        <c:v>40</c:v>
                      </c:pt>
                      <c:pt idx="22" formatCode="General">
                        <c:v>600</c:v>
                      </c:pt>
                      <c:pt idx="23" formatCode="General">
                        <c:v>13237</c:v>
                      </c:pt>
                      <c:pt idx="24" formatCode="General">
                        <c:v>17453</c:v>
                      </c:pt>
                      <c:pt idx="25" formatCode="General">
                        <c:v>196</c:v>
                      </c:pt>
                      <c:pt idx="26" formatCode="General">
                        <c:v>705</c:v>
                      </c:pt>
                      <c:pt idx="27" formatCode="General">
                        <c:v>79</c:v>
                      </c:pt>
                      <c:pt idx="28" formatCode="General">
                        <c:v>6697</c:v>
                      </c:pt>
                      <c:pt idx="29" formatCode="General">
                        <c:v>8870</c:v>
                      </c:pt>
                      <c:pt idx="30" formatCode="General">
                        <c:v>6366</c:v>
                      </c:pt>
                      <c:pt idx="31" formatCode="General">
                        <c:v>3245</c:v>
                      </c:pt>
                      <c:pt idx="32" formatCode="General">
                        <c:v>80</c:v>
                      </c:pt>
                      <c:pt idx="33" formatCode="General">
                        <c:v>79</c:v>
                      </c:pt>
                      <c:pt idx="34" formatCode="General">
                        <c:v>394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2FF-45CD-B2D8-D3445C15B710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v>Marsh Study</c:v>
                </c:tx>
                <c:spPr>
                  <a:ln w="3492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Data'!$G$52:$AP$52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61.470044260000002</c:v>
                      </c:pt>
                      <c:pt idx="5">
                        <c:v>522.49537621000002</c:v>
                      </c:pt>
                      <c:pt idx="6">
                        <c:v>399.55528769000006</c:v>
                      </c:pt>
                      <c:pt idx="7">
                        <c:v>30.735022130000001</c:v>
                      </c:pt>
                      <c:pt idx="8">
                        <c:v>184.41013278000003</c:v>
                      </c:pt>
                      <c:pt idx="9">
                        <c:v>153.67511065000002</c:v>
                      </c:pt>
                      <c:pt idx="10">
                        <c:v>276.61519917000004</c:v>
                      </c:pt>
                      <c:pt idx="11">
                        <c:v>30.735022130000001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184.41013278000003</c:v>
                      </c:pt>
                      <c:pt idx="17">
                        <c:v>245.88017704000001</c:v>
                      </c:pt>
                      <c:pt idx="18" formatCode="General">
                        <c:v>1198</c:v>
                      </c:pt>
                      <c:pt idx="19" formatCode="General">
                        <c:v>645</c:v>
                      </c:pt>
                      <c:pt idx="20" formatCode="General">
                        <c:v>489</c:v>
                      </c:pt>
                      <c:pt idx="21" formatCode="General">
                        <c:v>0</c:v>
                      </c:pt>
                      <c:pt idx="22" formatCode="General">
                        <c:v>92</c:v>
                      </c:pt>
                      <c:pt idx="23" formatCode="General">
                        <c:v>0</c:v>
                      </c:pt>
                      <c:pt idx="24" formatCode="General">
                        <c:v>0</c:v>
                      </c:pt>
                      <c:pt idx="25" formatCode="General">
                        <c:v>0</c:v>
                      </c:pt>
                      <c:pt idx="26" formatCode="General">
                        <c:v>0</c:v>
                      </c:pt>
                      <c:pt idx="27" formatCode="General">
                        <c:v>0</c:v>
                      </c:pt>
                      <c:pt idx="28" formatCode="General">
                        <c:v>0</c:v>
                      </c:pt>
                      <c:pt idx="29" formatCode="General">
                        <c:v>213</c:v>
                      </c:pt>
                      <c:pt idx="30" formatCode="General">
                        <c:v>31</c:v>
                      </c:pt>
                      <c:pt idx="31" formatCode="General">
                        <c:v>0</c:v>
                      </c:pt>
                      <c:pt idx="32" formatCode="General">
                        <c:v>31</c:v>
                      </c:pt>
                      <c:pt idx="33" formatCode="General">
                        <c:v>30</c:v>
                      </c:pt>
                      <c:pt idx="34" formatCode="General">
                        <c:v>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2FF-45CD-B2D8-D3445C15B710}"/>
                  </c:ext>
                </c:extLst>
              </c15:ser>
            </c15:filteredLineSeries>
          </c:ext>
        </c:extLst>
      </c:lineChart>
      <c:dateAx>
        <c:axId val="-167490540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904248"/>
        <c:crosses val="autoZero"/>
        <c:auto val="1"/>
        <c:lblOffset val="100"/>
        <c:baseTimeUnit val="months"/>
      </c:dateAx>
      <c:valAx>
        <c:axId val="-167490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90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2784520870728403E-2"/>
          <c:y val="7.3139131151207001E-2"/>
          <c:w val="0.16072483521162229"/>
          <c:h val="0.529153631580805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Remote</a:t>
            </a:r>
            <a:r>
              <a:rPr lang="en-NZ" baseline="0"/>
              <a:t> Campus Electrical </a:t>
            </a:r>
            <a:r>
              <a:rPr lang="en-NZ"/>
              <a:t>Consumption Breakdown</a:t>
            </a:r>
            <a:r>
              <a:rPr lang="en-NZ" baseline="0"/>
              <a:t> over Time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2435800728362499"/>
          <c:y val="0.1854922035454788"/>
          <c:w val="0.55247176830228972"/>
          <c:h val="0.70497893437079229"/>
        </c:manualLayout>
      </c:layout>
      <c:lineChart>
        <c:grouping val="standard"/>
        <c:varyColors val="0"/>
        <c:ser>
          <c:idx val="0"/>
          <c:order val="0"/>
          <c:tx>
            <c:strRef>
              <c:f>'Stream Elec Data'!$CC$1</c:f>
              <c:strCache>
                <c:ptCount val="1"/>
                <c:pt idx="0">
                  <c:v>XC01 UoO School of Medicine ChCh - kWh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'Stream Elec Data'!$A$2:$A$32</c:f>
              <c:numCache>
                <c:formatCode>mmm\-yy</c:formatCode>
                <c:ptCount val="31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</c:numCache>
            </c:numRef>
          </c:cat>
          <c:val>
            <c:numRef>
              <c:f>'Stream Elec Data'!$CC$2:$CC$32</c:f>
              <c:numCache>
                <c:formatCode>General</c:formatCode>
                <c:ptCount val="31"/>
                <c:pt idx="0">
                  <c:v>195889.51199999999</c:v>
                </c:pt>
                <c:pt idx="1">
                  <c:v>181817.20800000001</c:v>
                </c:pt>
                <c:pt idx="2">
                  <c:v>196294.96799999999</c:v>
                </c:pt>
                <c:pt idx="3">
                  <c:v>185577.696</c:v>
                </c:pt>
                <c:pt idx="4">
                  <c:v>202580.47200000001</c:v>
                </c:pt>
                <c:pt idx="5">
                  <c:v>195604.8</c:v>
                </c:pt>
                <c:pt idx="6">
                  <c:v>202355.976</c:v>
                </c:pt>
                <c:pt idx="7">
                  <c:v>204770.04</c:v>
                </c:pt>
                <c:pt idx="8">
                  <c:v>196648.60800000001</c:v>
                </c:pt>
                <c:pt idx="9">
                  <c:v>201305.06400000001</c:v>
                </c:pt>
                <c:pt idx="10">
                  <c:v>186313.68</c:v>
                </c:pt>
                <c:pt idx="11">
                  <c:v>183008.47200000001</c:v>
                </c:pt>
                <c:pt idx="12">
                  <c:v>184939.56</c:v>
                </c:pt>
                <c:pt idx="13">
                  <c:v>176709.07199999999</c:v>
                </c:pt>
                <c:pt idx="14">
                  <c:v>194615.83199999999</c:v>
                </c:pt>
                <c:pt idx="15">
                  <c:v>177610.32</c:v>
                </c:pt>
                <c:pt idx="16">
                  <c:v>191079.50399999999</c:v>
                </c:pt>
                <c:pt idx="17">
                  <c:v>182277.64799999999</c:v>
                </c:pt>
                <c:pt idx="18">
                  <c:v>188744.136</c:v>
                </c:pt>
                <c:pt idx="19">
                  <c:v>196934.136</c:v>
                </c:pt>
                <c:pt idx="20">
                  <c:v>183167.68799999999</c:v>
                </c:pt>
                <c:pt idx="21">
                  <c:v>184144.008</c:v>
                </c:pt>
                <c:pt idx="22">
                  <c:v>178781.68799999999</c:v>
                </c:pt>
                <c:pt idx="23">
                  <c:v>175916.4</c:v>
                </c:pt>
                <c:pt idx="24">
                  <c:v>184514.736</c:v>
                </c:pt>
                <c:pt idx="25">
                  <c:v>175950.88800000001</c:v>
                </c:pt>
                <c:pt idx="26">
                  <c:v>180391.96799999999</c:v>
                </c:pt>
                <c:pt idx="27">
                  <c:v>173665.872</c:v>
                </c:pt>
                <c:pt idx="28">
                  <c:v>186063.024</c:v>
                </c:pt>
                <c:pt idx="29">
                  <c:v>172476.864</c:v>
                </c:pt>
                <c:pt idx="30">
                  <c:v>182587.46400000001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C62-41DC-9FAC-D085FE3B1E18}"/>
            </c:ext>
          </c:extLst>
        </c:ser>
        <c:ser>
          <c:idx val="2"/>
          <c:order val="1"/>
          <c:tx>
            <c:strRef>
              <c:f>'AKL-WLG-CHC'!$A$30</c:f>
              <c:strCache>
                <c:ptCount val="1"/>
                <c:pt idx="0">
                  <c:v>XA05 Manukau Dental  - kWh 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'AKL-WLG-CHC'!$E$30:$AB$30</c:f>
              <c:numCache>
                <c:formatCode>0.0</c:formatCode>
                <c:ptCount val="24"/>
                <c:pt idx="0">
                  <c:v>30498</c:v>
                </c:pt>
                <c:pt idx="1">
                  <c:v>28011</c:v>
                </c:pt>
                <c:pt idx="2">
                  <c:v>29887</c:v>
                </c:pt>
                <c:pt idx="3">
                  <c:v>27212</c:v>
                </c:pt>
                <c:pt idx="4">
                  <c:v>30530.699999999953</c:v>
                </c:pt>
                <c:pt idx="5">
                  <c:v>24812.600000000093</c:v>
                </c:pt>
                <c:pt idx="6">
                  <c:v>26121.699999999953</c:v>
                </c:pt>
                <c:pt idx="7">
                  <c:v>27368.400000000023</c:v>
                </c:pt>
                <c:pt idx="8">
                  <c:v>27537</c:v>
                </c:pt>
                <c:pt idx="9">
                  <c:v>28243.79999999993</c:v>
                </c:pt>
                <c:pt idx="10">
                  <c:v>24546.300000000047</c:v>
                </c:pt>
                <c:pt idx="11">
                  <c:v>23068</c:v>
                </c:pt>
                <c:pt idx="12">
                  <c:v>24508.5</c:v>
                </c:pt>
                <c:pt idx="13">
                  <c:v>23678</c:v>
                </c:pt>
                <c:pt idx="14">
                  <c:v>31348</c:v>
                </c:pt>
                <c:pt idx="15">
                  <c:v>28592.375</c:v>
                </c:pt>
                <c:pt idx="16">
                  <c:v>30546.625</c:v>
                </c:pt>
                <c:pt idx="17">
                  <c:v>25894</c:v>
                </c:pt>
                <c:pt idx="18">
                  <c:v>28614</c:v>
                </c:pt>
                <c:pt idx="19">
                  <c:v>30012</c:v>
                </c:pt>
                <c:pt idx="20">
                  <c:v>26543.125</c:v>
                </c:pt>
                <c:pt idx="21">
                  <c:v>26874.875</c:v>
                </c:pt>
                <c:pt idx="22">
                  <c:v>25057</c:v>
                </c:pt>
                <c:pt idx="23">
                  <c:v>23100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C62-41DC-9FAC-D085FE3B1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74905400"/>
        <c:axId val="-1674904248"/>
        <c:extLst/>
      </c:lineChart>
      <c:dateAx>
        <c:axId val="-167490540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904248"/>
        <c:crosses val="autoZero"/>
        <c:auto val="1"/>
        <c:lblOffset val="100"/>
        <c:baseTimeUnit val="months"/>
      </c:dateAx>
      <c:valAx>
        <c:axId val="-167490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90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0313932238788652E-2"/>
          <c:y val="0.14382656068700631"/>
          <c:w val="0.25623554577093377"/>
          <c:h val="0.13747550395304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Energy Consumption Breakdown 2023 - kWh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2"/>
          <c:order val="0"/>
          <c:tx>
            <c:strRef>
              <c:f>'Energy Total Dashboard'!$K$113</c:f>
              <c:strCache>
                <c:ptCount val="1"/>
                <c:pt idx="0">
                  <c:v>Jan-23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39-1DEF-4540-B77D-9E3C1BDA00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3A-1DEF-4540-B77D-9E3C1BDA00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3B-1DEF-4540-B77D-9E3C1BDA00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3C-1DEF-4540-B77D-9E3C1BDA00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3D-1DEF-4540-B77D-9E3C1BDA00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3E-1DEF-4540-B77D-9E3C1BDA00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'Energy Total Dashboard'!$L$112:$Q$112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Dashboard'!$L$113:$Q$113</c:f>
              <c:numCache>
                <c:formatCode>General</c:formatCode>
                <c:ptCount val="6"/>
                <c:pt idx="0">
                  <c:v>2527644.9279999998</c:v>
                </c:pt>
                <c:pt idx="1">
                  <c:v>806188</c:v>
                </c:pt>
                <c:pt idx="2">
                  <c:v>552945.52542372886</c:v>
                </c:pt>
                <c:pt idx="3">
                  <c:v>446711.63499999995</c:v>
                </c:pt>
                <c:pt idx="4">
                  <c:v>77200</c:v>
                </c:pt>
                <c:pt idx="5">
                  <c:v>1532.1000000000058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8-1DEF-4540-B77D-9E3C1BDA00A3}"/>
            </c:ext>
          </c:extLst>
        </c:ser>
        <c:ser>
          <c:idx val="13"/>
          <c:order val="1"/>
          <c:tx>
            <c:strRef>
              <c:f>'Energy Total Dashboard'!$K$114</c:f>
              <c:strCache>
                <c:ptCount val="1"/>
                <c:pt idx="0">
                  <c:v>Feb-23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40-1DEF-4540-B77D-9E3C1BDA00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41-1DEF-4540-B77D-9E3C1BDA00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42-1DEF-4540-B77D-9E3C1BDA00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43-1DEF-4540-B77D-9E3C1BDA00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44-1DEF-4540-B77D-9E3C1BDA00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45-1DEF-4540-B77D-9E3C1BDA00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'Energy Total Dashboard'!$L$112:$Q$112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Dashboard'!$L$114:$Q$114</c:f>
              <c:numCache>
                <c:formatCode>General</c:formatCode>
                <c:ptCount val="6"/>
                <c:pt idx="0">
                  <c:v>2637154.7969999998</c:v>
                </c:pt>
                <c:pt idx="1">
                  <c:v>784246</c:v>
                </c:pt>
                <c:pt idx="2">
                  <c:v>550772.83050847461</c:v>
                </c:pt>
                <c:pt idx="3">
                  <c:v>397527.15850000002</c:v>
                </c:pt>
                <c:pt idx="4">
                  <c:v>77090</c:v>
                </c:pt>
                <c:pt idx="5">
                  <c:v>1595.8999999999942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F-1DEF-4540-B77D-9E3C1BDA00A3}"/>
            </c:ext>
          </c:extLst>
        </c:ser>
        <c:ser>
          <c:idx val="14"/>
          <c:order val="2"/>
          <c:tx>
            <c:strRef>
              <c:f>'Energy Total Dashboard'!$K$115</c:f>
              <c:strCache>
                <c:ptCount val="1"/>
                <c:pt idx="0">
                  <c:v>Mar-23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47-1DEF-4540-B77D-9E3C1BDA00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48-1DEF-4540-B77D-9E3C1BDA00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49-1DEF-4540-B77D-9E3C1BDA00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4A-1DEF-4540-B77D-9E3C1BDA00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4B-1DEF-4540-B77D-9E3C1BDA00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4C-1DEF-4540-B77D-9E3C1BDA00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'Energy Total Dashboard'!$L$112:$Q$112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Dashboard'!$L$115:$Q$115</c:f>
              <c:numCache>
                <c:formatCode>General</c:formatCode>
                <c:ptCount val="6"/>
                <c:pt idx="0">
                  <c:v>3261550.0599999996</c:v>
                </c:pt>
                <c:pt idx="1">
                  <c:v>1242068</c:v>
                </c:pt>
                <c:pt idx="2">
                  <c:v>682615.3898305085</c:v>
                </c:pt>
                <c:pt idx="3">
                  <c:v>474077.33399999992</c:v>
                </c:pt>
                <c:pt idx="4">
                  <c:v>233829.99999999994</c:v>
                </c:pt>
                <c:pt idx="5">
                  <c:v>2520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6-1DEF-4540-B77D-9E3C1BDA00A3}"/>
            </c:ext>
          </c:extLst>
        </c:ser>
        <c:ser>
          <c:idx val="15"/>
          <c:order val="3"/>
          <c:tx>
            <c:strRef>
              <c:f>'Energy Total Dashboard'!$K$116</c:f>
              <c:strCache>
                <c:ptCount val="1"/>
                <c:pt idx="0">
                  <c:v>Apr-23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4E-1DEF-4540-B77D-9E3C1BDA00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4F-1DEF-4540-B77D-9E3C1BDA00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50-1DEF-4540-B77D-9E3C1BDA00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51-1DEF-4540-B77D-9E3C1BDA00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52-1DEF-4540-B77D-9E3C1BDA00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53-1DEF-4540-B77D-9E3C1BDA00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'Energy Total Dashboard'!$L$112:$Q$112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Dashboard'!$L$116:$Q$116</c:f>
              <c:numCache>
                <c:formatCode>General</c:formatCode>
                <c:ptCount val="6"/>
                <c:pt idx="0">
                  <c:v>3097949.9780000011</c:v>
                </c:pt>
                <c:pt idx="1">
                  <c:v>1582880</c:v>
                </c:pt>
                <c:pt idx="2">
                  <c:v>768727.6101694915</c:v>
                </c:pt>
                <c:pt idx="3">
                  <c:v>608934.99349999998</c:v>
                </c:pt>
                <c:pt idx="4">
                  <c:v>317630.00000000006</c:v>
                </c:pt>
                <c:pt idx="5">
                  <c:v>2848.8000000000029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D-1DEF-4540-B77D-9E3C1BDA00A3}"/>
            </c:ext>
          </c:extLst>
        </c:ser>
        <c:ser>
          <c:idx val="16"/>
          <c:order val="4"/>
          <c:tx>
            <c:strRef>
              <c:f>'Energy Total Dashboard'!$K$117</c:f>
              <c:strCache>
                <c:ptCount val="1"/>
                <c:pt idx="0">
                  <c:v>May-23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55-1DEF-4540-B77D-9E3C1BDA00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56-1DEF-4540-B77D-9E3C1BDA00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57-1DEF-4540-B77D-9E3C1BDA00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58-1DEF-4540-B77D-9E3C1BDA00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59-1DEF-4540-B77D-9E3C1BDA00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5A-1DEF-4540-B77D-9E3C1BDA00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'Energy Total Dashboard'!$L$112:$Q$112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Dashboard'!$L$117:$Q$117</c:f>
              <c:numCache>
                <c:formatCode>General</c:formatCode>
                <c:ptCount val="6"/>
                <c:pt idx="0">
                  <c:v>3572115.456999999</c:v>
                </c:pt>
                <c:pt idx="1">
                  <c:v>1867226</c:v>
                </c:pt>
                <c:pt idx="2">
                  <c:v>984561.98305084743</c:v>
                </c:pt>
                <c:pt idx="3">
                  <c:v>561747.94049999991</c:v>
                </c:pt>
                <c:pt idx="4">
                  <c:v>526130</c:v>
                </c:pt>
                <c:pt idx="5">
                  <c:v>1524.1999999999971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54-1DEF-4540-B77D-9E3C1BDA00A3}"/>
            </c:ext>
          </c:extLst>
        </c:ser>
        <c:ser>
          <c:idx val="17"/>
          <c:order val="5"/>
          <c:tx>
            <c:strRef>
              <c:f>'Energy Total Dashboard'!$K$118</c:f>
              <c:strCache>
                <c:ptCount val="1"/>
                <c:pt idx="0">
                  <c:v>Jun-23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5C-1DEF-4540-B77D-9E3C1BDA00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5D-1DEF-4540-B77D-9E3C1BDA00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5E-1DEF-4540-B77D-9E3C1BDA00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5F-1DEF-4540-B77D-9E3C1BDA00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60-1DEF-4540-B77D-9E3C1BDA00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61-1DEF-4540-B77D-9E3C1BDA00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'Energy Total Dashboard'!$L$112:$Q$112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Dashboard'!$L$118:$Q$118</c:f>
              <c:numCache>
                <c:formatCode>General</c:formatCode>
                <c:ptCount val="6"/>
                <c:pt idx="0">
                  <c:v>3504665.0579999997</c:v>
                </c:pt>
                <c:pt idx="1">
                  <c:v>2183608</c:v>
                </c:pt>
                <c:pt idx="2">
                  <c:v>1115680.7627118644</c:v>
                </c:pt>
                <c:pt idx="3">
                  <c:v>732057.37449999992</c:v>
                </c:pt>
                <c:pt idx="4">
                  <c:v>580910</c:v>
                </c:pt>
                <c:pt idx="5">
                  <c:v>913.5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5B-1DEF-4540-B77D-9E3C1BDA00A3}"/>
            </c:ext>
          </c:extLst>
        </c:ser>
        <c:ser>
          <c:idx val="18"/>
          <c:order val="6"/>
          <c:tx>
            <c:strRef>
              <c:f>'Energy Total Dashboard'!$K$119</c:f>
              <c:strCache>
                <c:ptCount val="1"/>
                <c:pt idx="0">
                  <c:v>Jul-23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63-1DEF-4540-B77D-9E3C1BDA00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64-1DEF-4540-B77D-9E3C1BDA00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65-1DEF-4540-B77D-9E3C1BDA00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66-1DEF-4540-B77D-9E3C1BDA00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67-1DEF-4540-B77D-9E3C1BDA00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68-1DEF-4540-B77D-9E3C1BDA00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'Energy Total Dashboard'!$L$112:$Q$112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Dashboard'!$L$119:$Q$119</c:f>
              <c:numCache>
                <c:formatCode>General</c:formatCode>
                <c:ptCount val="6"/>
                <c:pt idx="0">
                  <c:v>3690040.8559999997</c:v>
                </c:pt>
                <c:pt idx="1">
                  <c:v>2485373</c:v>
                </c:pt>
                <c:pt idx="2">
                  <c:v>1372038.440677966</c:v>
                </c:pt>
                <c:pt idx="3">
                  <c:v>701663.96699999983</c:v>
                </c:pt>
                <c:pt idx="4">
                  <c:v>727620</c:v>
                </c:pt>
                <c:pt idx="5">
                  <c:v>1047.3000000000029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2-1DEF-4540-B77D-9E3C1BDA00A3}"/>
            </c:ext>
          </c:extLst>
        </c:ser>
        <c:ser>
          <c:idx val="19"/>
          <c:order val="7"/>
          <c:tx>
            <c:strRef>
              <c:f>'Energy Total Dashboard'!$K$120</c:f>
              <c:strCache>
                <c:ptCount val="1"/>
                <c:pt idx="0">
                  <c:v>Aug-23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6A-1DEF-4540-B77D-9E3C1BDA00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6B-1DEF-4540-B77D-9E3C1BDA00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6C-1DEF-4540-B77D-9E3C1BDA00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6D-1DEF-4540-B77D-9E3C1BDA00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6E-1DEF-4540-B77D-9E3C1BDA00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6F-1DEF-4540-B77D-9E3C1BDA00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'Energy Total Dashboard'!$L$112:$Q$112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Dashboard'!$L$120:$Q$120</c:f>
              <c:numCache>
                <c:formatCode>General</c:formatCode>
                <c:ptCount val="6"/>
                <c:pt idx="0">
                  <c:v>3917122.9559999998</c:v>
                </c:pt>
                <c:pt idx="1">
                  <c:v>2752910</c:v>
                </c:pt>
                <c:pt idx="2">
                  <c:v>1403867.1016949152</c:v>
                </c:pt>
                <c:pt idx="3">
                  <c:v>1143058.0019999996</c:v>
                </c:pt>
                <c:pt idx="4">
                  <c:v>697410</c:v>
                </c:pt>
                <c:pt idx="5">
                  <c:v>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9-1DEF-4540-B77D-9E3C1BDA00A3}"/>
            </c:ext>
          </c:extLst>
        </c:ser>
        <c:ser>
          <c:idx val="20"/>
          <c:order val="8"/>
          <c:tx>
            <c:strRef>
              <c:f>'Energy Total Dashboard'!$K$121</c:f>
              <c:strCache>
                <c:ptCount val="1"/>
                <c:pt idx="0">
                  <c:v>Sep-23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71-1DEF-4540-B77D-9E3C1BDA00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72-1DEF-4540-B77D-9E3C1BDA00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73-1DEF-4540-B77D-9E3C1BDA00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74-1DEF-4540-B77D-9E3C1BDA00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75-1DEF-4540-B77D-9E3C1BDA00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76-1DEF-4540-B77D-9E3C1BDA00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'Energy Total Dashboard'!$L$112:$Q$112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Dashboard'!$L$121:$Q$121</c:f>
              <c:numCache>
                <c:formatCode>General</c:formatCode>
                <c:ptCount val="6"/>
                <c:pt idx="0">
                  <c:v>3464517.7850000001</c:v>
                </c:pt>
                <c:pt idx="1">
                  <c:v>2255240</c:v>
                </c:pt>
                <c:pt idx="2">
                  <c:v>1148142.3898305085</c:v>
                </c:pt>
                <c:pt idx="3">
                  <c:v>675640.96199999994</c:v>
                </c:pt>
                <c:pt idx="4">
                  <c:v>504840.00000000012</c:v>
                </c:pt>
                <c:pt idx="5">
                  <c:v>2564.0999999999913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70-1DEF-4540-B77D-9E3C1BDA00A3}"/>
            </c:ext>
          </c:extLst>
        </c:ser>
        <c:ser>
          <c:idx val="21"/>
          <c:order val="9"/>
          <c:tx>
            <c:strRef>
              <c:f>'Energy Total Dashboard'!$K$122</c:f>
              <c:strCache>
                <c:ptCount val="1"/>
                <c:pt idx="0">
                  <c:v>Oct-23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78-1DEF-4540-B77D-9E3C1BDA00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79-1DEF-4540-B77D-9E3C1BDA00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7A-1DEF-4540-B77D-9E3C1BDA00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7B-1DEF-4540-B77D-9E3C1BDA00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7C-1DEF-4540-B77D-9E3C1BDA00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7D-1DEF-4540-B77D-9E3C1BDA00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'Energy Total Dashboard'!$L$112:$Q$112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Dashboard'!$L$122:$Q$122</c:f>
              <c:numCache>
                <c:formatCode>General</c:formatCode>
                <c:ptCount val="6"/>
                <c:pt idx="0">
                  <c:v>3420999.4760000007</c:v>
                </c:pt>
                <c:pt idx="1">
                  <c:v>2023701</c:v>
                </c:pt>
                <c:pt idx="2">
                  <c:v>947406.15254237293</c:v>
                </c:pt>
                <c:pt idx="3">
                  <c:v>663732.8615</c:v>
                </c:pt>
                <c:pt idx="4">
                  <c:v>422519.99999999983</c:v>
                </c:pt>
                <c:pt idx="5">
                  <c:v>3162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77-1DEF-4540-B77D-9E3C1BDA00A3}"/>
            </c:ext>
          </c:extLst>
        </c:ser>
        <c:ser>
          <c:idx val="22"/>
          <c:order val="10"/>
          <c:tx>
            <c:strRef>
              <c:f>'Energy Total Dashboard'!$K$123</c:f>
              <c:strCache>
                <c:ptCount val="1"/>
                <c:pt idx="0">
                  <c:v>Nov-23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7F-1DEF-4540-B77D-9E3C1BDA00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80-1DEF-4540-B77D-9E3C1BDA00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81-1DEF-4540-B77D-9E3C1BDA00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82-1DEF-4540-B77D-9E3C1BDA00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83-1DEF-4540-B77D-9E3C1BDA00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84-1DEF-4540-B77D-9E3C1BDA00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'Energy Total Dashboard'!$L$112:$Q$112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Dashboard'!$L$123:$Q$123</c:f>
              <c:numCache>
                <c:formatCode>General</c:formatCode>
                <c:ptCount val="6"/>
                <c:pt idx="0">
                  <c:v>2868989.8370000003</c:v>
                </c:pt>
                <c:pt idx="1">
                  <c:v>1275338</c:v>
                </c:pt>
                <c:pt idx="2">
                  <c:v>873028.93220338982</c:v>
                </c:pt>
                <c:pt idx="3">
                  <c:v>654546.7074999999</c:v>
                </c:pt>
                <c:pt idx="4">
                  <c:v>264180.00000000006</c:v>
                </c:pt>
                <c:pt idx="5">
                  <c:v>2243.6000000000058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7E-1DEF-4540-B77D-9E3C1BDA00A3}"/>
            </c:ext>
          </c:extLst>
        </c:ser>
        <c:ser>
          <c:idx val="23"/>
          <c:order val="11"/>
          <c:tx>
            <c:strRef>
              <c:f>'Energy Total Dashboard'!$K$124</c:f>
              <c:strCache>
                <c:ptCount val="1"/>
                <c:pt idx="0">
                  <c:v>Dec-23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86-1DEF-4540-B77D-9E3C1BDA00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87-1DEF-4540-B77D-9E3C1BDA00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88-1DEF-4540-B77D-9E3C1BDA00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89-1DEF-4540-B77D-9E3C1BDA00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8A-1DEF-4540-B77D-9E3C1BDA00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8B-1DEF-4540-B77D-9E3C1BDA00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'Energy Total Dashboard'!$L$112:$Q$112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Dashboard'!$L$124:$Q$124</c:f>
              <c:numCache>
                <c:formatCode>General</c:formatCode>
                <c:ptCount val="6"/>
                <c:pt idx="0">
                  <c:v>2535856.341</c:v>
                </c:pt>
                <c:pt idx="1">
                  <c:v>1220450</c:v>
                </c:pt>
                <c:pt idx="2">
                  <c:v>473948.98305084748</c:v>
                </c:pt>
                <c:pt idx="3">
                  <c:v>573519.77749999997</c:v>
                </c:pt>
                <c:pt idx="4">
                  <c:v>51500</c:v>
                </c:pt>
                <c:pt idx="5">
                  <c:v>1694.5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85-1DEF-4540-B77D-9E3C1BDA00A3}"/>
            </c:ext>
          </c:extLst>
        </c:ser>
        <c:ser>
          <c:idx val="0"/>
          <c:order val="12"/>
          <c:tx>
            <c:strRef>
              <c:f>'Energy Total Dashboard'!$K$113</c:f>
              <c:strCache>
                <c:ptCount val="1"/>
                <c:pt idx="0">
                  <c:v>Jan-23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92-1DEF-4540-B77D-9E3C1BDA00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94-1DEF-4540-B77D-9E3C1BDA00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96-1DEF-4540-B77D-9E3C1BDA00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98-1DEF-4540-B77D-9E3C1BDA00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9A-1DEF-4540-B77D-9E3C1BDA00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9C-1DEF-4540-B77D-9E3C1BDA00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'Energy Total Dashboard'!$L$112:$Q$112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Dashboard'!$L$113:$Q$113</c:f>
              <c:numCache>
                <c:formatCode>General</c:formatCode>
                <c:ptCount val="6"/>
                <c:pt idx="0">
                  <c:v>2527644.9279999998</c:v>
                </c:pt>
                <c:pt idx="1">
                  <c:v>806188</c:v>
                </c:pt>
                <c:pt idx="2">
                  <c:v>552945.52542372886</c:v>
                </c:pt>
                <c:pt idx="3">
                  <c:v>446711.63499999995</c:v>
                </c:pt>
                <c:pt idx="4">
                  <c:v>77200</c:v>
                </c:pt>
                <c:pt idx="5">
                  <c:v>1532.1000000000058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9D-1DEF-4540-B77D-9E3C1BDA00A3}"/>
            </c:ext>
          </c:extLst>
        </c:ser>
        <c:ser>
          <c:idx val="1"/>
          <c:order val="13"/>
          <c:tx>
            <c:strRef>
              <c:f>'Energy Total Dashboard'!$K$114</c:f>
              <c:strCache>
                <c:ptCount val="1"/>
                <c:pt idx="0">
                  <c:v>Feb-23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A0-1DEF-4540-B77D-9E3C1BDA00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A2-1DEF-4540-B77D-9E3C1BDA00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A4-1DEF-4540-B77D-9E3C1BDA00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A6-1DEF-4540-B77D-9E3C1BDA00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A8-1DEF-4540-B77D-9E3C1BDA00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AA-1DEF-4540-B77D-9E3C1BDA00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'Energy Total Dashboard'!$L$112:$Q$112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Dashboard'!$L$114:$Q$114</c:f>
              <c:numCache>
                <c:formatCode>General</c:formatCode>
                <c:ptCount val="6"/>
                <c:pt idx="0">
                  <c:v>2637154.7969999998</c:v>
                </c:pt>
                <c:pt idx="1">
                  <c:v>784246</c:v>
                </c:pt>
                <c:pt idx="2">
                  <c:v>550772.83050847461</c:v>
                </c:pt>
                <c:pt idx="3">
                  <c:v>397527.15850000002</c:v>
                </c:pt>
                <c:pt idx="4">
                  <c:v>77090</c:v>
                </c:pt>
                <c:pt idx="5">
                  <c:v>1595.8999999999942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AB-1DEF-4540-B77D-9E3C1BDA00A3}"/>
            </c:ext>
          </c:extLst>
        </c:ser>
        <c:ser>
          <c:idx val="2"/>
          <c:order val="14"/>
          <c:tx>
            <c:strRef>
              <c:f>'Energy Total Dashboard'!$K$115</c:f>
              <c:strCache>
                <c:ptCount val="1"/>
                <c:pt idx="0">
                  <c:v>Mar-23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AE-1DEF-4540-B77D-9E3C1BDA00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B0-1DEF-4540-B77D-9E3C1BDA00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B2-1DEF-4540-B77D-9E3C1BDA00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B4-1DEF-4540-B77D-9E3C1BDA00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B6-1DEF-4540-B77D-9E3C1BDA00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B8-1DEF-4540-B77D-9E3C1BDA00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'Energy Total Dashboard'!$L$112:$Q$112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Dashboard'!$L$115:$Q$115</c:f>
              <c:numCache>
                <c:formatCode>General</c:formatCode>
                <c:ptCount val="6"/>
                <c:pt idx="0">
                  <c:v>3261550.0599999996</c:v>
                </c:pt>
                <c:pt idx="1">
                  <c:v>1242068</c:v>
                </c:pt>
                <c:pt idx="2">
                  <c:v>682615.3898305085</c:v>
                </c:pt>
                <c:pt idx="3">
                  <c:v>474077.33399999992</c:v>
                </c:pt>
                <c:pt idx="4">
                  <c:v>233829.99999999994</c:v>
                </c:pt>
                <c:pt idx="5">
                  <c:v>2520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B9-1DEF-4540-B77D-9E3C1BDA00A3}"/>
            </c:ext>
          </c:extLst>
        </c:ser>
        <c:ser>
          <c:idx val="3"/>
          <c:order val="15"/>
          <c:tx>
            <c:strRef>
              <c:f>'Energy Total Dashboard'!$K$116</c:f>
              <c:strCache>
                <c:ptCount val="1"/>
                <c:pt idx="0">
                  <c:v>Apr-23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BC-1DEF-4540-B77D-9E3C1BDA00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BE-1DEF-4540-B77D-9E3C1BDA00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C0-1DEF-4540-B77D-9E3C1BDA00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C2-1DEF-4540-B77D-9E3C1BDA00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C4-1DEF-4540-B77D-9E3C1BDA00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C6-1DEF-4540-B77D-9E3C1BDA00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'Energy Total Dashboard'!$L$112:$Q$112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Dashboard'!$L$116:$Q$116</c:f>
              <c:numCache>
                <c:formatCode>General</c:formatCode>
                <c:ptCount val="6"/>
                <c:pt idx="0">
                  <c:v>3097949.9780000011</c:v>
                </c:pt>
                <c:pt idx="1">
                  <c:v>1582880</c:v>
                </c:pt>
                <c:pt idx="2">
                  <c:v>768727.6101694915</c:v>
                </c:pt>
                <c:pt idx="3">
                  <c:v>608934.99349999998</c:v>
                </c:pt>
                <c:pt idx="4">
                  <c:v>317630.00000000006</c:v>
                </c:pt>
                <c:pt idx="5">
                  <c:v>2848.8000000000029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C7-1DEF-4540-B77D-9E3C1BDA00A3}"/>
            </c:ext>
          </c:extLst>
        </c:ser>
        <c:ser>
          <c:idx val="4"/>
          <c:order val="16"/>
          <c:tx>
            <c:strRef>
              <c:f>'Energy Total Dashboard'!$K$117</c:f>
              <c:strCache>
                <c:ptCount val="1"/>
                <c:pt idx="0">
                  <c:v>May-23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CA-1DEF-4540-B77D-9E3C1BDA00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CC-1DEF-4540-B77D-9E3C1BDA00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CE-1DEF-4540-B77D-9E3C1BDA00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D0-1DEF-4540-B77D-9E3C1BDA00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D2-1DEF-4540-B77D-9E3C1BDA00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D4-1DEF-4540-B77D-9E3C1BDA00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'Energy Total Dashboard'!$L$112:$Q$112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Dashboard'!$L$117:$Q$117</c:f>
              <c:numCache>
                <c:formatCode>General</c:formatCode>
                <c:ptCount val="6"/>
                <c:pt idx="0">
                  <c:v>3572115.456999999</c:v>
                </c:pt>
                <c:pt idx="1">
                  <c:v>1867226</c:v>
                </c:pt>
                <c:pt idx="2">
                  <c:v>984561.98305084743</c:v>
                </c:pt>
                <c:pt idx="3">
                  <c:v>561747.94049999991</c:v>
                </c:pt>
                <c:pt idx="4">
                  <c:v>526130</c:v>
                </c:pt>
                <c:pt idx="5">
                  <c:v>1524.1999999999971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D5-1DEF-4540-B77D-9E3C1BDA00A3}"/>
            </c:ext>
          </c:extLst>
        </c:ser>
        <c:ser>
          <c:idx val="5"/>
          <c:order val="17"/>
          <c:tx>
            <c:strRef>
              <c:f>'Energy Total Dashboard'!$K$118</c:f>
              <c:strCache>
                <c:ptCount val="1"/>
                <c:pt idx="0">
                  <c:v>Jun-23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D8-1DEF-4540-B77D-9E3C1BDA00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DA-1DEF-4540-B77D-9E3C1BDA00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DC-1DEF-4540-B77D-9E3C1BDA00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DE-1DEF-4540-B77D-9E3C1BDA00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E0-1DEF-4540-B77D-9E3C1BDA00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E2-1DEF-4540-B77D-9E3C1BDA00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'Energy Total Dashboard'!$L$112:$Q$112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Dashboard'!$L$118:$Q$118</c:f>
              <c:numCache>
                <c:formatCode>General</c:formatCode>
                <c:ptCount val="6"/>
                <c:pt idx="0">
                  <c:v>3504665.0579999997</c:v>
                </c:pt>
                <c:pt idx="1">
                  <c:v>2183608</c:v>
                </c:pt>
                <c:pt idx="2">
                  <c:v>1115680.7627118644</c:v>
                </c:pt>
                <c:pt idx="3">
                  <c:v>732057.37449999992</c:v>
                </c:pt>
                <c:pt idx="4">
                  <c:v>580910</c:v>
                </c:pt>
                <c:pt idx="5">
                  <c:v>913.5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E3-1DEF-4540-B77D-9E3C1BDA00A3}"/>
            </c:ext>
          </c:extLst>
        </c:ser>
        <c:ser>
          <c:idx val="6"/>
          <c:order val="18"/>
          <c:tx>
            <c:strRef>
              <c:f>'Energy Total Dashboard'!$K$119</c:f>
              <c:strCache>
                <c:ptCount val="1"/>
                <c:pt idx="0">
                  <c:v>Jul-23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E6-1DEF-4540-B77D-9E3C1BDA00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E8-1DEF-4540-B77D-9E3C1BDA00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EA-1DEF-4540-B77D-9E3C1BDA00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EC-1DEF-4540-B77D-9E3C1BDA00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EE-1DEF-4540-B77D-9E3C1BDA00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F0-1DEF-4540-B77D-9E3C1BDA00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'Energy Total Dashboard'!$L$112:$Q$112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Dashboard'!$L$119:$Q$119</c:f>
              <c:numCache>
                <c:formatCode>General</c:formatCode>
                <c:ptCount val="6"/>
                <c:pt idx="0">
                  <c:v>3690040.8559999997</c:v>
                </c:pt>
                <c:pt idx="1">
                  <c:v>2485373</c:v>
                </c:pt>
                <c:pt idx="2">
                  <c:v>1372038.440677966</c:v>
                </c:pt>
                <c:pt idx="3">
                  <c:v>701663.96699999983</c:v>
                </c:pt>
                <c:pt idx="4">
                  <c:v>727620</c:v>
                </c:pt>
                <c:pt idx="5">
                  <c:v>1047.3000000000029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F1-1DEF-4540-B77D-9E3C1BDA00A3}"/>
            </c:ext>
          </c:extLst>
        </c:ser>
        <c:ser>
          <c:idx val="7"/>
          <c:order val="19"/>
          <c:tx>
            <c:strRef>
              <c:f>'Energy Total Dashboard'!$K$120</c:f>
              <c:strCache>
                <c:ptCount val="1"/>
                <c:pt idx="0">
                  <c:v>Aug-23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F4-1DEF-4540-B77D-9E3C1BDA00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F6-1DEF-4540-B77D-9E3C1BDA00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F8-1DEF-4540-B77D-9E3C1BDA00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FA-1DEF-4540-B77D-9E3C1BDA00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FC-1DEF-4540-B77D-9E3C1BDA00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FE-1DEF-4540-B77D-9E3C1BDA00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'Energy Total Dashboard'!$L$112:$Q$112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Dashboard'!$L$120:$Q$120</c:f>
              <c:numCache>
                <c:formatCode>General</c:formatCode>
                <c:ptCount val="6"/>
                <c:pt idx="0">
                  <c:v>3917122.9559999998</c:v>
                </c:pt>
                <c:pt idx="1">
                  <c:v>2752910</c:v>
                </c:pt>
                <c:pt idx="2">
                  <c:v>1403867.1016949152</c:v>
                </c:pt>
                <c:pt idx="3">
                  <c:v>1143058.0019999996</c:v>
                </c:pt>
                <c:pt idx="4">
                  <c:v>697410</c:v>
                </c:pt>
                <c:pt idx="5">
                  <c:v>1707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FF-1DEF-4540-B77D-9E3C1BDA00A3}"/>
            </c:ext>
          </c:extLst>
        </c:ser>
        <c:ser>
          <c:idx val="8"/>
          <c:order val="20"/>
          <c:tx>
            <c:strRef>
              <c:f>'Energy Total Dashboard'!$K$121</c:f>
              <c:strCache>
                <c:ptCount val="1"/>
                <c:pt idx="0">
                  <c:v>Sep-23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102-1DEF-4540-B77D-9E3C1BDA00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104-1DEF-4540-B77D-9E3C1BDA00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106-1DEF-4540-B77D-9E3C1BDA00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108-1DEF-4540-B77D-9E3C1BDA00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10A-1DEF-4540-B77D-9E3C1BDA00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0C-1DEF-4540-B77D-9E3C1BDA00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'Energy Total Dashboard'!$L$112:$Q$112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Dashboard'!$L$121:$Q$121</c:f>
              <c:numCache>
                <c:formatCode>General</c:formatCode>
                <c:ptCount val="6"/>
                <c:pt idx="0">
                  <c:v>3464517.7850000001</c:v>
                </c:pt>
                <c:pt idx="1">
                  <c:v>2255240</c:v>
                </c:pt>
                <c:pt idx="2">
                  <c:v>1148142.3898305085</c:v>
                </c:pt>
                <c:pt idx="3">
                  <c:v>675640.96199999994</c:v>
                </c:pt>
                <c:pt idx="4">
                  <c:v>504840.00000000012</c:v>
                </c:pt>
                <c:pt idx="5">
                  <c:v>2564.0999999999913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10D-1DEF-4540-B77D-9E3C1BDA00A3}"/>
            </c:ext>
          </c:extLst>
        </c:ser>
        <c:ser>
          <c:idx val="9"/>
          <c:order val="21"/>
          <c:tx>
            <c:strRef>
              <c:f>'Energy Total Dashboard'!$K$122</c:f>
              <c:strCache>
                <c:ptCount val="1"/>
                <c:pt idx="0">
                  <c:v>Oct-23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110-1DEF-4540-B77D-9E3C1BDA00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112-1DEF-4540-B77D-9E3C1BDA00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114-1DEF-4540-B77D-9E3C1BDA00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116-1DEF-4540-B77D-9E3C1BDA00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118-1DEF-4540-B77D-9E3C1BDA00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1A-1DEF-4540-B77D-9E3C1BDA00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'Energy Total Dashboard'!$L$112:$Q$112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Dashboard'!$L$122:$Q$122</c:f>
              <c:numCache>
                <c:formatCode>General</c:formatCode>
                <c:ptCount val="6"/>
                <c:pt idx="0">
                  <c:v>3420999.4760000007</c:v>
                </c:pt>
                <c:pt idx="1">
                  <c:v>2023701</c:v>
                </c:pt>
                <c:pt idx="2">
                  <c:v>947406.15254237293</c:v>
                </c:pt>
                <c:pt idx="3">
                  <c:v>663732.8615</c:v>
                </c:pt>
                <c:pt idx="4">
                  <c:v>422519.99999999983</c:v>
                </c:pt>
                <c:pt idx="5">
                  <c:v>3162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11B-1DEF-4540-B77D-9E3C1BDA00A3}"/>
            </c:ext>
          </c:extLst>
        </c:ser>
        <c:ser>
          <c:idx val="10"/>
          <c:order val="22"/>
          <c:tx>
            <c:strRef>
              <c:f>'Energy Total Dashboard'!$K$123</c:f>
              <c:strCache>
                <c:ptCount val="1"/>
                <c:pt idx="0">
                  <c:v>Nov-23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11E-1DEF-4540-B77D-9E3C1BDA00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120-1DEF-4540-B77D-9E3C1BDA00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122-1DEF-4540-B77D-9E3C1BDA00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124-1DEF-4540-B77D-9E3C1BDA00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126-1DEF-4540-B77D-9E3C1BDA00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28-1DEF-4540-B77D-9E3C1BDA00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'Energy Total Dashboard'!$L$112:$Q$112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Dashboard'!$L$123:$Q$123</c:f>
              <c:numCache>
                <c:formatCode>General</c:formatCode>
                <c:ptCount val="6"/>
                <c:pt idx="0">
                  <c:v>2868989.8370000003</c:v>
                </c:pt>
                <c:pt idx="1">
                  <c:v>1275338</c:v>
                </c:pt>
                <c:pt idx="2">
                  <c:v>873028.93220338982</c:v>
                </c:pt>
                <c:pt idx="3">
                  <c:v>654546.7074999999</c:v>
                </c:pt>
                <c:pt idx="4">
                  <c:v>264180.00000000006</c:v>
                </c:pt>
                <c:pt idx="5">
                  <c:v>2243.6000000000058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129-1DEF-4540-B77D-9E3C1BDA00A3}"/>
            </c:ext>
          </c:extLst>
        </c:ser>
        <c:ser>
          <c:idx val="11"/>
          <c:order val="23"/>
          <c:tx>
            <c:strRef>
              <c:f>'Energy Total Dashboard'!$K$124</c:f>
              <c:strCache>
                <c:ptCount val="1"/>
                <c:pt idx="0">
                  <c:v>Dec-23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12C-1DEF-4540-B77D-9E3C1BDA00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12E-1DEF-4540-B77D-9E3C1BDA00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130-1DEF-4540-B77D-9E3C1BDA00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132-1DEF-4540-B77D-9E3C1BDA00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134-1DEF-4540-B77D-9E3C1BDA00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36-1DEF-4540-B77D-9E3C1BDA00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'Energy Total Dashboard'!$L$112:$Q$112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Dashboard'!$L$124:$Q$124</c:f>
              <c:numCache>
                <c:formatCode>General</c:formatCode>
                <c:ptCount val="6"/>
                <c:pt idx="0">
                  <c:v>2535856.341</c:v>
                </c:pt>
                <c:pt idx="1">
                  <c:v>1220450</c:v>
                </c:pt>
                <c:pt idx="2">
                  <c:v>473948.98305084748</c:v>
                </c:pt>
                <c:pt idx="3">
                  <c:v>573519.77749999997</c:v>
                </c:pt>
                <c:pt idx="4">
                  <c:v>51500</c:v>
                </c:pt>
                <c:pt idx="5">
                  <c:v>1694.5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137-1DEF-4540-B77D-9E3C1BDA00A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Energy Consumption Breakdown 2022 - kWh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'Energy Total Dashboard'!$A$102</c:f>
              <c:strCache>
                <c:ptCount val="1"/>
                <c:pt idx="0">
                  <c:v>Jan-22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0781-449B-AE68-5F093B70F8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0781-449B-AE68-5F093B70F8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0781-449B-AE68-5F093B70F8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0781-449B-AE68-5F093B70F8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0781-449B-AE68-5F093B70F83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0781-449B-AE68-5F093B70F8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'Energy Total Dashboard'!$B$101:$G$101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Dashboard'!$B$102:$G$102</c:f>
              <c:numCache>
                <c:formatCode>#,##0</c:formatCode>
                <c:ptCount val="6"/>
                <c:pt idx="0" formatCode="General">
                  <c:v>2666022.7849999997</c:v>
                </c:pt>
                <c:pt idx="1">
                  <c:v>882860</c:v>
                </c:pt>
                <c:pt idx="2" formatCode="General">
                  <c:v>603729.25423728814</c:v>
                </c:pt>
                <c:pt idx="3" formatCode="General">
                  <c:v>669921.21849999996</c:v>
                </c:pt>
                <c:pt idx="4" formatCode="General">
                  <c:v>73770</c:v>
                </c:pt>
                <c:pt idx="5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781-449B-AE68-5F093B70F835}"/>
            </c:ext>
          </c:extLst>
        </c:ser>
        <c:ser>
          <c:idx val="1"/>
          <c:order val="1"/>
          <c:tx>
            <c:strRef>
              <c:f>'Energy Total Dashboard'!$A$103</c:f>
              <c:strCache>
                <c:ptCount val="1"/>
                <c:pt idx="0">
                  <c:v>Feb-22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E-0781-449B-AE68-5F093B70F8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0-0781-449B-AE68-5F093B70F8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2-0781-449B-AE68-5F093B70F8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4-0781-449B-AE68-5F093B70F8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6-0781-449B-AE68-5F093B70F83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7-9C11-4F31-812A-378E936A8F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'Energy Total Dashboard'!$B$101:$G$101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Dashboard'!$B$103:$G$103</c:f>
              <c:numCache>
                <c:formatCode>#,##0</c:formatCode>
                <c:ptCount val="6"/>
                <c:pt idx="0" formatCode="General">
                  <c:v>2702224.6270000017</c:v>
                </c:pt>
                <c:pt idx="1">
                  <c:v>886950</c:v>
                </c:pt>
                <c:pt idx="2" formatCode="General">
                  <c:v>466066.30508474575</c:v>
                </c:pt>
                <c:pt idx="3" formatCode="General">
                  <c:v>549042.19999999995</c:v>
                </c:pt>
                <c:pt idx="4" formatCode="General">
                  <c:v>121570</c:v>
                </c:pt>
                <c:pt idx="5" formatCode="General">
                  <c:v>3567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781-449B-AE68-5F093B70F835}"/>
            </c:ext>
          </c:extLst>
        </c:ser>
        <c:ser>
          <c:idx val="2"/>
          <c:order val="2"/>
          <c:tx>
            <c:strRef>
              <c:f>'Energy Total Dashboard'!$A$104</c:f>
              <c:strCache>
                <c:ptCount val="1"/>
                <c:pt idx="0">
                  <c:v>Mar-22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9-0781-449B-AE68-5F093B70F8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B-0781-449B-AE68-5F093B70F8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D-0781-449B-AE68-5F093B70F8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F-0781-449B-AE68-5F093B70F8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1-0781-449B-AE68-5F093B70F83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3-9C11-4F31-812A-378E936A8F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'Energy Total Dashboard'!$B$101:$G$101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Dashboard'!$B$104:$G$104</c:f>
              <c:numCache>
                <c:formatCode>#,##0</c:formatCode>
                <c:ptCount val="6"/>
                <c:pt idx="0" formatCode="General">
                  <c:v>3254557.8309999998</c:v>
                </c:pt>
                <c:pt idx="1">
                  <c:v>1057320</c:v>
                </c:pt>
                <c:pt idx="2" formatCode="General">
                  <c:v>544021.83050847461</c:v>
                </c:pt>
                <c:pt idx="3" formatCode="General">
                  <c:v>869793.18499999994</c:v>
                </c:pt>
                <c:pt idx="4" formatCode="General">
                  <c:v>189279.99999999994</c:v>
                </c:pt>
                <c:pt idx="5" formatCode="General">
                  <c:v>4668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781-449B-AE68-5F093B70F835}"/>
            </c:ext>
          </c:extLst>
        </c:ser>
        <c:ser>
          <c:idx val="3"/>
          <c:order val="3"/>
          <c:tx>
            <c:strRef>
              <c:f>'Energy Total Dashboard'!$A$105</c:f>
              <c:strCache>
                <c:ptCount val="1"/>
                <c:pt idx="0">
                  <c:v>Apr-22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4-0781-449B-AE68-5F093B70F8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6-0781-449B-AE68-5F093B70F8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8-0781-449B-AE68-5F093B70F8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A-0781-449B-AE68-5F093B70F8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C-0781-449B-AE68-5F093B70F83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F-9C11-4F31-812A-378E936A8F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'Energy Total Dashboard'!$B$101:$G$101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Dashboard'!$B$105:$G$105</c:f>
              <c:numCache>
                <c:formatCode>#,##0</c:formatCode>
                <c:ptCount val="6"/>
                <c:pt idx="0" formatCode="General">
                  <c:v>3125000.171000001</c:v>
                </c:pt>
                <c:pt idx="1">
                  <c:v>1390460</c:v>
                </c:pt>
                <c:pt idx="2" formatCode="General">
                  <c:v>882966.83050847461</c:v>
                </c:pt>
                <c:pt idx="3" formatCode="General">
                  <c:v>815919.24999999988</c:v>
                </c:pt>
                <c:pt idx="4" formatCode="General">
                  <c:v>188230.00000000006</c:v>
                </c:pt>
                <c:pt idx="5" formatCode="General">
                  <c:v>2995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781-449B-AE68-5F093B70F835}"/>
            </c:ext>
          </c:extLst>
        </c:ser>
        <c:ser>
          <c:idx val="4"/>
          <c:order val="4"/>
          <c:tx>
            <c:strRef>
              <c:f>'Energy Total Dashboard'!$A$106</c:f>
              <c:strCache>
                <c:ptCount val="1"/>
                <c:pt idx="0">
                  <c:v>May-22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F-0781-449B-AE68-5F093B70F8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1-0781-449B-AE68-5F093B70F8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3-0781-449B-AE68-5F093B70F8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5-0781-449B-AE68-5F093B70F8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7-0781-449B-AE68-5F093B70F83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B-9C11-4F31-812A-378E936A8F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'Energy Total Dashboard'!$B$101:$G$101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Dashboard'!$B$106:$G$106</c:f>
              <c:numCache>
                <c:formatCode>#,##0</c:formatCode>
                <c:ptCount val="6"/>
                <c:pt idx="0" formatCode="General">
                  <c:v>3683255.3739999998</c:v>
                </c:pt>
                <c:pt idx="1">
                  <c:v>1902630</c:v>
                </c:pt>
                <c:pt idx="2" formatCode="General">
                  <c:v>1063783.3559322034</c:v>
                </c:pt>
                <c:pt idx="3" formatCode="General">
                  <c:v>279539.58499999996</c:v>
                </c:pt>
                <c:pt idx="4" formatCode="General">
                  <c:v>453950</c:v>
                </c:pt>
                <c:pt idx="5" formatCode="General">
                  <c:v>1812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0781-449B-AE68-5F093B70F835}"/>
            </c:ext>
          </c:extLst>
        </c:ser>
        <c:ser>
          <c:idx val="5"/>
          <c:order val="5"/>
          <c:tx>
            <c:strRef>
              <c:f>'Energy Total Dashboard'!$A$107</c:f>
              <c:strCache>
                <c:ptCount val="1"/>
                <c:pt idx="0">
                  <c:v>Jun-22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A-0781-449B-AE68-5F093B70F8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C-0781-449B-AE68-5F093B70F8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E-0781-449B-AE68-5F093B70F8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0-0781-449B-AE68-5F093B70F8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2-0781-449B-AE68-5F093B70F83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7-9C11-4F31-812A-378E936A8F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'Energy Total Dashboard'!$B$101:$G$101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Dashboard'!$B$107:$G$107</c:f>
              <c:numCache>
                <c:formatCode>#,##0</c:formatCode>
                <c:ptCount val="6"/>
                <c:pt idx="0" formatCode="General">
                  <c:v>3728325.0130000007</c:v>
                </c:pt>
                <c:pt idx="1">
                  <c:v>2352150</c:v>
                </c:pt>
                <c:pt idx="2" formatCode="General">
                  <c:v>1207140.3559322034</c:v>
                </c:pt>
                <c:pt idx="3" formatCode="General">
                  <c:v>883319.82999999984</c:v>
                </c:pt>
                <c:pt idx="4" formatCode="General">
                  <c:v>588900</c:v>
                </c:pt>
                <c:pt idx="5" formatCode="General">
                  <c:v>1026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0781-449B-AE68-5F093B70F835}"/>
            </c:ext>
          </c:extLst>
        </c:ser>
        <c:ser>
          <c:idx val="6"/>
          <c:order val="6"/>
          <c:tx>
            <c:strRef>
              <c:f>'Energy Total Dashboard'!$A$108</c:f>
              <c:strCache>
                <c:ptCount val="1"/>
                <c:pt idx="0">
                  <c:v>Jul-22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5-0781-449B-AE68-5F093B70F8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7-0781-449B-AE68-5F093B70F8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9-0781-449B-AE68-5F093B70F8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B-0781-449B-AE68-5F093B70F8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D-0781-449B-AE68-5F093B70F83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3-9C11-4F31-812A-378E936A8F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'Energy Total Dashboard'!$B$101:$G$101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Dashboard'!$B$108:$G$108</c:f>
              <c:numCache>
                <c:formatCode>#,##0</c:formatCode>
                <c:ptCount val="6"/>
                <c:pt idx="0" formatCode="General">
                  <c:v>3901568.8609999996</c:v>
                </c:pt>
                <c:pt idx="1">
                  <c:v>2631050</c:v>
                </c:pt>
                <c:pt idx="2" formatCode="General">
                  <c:v>1660269.7118644067</c:v>
                </c:pt>
                <c:pt idx="3" formatCode="General">
                  <c:v>1075351.6599999997</c:v>
                </c:pt>
                <c:pt idx="4" formatCode="General">
                  <c:v>739710</c:v>
                </c:pt>
                <c:pt idx="5" formatCode="General">
                  <c:v>1045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0781-449B-AE68-5F093B70F835}"/>
            </c:ext>
          </c:extLst>
        </c:ser>
        <c:ser>
          <c:idx val="7"/>
          <c:order val="7"/>
          <c:tx>
            <c:strRef>
              <c:f>'Energy Total Dashboard'!$A$109</c:f>
              <c:strCache>
                <c:ptCount val="1"/>
                <c:pt idx="0">
                  <c:v>Aug-22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0-0781-449B-AE68-5F093B70F8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2-0781-449B-AE68-5F093B70F8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4-0781-449B-AE68-5F093B70F8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6-0781-449B-AE68-5F093B70F8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8-0781-449B-AE68-5F093B70F83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F-9C11-4F31-812A-378E936A8F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'Energy Total Dashboard'!$B$101:$G$101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Dashboard'!$B$109:$G$109</c:f>
              <c:numCache>
                <c:formatCode>#,##0</c:formatCode>
                <c:ptCount val="6"/>
                <c:pt idx="0" formatCode="General">
                  <c:v>3866309.0009999992</c:v>
                </c:pt>
                <c:pt idx="1">
                  <c:v>2193547</c:v>
                </c:pt>
                <c:pt idx="2" formatCode="General">
                  <c:v>1074892.8305084745</c:v>
                </c:pt>
                <c:pt idx="3" formatCode="General">
                  <c:v>886244.50999999989</c:v>
                </c:pt>
                <c:pt idx="4" formatCode="General">
                  <c:v>618090</c:v>
                </c:pt>
                <c:pt idx="5" formatCode="General">
                  <c:v>2329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0781-449B-AE68-5F093B70F835}"/>
            </c:ext>
          </c:extLst>
        </c:ser>
        <c:ser>
          <c:idx val="8"/>
          <c:order val="8"/>
          <c:tx>
            <c:strRef>
              <c:f>'Energy Total Dashboard'!$A$110</c:f>
              <c:strCache>
                <c:ptCount val="1"/>
                <c:pt idx="0">
                  <c:v>Sep-22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B-0781-449B-AE68-5F093B70F8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D-0781-449B-AE68-5F093B70F8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F-0781-449B-AE68-5F093B70F8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1-0781-449B-AE68-5F093B70F8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3-0781-449B-AE68-5F093B70F83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B-9C11-4F31-812A-378E936A8F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'Energy Total Dashboard'!$B$101:$G$101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Dashboard'!$B$110:$G$110</c:f>
              <c:numCache>
                <c:formatCode>#,##0</c:formatCode>
                <c:ptCount val="6"/>
                <c:pt idx="0" formatCode="General">
                  <c:v>3591847.2549999999</c:v>
                </c:pt>
                <c:pt idx="1">
                  <c:v>2084430</c:v>
                </c:pt>
                <c:pt idx="2" formatCode="General">
                  <c:v>1174694.6440677966</c:v>
                </c:pt>
                <c:pt idx="3" formatCode="General">
                  <c:v>846960.73999999987</c:v>
                </c:pt>
                <c:pt idx="4" formatCode="General">
                  <c:v>595810.00000000012</c:v>
                </c:pt>
                <c:pt idx="5" formatCode="General">
                  <c:v>2446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0781-449B-AE68-5F093B70F835}"/>
            </c:ext>
          </c:extLst>
        </c:ser>
        <c:ser>
          <c:idx val="9"/>
          <c:order val="9"/>
          <c:tx>
            <c:strRef>
              <c:f>'Energy Total Dashboard'!$A$111</c:f>
              <c:strCache>
                <c:ptCount val="1"/>
                <c:pt idx="0">
                  <c:v>Oct-22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6-0781-449B-AE68-5F093B70F8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8-0781-449B-AE68-5F093B70F8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A-0781-449B-AE68-5F093B70F8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C-0781-449B-AE68-5F093B70F8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E-0781-449B-AE68-5F093B70F83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77-9C11-4F31-812A-378E936A8F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'Energy Total Dashboard'!$B$101:$G$101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Dashboard'!$B$111:$G$111</c:f>
              <c:numCache>
                <c:formatCode>#,##0</c:formatCode>
                <c:ptCount val="6"/>
                <c:pt idx="0" formatCode="General">
                  <c:v>3513574.2259999998</c:v>
                </c:pt>
                <c:pt idx="1">
                  <c:v>2046890</c:v>
                </c:pt>
                <c:pt idx="2" formatCode="General">
                  <c:v>1201203.9661016949</c:v>
                </c:pt>
                <c:pt idx="3" formatCode="General">
                  <c:v>680250.65649999992</c:v>
                </c:pt>
                <c:pt idx="4" formatCode="General">
                  <c:v>482949.99999999983</c:v>
                </c:pt>
                <c:pt idx="5" formatCode="General">
                  <c:v>2974.1999999999971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0781-449B-AE68-5F093B70F835}"/>
            </c:ext>
          </c:extLst>
        </c:ser>
        <c:ser>
          <c:idx val="10"/>
          <c:order val="10"/>
          <c:tx>
            <c:strRef>
              <c:f>'Energy Total Dashboard'!$A$112</c:f>
              <c:strCache>
                <c:ptCount val="1"/>
                <c:pt idx="0">
                  <c:v>Nov-22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71-0781-449B-AE68-5F093B70F8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73-0781-449B-AE68-5F093B70F8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75-0781-449B-AE68-5F093B70F8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77-0781-449B-AE68-5F093B70F8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79-0781-449B-AE68-5F093B70F83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83-9C11-4F31-812A-378E936A8F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'Energy Total Dashboard'!$B$101:$G$101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Dashboard'!$B$112:$G$112</c:f>
              <c:numCache>
                <c:formatCode>#,##0</c:formatCode>
                <c:ptCount val="6"/>
                <c:pt idx="0" formatCode="General">
                  <c:v>2813819.284</c:v>
                </c:pt>
                <c:pt idx="1">
                  <c:v>1236867</c:v>
                </c:pt>
                <c:pt idx="2" formatCode="General">
                  <c:v>845178.57627118647</c:v>
                </c:pt>
                <c:pt idx="3" formatCode="General">
                  <c:v>452780.3459999999</c:v>
                </c:pt>
                <c:pt idx="4" formatCode="General">
                  <c:v>208940.00000000006</c:v>
                </c:pt>
                <c:pt idx="5" formatCode="General">
                  <c:v>2258.1000000000058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0781-449B-AE68-5F093B70F835}"/>
            </c:ext>
          </c:extLst>
        </c:ser>
        <c:ser>
          <c:idx val="11"/>
          <c:order val="11"/>
          <c:tx>
            <c:strRef>
              <c:f>'Energy Total Dashboard'!$A$113</c:f>
              <c:strCache>
                <c:ptCount val="1"/>
                <c:pt idx="0">
                  <c:v>Dec-22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7C-0781-449B-AE68-5F093B70F8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7E-0781-449B-AE68-5F093B70F8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80-0781-449B-AE68-5F093B70F8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82-0781-449B-AE68-5F093B70F8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84-0781-449B-AE68-5F093B70F83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8F-9C11-4F31-812A-378E936A8F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'Energy Total Dashboard'!$B$101:$G$101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Dashboard'!$B$113:$G$113</c:f>
              <c:numCache>
                <c:formatCode>#,##0</c:formatCode>
                <c:ptCount val="6"/>
                <c:pt idx="0" formatCode="General">
                  <c:v>2495401.838</c:v>
                </c:pt>
                <c:pt idx="1">
                  <c:v>536240</c:v>
                </c:pt>
                <c:pt idx="2" formatCode="General">
                  <c:v>798710.23728813557</c:v>
                </c:pt>
                <c:pt idx="3" formatCode="General">
                  <c:v>847352.91299999994</c:v>
                </c:pt>
                <c:pt idx="4" formatCode="General">
                  <c:v>101410</c:v>
                </c:pt>
                <c:pt idx="5" formatCode="General">
                  <c:v>2277.1999999999971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0781-449B-AE68-5F093B70F83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Energy Consumption Breakdown 2024 - kWh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'Energy Total Dashboard'!$K$129</c:f>
              <c:strCache>
                <c:ptCount val="1"/>
                <c:pt idx="0">
                  <c:v>Jan-24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1-6E75-496C-B849-6813436FE7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3-6E75-496C-B849-6813436FE7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5-6E75-496C-B849-6813436FE7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7-6E75-496C-B849-6813436FE79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9-6E75-496C-B849-6813436FE79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B-6E75-496C-B849-6813436FE7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'Energy Total Dashboard'!$L$128:$Q$128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Dashboard'!$L$129:$Q$129</c:f>
              <c:numCache>
                <c:formatCode>General</c:formatCode>
                <c:ptCount val="6"/>
                <c:pt idx="0">
                  <c:v>2616949.6779999998</c:v>
                </c:pt>
                <c:pt idx="1">
                  <c:v>1090082</c:v>
                </c:pt>
                <c:pt idx="2">
                  <c:v>795980.10169491521</c:v>
                </c:pt>
                <c:pt idx="3">
                  <c:v>260482</c:v>
                </c:pt>
                <c:pt idx="4">
                  <c:v>29110</c:v>
                </c:pt>
                <c:pt idx="5">
                  <c:v>2205.8000000000029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E75-496C-B849-6813436FE794}"/>
            </c:ext>
          </c:extLst>
        </c:ser>
        <c:ser>
          <c:idx val="1"/>
          <c:order val="1"/>
          <c:tx>
            <c:strRef>
              <c:f>'Energy Total Dashboard'!$K$130</c:f>
              <c:strCache>
                <c:ptCount val="1"/>
                <c:pt idx="0">
                  <c:v>Feb-24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E-6E75-496C-B849-6813436FE7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0-6E75-496C-B849-6813436FE7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2-6E75-496C-B849-6813436FE7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4-6E75-496C-B849-6813436FE79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6-6E75-496C-B849-6813436FE79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8-6E75-496C-B849-6813436FE7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'Energy Total Dashboard'!$L$128:$Q$128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Dashboard'!$L$130:$Q$130</c:f>
              <c:numCache>
                <c:formatCode>General</c:formatCode>
                <c:ptCount val="6"/>
                <c:pt idx="0">
                  <c:v>2684761.93</c:v>
                </c:pt>
                <c:pt idx="1">
                  <c:v>1215228</c:v>
                </c:pt>
                <c:pt idx="2">
                  <c:v>599494.6610169491</c:v>
                </c:pt>
                <c:pt idx="3">
                  <c:v>0</c:v>
                </c:pt>
                <c:pt idx="4">
                  <c:v>52424.97</c:v>
                </c:pt>
                <c:pt idx="5">
                  <c:v>2693.5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6E75-496C-B849-6813436FE794}"/>
            </c:ext>
          </c:extLst>
        </c:ser>
        <c:ser>
          <c:idx val="2"/>
          <c:order val="2"/>
          <c:tx>
            <c:strRef>
              <c:f>'Energy Total Dashboard'!$K$131</c:f>
              <c:strCache>
                <c:ptCount val="1"/>
                <c:pt idx="0">
                  <c:v>Mar-24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B-6E75-496C-B849-6813436FE7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D-6E75-496C-B849-6813436FE7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F-6E75-496C-B849-6813436FE7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21-6E75-496C-B849-6813436FE79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23-6E75-496C-B849-6813436FE79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5-6E75-496C-B849-6813436FE7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'Energy Total Dashboard'!$L$128:$Q$128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Dashboard'!$L$131:$Q$131</c:f>
              <c:numCache>
                <c:formatCode>General</c:formatCode>
                <c:ptCount val="6"/>
                <c:pt idx="1">
                  <c:v>1750460</c:v>
                </c:pt>
                <c:pt idx="2">
                  <c:v>897756.08474576275</c:v>
                </c:pt>
                <c:pt idx="3">
                  <c:v>189425</c:v>
                </c:pt>
                <c:pt idx="4">
                  <c:v>223873.6</c:v>
                </c:pt>
                <c:pt idx="5">
                  <c:v>2360.6000000000058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6E75-496C-B849-6813436FE794}"/>
            </c:ext>
          </c:extLst>
        </c:ser>
        <c:ser>
          <c:idx val="3"/>
          <c:order val="3"/>
          <c:tx>
            <c:strRef>
              <c:f>'Energy Total Dashboard'!$K$132</c:f>
              <c:strCache>
                <c:ptCount val="1"/>
                <c:pt idx="0">
                  <c:v>Apr-24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28-6E75-496C-B849-6813436FE7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2A-6E75-496C-B849-6813436FE7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2C-6E75-496C-B849-6813436FE7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2E-6E75-496C-B849-6813436FE79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30-6E75-496C-B849-6813436FE79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2-6E75-496C-B849-6813436FE7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'Energy Total Dashboard'!$L$128:$Q$128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Dashboard'!$L$132:$Q$132</c:f>
              <c:numCache>
                <c:formatCode>General</c:formatCode>
                <c:ptCount val="6"/>
                <c:pt idx="2">
                  <c:v>847275.3389830509</c:v>
                </c:pt>
                <c:pt idx="3">
                  <c:v>213297</c:v>
                </c:pt>
                <c:pt idx="4">
                  <c:v>301485.38</c:v>
                </c:pt>
                <c:pt idx="5">
                  <c:v>1622.1999999999971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3-6E75-496C-B849-6813436FE794}"/>
            </c:ext>
          </c:extLst>
        </c:ser>
        <c:ser>
          <c:idx val="4"/>
          <c:order val="4"/>
          <c:tx>
            <c:strRef>
              <c:f>'Energy Total Dashboard'!$K$133</c:f>
              <c:strCache>
                <c:ptCount val="1"/>
                <c:pt idx="0">
                  <c:v>May-24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35-6E75-496C-B849-6813436FE7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37-6E75-496C-B849-6813436FE7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39-6E75-496C-B849-6813436FE7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3B-6E75-496C-B849-6813436FE79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3D-6E75-496C-B849-6813436FE79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F-6E75-496C-B849-6813436FE7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'Energy Total Dashboard'!$L$128:$Q$128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Dashboard'!$L$133:$Q$133</c:f>
              <c:numCache>
                <c:formatCode>General</c:formatCode>
                <c:ptCount val="6"/>
                <c:pt idx="3">
                  <c:v>234802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0-6E75-496C-B849-6813436FE794}"/>
            </c:ext>
          </c:extLst>
        </c:ser>
        <c:ser>
          <c:idx val="5"/>
          <c:order val="5"/>
          <c:tx>
            <c:strRef>
              <c:f>'Energy Total Dashboard'!$K$134</c:f>
              <c:strCache>
                <c:ptCount val="1"/>
                <c:pt idx="0">
                  <c:v>Jun-24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42-6E75-496C-B849-6813436FE7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44-6E75-496C-B849-6813436FE7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46-6E75-496C-B849-6813436FE7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48-6E75-496C-B849-6813436FE79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4A-6E75-496C-B849-6813436FE79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C-6E75-496C-B849-6813436FE7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'Energy Total Dashboard'!$L$128:$Q$128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Dashboard'!$L$134:$Q$134</c:f>
              <c:numCache>
                <c:formatCode>General</c:formatCode>
                <c:ptCount val="6"/>
                <c:pt idx="3">
                  <c:v>315945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D-6E75-496C-B849-6813436FE794}"/>
            </c:ext>
          </c:extLst>
        </c:ser>
        <c:ser>
          <c:idx val="6"/>
          <c:order val="6"/>
          <c:tx>
            <c:strRef>
              <c:f>'Energy Total Dashboard'!$K$135</c:f>
              <c:strCache>
                <c:ptCount val="1"/>
                <c:pt idx="0">
                  <c:v>Jul-24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4F-6E75-496C-B849-6813436FE7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51-6E75-496C-B849-6813436FE7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53-6E75-496C-B849-6813436FE7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55-6E75-496C-B849-6813436FE79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57-6E75-496C-B849-6813436FE79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9-6E75-496C-B849-6813436FE7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'Energy Total Dashboard'!$L$128:$Q$128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Dashboard'!$L$135:$Q$135</c:f>
              <c:numCache>
                <c:formatCode>General</c:formatCode>
                <c:ptCount val="6"/>
                <c:pt idx="3">
                  <c:v>342520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A-6E75-496C-B849-6813436FE794}"/>
            </c:ext>
          </c:extLst>
        </c:ser>
        <c:ser>
          <c:idx val="7"/>
          <c:order val="7"/>
          <c:tx>
            <c:strRef>
              <c:f>'Energy Total Dashboard'!$K$136</c:f>
              <c:strCache>
                <c:ptCount val="1"/>
                <c:pt idx="0">
                  <c:v>Aug-24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5C-6E75-496C-B849-6813436FE7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5E-6E75-496C-B849-6813436FE7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60-6E75-496C-B849-6813436FE7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62-6E75-496C-B849-6813436FE79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64-6E75-496C-B849-6813436FE79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6-6E75-496C-B849-6813436FE7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'Energy Total Dashboard'!$L$128:$Q$128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Dashboard'!$L$136:$Q$136</c:f>
              <c:numCache>
                <c:formatCode>General</c:formatCode>
                <c:ptCount val="6"/>
                <c:pt idx="3">
                  <c:v>362369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67-6E75-496C-B849-6813436FE794}"/>
            </c:ext>
          </c:extLst>
        </c:ser>
        <c:ser>
          <c:idx val="8"/>
          <c:order val="8"/>
          <c:tx>
            <c:strRef>
              <c:f>'Energy Total Dashboard'!$K$137</c:f>
              <c:strCache>
                <c:ptCount val="1"/>
                <c:pt idx="0">
                  <c:v>Sep-24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69-6E75-496C-B849-6813436FE7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6B-6E75-496C-B849-6813436FE7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6D-6E75-496C-B849-6813436FE7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6F-6E75-496C-B849-6813436FE79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71-6E75-496C-B849-6813436FE79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73-6E75-496C-B849-6813436FE7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'Energy Total Dashboard'!$L$128:$Q$128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Dashboard'!$L$137:$Q$137</c:f>
              <c:numCache>
                <c:formatCode>General</c:formatCode>
                <c:ptCount val="6"/>
                <c:pt idx="3">
                  <c:v>359128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74-6E75-496C-B849-6813436FE794}"/>
            </c:ext>
          </c:extLst>
        </c:ser>
        <c:ser>
          <c:idx val="9"/>
          <c:order val="9"/>
          <c:tx>
            <c:strRef>
              <c:f>'Energy Total Dashboard'!$K$138</c:f>
              <c:strCache>
                <c:ptCount val="1"/>
                <c:pt idx="0">
                  <c:v>Oct-24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76-6E75-496C-B849-6813436FE7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78-6E75-496C-B849-6813436FE7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7A-6E75-496C-B849-6813436FE7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7C-6E75-496C-B849-6813436FE79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7E-6E75-496C-B849-6813436FE79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80-6E75-496C-B849-6813436FE7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'Energy Total Dashboard'!$L$128:$Q$128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Dashboard'!$L$138:$Q$138</c:f>
              <c:numCache>
                <c:formatCode>General</c:formatCode>
                <c:ptCount val="6"/>
                <c:pt idx="3">
                  <c:v>405043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81-6E75-496C-B849-6813436FE794}"/>
            </c:ext>
          </c:extLst>
        </c:ser>
        <c:ser>
          <c:idx val="10"/>
          <c:order val="10"/>
          <c:tx>
            <c:strRef>
              <c:f>'Energy Total Dashboard'!$K$139</c:f>
              <c:strCache>
                <c:ptCount val="1"/>
                <c:pt idx="0">
                  <c:v>Nov-24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83-6E75-496C-B849-6813436FE7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85-6E75-496C-B849-6813436FE7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87-6E75-496C-B849-6813436FE7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89-6E75-496C-B849-6813436FE79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8B-6E75-496C-B849-6813436FE79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8D-6E75-496C-B849-6813436FE7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'Energy Total Dashboard'!$L$128:$Q$128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Dashboard'!$L$139:$Q$139</c:f>
              <c:numCache>
                <c:formatCode>General</c:formatCode>
                <c:ptCount val="6"/>
                <c:pt idx="3">
                  <c:v>382578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8E-6E75-496C-B849-6813436FE794}"/>
            </c:ext>
          </c:extLst>
        </c:ser>
        <c:ser>
          <c:idx val="11"/>
          <c:order val="11"/>
          <c:tx>
            <c:strRef>
              <c:f>'Energy Total Dashboard'!$K$140</c:f>
              <c:strCache>
                <c:ptCount val="1"/>
                <c:pt idx="0">
                  <c:v>Dec-24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90-6E75-496C-B849-6813436FE7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92-6E75-496C-B849-6813436FE7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94-6E75-496C-B849-6813436FE7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96-6E75-496C-B849-6813436FE79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98-6E75-496C-B849-6813436FE79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9A-6E75-496C-B849-6813436FE7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'Energy Total Dashboard'!$L$128:$Q$128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Dashboard'!$L$140:$Q$140</c:f>
              <c:numCache>
                <c:formatCode>General</c:formatCode>
                <c:ptCount val="6"/>
                <c:pt idx="3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9B-6E75-496C-B849-6813436FE79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Electricity Consumption Breakdown by Division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B451-44F8-B077-9E830EABBE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B451-44F8-B077-9E830EABBE6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B451-44F8-B077-9E830EABBE6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B451-44F8-B077-9E830EABBE6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B451-44F8-B077-9E830EABBE6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B451-44F8-B077-9E830EABBE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'Stream Elec Data'!$CE$1:$CJ$1</c:f>
              <c:strCache>
                <c:ptCount val="6"/>
                <c:pt idx="0">
                  <c:v>Ring Mains Total - kWh</c:v>
                </c:pt>
                <c:pt idx="1">
                  <c:v>Libraries Total - kWh</c:v>
                </c:pt>
                <c:pt idx="2">
                  <c:v>Colleges Total - kWh</c:v>
                </c:pt>
                <c:pt idx="3">
                  <c:v>Science Total - kWh</c:v>
                </c:pt>
                <c:pt idx="4">
                  <c:v>Health Science Total -kWh</c:v>
                </c:pt>
                <c:pt idx="5">
                  <c:v>Humanities Total - kWh</c:v>
                </c:pt>
              </c:strCache>
            </c:strRef>
          </c:cat>
          <c:val>
            <c:numRef>
              <c:f>'Stream Elec Data'!$CE$33:$CJ$33</c:f>
              <c:numCache>
                <c:formatCode>General</c:formatCode>
                <c:ptCount val="6"/>
                <c:pt idx="0">
                  <c:v>979229.15300000005</c:v>
                </c:pt>
                <c:pt idx="1">
                  <c:v>115350.57399999999</c:v>
                </c:pt>
                <c:pt idx="2">
                  <c:v>673497.66600000008</c:v>
                </c:pt>
                <c:pt idx="3">
                  <c:v>601866.06200000003</c:v>
                </c:pt>
                <c:pt idx="4">
                  <c:v>867383.50800000003</c:v>
                </c:pt>
                <c:pt idx="5">
                  <c:v>88879.216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451-44F8-B077-9E830EABBE6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Total Electricity Consumption Breakdown</a:t>
            </a:r>
            <a:r>
              <a:rPr lang="en-NZ" baseline="0"/>
              <a:t> over Time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663523263772461"/>
          <c:y val="0.10622614124501088"/>
          <c:w val="0.73019453613755037"/>
          <c:h val="0.78950827898945786"/>
        </c:manualLayout>
      </c:layout>
      <c:lineChart>
        <c:grouping val="standard"/>
        <c:varyColors val="0"/>
        <c:ser>
          <c:idx val="1"/>
          <c:order val="1"/>
          <c:tx>
            <c:strRef>
              <c:f>'Stream Elec Data'!$CE$1</c:f>
              <c:strCache>
                <c:ptCount val="1"/>
                <c:pt idx="0">
                  <c:v>Ring Mains Total - kWh</c:v>
                </c:pt>
              </c:strCache>
            </c:strRef>
          </c:tx>
          <c:spPr>
            <a:ln w="34925" cap="rnd">
              <a:solidFill>
                <a:schemeClr val="accent1">
                  <a:lumMod val="75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'Stream Elec Data'!$A$1:$A$31</c:f>
              <c:strCache>
                <c:ptCount val="31"/>
                <c:pt idx="0">
                  <c:v>Date</c:v>
                </c:pt>
                <c:pt idx="1">
                  <c:v>Jan-22</c:v>
                </c:pt>
                <c:pt idx="2">
                  <c:v>Feb-22</c:v>
                </c:pt>
                <c:pt idx="3">
                  <c:v>Mar-22</c:v>
                </c:pt>
                <c:pt idx="4">
                  <c:v>Apr-22</c:v>
                </c:pt>
                <c:pt idx="5">
                  <c:v>May-22</c:v>
                </c:pt>
                <c:pt idx="6">
                  <c:v>Jun-22</c:v>
                </c:pt>
                <c:pt idx="7">
                  <c:v>Jul-22</c:v>
                </c:pt>
                <c:pt idx="8">
                  <c:v>Aug-22</c:v>
                </c:pt>
                <c:pt idx="9">
                  <c:v>Sep-22</c:v>
                </c:pt>
                <c:pt idx="10">
                  <c:v>Oct-22</c:v>
                </c:pt>
                <c:pt idx="11">
                  <c:v>Nov-22</c:v>
                </c:pt>
                <c:pt idx="12">
                  <c:v>Dec-22</c:v>
                </c:pt>
                <c:pt idx="13">
                  <c:v>Jan-23</c:v>
                </c:pt>
                <c:pt idx="14">
                  <c:v>Feb-23</c:v>
                </c:pt>
                <c:pt idx="15">
                  <c:v>Mar-23</c:v>
                </c:pt>
                <c:pt idx="16">
                  <c:v>Apr-23</c:v>
                </c:pt>
                <c:pt idx="17">
                  <c:v>May-23</c:v>
                </c:pt>
                <c:pt idx="18">
                  <c:v>Jun-23</c:v>
                </c:pt>
                <c:pt idx="19">
                  <c:v>Jul-23</c:v>
                </c:pt>
                <c:pt idx="20">
                  <c:v>Aug-23</c:v>
                </c:pt>
                <c:pt idx="21">
                  <c:v>Sep-23</c:v>
                </c:pt>
                <c:pt idx="22">
                  <c:v>Oct-23</c:v>
                </c:pt>
                <c:pt idx="23">
                  <c:v>Nov-23</c:v>
                </c:pt>
                <c:pt idx="24">
                  <c:v>Dec-23</c:v>
                </c:pt>
                <c:pt idx="25">
                  <c:v>Jan-24</c:v>
                </c:pt>
                <c:pt idx="26">
                  <c:v>Feb-24</c:v>
                </c:pt>
                <c:pt idx="27">
                  <c:v>Mar-24</c:v>
                </c:pt>
                <c:pt idx="28">
                  <c:v>Apr-24</c:v>
                </c:pt>
                <c:pt idx="29">
                  <c:v>May-24</c:v>
                </c:pt>
                <c:pt idx="30">
                  <c:v>Jun-24</c:v>
                </c:pt>
              </c:strCache>
            </c:strRef>
          </c:cat>
          <c:val>
            <c:numRef>
              <c:f>'Stream Elec Data'!$CE$2:$CE$32</c:f>
              <c:numCache>
                <c:formatCode>General</c:formatCode>
                <c:ptCount val="31"/>
                <c:pt idx="0">
                  <c:v>691775.36</c:v>
                </c:pt>
                <c:pt idx="1">
                  <c:v>702678.3</c:v>
                </c:pt>
                <c:pt idx="2">
                  <c:v>825310.39100000006</c:v>
                </c:pt>
                <c:pt idx="3">
                  <c:v>789082.22100000002</c:v>
                </c:pt>
                <c:pt idx="4">
                  <c:v>975061.85100000002</c:v>
                </c:pt>
                <c:pt idx="5">
                  <c:v>1055010.807</c:v>
                </c:pt>
                <c:pt idx="6">
                  <c:v>1050401.1340000001</c:v>
                </c:pt>
                <c:pt idx="7">
                  <c:v>1031879.62</c:v>
                </c:pt>
                <c:pt idx="8">
                  <c:v>945475.52300000004</c:v>
                </c:pt>
                <c:pt idx="9">
                  <c:v>914211.99899999995</c:v>
                </c:pt>
                <c:pt idx="10">
                  <c:v>674500.728</c:v>
                </c:pt>
                <c:pt idx="11">
                  <c:v>567715.68599999999</c:v>
                </c:pt>
                <c:pt idx="12">
                  <c:v>546748.64999999991</c:v>
                </c:pt>
                <c:pt idx="13">
                  <c:v>585514.68599999999</c:v>
                </c:pt>
                <c:pt idx="14">
                  <c:v>736584.90500000003</c:v>
                </c:pt>
                <c:pt idx="15">
                  <c:v>708318.07700000005</c:v>
                </c:pt>
                <c:pt idx="16">
                  <c:v>874078.99099999992</c:v>
                </c:pt>
                <c:pt idx="17">
                  <c:v>888416.647</c:v>
                </c:pt>
                <c:pt idx="18">
                  <c:v>921950.55999999994</c:v>
                </c:pt>
                <c:pt idx="19">
                  <c:v>1016441.1849999999</c:v>
                </c:pt>
                <c:pt idx="20">
                  <c:v>865525.50699999998</c:v>
                </c:pt>
                <c:pt idx="21">
                  <c:v>842351.86399999994</c:v>
                </c:pt>
                <c:pt idx="22">
                  <c:v>720124.745</c:v>
                </c:pt>
                <c:pt idx="23">
                  <c:v>617175.69999999995</c:v>
                </c:pt>
                <c:pt idx="24">
                  <c:v>613443.94799999997</c:v>
                </c:pt>
                <c:pt idx="25">
                  <c:v>632971.80300000007</c:v>
                </c:pt>
                <c:pt idx="26">
                  <c:v>757416.04299999995</c:v>
                </c:pt>
                <c:pt idx="27">
                  <c:v>794141.58700000006</c:v>
                </c:pt>
                <c:pt idx="28">
                  <c:v>1024891.927</c:v>
                </c:pt>
                <c:pt idx="29">
                  <c:v>903787.11800000002</c:v>
                </c:pt>
                <c:pt idx="30">
                  <c:v>974743.76300000004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6-4F65-A1C7-3A50DA09FDA8}"/>
            </c:ext>
          </c:extLst>
        </c:ser>
        <c:ser>
          <c:idx val="2"/>
          <c:order val="2"/>
          <c:tx>
            <c:strRef>
              <c:f>'Stream Elec Data'!$CF$1</c:f>
              <c:strCache>
                <c:ptCount val="1"/>
                <c:pt idx="0">
                  <c:v>Libraries Total - kWh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'Stream Elec Data'!$A$1:$A$31</c:f>
              <c:strCache>
                <c:ptCount val="31"/>
                <c:pt idx="0">
                  <c:v>Date</c:v>
                </c:pt>
                <c:pt idx="1">
                  <c:v>Jan-22</c:v>
                </c:pt>
                <c:pt idx="2">
                  <c:v>Feb-22</c:v>
                </c:pt>
                <c:pt idx="3">
                  <c:v>Mar-22</c:v>
                </c:pt>
                <c:pt idx="4">
                  <c:v>Apr-22</c:v>
                </c:pt>
                <c:pt idx="5">
                  <c:v>May-22</c:v>
                </c:pt>
                <c:pt idx="6">
                  <c:v>Jun-22</c:v>
                </c:pt>
                <c:pt idx="7">
                  <c:v>Jul-22</c:v>
                </c:pt>
                <c:pt idx="8">
                  <c:v>Aug-22</c:v>
                </c:pt>
                <c:pt idx="9">
                  <c:v>Sep-22</c:v>
                </c:pt>
                <c:pt idx="10">
                  <c:v>Oct-22</c:v>
                </c:pt>
                <c:pt idx="11">
                  <c:v>Nov-22</c:v>
                </c:pt>
                <c:pt idx="12">
                  <c:v>Dec-22</c:v>
                </c:pt>
                <c:pt idx="13">
                  <c:v>Jan-23</c:v>
                </c:pt>
                <c:pt idx="14">
                  <c:v>Feb-23</c:v>
                </c:pt>
                <c:pt idx="15">
                  <c:v>Mar-23</c:v>
                </c:pt>
                <c:pt idx="16">
                  <c:v>Apr-23</c:v>
                </c:pt>
                <c:pt idx="17">
                  <c:v>May-23</c:v>
                </c:pt>
                <c:pt idx="18">
                  <c:v>Jun-23</c:v>
                </c:pt>
                <c:pt idx="19">
                  <c:v>Jul-23</c:v>
                </c:pt>
                <c:pt idx="20">
                  <c:v>Aug-23</c:v>
                </c:pt>
                <c:pt idx="21">
                  <c:v>Sep-23</c:v>
                </c:pt>
                <c:pt idx="22">
                  <c:v>Oct-23</c:v>
                </c:pt>
                <c:pt idx="23">
                  <c:v>Nov-23</c:v>
                </c:pt>
                <c:pt idx="24">
                  <c:v>Dec-23</c:v>
                </c:pt>
                <c:pt idx="25">
                  <c:v>Jan-24</c:v>
                </c:pt>
                <c:pt idx="26">
                  <c:v>Feb-24</c:v>
                </c:pt>
                <c:pt idx="27">
                  <c:v>Mar-24</c:v>
                </c:pt>
                <c:pt idx="28">
                  <c:v>Apr-24</c:v>
                </c:pt>
                <c:pt idx="29">
                  <c:v>May-24</c:v>
                </c:pt>
                <c:pt idx="30">
                  <c:v>Jun-24</c:v>
                </c:pt>
              </c:strCache>
            </c:strRef>
          </c:cat>
          <c:val>
            <c:numRef>
              <c:f>'Stream Elec Data'!$CF$2:$CF$32</c:f>
              <c:numCache>
                <c:formatCode>General</c:formatCode>
                <c:ptCount val="31"/>
                <c:pt idx="0">
                  <c:v>207424.52</c:v>
                </c:pt>
                <c:pt idx="1">
                  <c:v>229916.89799999999</c:v>
                </c:pt>
                <c:pt idx="2">
                  <c:v>270178.38800000009</c:v>
                </c:pt>
                <c:pt idx="3">
                  <c:v>263960.13199999993</c:v>
                </c:pt>
                <c:pt idx="4">
                  <c:v>272543.01799999998</c:v>
                </c:pt>
                <c:pt idx="5">
                  <c:v>246018.00400000002</c:v>
                </c:pt>
                <c:pt idx="6">
                  <c:v>236288.97999999998</c:v>
                </c:pt>
                <c:pt idx="7">
                  <c:v>276515.83753124997</c:v>
                </c:pt>
                <c:pt idx="8">
                  <c:v>262927.53199999966</c:v>
                </c:pt>
                <c:pt idx="9">
                  <c:v>249520.15125335695</c:v>
                </c:pt>
                <c:pt idx="10">
                  <c:v>219367.76847229004</c:v>
                </c:pt>
                <c:pt idx="11">
                  <c:v>198572.15600000002</c:v>
                </c:pt>
                <c:pt idx="12">
                  <c:v>218810.334</c:v>
                </c:pt>
                <c:pt idx="13">
                  <c:v>230738.28200000004</c:v>
                </c:pt>
                <c:pt idx="14">
                  <c:v>268525.42599999998</c:v>
                </c:pt>
                <c:pt idx="15">
                  <c:v>245447.44400000002</c:v>
                </c:pt>
                <c:pt idx="16">
                  <c:v>280672.80999999994</c:v>
                </c:pt>
                <c:pt idx="17">
                  <c:v>264983.83799999999</c:v>
                </c:pt>
                <c:pt idx="18">
                  <c:v>254945.28</c:v>
                </c:pt>
                <c:pt idx="19">
                  <c:v>272015.06</c:v>
                </c:pt>
                <c:pt idx="20">
                  <c:v>256261.45799999996</c:v>
                </c:pt>
                <c:pt idx="21">
                  <c:v>263902.10399999999</c:v>
                </c:pt>
                <c:pt idx="22">
                  <c:v>234980.05</c:v>
                </c:pt>
                <c:pt idx="23">
                  <c:v>198044.26599999997</c:v>
                </c:pt>
                <c:pt idx="24">
                  <c:v>215203.83399999997</c:v>
                </c:pt>
                <c:pt idx="25">
                  <c:v>225400.29799999998</c:v>
                </c:pt>
                <c:pt idx="26">
                  <c:v>255783.90199999997</c:v>
                </c:pt>
                <c:pt idx="27">
                  <c:v>107155.23800000001</c:v>
                </c:pt>
                <c:pt idx="28">
                  <c:v>114807.742</c:v>
                </c:pt>
                <c:pt idx="29">
                  <c:v>110816.98199999999</c:v>
                </c:pt>
                <c:pt idx="30">
                  <c:v>109351.488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36-4F65-A1C7-3A50DA09FDA8}"/>
            </c:ext>
          </c:extLst>
        </c:ser>
        <c:ser>
          <c:idx val="3"/>
          <c:order val="3"/>
          <c:tx>
            <c:strRef>
              <c:f>'Stream Elec Data'!$CG$1</c:f>
              <c:strCache>
                <c:ptCount val="1"/>
                <c:pt idx="0">
                  <c:v>Colleges Total - kWh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'Stream Elec Data'!$A$1:$A$31</c:f>
              <c:strCache>
                <c:ptCount val="31"/>
                <c:pt idx="0">
                  <c:v>Date</c:v>
                </c:pt>
                <c:pt idx="1">
                  <c:v>Jan-22</c:v>
                </c:pt>
                <c:pt idx="2">
                  <c:v>Feb-22</c:v>
                </c:pt>
                <c:pt idx="3">
                  <c:v>Mar-22</c:v>
                </c:pt>
                <c:pt idx="4">
                  <c:v>Apr-22</c:v>
                </c:pt>
                <c:pt idx="5">
                  <c:v>May-22</c:v>
                </c:pt>
                <c:pt idx="6">
                  <c:v>Jun-22</c:v>
                </c:pt>
                <c:pt idx="7">
                  <c:v>Jul-22</c:v>
                </c:pt>
                <c:pt idx="8">
                  <c:v>Aug-22</c:v>
                </c:pt>
                <c:pt idx="9">
                  <c:v>Sep-22</c:v>
                </c:pt>
                <c:pt idx="10">
                  <c:v>Oct-22</c:v>
                </c:pt>
                <c:pt idx="11">
                  <c:v>Nov-22</c:v>
                </c:pt>
                <c:pt idx="12">
                  <c:v>Dec-22</c:v>
                </c:pt>
                <c:pt idx="13">
                  <c:v>Jan-23</c:v>
                </c:pt>
                <c:pt idx="14">
                  <c:v>Feb-23</c:v>
                </c:pt>
                <c:pt idx="15">
                  <c:v>Mar-23</c:v>
                </c:pt>
                <c:pt idx="16">
                  <c:v>Apr-23</c:v>
                </c:pt>
                <c:pt idx="17">
                  <c:v>May-23</c:v>
                </c:pt>
                <c:pt idx="18">
                  <c:v>Jun-23</c:v>
                </c:pt>
                <c:pt idx="19">
                  <c:v>Jul-23</c:v>
                </c:pt>
                <c:pt idx="20">
                  <c:v>Aug-23</c:v>
                </c:pt>
                <c:pt idx="21">
                  <c:v>Sep-23</c:v>
                </c:pt>
                <c:pt idx="22">
                  <c:v>Oct-23</c:v>
                </c:pt>
                <c:pt idx="23">
                  <c:v>Nov-23</c:v>
                </c:pt>
                <c:pt idx="24">
                  <c:v>Dec-23</c:v>
                </c:pt>
                <c:pt idx="25">
                  <c:v>Jan-24</c:v>
                </c:pt>
                <c:pt idx="26">
                  <c:v>Feb-24</c:v>
                </c:pt>
                <c:pt idx="27">
                  <c:v>Mar-24</c:v>
                </c:pt>
                <c:pt idx="28">
                  <c:v>Apr-24</c:v>
                </c:pt>
                <c:pt idx="29">
                  <c:v>May-24</c:v>
                </c:pt>
                <c:pt idx="30">
                  <c:v>Jun-24</c:v>
                </c:pt>
              </c:strCache>
            </c:strRef>
          </c:cat>
          <c:val>
            <c:numRef>
              <c:f>'Stream Elec Data'!$CG$2:$CG$32</c:f>
              <c:numCache>
                <c:formatCode>General</c:formatCode>
                <c:ptCount val="31"/>
                <c:pt idx="0">
                  <c:v>187025.79200000002</c:v>
                </c:pt>
                <c:pt idx="1">
                  <c:v>274032.06599999999</c:v>
                </c:pt>
                <c:pt idx="2">
                  <c:v>436309.40400000004</c:v>
                </c:pt>
                <c:pt idx="3">
                  <c:v>446513.60800000001</c:v>
                </c:pt>
                <c:pt idx="4">
                  <c:v>610869.99400000006</c:v>
                </c:pt>
                <c:pt idx="5">
                  <c:v>641097.19799999997</c:v>
                </c:pt>
                <c:pt idx="6">
                  <c:v>705972.20799999998</c:v>
                </c:pt>
                <c:pt idx="7">
                  <c:v>673761.92799999996</c:v>
                </c:pt>
                <c:pt idx="8">
                  <c:v>621262.51599999995</c:v>
                </c:pt>
                <c:pt idx="9">
                  <c:v>594751.42000000004</c:v>
                </c:pt>
                <c:pt idx="10">
                  <c:v>286677.158</c:v>
                </c:pt>
                <c:pt idx="11">
                  <c:v>185214.31599999999</c:v>
                </c:pt>
                <c:pt idx="12">
                  <c:v>186917.58199999999</c:v>
                </c:pt>
                <c:pt idx="13">
                  <c:v>271921.97099999996</c:v>
                </c:pt>
                <c:pt idx="14">
                  <c:v>488672.47</c:v>
                </c:pt>
                <c:pt idx="15">
                  <c:v>487809.26400000002</c:v>
                </c:pt>
                <c:pt idx="16">
                  <c:v>610174.78</c:v>
                </c:pt>
                <c:pt idx="17">
                  <c:v>608821.03599999996</c:v>
                </c:pt>
                <c:pt idx="18">
                  <c:v>681875.15599999996</c:v>
                </c:pt>
                <c:pt idx="19">
                  <c:v>739519.76799999992</c:v>
                </c:pt>
                <c:pt idx="20">
                  <c:v>609013.84399999992</c:v>
                </c:pt>
                <c:pt idx="21">
                  <c:v>571892.45599999989</c:v>
                </c:pt>
                <c:pt idx="22">
                  <c:v>298483.93800000002</c:v>
                </c:pt>
                <c:pt idx="23">
                  <c:v>167450.842</c:v>
                </c:pt>
                <c:pt idx="24">
                  <c:v>172545.516</c:v>
                </c:pt>
                <c:pt idx="25">
                  <c:v>268309.77999999997</c:v>
                </c:pt>
                <c:pt idx="26">
                  <c:v>439413.67600000004</c:v>
                </c:pt>
                <c:pt idx="27">
                  <c:v>483173.20600000001</c:v>
                </c:pt>
                <c:pt idx="28">
                  <c:v>675498.40599999984</c:v>
                </c:pt>
                <c:pt idx="29">
                  <c:v>579298.56400000001</c:v>
                </c:pt>
                <c:pt idx="30">
                  <c:v>621789.14599999995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36-4F65-A1C7-3A50DA09FDA8}"/>
            </c:ext>
          </c:extLst>
        </c:ser>
        <c:ser>
          <c:idx val="4"/>
          <c:order val="4"/>
          <c:tx>
            <c:strRef>
              <c:f>'Stream Elec Data'!$CH$1</c:f>
              <c:strCache>
                <c:ptCount val="1"/>
                <c:pt idx="0">
                  <c:v>Science Total - kWh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'Stream Elec Data'!$A$1:$A$31</c:f>
              <c:strCache>
                <c:ptCount val="31"/>
                <c:pt idx="0">
                  <c:v>Date</c:v>
                </c:pt>
                <c:pt idx="1">
                  <c:v>Jan-22</c:v>
                </c:pt>
                <c:pt idx="2">
                  <c:v>Feb-22</c:v>
                </c:pt>
                <c:pt idx="3">
                  <c:v>Mar-22</c:v>
                </c:pt>
                <c:pt idx="4">
                  <c:v>Apr-22</c:v>
                </c:pt>
                <c:pt idx="5">
                  <c:v>May-22</c:v>
                </c:pt>
                <c:pt idx="6">
                  <c:v>Jun-22</c:v>
                </c:pt>
                <c:pt idx="7">
                  <c:v>Jul-22</c:v>
                </c:pt>
                <c:pt idx="8">
                  <c:v>Aug-22</c:v>
                </c:pt>
                <c:pt idx="9">
                  <c:v>Sep-22</c:v>
                </c:pt>
                <c:pt idx="10">
                  <c:v>Oct-22</c:v>
                </c:pt>
                <c:pt idx="11">
                  <c:v>Nov-22</c:v>
                </c:pt>
                <c:pt idx="12">
                  <c:v>Dec-22</c:v>
                </c:pt>
                <c:pt idx="13">
                  <c:v>Jan-23</c:v>
                </c:pt>
                <c:pt idx="14">
                  <c:v>Feb-23</c:v>
                </c:pt>
                <c:pt idx="15">
                  <c:v>Mar-23</c:v>
                </c:pt>
                <c:pt idx="16">
                  <c:v>Apr-23</c:v>
                </c:pt>
                <c:pt idx="17">
                  <c:v>May-23</c:v>
                </c:pt>
                <c:pt idx="18">
                  <c:v>Jun-23</c:v>
                </c:pt>
                <c:pt idx="19">
                  <c:v>Jul-23</c:v>
                </c:pt>
                <c:pt idx="20">
                  <c:v>Aug-23</c:v>
                </c:pt>
                <c:pt idx="21">
                  <c:v>Sep-23</c:v>
                </c:pt>
                <c:pt idx="22">
                  <c:v>Oct-23</c:v>
                </c:pt>
                <c:pt idx="23">
                  <c:v>Nov-23</c:v>
                </c:pt>
                <c:pt idx="24">
                  <c:v>Dec-23</c:v>
                </c:pt>
                <c:pt idx="25">
                  <c:v>Jan-24</c:v>
                </c:pt>
                <c:pt idx="26">
                  <c:v>Feb-24</c:v>
                </c:pt>
                <c:pt idx="27">
                  <c:v>Mar-24</c:v>
                </c:pt>
                <c:pt idx="28">
                  <c:v>Apr-24</c:v>
                </c:pt>
                <c:pt idx="29">
                  <c:v>May-24</c:v>
                </c:pt>
                <c:pt idx="30">
                  <c:v>Jun-24</c:v>
                </c:pt>
              </c:strCache>
            </c:strRef>
          </c:cat>
          <c:val>
            <c:numRef>
              <c:f>'Stream Elec Data'!$CH$2:$CH$32</c:f>
              <c:numCache>
                <c:formatCode>General</c:formatCode>
                <c:ptCount val="31"/>
                <c:pt idx="0">
                  <c:v>519811.10200000007</c:v>
                </c:pt>
                <c:pt idx="1">
                  <c:v>493387.592</c:v>
                </c:pt>
                <c:pt idx="2">
                  <c:v>574577.33400000003</c:v>
                </c:pt>
                <c:pt idx="3">
                  <c:v>565962.86199999996</c:v>
                </c:pt>
                <c:pt idx="4">
                  <c:v>648713.35600000003</c:v>
                </c:pt>
                <c:pt idx="5">
                  <c:v>676427.51399999997</c:v>
                </c:pt>
                <c:pt idx="6">
                  <c:v>712051.23599999992</c:v>
                </c:pt>
                <c:pt idx="7">
                  <c:v>695667.46</c:v>
                </c:pt>
                <c:pt idx="8">
                  <c:v>656326.7840000001</c:v>
                </c:pt>
                <c:pt idx="9">
                  <c:v>628001.08525781252</c:v>
                </c:pt>
                <c:pt idx="10">
                  <c:v>535243.48085546878</c:v>
                </c:pt>
                <c:pt idx="11">
                  <c:v>517732.61</c:v>
                </c:pt>
                <c:pt idx="12">
                  <c:v>506773.48799999995</c:v>
                </c:pt>
                <c:pt idx="13">
                  <c:v>510612.01</c:v>
                </c:pt>
                <c:pt idx="14">
                  <c:v>599941.07200000004</c:v>
                </c:pt>
                <c:pt idx="15">
                  <c:v>564671.89599999995</c:v>
                </c:pt>
                <c:pt idx="16">
                  <c:v>634516.84400000004</c:v>
                </c:pt>
                <c:pt idx="17">
                  <c:v>634567.27800000005</c:v>
                </c:pt>
                <c:pt idx="18">
                  <c:v>678702.3139999999</c:v>
                </c:pt>
                <c:pt idx="19">
                  <c:v>716406.95600000001</c:v>
                </c:pt>
                <c:pt idx="20">
                  <c:v>634563.71799999999</c:v>
                </c:pt>
                <c:pt idx="21">
                  <c:v>618875.67800000007</c:v>
                </c:pt>
                <c:pt idx="22">
                  <c:v>559240.78299999994</c:v>
                </c:pt>
                <c:pt idx="23">
                  <c:v>523377.96400000009</c:v>
                </c:pt>
                <c:pt idx="24">
                  <c:v>540632.37399999995</c:v>
                </c:pt>
                <c:pt idx="25">
                  <c:v>541075.86</c:v>
                </c:pt>
                <c:pt idx="26">
                  <c:v>602785.36599999992</c:v>
                </c:pt>
                <c:pt idx="27">
                  <c:v>587262.80800000008</c:v>
                </c:pt>
                <c:pt idx="28">
                  <c:v>616452.31799999997</c:v>
                </c:pt>
                <c:pt idx="29">
                  <c:v>580529.5639999999</c:v>
                </c:pt>
                <c:pt idx="30">
                  <c:v>625001.87400000007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36-4F65-A1C7-3A50DA09FDA8}"/>
            </c:ext>
          </c:extLst>
        </c:ser>
        <c:ser>
          <c:idx val="5"/>
          <c:order val="5"/>
          <c:tx>
            <c:strRef>
              <c:f>'Stream Elec Data'!$CI$1</c:f>
              <c:strCache>
                <c:ptCount val="1"/>
                <c:pt idx="0">
                  <c:v>Health Science Total -kWh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'Stream Elec Data'!$A$1:$A$31</c:f>
              <c:strCache>
                <c:ptCount val="31"/>
                <c:pt idx="0">
                  <c:v>Date</c:v>
                </c:pt>
                <c:pt idx="1">
                  <c:v>Jan-22</c:v>
                </c:pt>
                <c:pt idx="2">
                  <c:v>Feb-22</c:v>
                </c:pt>
                <c:pt idx="3">
                  <c:v>Mar-22</c:v>
                </c:pt>
                <c:pt idx="4">
                  <c:v>Apr-22</c:v>
                </c:pt>
                <c:pt idx="5">
                  <c:v>May-22</c:v>
                </c:pt>
                <c:pt idx="6">
                  <c:v>Jun-22</c:v>
                </c:pt>
                <c:pt idx="7">
                  <c:v>Jul-22</c:v>
                </c:pt>
                <c:pt idx="8">
                  <c:v>Aug-22</c:v>
                </c:pt>
                <c:pt idx="9">
                  <c:v>Sep-22</c:v>
                </c:pt>
                <c:pt idx="10">
                  <c:v>Oct-22</c:v>
                </c:pt>
                <c:pt idx="11">
                  <c:v>Nov-22</c:v>
                </c:pt>
                <c:pt idx="12">
                  <c:v>Dec-22</c:v>
                </c:pt>
                <c:pt idx="13">
                  <c:v>Jan-23</c:v>
                </c:pt>
                <c:pt idx="14">
                  <c:v>Feb-23</c:v>
                </c:pt>
                <c:pt idx="15">
                  <c:v>Mar-23</c:v>
                </c:pt>
                <c:pt idx="16">
                  <c:v>Apr-23</c:v>
                </c:pt>
                <c:pt idx="17">
                  <c:v>May-23</c:v>
                </c:pt>
                <c:pt idx="18">
                  <c:v>Jun-23</c:v>
                </c:pt>
                <c:pt idx="19">
                  <c:v>Jul-23</c:v>
                </c:pt>
                <c:pt idx="20">
                  <c:v>Aug-23</c:v>
                </c:pt>
                <c:pt idx="21">
                  <c:v>Sep-23</c:v>
                </c:pt>
                <c:pt idx="22">
                  <c:v>Oct-23</c:v>
                </c:pt>
                <c:pt idx="23">
                  <c:v>Nov-23</c:v>
                </c:pt>
                <c:pt idx="24">
                  <c:v>Dec-23</c:v>
                </c:pt>
                <c:pt idx="25">
                  <c:v>Jan-24</c:v>
                </c:pt>
                <c:pt idx="26">
                  <c:v>Feb-24</c:v>
                </c:pt>
                <c:pt idx="27">
                  <c:v>Mar-24</c:v>
                </c:pt>
                <c:pt idx="28">
                  <c:v>Apr-24</c:v>
                </c:pt>
                <c:pt idx="29">
                  <c:v>May-24</c:v>
                </c:pt>
                <c:pt idx="30">
                  <c:v>Jun-24</c:v>
                </c:pt>
              </c:strCache>
            </c:strRef>
          </c:cat>
          <c:val>
            <c:numRef>
              <c:f>'Stream Elec Data'!$CI$2:$CI$32</c:f>
              <c:numCache>
                <c:formatCode>General</c:formatCode>
                <c:ptCount val="31"/>
                <c:pt idx="0">
                  <c:v>757910.41399999999</c:v>
                </c:pt>
                <c:pt idx="1">
                  <c:v>731577.46200000006</c:v>
                </c:pt>
                <c:pt idx="2">
                  <c:v>831066.47000000009</c:v>
                </c:pt>
                <c:pt idx="3">
                  <c:v>777692.67800000007</c:v>
                </c:pt>
                <c:pt idx="4">
                  <c:v>853381.75199999998</c:v>
                </c:pt>
                <c:pt idx="5">
                  <c:v>796380.65</c:v>
                </c:pt>
                <c:pt idx="6">
                  <c:v>859835.70399999991</c:v>
                </c:pt>
                <c:pt idx="7">
                  <c:v>849641.88799999992</c:v>
                </c:pt>
                <c:pt idx="8">
                  <c:v>805575.66999999993</c:v>
                </c:pt>
                <c:pt idx="9">
                  <c:v>817471.098</c:v>
                </c:pt>
                <c:pt idx="10">
                  <c:v>798294.71000000008</c:v>
                </c:pt>
                <c:pt idx="11">
                  <c:v>743929.54599999997</c:v>
                </c:pt>
                <c:pt idx="12">
                  <c:v>785757.57200000016</c:v>
                </c:pt>
                <c:pt idx="13">
                  <c:v>760797.66399999999</c:v>
                </c:pt>
                <c:pt idx="14">
                  <c:v>846049.55</c:v>
                </c:pt>
                <c:pt idx="15">
                  <c:v>790031.15199999989</c:v>
                </c:pt>
                <c:pt idx="16">
                  <c:v>854578.68200000015</c:v>
                </c:pt>
                <c:pt idx="17">
                  <c:v>816367.0560000001</c:v>
                </c:pt>
                <c:pt idx="18">
                  <c:v>852917.73</c:v>
                </c:pt>
                <c:pt idx="19">
                  <c:v>880936.05</c:v>
                </c:pt>
                <c:pt idx="20">
                  <c:v>815392.67599999986</c:v>
                </c:pt>
                <c:pt idx="21">
                  <c:v>837603.88800000004</c:v>
                </c:pt>
                <c:pt idx="22">
                  <c:v>773682.15399999998</c:v>
                </c:pt>
                <c:pt idx="23">
                  <c:v>751199.01599999995</c:v>
                </c:pt>
                <c:pt idx="24">
                  <c:v>803837.08200000005</c:v>
                </c:pt>
                <c:pt idx="25">
                  <c:v>748869.54</c:v>
                </c:pt>
                <c:pt idx="26">
                  <c:v>808003.09199999995</c:v>
                </c:pt>
                <c:pt idx="27">
                  <c:v>795162.42799999996</c:v>
                </c:pt>
                <c:pt idx="28">
                  <c:v>859829.95</c:v>
                </c:pt>
                <c:pt idx="29">
                  <c:v>799850.65000000014</c:v>
                </c:pt>
                <c:pt idx="30">
                  <c:v>867745.69400000013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36-4F65-A1C7-3A50DA09FDA8}"/>
            </c:ext>
          </c:extLst>
        </c:ser>
        <c:ser>
          <c:idx val="6"/>
          <c:order val="6"/>
          <c:tx>
            <c:strRef>
              <c:f>'Stream Elec Data'!$CJ$1</c:f>
              <c:strCache>
                <c:ptCount val="1"/>
                <c:pt idx="0">
                  <c:v>Humanities Total - kWh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'Stream Elec Data'!$A$1:$A$31</c:f>
              <c:strCache>
                <c:ptCount val="31"/>
                <c:pt idx="0">
                  <c:v>Date</c:v>
                </c:pt>
                <c:pt idx="1">
                  <c:v>Jan-22</c:v>
                </c:pt>
                <c:pt idx="2">
                  <c:v>Feb-22</c:v>
                </c:pt>
                <c:pt idx="3">
                  <c:v>Mar-22</c:v>
                </c:pt>
                <c:pt idx="4">
                  <c:v>Apr-22</c:v>
                </c:pt>
                <c:pt idx="5">
                  <c:v>May-22</c:v>
                </c:pt>
                <c:pt idx="6">
                  <c:v>Jun-22</c:v>
                </c:pt>
                <c:pt idx="7">
                  <c:v>Jul-22</c:v>
                </c:pt>
                <c:pt idx="8">
                  <c:v>Aug-22</c:v>
                </c:pt>
                <c:pt idx="9">
                  <c:v>Sep-22</c:v>
                </c:pt>
                <c:pt idx="10">
                  <c:v>Oct-22</c:v>
                </c:pt>
                <c:pt idx="11">
                  <c:v>Nov-22</c:v>
                </c:pt>
                <c:pt idx="12">
                  <c:v>Dec-22</c:v>
                </c:pt>
                <c:pt idx="13">
                  <c:v>Jan-23</c:v>
                </c:pt>
                <c:pt idx="14">
                  <c:v>Feb-23</c:v>
                </c:pt>
                <c:pt idx="15">
                  <c:v>Mar-23</c:v>
                </c:pt>
                <c:pt idx="16">
                  <c:v>Apr-23</c:v>
                </c:pt>
                <c:pt idx="17">
                  <c:v>May-23</c:v>
                </c:pt>
                <c:pt idx="18">
                  <c:v>Jun-23</c:v>
                </c:pt>
                <c:pt idx="19">
                  <c:v>Jul-23</c:v>
                </c:pt>
                <c:pt idx="20">
                  <c:v>Aug-23</c:v>
                </c:pt>
                <c:pt idx="21">
                  <c:v>Sep-23</c:v>
                </c:pt>
                <c:pt idx="22">
                  <c:v>Oct-23</c:v>
                </c:pt>
                <c:pt idx="23">
                  <c:v>Nov-23</c:v>
                </c:pt>
                <c:pt idx="24">
                  <c:v>Dec-23</c:v>
                </c:pt>
                <c:pt idx="25">
                  <c:v>Jan-24</c:v>
                </c:pt>
                <c:pt idx="26">
                  <c:v>Feb-24</c:v>
                </c:pt>
                <c:pt idx="27">
                  <c:v>Mar-24</c:v>
                </c:pt>
                <c:pt idx="28">
                  <c:v>Apr-24</c:v>
                </c:pt>
                <c:pt idx="29">
                  <c:v>May-24</c:v>
                </c:pt>
                <c:pt idx="30">
                  <c:v>Jun-24</c:v>
                </c:pt>
              </c:strCache>
            </c:strRef>
          </c:cat>
          <c:val>
            <c:numRef>
              <c:f>'Stream Elec Data'!$CJ$2:$CJ$32</c:f>
              <c:numCache>
                <c:formatCode>General</c:formatCode>
                <c:ptCount val="31"/>
                <c:pt idx="0">
                  <c:v>110716.88800000001</c:v>
                </c:pt>
                <c:pt idx="1">
                  <c:v>115342.064</c:v>
                </c:pt>
                <c:pt idx="2">
                  <c:v>148488.08000000002</c:v>
                </c:pt>
                <c:pt idx="3">
                  <c:v>148583.6</c:v>
                </c:pt>
                <c:pt idx="4">
                  <c:v>193396.94400000002</c:v>
                </c:pt>
                <c:pt idx="5">
                  <c:v>196916.61599999998</c:v>
                </c:pt>
                <c:pt idx="6">
                  <c:v>215815.864</c:v>
                </c:pt>
                <c:pt idx="7">
                  <c:v>218675.03200000001</c:v>
                </c:pt>
                <c:pt idx="8">
                  <c:v>199736</c:v>
                </c:pt>
                <c:pt idx="9">
                  <c:v>183554.91387304687</c:v>
                </c:pt>
                <c:pt idx="10">
                  <c:v>146277.02363671875</c:v>
                </c:pt>
                <c:pt idx="11">
                  <c:v>120542.92400000001</c:v>
                </c:pt>
                <c:pt idx="12">
                  <c:v>114461.266</c:v>
                </c:pt>
                <c:pt idx="13">
                  <c:v>118730.32399999999</c:v>
                </c:pt>
                <c:pt idx="14">
                  <c:v>150900.12399999998</c:v>
                </c:pt>
                <c:pt idx="15">
                  <c:v>157975.08200000002</c:v>
                </c:pt>
                <c:pt idx="16">
                  <c:v>146559.83600000001</c:v>
                </c:pt>
                <c:pt idx="17">
                  <c:v>148359.01999999999</c:v>
                </c:pt>
                <c:pt idx="18">
                  <c:v>153243.70800000001</c:v>
                </c:pt>
                <c:pt idx="19">
                  <c:v>153564.524</c:v>
                </c:pt>
                <c:pt idx="20">
                  <c:v>142384.70000000001</c:v>
                </c:pt>
                <c:pt idx="21">
                  <c:v>140189.53200000001</c:v>
                </c:pt>
                <c:pt idx="22">
                  <c:v>133902.29199999999</c:v>
                </c:pt>
                <c:pt idx="23">
                  <c:v>124049.96400000001</c:v>
                </c:pt>
                <c:pt idx="24">
                  <c:v>123748.09200000002</c:v>
                </c:pt>
                <c:pt idx="25">
                  <c:v>126211.67600000001</c:v>
                </c:pt>
                <c:pt idx="26">
                  <c:v>139705.53200000001</c:v>
                </c:pt>
                <c:pt idx="27">
                  <c:v>141689.18</c:v>
                </c:pt>
                <c:pt idx="28">
                  <c:v>157537.67600000001</c:v>
                </c:pt>
                <c:pt idx="29">
                  <c:v>151833.42000000001</c:v>
                </c:pt>
                <c:pt idx="30">
                  <c:v>84013.04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36-4F65-A1C7-3A50DA09F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74905400"/>
        <c:axId val="-1674904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'Stream Elec Data'!$CE$32:$CJ$32</c15:sqref>
                        </c15:formulaRef>
                      </c:ext>
                    </c:extLst>
                    <c:strCache>
                      <c:ptCount val="1"/>
                      <c:pt idx="0">
                        <c:v>974743.763 109351.488 621789.146 625001.874 867745.694 84013.04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'Stream Elec Data'!$A$1:$A$31</c15:sqref>
                        </c15:formulaRef>
                      </c:ext>
                    </c:extLst>
                    <c:strCache>
                      <c:ptCount val="31"/>
                      <c:pt idx="0">
                        <c:v>Date</c:v>
                      </c:pt>
                      <c:pt idx="1">
                        <c:v>Jan-22</c:v>
                      </c:pt>
                      <c:pt idx="2">
                        <c:v>Feb-22</c:v>
                      </c:pt>
                      <c:pt idx="3">
                        <c:v>Mar-22</c:v>
                      </c:pt>
                      <c:pt idx="4">
                        <c:v>Apr-22</c:v>
                      </c:pt>
                      <c:pt idx="5">
                        <c:v>May-22</c:v>
                      </c:pt>
                      <c:pt idx="6">
                        <c:v>Jun-22</c:v>
                      </c:pt>
                      <c:pt idx="7">
                        <c:v>Jul-22</c:v>
                      </c:pt>
                      <c:pt idx="8">
                        <c:v>Aug-22</c:v>
                      </c:pt>
                      <c:pt idx="9">
                        <c:v>Sep-22</c:v>
                      </c:pt>
                      <c:pt idx="10">
                        <c:v>Oct-22</c:v>
                      </c:pt>
                      <c:pt idx="11">
                        <c:v>Nov-22</c:v>
                      </c:pt>
                      <c:pt idx="12">
                        <c:v>Dec-22</c:v>
                      </c:pt>
                      <c:pt idx="13">
                        <c:v>Jan-23</c:v>
                      </c:pt>
                      <c:pt idx="14">
                        <c:v>Feb-23</c:v>
                      </c:pt>
                      <c:pt idx="15">
                        <c:v>Mar-23</c:v>
                      </c:pt>
                      <c:pt idx="16">
                        <c:v>Apr-23</c:v>
                      </c:pt>
                      <c:pt idx="17">
                        <c:v>May-23</c:v>
                      </c:pt>
                      <c:pt idx="18">
                        <c:v>Jun-23</c:v>
                      </c:pt>
                      <c:pt idx="19">
                        <c:v>Jul-23</c:v>
                      </c:pt>
                      <c:pt idx="20">
                        <c:v>Aug-23</c:v>
                      </c:pt>
                      <c:pt idx="21">
                        <c:v>Sep-23</c:v>
                      </c:pt>
                      <c:pt idx="22">
                        <c:v>Oct-23</c:v>
                      </c:pt>
                      <c:pt idx="23">
                        <c:v>Nov-23</c:v>
                      </c:pt>
                      <c:pt idx="24">
                        <c:v>Dec-23</c:v>
                      </c:pt>
                      <c:pt idx="25">
                        <c:v>Jan-24</c:v>
                      </c:pt>
                      <c:pt idx="26">
                        <c:v>Feb-24</c:v>
                      </c:pt>
                      <c:pt idx="27">
                        <c:v>Mar-24</c:v>
                      </c:pt>
                      <c:pt idx="28">
                        <c:v>Apr-24</c:v>
                      </c:pt>
                      <c:pt idx="29">
                        <c:v>May-24</c:v>
                      </c:pt>
                      <c:pt idx="30">
                        <c:v>Jun-24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'Stream Elec Data'!$CL$32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3693138.2340000011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236-4F65-A1C7-3A50DA09FDA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'Stream Elec Data'!$CL$1</c15:sqref>
                        </c15:formulaRef>
                      </c:ext>
                    </c:extLst>
                    <c:strCache>
                      <c:ptCount val="1"/>
                      <c:pt idx="0">
                        <c:v>Total Stream DN Electricity - kWh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'Stream Elec Data'!$A$1:$A$31</c15:sqref>
                        </c15:formulaRef>
                      </c:ext>
                    </c:extLst>
                    <c:strCache>
                      <c:ptCount val="31"/>
                      <c:pt idx="0">
                        <c:v>Date</c:v>
                      </c:pt>
                      <c:pt idx="1">
                        <c:v>Jan-22</c:v>
                      </c:pt>
                      <c:pt idx="2">
                        <c:v>Feb-22</c:v>
                      </c:pt>
                      <c:pt idx="3">
                        <c:v>Mar-22</c:v>
                      </c:pt>
                      <c:pt idx="4">
                        <c:v>Apr-22</c:v>
                      </c:pt>
                      <c:pt idx="5">
                        <c:v>May-22</c:v>
                      </c:pt>
                      <c:pt idx="6">
                        <c:v>Jun-22</c:v>
                      </c:pt>
                      <c:pt idx="7">
                        <c:v>Jul-22</c:v>
                      </c:pt>
                      <c:pt idx="8">
                        <c:v>Aug-22</c:v>
                      </c:pt>
                      <c:pt idx="9">
                        <c:v>Sep-22</c:v>
                      </c:pt>
                      <c:pt idx="10">
                        <c:v>Oct-22</c:v>
                      </c:pt>
                      <c:pt idx="11">
                        <c:v>Nov-22</c:v>
                      </c:pt>
                      <c:pt idx="12">
                        <c:v>Dec-22</c:v>
                      </c:pt>
                      <c:pt idx="13">
                        <c:v>Jan-23</c:v>
                      </c:pt>
                      <c:pt idx="14">
                        <c:v>Feb-23</c:v>
                      </c:pt>
                      <c:pt idx="15">
                        <c:v>Mar-23</c:v>
                      </c:pt>
                      <c:pt idx="16">
                        <c:v>Apr-23</c:v>
                      </c:pt>
                      <c:pt idx="17">
                        <c:v>May-23</c:v>
                      </c:pt>
                      <c:pt idx="18">
                        <c:v>Jun-23</c:v>
                      </c:pt>
                      <c:pt idx="19">
                        <c:v>Jul-23</c:v>
                      </c:pt>
                      <c:pt idx="20">
                        <c:v>Aug-23</c:v>
                      </c:pt>
                      <c:pt idx="21">
                        <c:v>Sep-23</c:v>
                      </c:pt>
                      <c:pt idx="22">
                        <c:v>Oct-23</c:v>
                      </c:pt>
                      <c:pt idx="23">
                        <c:v>Nov-23</c:v>
                      </c:pt>
                      <c:pt idx="24">
                        <c:v>Dec-23</c:v>
                      </c:pt>
                      <c:pt idx="25">
                        <c:v>Jan-24</c:v>
                      </c:pt>
                      <c:pt idx="26">
                        <c:v>Feb-24</c:v>
                      </c:pt>
                      <c:pt idx="27">
                        <c:v>Mar-24</c:v>
                      </c:pt>
                      <c:pt idx="28">
                        <c:v>Apr-24</c:v>
                      </c:pt>
                      <c:pt idx="29">
                        <c:v>May-24</c:v>
                      </c:pt>
                      <c:pt idx="30">
                        <c:v>Jun-24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'Stream Elec Data'!$CL$2:$CL$32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2666022.7849999997</c:v>
                      </c:pt>
                      <c:pt idx="1">
                        <c:v>2702224.6270000017</c:v>
                      </c:pt>
                      <c:pt idx="2">
                        <c:v>3254557.8309999998</c:v>
                      </c:pt>
                      <c:pt idx="3">
                        <c:v>3125000.171000001</c:v>
                      </c:pt>
                      <c:pt idx="4">
                        <c:v>3683255.3739999998</c:v>
                      </c:pt>
                      <c:pt idx="5">
                        <c:v>3728325.0130000007</c:v>
                      </c:pt>
                      <c:pt idx="6">
                        <c:v>3901568.8609999996</c:v>
                      </c:pt>
                      <c:pt idx="7">
                        <c:v>3866309.0009999992</c:v>
                      </c:pt>
                      <c:pt idx="8">
                        <c:v>3591847.2549999999</c:v>
                      </c:pt>
                      <c:pt idx="9">
                        <c:v>3513574.2259999998</c:v>
                      </c:pt>
                      <c:pt idx="10">
                        <c:v>2813819.284</c:v>
                      </c:pt>
                      <c:pt idx="11">
                        <c:v>2495401.838</c:v>
                      </c:pt>
                      <c:pt idx="12">
                        <c:v>2527644.9279999998</c:v>
                      </c:pt>
                      <c:pt idx="13">
                        <c:v>2637154.7969999998</c:v>
                      </c:pt>
                      <c:pt idx="14">
                        <c:v>3261550.0599999996</c:v>
                      </c:pt>
                      <c:pt idx="15">
                        <c:v>3097949.9780000011</c:v>
                      </c:pt>
                      <c:pt idx="16">
                        <c:v>3572115.456999999</c:v>
                      </c:pt>
                      <c:pt idx="17">
                        <c:v>3504665.0579999997</c:v>
                      </c:pt>
                      <c:pt idx="18">
                        <c:v>3690040.8559999997</c:v>
                      </c:pt>
                      <c:pt idx="19">
                        <c:v>3917122.9559999998</c:v>
                      </c:pt>
                      <c:pt idx="20">
                        <c:v>3464517.7850000001</c:v>
                      </c:pt>
                      <c:pt idx="21">
                        <c:v>3420999.4760000007</c:v>
                      </c:pt>
                      <c:pt idx="22">
                        <c:v>2868989.8370000003</c:v>
                      </c:pt>
                      <c:pt idx="23">
                        <c:v>2535856.341</c:v>
                      </c:pt>
                      <c:pt idx="24">
                        <c:v>2616949.6779999998</c:v>
                      </c:pt>
                      <c:pt idx="25">
                        <c:v>2684761.93</c:v>
                      </c:pt>
                      <c:pt idx="26">
                        <c:v>3158657.9399999995</c:v>
                      </c:pt>
                      <c:pt idx="27">
                        <c:v>3183011.8870000001</c:v>
                      </c:pt>
                      <c:pt idx="28">
                        <c:v>3794274.7139999992</c:v>
                      </c:pt>
                      <c:pt idx="29">
                        <c:v>3441555.9380000005</c:v>
                      </c:pt>
                      <c:pt idx="30">
                        <c:v>3693138.2340000011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236-4F65-A1C7-3A50DA09FDA8}"/>
                  </c:ext>
                </c:extLst>
              </c15:ser>
            </c15:filteredLineSeries>
          </c:ext>
        </c:extLst>
      </c:lineChart>
      <c:catAx>
        <c:axId val="-167490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904248"/>
        <c:crosses val="autoZero"/>
        <c:auto val="1"/>
        <c:lblAlgn val="ctr"/>
        <c:lblOffset val="100"/>
        <c:noMultiLvlLbl val="0"/>
      </c:catAx>
      <c:valAx>
        <c:axId val="-167490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90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6221865124002357E-2"/>
          <c:y val="0.33777771372258364"/>
          <c:w val="0.13187810373098421"/>
          <c:h val="0.303814730956764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Library Consumption Breakdown</a:t>
            </a:r>
            <a:r>
              <a:rPr lang="en-NZ" baseline="0"/>
              <a:t> over Time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931497180258582"/>
          <c:y val="0.10322552292862237"/>
          <c:w val="0.73751479697268929"/>
          <c:h val="0.79250889730584639"/>
        </c:manualLayout>
      </c:layout>
      <c:lineChart>
        <c:grouping val="standard"/>
        <c:varyColors val="0"/>
        <c:ser>
          <c:idx val="0"/>
          <c:order val="0"/>
          <c:tx>
            <c:strRef>
              <c:f>'Stream Elec Data'!$AI$1</c:f>
              <c:strCache>
                <c:ptCount val="1"/>
                <c:pt idx="0">
                  <c:v>E902 Hocken Library - kWh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'Stream Elec Data'!$A$1:$A$32</c:f>
              <c:strCache>
                <c:ptCount val="32"/>
                <c:pt idx="0">
                  <c:v>Date</c:v>
                </c:pt>
                <c:pt idx="1">
                  <c:v>Jan-22</c:v>
                </c:pt>
                <c:pt idx="2">
                  <c:v>Feb-22</c:v>
                </c:pt>
                <c:pt idx="3">
                  <c:v>Mar-22</c:v>
                </c:pt>
                <c:pt idx="4">
                  <c:v>Apr-22</c:v>
                </c:pt>
                <c:pt idx="5">
                  <c:v>May-22</c:v>
                </c:pt>
                <c:pt idx="6">
                  <c:v>Jun-22</c:v>
                </c:pt>
                <c:pt idx="7">
                  <c:v>Jul-22</c:v>
                </c:pt>
                <c:pt idx="8">
                  <c:v>Aug-22</c:v>
                </c:pt>
                <c:pt idx="9">
                  <c:v>Sep-22</c:v>
                </c:pt>
                <c:pt idx="10">
                  <c:v>Oct-22</c:v>
                </c:pt>
                <c:pt idx="11">
                  <c:v>Nov-22</c:v>
                </c:pt>
                <c:pt idx="12">
                  <c:v>Dec-22</c:v>
                </c:pt>
                <c:pt idx="13">
                  <c:v>Jan-23</c:v>
                </c:pt>
                <c:pt idx="14">
                  <c:v>Feb-23</c:v>
                </c:pt>
                <c:pt idx="15">
                  <c:v>Mar-23</c:v>
                </c:pt>
                <c:pt idx="16">
                  <c:v>Apr-23</c:v>
                </c:pt>
                <c:pt idx="17">
                  <c:v>May-23</c:v>
                </c:pt>
                <c:pt idx="18">
                  <c:v>Jun-23</c:v>
                </c:pt>
                <c:pt idx="19">
                  <c:v>Jul-23</c:v>
                </c:pt>
                <c:pt idx="20">
                  <c:v>Aug-23</c:v>
                </c:pt>
                <c:pt idx="21">
                  <c:v>Sep-23</c:v>
                </c:pt>
                <c:pt idx="22">
                  <c:v>Oct-23</c:v>
                </c:pt>
                <c:pt idx="23">
                  <c:v>Nov-23</c:v>
                </c:pt>
                <c:pt idx="24">
                  <c:v>Dec-23</c:v>
                </c:pt>
                <c:pt idx="25">
                  <c:v>Jan-24</c:v>
                </c:pt>
                <c:pt idx="26">
                  <c:v>Feb-24</c:v>
                </c:pt>
                <c:pt idx="27">
                  <c:v>Mar-24</c:v>
                </c:pt>
                <c:pt idx="28">
                  <c:v>Apr-24</c:v>
                </c:pt>
                <c:pt idx="29">
                  <c:v>May-24</c:v>
                </c:pt>
                <c:pt idx="30">
                  <c:v>Jun-24</c:v>
                </c:pt>
                <c:pt idx="31">
                  <c:v>Jul-24</c:v>
                </c:pt>
              </c:strCache>
            </c:strRef>
          </c:cat>
          <c:val>
            <c:numRef>
              <c:f>'Stream Elec Data'!$AI$2:$AI$32</c:f>
              <c:numCache>
                <c:formatCode>General</c:formatCode>
                <c:ptCount val="31"/>
                <c:pt idx="0">
                  <c:v>68096.399999999994</c:v>
                </c:pt>
                <c:pt idx="1">
                  <c:v>60933.328000000001</c:v>
                </c:pt>
                <c:pt idx="2">
                  <c:v>68675.728000000003</c:v>
                </c:pt>
                <c:pt idx="3">
                  <c:v>63277.951999999997</c:v>
                </c:pt>
                <c:pt idx="4">
                  <c:v>67776.767999999996</c:v>
                </c:pt>
                <c:pt idx="5">
                  <c:v>62069.264000000003</c:v>
                </c:pt>
                <c:pt idx="6">
                  <c:v>70941.119999999995</c:v>
                </c:pt>
                <c:pt idx="7">
                  <c:v>76628.607999999993</c:v>
                </c:pt>
                <c:pt idx="8">
                  <c:v>68296.831999999995</c:v>
                </c:pt>
                <c:pt idx="9">
                  <c:v>61328.800000000003</c:v>
                </c:pt>
                <c:pt idx="10">
                  <c:v>64764.800000000003</c:v>
                </c:pt>
                <c:pt idx="11">
                  <c:v>71852.656000000003</c:v>
                </c:pt>
                <c:pt idx="12">
                  <c:v>73759.903999999995</c:v>
                </c:pt>
                <c:pt idx="13">
                  <c:v>68125.792000000001</c:v>
                </c:pt>
                <c:pt idx="14">
                  <c:v>75673.856</c:v>
                </c:pt>
                <c:pt idx="15">
                  <c:v>70398.543999999994</c:v>
                </c:pt>
                <c:pt idx="16">
                  <c:v>77178.080000000002</c:v>
                </c:pt>
                <c:pt idx="17">
                  <c:v>72472.047999999995</c:v>
                </c:pt>
                <c:pt idx="18">
                  <c:v>72544.72</c:v>
                </c:pt>
                <c:pt idx="19">
                  <c:v>73899.28</c:v>
                </c:pt>
                <c:pt idx="20">
                  <c:v>69799.327999999994</c:v>
                </c:pt>
                <c:pt idx="21">
                  <c:v>74480.144</c:v>
                </c:pt>
                <c:pt idx="22">
                  <c:v>74787.600000000006</c:v>
                </c:pt>
                <c:pt idx="23">
                  <c:v>75385.936000000002</c:v>
                </c:pt>
                <c:pt idx="24">
                  <c:v>77719.183999999994</c:v>
                </c:pt>
                <c:pt idx="25">
                  <c:v>71382.767999999996</c:v>
                </c:pt>
                <c:pt idx="26">
                  <c:v>74715.072</c:v>
                </c:pt>
                <c:pt idx="27">
                  <c:v>70677.248000000007</c:v>
                </c:pt>
                <c:pt idx="28">
                  <c:v>73802.032000000007</c:v>
                </c:pt>
                <c:pt idx="29">
                  <c:v>70942.271999999997</c:v>
                </c:pt>
                <c:pt idx="30">
                  <c:v>73723.487999999998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D2D7-4435-AE64-EE347831F326}"/>
            </c:ext>
          </c:extLst>
        </c:ser>
        <c:ser>
          <c:idx val="1"/>
          <c:order val="1"/>
          <c:tx>
            <c:strRef>
              <c:f>'Stream Elec Data'!$AS$1</c:f>
              <c:strCache>
                <c:ptCount val="1"/>
                <c:pt idx="0">
                  <c:v>F812 UOCOE Owheo Building - kWh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'Stream Elec Data'!$AS$2:$AS$32</c:f>
              <c:numCache>
                <c:formatCode>General</c:formatCode>
                <c:ptCount val="31"/>
                <c:pt idx="0">
                  <c:v>29788.49</c:v>
                </c:pt>
                <c:pt idx="1">
                  <c:v>27845.59</c:v>
                </c:pt>
                <c:pt idx="2">
                  <c:v>31621</c:v>
                </c:pt>
                <c:pt idx="3">
                  <c:v>29930.47</c:v>
                </c:pt>
                <c:pt idx="4">
                  <c:v>34572.550000000003</c:v>
                </c:pt>
                <c:pt idx="5">
                  <c:v>32869.58</c:v>
                </c:pt>
                <c:pt idx="6">
                  <c:v>34543.1</c:v>
                </c:pt>
                <c:pt idx="7">
                  <c:v>34779.42</c:v>
                </c:pt>
                <c:pt idx="8">
                  <c:v>35788.379999999997</c:v>
                </c:pt>
                <c:pt idx="9">
                  <c:v>35880.81</c:v>
                </c:pt>
                <c:pt idx="10">
                  <c:v>30754.21</c:v>
                </c:pt>
                <c:pt idx="11">
                  <c:v>28871.38</c:v>
                </c:pt>
                <c:pt idx="12">
                  <c:v>29559.18</c:v>
                </c:pt>
                <c:pt idx="13">
                  <c:v>29898.86</c:v>
                </c:pt>
                <c:pt idx="14">
                  <c:v>34745.93</c:v>
                </c:pt>
                <c:pt idx="15">
                  <c:v>27523.43</c:v>
                </c:pt>
                <c:pt idx="16">
                  <c:v>33584.730000000003</c:v>
                </c:pt>
                <c:pt idx="17">
                  <c:v>31001.29</c:v>
                </c:pt>
                <c:pt idx="18">
                  <c:v>29638.99</c:v>
                </c:pt>
                <c:pt idx="19">
                  <c:v>31317.62</c:v>
                </c:pt>
                <c:pt idx="20">
                  <c:v>28126.560000000001</c:v>
                </c:pt>
                <c:pt idx="21">
                  <c:v>28092.63</c:v>
                </c:pt>
                <c:pt idx="22">
                  <c:v>24799.4</c:v>
                </c:pt>
                <c:pt idx="23">
                  <c:v>20844.599999999999</c:v>
                </c:pt>
                <c:pt idx="24">
                  <c:v>22429.58</c:v>
                </c:pt>
                <c:pt idx="25">
                  <c:v>22809.18</c:v>
                </c:pt>
                <c:pt idx="26">
                  <c:v>26827.71</c:v>
                </c:pt>
                <c:pt idx="27">
                  <c:v>26536.04</c:v>
                </c:pt>
                <c:pt idx="28">
                  <c:v>30552.03</c:v>
                </c:pt>
                <c:pt idx="29">
                  <c:v>27420.78</c:v>
                </c:pt>
                <c:pt idx="30">
                  <c:v>30927.97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D2D7-4435-AE64-EE347831F326}"/>
            </c:ext>
          </c:extLst>
        </c:ser>
        <c:ser>
          <c:idx val="2"/>
          <c:order val="2"/>
          <c:tx>
            <c:strRef>
              <c:f>'Janitza data '!$B$11</c:f>
              <c:strCache>
                <c:ptCount val="1"/>
                <c:pt idx="0">
                  <c:v>D203 Sayers (at Adams MSB):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'Janitza data '!$C$11:$Z$11</c:f>
              <c:numCache>
                <c:formatCode>General</c:formatCode>
                <c:ptCount val="24"/>
                <c:pt idx="0">
                  <c:v>19027</c:v>
                </c:pt>
                <c:pt idx="1">
                  <c:v>24614</c:v>
                </c:pt>
                <c:pt idx="2">
                  <c:v>27198</c:v>
                </c:pt>
                <c:pt idx="3">
                  <c:v>25092</c:v>
                </c:pt>
                <c:pt idx="4">
                  <c:v>28334</c:v>
                </c:pt>
                <c:pt idx="5">
                  <c:v>27372</c:v>
                </c:pt>
                <c:pt idx="6">
                  <c:v>27052</c:v>
                </c:pt>
                <c:pt idx="7">
                  <c:v>27505</c:v>
                </c:pt>
                <c:pt idx="8">
                  <c:v>25932</c:v>
                </c:pt>
                <c:pt idx="9" formatCode="#,##0.00">
                  <c:v>25789.3125</c:v>
                </c:pt>
                <c:pt idx="10" formatCode="#,##0.00">
                  <c:v>19667.072265625</c:v>
                </c:pt>
                <c:pt idx="11" formatCode="#,##0.00">
                  <c:v>11486.59</c:v>
                </c:pt>
                <c:pt idx="12" formatCode="#,##0.00">
                  <c:v>17846.53</c:v>
                </c:pt>
                <c:pt idx="13" formatCode="#,##0.00">
                  <c:v>22985.47</c:v>
                </c:pt>
                <c:pt idx="14" formatCode="#,##0.00">
                  <c:v>27366.400000000001</c:v>
                </c:pt>
                <c:pt idx="15" formatCode="#,##0.00">
                  <c:v>24957.57</c:v>
                </c:pt>
                <c:pt idx="16" formatCode="#,##0.00">
                  <c:v>28025.09</c:v>
                </c:pt>
                <c:pt idx="17" formatCode="#,##0.00">
                  <c:v>28355.200000000001</c:v>
                </c:pt>
                <c:pt idx="18" formatCode="#,##0.00">
                  <c:v>27177.47</c:v>
                </c:pt>
                <c:pt idx="19" formatCode="#,##0.00">
                  <c:v>27700.35</c:v>
                </c:pt>
                <c:pt idx="20" formatCode="#,##0.00">
                  <c:v>27282.43</c:v>
                </c:pt>
                <c:pt idx="21" formatCode="#,##0.00">
                  <c:v>28267.78</c:v>
                </c:pt>
                <c:pt idx="22" formatCode="#,##0.00">
                  <c:v>19661.310000000001</c:v>
                </c:pt>
                <c:pt idx="23" formatCode="#,##0.00">
                  <c:v>13290.62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92-D2D7-4435-AE64-EE347831F326}"/>
            </c:ext>
          </c:extLst>
        </c:ser>
        <c:ser>
          <c:idx val="3"/>
          <c:order val="3"/>
          <c:tx>
            <c:strRef>
              <c:f>'Janitza data '!$B$257</c:f>
              <c:strCache>
                <c:ptCount val="1"/>
                <c:pt idx="0">
                  <c:v>F505 Richardson Centre Block Rising Main: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'Janitza data '!$C$257:$AD$257</c:f>
              <c:numCache>
                <c:formatCode>General</c:formatCode>
                <c:ptCount val="28"/>
                <c:pt idx="0">
                  <c:v>2106</c:v>
                </c:pt>
                <c:pt idx="1">
                  <c:v>12343</c:v>
                </c:pt>
                <c:pt idx="2">
                  <c:v>15329</c:v>
                </c:pt>
                <c:pt idx="3">
                  <c:v>13890</c:v>
                </c:pt>
                <c:pt idx="4">
                  <c:v>18899</c:v>
                </c:pt>
                <c:pt idx="5">
                  <c:v>16085</c:v>
                </c:pt>
                <c:pt idx="6">
                  <c:v>17519</c:v>
                </c:pt>
                <c:pt idx="7">
                  <c:v>17689</c:v>
                </c:pt>
                <c:pt idx="8">
                  <c:v>17120</c:v>
                </c:pt>
                <c:pt idx="9" formatCode="#,##0.00">
                  <c:v>15721.6640625</c:v>
                </c:pt>
                <c:pt idx="10" formatCode="#,##0.00">
                  <c:v>14420.2080078125</c:v>
                </c:pt>
                <c:pt idx="11" formatCode="#,##0.00">
                  <c:v>12669.39</c:v>
                </c:pt>
                <c:pt idx="12" formatCode="#,##0.00">
                  <c:v>13526.27</c:v>
                </c:pt>
                <c:pt idx="13" formatCode="#,##0.00">
                  <c:v>14266.02</c:v>
                </c:pt>
                <c:pt idx="14" formatCode="#,##0.00">
                  <c:v>18228.98</c:v>
                </c:pt>
                <c:pt idx="15" formatCode="#,##0.00">
                  <c:v>15987.36</c:v>
                </c:pt>
                <c:pt idx="16" formatCode="#,##0.00">
                  <c:v>19265.34</c:v>
                </c:pt>
                <c:pt idx="17" formatCode="#,##0.00">
                  <c:v>17325.36</c:v>
                </c:pt>
                <c:pt idx="18" formatCode="#,##0.00">
                  <c:v>17479.939999999999</c:v>
                </c:pt>
                <c:pt idx="19" formatCode="#,##0.00">
                  <c:v>19102.27</c:v>
                </c:pt>
                <c:pt idx="20" formatCode="#,##0.00">
                  <c:v>18140.419999999998</c:v>
                </c:pt>
                <c:pt idx="21" formatCode="#,##0.00">
                  <c:v>19515.52</c:v>
                </c:pt>
                <c:pt idx="22" formatCode="#,##0.00">
                  <c:v>16021.06</c:v>
                </c:pt>
                <c:pt idx="23" formatCode="#,##0.00">
                  <c:v>13422.37</c:v>
                </c:pt>
                <c:pt idx="24" formatCode="#,##0.00">
                  <c:v>13519.46</c:v>
                </c:pt>
                <c:pt idx="25" formatCode="#,##0.00">
                  <c:v>14623.33</c:v>
                </c:pt>
                <c:pt idx="26" formatCode="#,##0.00">
                  <c:v>18576.349999999999</c:v>
                </c:pt>
                <c:pt idx="27" formatCode="#,##0.00">
                  <c:v>17263.04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93-D2D7-4435-AE64-EE347831F326}"/>
            </c:ext>
          </c:extLst>
        </c:ser>
        <c:ser>
          <c:idx val="4"/>
          <c:order val="4"/>
          <c:tx>
            <c:strRef>
              <c:f>'Janitza data '!$B$240</c:f>
              <c:strCache>
                <c:ptCount val="1"/>
                <c:pt idx="0">
                  <c:v>F419 ISB east SBS4: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'Janitza data '!$C$240:$AA$240</c:f>
              <c:numCache>
                <c:formatCode>General</c:formatCode>
                <c:ptCount val="25"/>
                <c:pt idx="0">
                  <c:v>2563</c:v>
                </c:pt>
                <c:pt idx="1">
                  <c:v>3021</c:v>
                </c:pt>
                <c:pt idx="2">
                  <c:v>3837</c:v>
                </c:pt>
                <c:pt idx="3">
                  <c:v>3758</c:v>
                </c:pt>
                <c:pt idx="4">
                  <c:v>4468</c:v>
                </c:pt>
                <c:pt idx="5">
                  <c:v>3997</c:v>
                </c:pt>
                <c:pt idx="6">
                  <c:v>3560</c:v>
                </c:pt>
                <c:pt idx="7">
                  <c:v>4107</c:v>
                </c:pt>
                <c:pt idx="8">
                  <c:v>4101</c:v>
                </c:pt>
                <c:pt idx="9" formatCode="#,##0.00">
                  <c:v>4341.423828125</c:v>
                </c:pt>
                <c:pt idx="10" formatCode="#,##0.00">
                  <c:v>3102.01611328125</c:v>
                </c:pt>
                <c:pt idx="11" formatCode="#,##0.00">
                  <c:v>2567.8200000000002</c:v>
                </c:pt>
                <c:pt idx="12" formatCode="#,##0.00">
                  <c:v>2880.77</c:v>
                </c:pt>
                <c:pt idx="13" formatCode="#,##0.00">
                  <c:v>2846.18</c:v>
                </c:pt>
                <c:pt idx="14" formatCode="#,##0.00">
                  <c:v>3714.64</c:v>
                </c:pt>
                <c:pt idx="15" formatCode="#,##0.00">
                  <c:v>3661.97</c:v>
                </c:pt>
                <c:pt idx="16" formatCode="#,##0.00">
                  <c:v>4289.47</c:v>
                </c:pt>
                <c:pt idx="17" formatCode="#,##0.00">
                  <c:v>3752.38</c:v>
                </c:pt>
                <c:pt idx="18" formatCode="#,##0.00">
                  <c:v>3231.06</c:v>
                </c:pt>
                <c:pt idx="19" formatCode="#,##0.00">
                  <c:v>4053.09</c:v>
                </c:pt>
                <c:pt idx="20" formatCode="#,##0.00">
                  <c:v>3834.05</c:v>
                </c:pt>
                <c:pt idx="21" formatCode="#,##0.00">
                  <c:v>4464.3500000000004</c:v>
                </c:pt>
                <c:pt idx="22" formatCode="#,##0.00">
                  <c:v>3116.19</c:v>
                </c:pt>
                <c:pt idx="23" formatCode="#,##0.00">
                  <c:v>2306.5</c:v>
                </c:pt>
                <c:pt idx="24" formatCode="#,##0.00">
                  <c:v>2807.07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94-D2D7-4435-AE64-EE347831F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74905400"/>
        <c:axId val="-1674904248"/>
        <c:extLst/>
      </c:lineChart>
      <c:catAx>
        <c:axId val="-167490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904248"/>
        <c:crosses val="autoZero"/>
        <c:auto val="1"/>
        <c:lblAlgn val="ctr"/>
        <c:lblOffset val="100"/>
        <c:noMultiLvlLbl val="0"/>
      </c:catAx>
      <c:valAx>
        <c:axId val="-167490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90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0779667207356241E-2"/>
          <c:y val="0.29276843897675603"/>
          <c:w val="0.19472511391281033"/>
          <c:h val="0.25317894246397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Science Consumption Breakdown</a:t>
            </a:r>
            <a:r>
              <a:rPr lang="en-NZ" baseline="0"/>
              <a:t> over Time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722346870683184"/>
          <c:y val="0.10922675956139938"/>
          <c:w val="0.73960630006844319"/>
          <c:h val="0.78650766067306943"/>
        </c:manualLayout>
      </c:layout>
      <c:lineChart>
        <c:grouping val="standard"/>
        <c:varyColors val="0"/>
        <c:ser>
          <c:idx val="2"/>
          <c:order val="0"/>
          <c:tx>
            <c:strRef>
              <c:f>'Stream Elec Data'!$BA$1</c:f>
              <c:strCache>
                <c:ptCount val="1"/>
                <c:pt idx="0">
                  <c:v>G401 Mellor Laboratories - kWh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'Stream Elec Data'!$A$1:$A$32</c:f>
              <c:strCache>
                <c:ptCount val="32"/>
                <c:pt idx="0">
                  <c:v>Date</c:v>
                </c:pt>
                <c:pt idx="1">
                  <c:v>Jan-22</c:v>
                </c:pt>
                <c:pt idx="2">
                  <c:v>Feb-22</c:v>
                </c:pt>
                <c:pt idx="3">
                  <c:v>Mar-22</c:v>
                </c:pt>
                <c:pt idx="4">
                  <c:v>Apr-22</c:v>
                </c:pt>
                <c:pt idx="5">
                  <c:v>May-22</c:v>
                </c:pt>
                <c:pt idx="6">
                  <c:v>Jun-22</c:v>
                </c:pt>
                <c:pt idx="7">
                  <c:v>Jul-22</c:v>
                </c:pt>
                <c:pt idx="8">
                  <c:v>Aug-22</c:v>
                </c:pt>
                <c:pt idx="9">
                  <c:v>Sep-22</c:v>
                </c:pt>
                <c:pt idx="10">
                  <c:v>Oct-22</c:v>
                </c:pt>
                <c:pt idx="11">
                  <c:v>Nov-22</c:v>
                </c:pt>
                <c:pt idx="12">
                  <c:v>Dec-22</c:v>
                </c:pt>
                <c:pt idx="13">
                  <c:v>Jan-23</c:v>
                </c:pt>
                <c:pt idx="14">
                  <c:v>Feb-23</c:v>
                </c:pt>
                <c:pt idx="15">
                  <c:v>Mar-23</c:v>
                </c:pt>
                <c:pt idx="16">
                  <c:v>Apr-23</c:v>
                </c:pt>
                <c:pt idx="17">
                  <c:v>May-23</c:v>
                </c:pt>
                <c:pt idx="18">
                  <c:v>Jun-23</c:v>
                </c:pt>
                <c:pt idx="19">
                  <c:v>Jul-23</c:v>
                </c:pt>
                <c:pt idx="20">
                  <c:v>Aug-23</c:v>
                </c:pt>
                <c:pt idx="21">
                  <c:v>Sep-23</c:v>
                </c:pt>
                <c:pt idx="22">
                  <c:v>Oct-23</c:v>
                </c:pt>
                <c:pt idx="23">
                  <c:v>Nov-23</c:v>
                </c:pt>
                <c:pt idx="24">
                  <c:v>Dec-23</c:v>
                </c:pt>
                <c:pt idx="25">
                  <c:v>Jan-24</c:v>
                </c:pt>
                <c:pt idx="26">
                  <c:v>Feb-24</c:v>
                </c:pt>
                <c:pt idx="27">
                  <c:v>Mar-24</c:v>
                </c:pt>
                <c:pt idx="28">
                  <c:v>Apr-24</c:v>
                </c:pt>
                <c:pt idx="29">
                  <c:v>May-24</c:v>
                </c:pt>
                <c:pt idx="30">
                  <c:v>Jun-24</c:v>
                </c:pt>
                <c:pt idx="31">
                  <c:v>Jul-24</c:v>
                </c:pt>
              </c:strCache>
            </c:strRef>
          </c:cat>
          <c:val>
            <c:numRef>
              <c:f>'Stream Elec Data'!$BA$2:$BA$32</c:f>
              <c:numCache>
                <c:formatCode>General</c:formatCode>
                <c:ptCount val="31"/>
                <c:pt idx="0">
                  <c:v>105178.75199999999</c:v>
                </c:pt>
                <c:pt idx="1">
                  <c:v>97322.72</c:v>
                </c:pt>
                <c:pt idx="2">
                  <c:v>113705.088</c:v>
                </c:pt>
                <c:pt idx="3">
                  <c:v>105821.12</c:v>
                </c:pt>
                <c:pt idx="4">
                  <c:v>115579.872</c:v>
                </c:pt>
                <c:pt idx="5">
                  <c:v>108671.36</c:v>
                </c:pt>
                <c:pt idx="6">
                  <c:v>113879.36</c:v>
                </c:pt>
                <c:pt idx="7">
                  <c:v>119970.048</c:v>
                </c:pt>
                <c:pt idx="8">
                  <c:v>114243.808</c:v>
                </c:pt>
                <c:pt idx="9">
                  <c:v>116012.352</c:v>
                </c:pt>
                <c:pt idx="10">
                  <c:v>107857.18399999999</c:v>
                </c:pt>
                <c:pt idx="11">
                  <c:v>109588.60799999999</c:v>
                </c:pt>
                <c:pt idx="12">
                  <c:v>114213.856</c:v>
                </c:pt>
                <c:pt idx="13">
                  <c:v>111133.6</c:v>
                </c:pt>
                <c:pt idx="14">
                  <c:v>121636.8</c:v>
                </c:pt>
                <c:pt idx="15">
                  <c:v>112208.128</c:v>
                </c:pt>
                <c:pt idx="16">
                  <c:v>120440.064</c:v>
                </c:pt>
                <c:pt idx="17">
                  <c:v>107742.208</c:v>
                </c:pt>
                <c:pt idx="18">
                  <c:v>114602.624</c:v>
                </c:pt>
                <c:pt idx="19">
                  <c:v>122692.288</c:v>
                </c:pt>
                <c:pt idx="20">
                  <c:v>117514.784</c:v>
                </c:pt>
                <c:pt idx="21">
                  <c:v>118287.072</c:v>
                </c:pt>
                <c:pt idx="22">
                  <c:v>107095.07</c:v>
                </c:pt>
                <c:pt idx="23">
                  <c:v>108938.52800000001</c:v>
                </c:pt>
                <c:pt idx="24">
                  <c:v>113115.232</c:v>
                </c:pt>
                <c:pt idx="25">
                  <c:v>106883.296</c:v>
                </c:pt>
                <c:pt idx="26">
                  <c:v>117386.208</c:v>
                </c:pt>
                <c:pt idx="27">
                  <c:v>109636.128</c:v>
                </c:pt>
                <c:pt idx="28">
                  <c:v>120342.81600000001</c:v>
                </c:pt>
                <c:pt idx="29">
                  <c:v>109540.864</c:v>
                </c:pt>
                <c:pt idx="30">
                  <c:v>118194.976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98-40FB-8AB9-3F34C60F38D1}"/>
            </c:ext>
          </c:extLst>
        </c:ser>
        <c:ser>
          <c:idx val="3"/>
          <c:order val="1"/>
          <c:tx>
            <c:strRef>
              <c:f>'Stream Elec Data'!$BG$1</c:f>
              <c:strCache>
                <c:ptCount val="1"/>
                <c:pt idx="0">
                  <c:v>G413 Science 2 - kWh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'Stream Elec Data'!$A$1:$A$32</c:f>
              <c:strCache>
                <c:ptCount val="32"/>
                <c:pt idx="0">
                  <c:v>Date</c:v>
                </c:pt>
                <c:pt idx="1">
                  <c:v>Jan-22</c:v>
                </c:pt>
                <c:pt idx="2">
                  <c:v>Feb-22</c:v>
                </c:pt>
                <c:pt idx="3">
                  <c:v>Mar-22</c:v>
                </c:pt>
                <c:pt idx="4">
                  <c:v>Apr-22</c:v>
                </c:pt>
                <c:pt idx="5">
                  <c:v>May-22</c:v>
                </c:pt>
                <c:pt idx="6">
                  <c:v>Jun-22</c:v>
                </c:pt>
                <c:pt idx="7">
                  <c:v>Jul-22</c:v>
                </c:pt>
                <c:pt idx="8">
                  <c:v>Aug-22</c:v>
                </c:pt>
                <c:pt idx="9">
                  <c:v>Sep-22</c:v>
                </c:pt>
                <c:pt idx="10">
                  <c:v>Oct-22</c:v>
                </c:pt>
                <c:pt idx="11">
                  <c:v>Nov-22</c:v>
                </c:pt>
                <c:pt idx="12">
                  <c:v>Dec-22</c:v>
                </c:pt>
                <c:pt idx="13">
                  <c:v>Jan-23</c:v>
                </c:pt>
                <c:pt idx="14">
                  <c:v>Feb-23</c:v>
                </c:pt>
                <c:pt idx="15">
                  <c:v>Mar-23</c:v>
                </c:pt>
                <c:pt idx="16">
                  <c:v>Apr-23</c:v>
                </c:pt>
                <c:pt idx="17">
                  <c:v>May-23</c:v>
                </c:pt>
                <c:pt idx="18">
                  <c:v>Jun-23</c:v>
                </c:pt>
                <c:pt idx="19">
                  <c:v>Jul-23</c:v>
                </c:pt>
                <c:pt idx="20">
                  <c:v>Aug-23</c:v>
                </c:pt>
                <c:pt idx="21">
                  <c:v>Sep-23</c:v>
                </c:pt>
                <c:pt idx="22">
                  <c:v>Oct-23</c:v>
                </c:pt>
                <c:pt idx="23">
                  <c:v>Nov-23</c:v>
                </c:pt>
                <c:pt idx="24">
                  <c:v>Dec-23</c:v>
                </c:pt>
                <c:pt idx="25">
                  <c:v>Jan-24</c:v>
                </c:pt>
                <c:pt idx="26">
                  <c:v>Feb-24</c:v>
                </c:pt>
                <c:pt idx="27">
                  <c:v>Mar-24</c:v>
                </c:pt>
                <c:pt idx="28">
                  <c:v>Apr-24</c:v>
                </c:pt>
                <c:pt idx="29">
                  <c:v>May-24</c:v>
                </c:pt>
                <c:pt idx="30">
                  <c:v>Jun-24</c:v>
                </c:pt>
                <c:pt idx="31">
                  <c:v>Jul-24</c:v>
                </c:pt>
              </c:strCache>
            </c:strRef>
          </c:cat>
          <c:val>
            <c:numRef>
              <c:f>'Stream Elec Data'!$BG$2:$BG$32</c:f>
              <c:numCache>
                <c:formatCode>General</c:formatCode>
                <c:ptCount val="31"/>
                <c:pt idx="0">
                  <c:v>117647.736</c:v>
                </c:pt>
                <c:pt idx="1">
                  <c:v>110835.864</c:v>
                </c:pt>
                <c:pt idx="2">
                  <c:v>124466.61599999999</c:v>
                </c:pt>
                <c:pt idx="3">
                  <c:v>120885.36</c:v>
                </c:pt>
                <c:pt idx="4">
                  <c:v>133904.49600000001</c:v>
                </c:pt>
                <c:pt idx="5">
                  <c:v>145255.60800000001</c:v>
                </c:pt>
                <c:pt idx="6">
                  <c:v>147425.95199999999</c:v>
                </c:pt>
                <c:pt idx="7">
                  <c:v>148776.21599999999</c:v>
                </c:pt>
                <c:pt idx="8">
                  <c:v>126293.136</c:v>
                </c:pt>
                <c:pt idx="9">
                  <c:v>127217.736</c:v>
                </c:pt>
                <c:pt idx="10">
                  <c:v>117010.60799999999</c:v>
                </c:pt>
                <c:pt idx="11">
                  <c:v>114322.296</c:v>
                </c:pt>
                <c:pt idx="12">
                  <c:v>105768.216</c:v>
                </c:pt>
                <c:pt idx="13">
                  <c:v>104174.83199999999</c:v>
                </c:pt>
                <c:pt idx="14">
                  <c:v>117258.912</c:v>
                </c:pt>
                <c:pt idx="15">
                  <c:v>108795.024</c:v>
                </c:pt>
                <c:pt idx="16">
                  <c:v>115032.144</c:v>
                </c:pt>
                <c:pt idx="17">
                  <c:v>117377.064</c:v>
                </c:pt>
                <c:pt idx="18">
                  <c:v>120743.32799999999</c:v>
                </c:pt>
                <c:pt idx="19">
                  <c:v>127723.872</c:v>
                </c:pt>
                <c:pt idx="20">
                  <c:v>116630.208</c:v>
                </c:pt>
                <c:pt idx="21">
                  <c:v>119734.944</c:v>
                </c:pt>
                <c:pt idx="22">
                  <c:v>106965.6</c:v>
                </c:pt>
                <c:pt idx="23">
                  <c:v>101231.704</c:v>
                </c:pt>
                <c:pt idx="24">
                  <c:v>106373.712</c:v>
                </c:pt>
                <c:pt idx="25">
                  <c:v>105291.048</c:v>
                </c:pt>
                <c:pt idx="26">
                  <c:v>114991.92</c:v>
                </c:pt>
                <c:pt idx="27">
                  <c:v>105974.18399999999</c:v>
                </c:pt>
                <c:pt idx="28">
                  <c:v>121622.88</c:v>
                </c:pt>
                <c:pt idx="29">
                  <c:v>115197.09600000001</c:v>
                </c:pt>
                <c:pt idx="30">
                  <c:v>124593.648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98-40FB-8AB9-3F34C60F38D1}"/>
            </c:ext>
          </c:extLst>
        </c:ser>
        <c:ser>
          <c:idx val="8"/>
          <c:order val="2"/>
          <c:tx>
            <c:strRef>
              <c:f>'Janitza data '!$B$371</c:f>
              <c:strCache>
                <c:ptCount val="1"/>
                <c:pt idx="0">
                  <c:v>G405 Science 3 - MSB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'Stream Elec Data'!$A$1:$A$32</c:f>
              <c:strCache>
                <c:ptCount val="32"/>
                <c:pt idx="0">
                  <c:v>Date</c:v>
                </c:pt>
                <c:pt idx="1">
                  <c:v>Jan-22</c:v>
                </c:pt>
                <c:pt idx="2">
                  <c:v>Feb-22</c:v>
                </c:pt>
                <c:pt idx="3">
                  <c:v>Mar-22</c:v>
                </c:pt>
                <c:pt idx="4">
                  <c:v>Apr-22</c:v>
                </c:pt>
                <c:pt idx="5">
                  <c:v>May-22</c:v>
                </c:pt>
                <c:pt idx="6">
                  <c:v>Jun-22</c:v>
                </c:pt>
                <c:pt idx="7">
                  <c:v>Jul-22</c:v>
                </c:pt>
                <c:pt idx="8">
                  <c:v>Aug-22</c:v>
                </c:pt>
                <c:pt idx="9">
                  <c:v>Sep-22</c:v>
                </c:pt>
                <c:pt idx="10">
                  <c:v>Oct-22</c:v>
                </c:pt>
                <c:pt idx="11">
                  <c:v>Nov-22</c:v>
                </c:pt>
                <c:pt idx="12">
                  <c:v>Dec-22</c:v>
                </c:pt>
                <c:pt idx="13">
                  <c:v>Jan-23</c:v>
                </c:pt>
                <c:pt idx="14">
                  <c:v>Feb-23</c:v>
                </c:pt>
                <c:pt idx="15">
                  <c:v>Mar-23</c:v>
                </c:pt>
                <c:pt idx="16">
                  <c:v>Apr-23</c:v>
                </c:pt>
                <c:pt idx="17">
                  <c:v>May-23</c:v>
                </c:pt>
                <c:pt idx="18">
                  <c:v>Jun-23</c:v>
                </c:pt>
                <c:pt idx="19">
                  <c:v>Jul-23</c:v>
                </c:pt>
                <c:pt idx="20">
                  <c:v>Aug-23</c:v>
                </c:pt>
                <c:pt idx="21">
                  <c:v>Sep-23</c:v>
                </c:pt>
                <c:pt idx="22">
                  <c:v>Oct-23</c:v>
                </c:pt>
                <c:pt idx="23">
                  <c:v>Nov-23</c:v>
                </c:pt>
                <c:pt idx="24">
                  <c:v>Dec-23</c:v>
                </c:pt>
                <c:pt idx="25">
                  <c:v>Jan-24</c:v>
                </c:pt>
                <c:pt idx="26">
                  <c:v>Feb-24</c:v>
                </c:pt>
                <c:pt idx="27">
                  <c:v>Mar-24</c:v>
                </c:pt>
                <c:pt idx="28">
                  <c:v>Apr-24</c:v>
                </c:pt>
                <c:pt idx="29">
                  <c:v>May-24</c:v>
                </c:pt>
                <c:pt idx="30">
                  <c:v>Jun-24</c:v>
                </c:pt>
                <c:pt idx="31">
                  <c:v>Jul-24</c:v>
                </c:pt>
              </c:strCache>
              <c:extLst xmlns:c15="http://schemas.microsoft.com/office/drawing/2012/chart"/>
            </c:strRef>
          </c:cat>
          <c:val>
            <c:numRef>
              <c:f>'Janitza data '!$C$368:$Z$368</c:f>
              <c:numCache>
                <c:formatCode>General</c:formatCode>
                <c:ptCount val="24"/>
                <c:pt idx="0">
                  <c:v>34296</c:v>
                </c:pt>
                <c:pt idx="1">
                  <c:v>33310</c:v>
                </c:pt>
                <c:pt idx="2">
                  <c:v>36949</c:v>
                </c:pt>
                <c:pt idx="3">
                  <c:v>34564</c:v>
                </c:pt>
                <c:pt idx="4">
                  <c:v>38155</c:v>
                </c:pt>
                <c:pt idx="5">
                  <c:v>37367</c:v>
                </c:pt>
                <c:pt idx="6">
                  <c:v>37513</c:v>
                </c:pt>
                <c:pt idx="7">
                  <c:v>38381</c:v>
                </c:pt>
                <c:pt idx="8">
                  <c:v>36611</c:v>
                </c:pt>
                <c:pt idx="9" formatCode="#,##0.00">
                  <c:v>36573.18359375</c:v>
                </c:pt>
                <c:pt idx="10" formatCode="#,##0.00">
                  <c:v>35503.6171875</c:v>
                </c:pt>
                <c:pt idx="11" formatCode="#,##0.00">
                  <c:v>33709.050000000003</c:v>
                </c:pt>
                <c:pt idx="12" formatCode="#,##0.00">
                  <c:v>35326.46</c:v>
                </c:pt>
                <c:pt idx="13" formatCode="#,##0.00">
                  <c:v>32922.879999999997</c:v>
                </c:pt>
                <c:pt idx="14" formatCode="#,##0.00">
                  <c:v>38597.629999999997</c:v>
                </c:pt>
                <c:pt idx="15" formatCode="#,##0.00">
                  <c:v>35016.449999999997</c:v>
                </c:pt>
                <c:pt idx="16" formatCode="#,##0.00">
                  <c:v>37752.06</c:v>
                </c:pt>
                <c:pt idx="17" formatCode="#,##0.00">
                  <c:v>36568.57</c:v>
                </c:pt>
                <c:pt idx="18" formatCode="#,##0.00">
                  <c:v>38577.79</c:v>
                </c:pt>
                <c:pt idx="19" formatCode="#,##0.00">
                  <c:v>39136.26</c:v>
                </c:pt>
                <c:pt idx="20" formatCode="#,##0.00">
                  <c:v>36346.239999999998</c:v>
                </c:pt>
                <c:pt idx="21" formatCode="#,##0.00">
                  <c:v>37568.26</c:v>
                </c:pt>
                <c:pt idx="22" formatCode="#,##0.00">
                  <c:v>35584.26</c:v>
                </c:pt>
                <c:pt idx="23" formatCode="#,##0.00">
                  <c:v>33420.800000000003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0898-40FB-8AB9-3F34C60F38D1}"/>
            </c:ext>
          </c:extLst>
        </c:ser>
        <c:ser>
          <c:idx val="5"/>
          <c:order val="3"/>
          <c:tx>
            <c:strRef>
              <c:f>'Stream Elec Data'!$W$1</c:f>
              <c:strCache>
                <c:ptCount val="1"/>
                <c:pt idx="0">
                  <c:v>E212 Zoology Buildings - kWh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'Stream Elec Data'!$A$1:$A$32</c:f>
              <c:strCache>
                <c:ptCount val="32"/>
                <c:pt idx="0">
                  <c:v>Date</c:v>
                </c:pt>
                <c:pt idx="1">
                  <c:v>Jan-22</c:v>
                </c:pt>
                <c:pt idx="2">
                  <c:v>Feb-22</c:v>
                </c:pt>
                <c:pt idx="3">
                  <c:v>Mar-22</c:v>
                </c:pt>
                <c:pt idx="4">
                  <c:v>Apr-22</c:v>
                </c:pt>
                <c:pt idx="5">
                  <c:v>May-22</c:v>
                </c:pt>
                <c:pt idx="6">
                  <c:v>Jun-22</c:v>
                </c:pt>
                <c:pt idx="7">
                  <c:v>Jul-22</c:v>
                </c:pt>
                <c:pt idx="8">
                  <c:v>Aug-22</c:v>
                </c:pt>
                <c:pt idx="9">
                  <c:v>Sep-22</c:v>
                </c:pt>
                <c:pt idx="10">
                  <c:v>Oct-22</c:v>
                </c:pt>
                <c:pt idx="11">
                  <c:v>Nov-22</c:v>
                </c:pt>
                <c:pt idx="12">
                  <c:v>Dec-22</c:v>
                </c:pt>
                <c:pt idx="13">
                  <c:v>Jan-23</c:v>
                </c:pt>
                <c:pt idx="14">
                  <c:v>Feb-23</c:v>
                </c:pt>
                <c:pt idx="15">
                  <c:v>Mar-23</c:v>
                </c:pt>
                <c:pt idx="16">
                  <c:v>Apr-23</c:v>
                </c:pt>
                <c:pt idx="17">
                  <c:v>May-23</c:v>
                </c:pt>
                <c:pt idx="18">
                  <c:v>Jun-23</c:v>
                </c:pt>
                <c:pt idx="19">
                  <c:v>Jul-23</c:v>
                </c:pt>
                <c:pt idx="20">
                  <c:v>Aug-23</c:v>
                </c:pt>
                <c:pt idx="21">
                  <c:v>Sep-23</c:v>
                </c:pt>
                <c:pt idx="22">
                  <c:v>Oct-23</c:v>
                </c:pt>
                <c:pt idx="23">
                  <c:v>Nov-23</c:v>
                </c:pt>
                <c:pt idx="24">
                  <c:v>Dec-23</c:v>
                </c:pt>
                <c:pt idx="25">
                  <c:v>Jan-24</c:v>
                </c:pt>
                <c:pt idx="26">
                  <c:v>Feb-24</c:v>
                </c:pt>
                <c:pt idx="27">
                  <c:v>Mar-24</c:v>
                </c:pt>
                <c:pt idx="28">
                  <c:v>Apr-24</c:v>
                </c:pt>
                <c:pt idx="29">
                  <c:v>May-24</c:v>
                </c:pt>
                <c:pt idx="30">
                  <c:v>Jun-24</c:v>
                </c:pt>
                <c:pt idx="31">
                  <c:v>Jul-24</c:v>
                </c:pt>
              </c:strCache>
            </c:strRef>
          </c:cat>
          <c:val>
            <c:numRef>
              <c:f>'Stream Elec Data'!$W$2:$W$32</c:f>
              <c:numCache>
                <c:formatCode>General</c:formatCode>
                <c:ptCount val="31"/>
                <c:pt idx="0">
                  <c:v>69033.088000000003</c:v>
                </c:pt>
                <c:pt idx="1">
                  <c:v>61635.856</c:v>
                </c:pt>
                <c:pt idx="2">
                  <c:v>71100.032000000007</c:v>
                </c:pt>
                <c:pt idx="3">
                  <c:v>65889.856</c:v>
                </c:pt>
                <c:pt idx="4">
                  <c:v>71397.84</c:v>
                </c:pt>
                <c:pt idx="5">
                  <c:v>72474.032000000007</c:v>
                </c:pt>
                <c:pt idx="6">
                  <c:v>78764.88</c:v>
                </c:pt>
                <c:pt idx="7">
                  <c:v>77214.576000000001</c:v>
                </c:pt>
                <c:pt idx="8">
                  <c:v>76386.48</c:v>
                </c:pt>
                <c:pt idx="9">
                  <c:v>74295.808000000005</c:v>
                </c:pt>
                <c:pt idx="10">
                  <c:v>67365.600000000006</c:v>
                </c:pt>
                <c:pt idx="11">
                  <c:v>68562.351999999999</c:v>
                </c:pt>
                <c:pt idx="12">
                  <c:v>68598.880000000005</c:v>
                </c:pt>
                <c:pt idx="13">
                  <c:v>65767.695999999996</c:v>
                </c:pt>
                <c:pt idx="14">
                  <c:v>71721.584000000003</c:v>
                </c:pt>
                <c:pt idx="15">
                  <c:v>67341.600000000006</c:v>
                </c:pt>
                <c:pt idx="16">
                  <c:v>70816.751999999993</c:v>
                </c:pt>
                <c:pt idx="17">
                  <c:v>67761.343999999997</c:v>
                </c:pt>
                <c:pt idx="18">
                  <c:v>71940.816000000006</c:v>
                </c:pt>
                <c:pt idx="19">
                  <c:v>75776.847999999998</c:v>
                </c:pt>
                <c:pt idx="20">
                  <c:v>70297.216</c:v>
                </c:pt>
                <c:pt idx="21">
                  <c:v>70675.584000000003</c:v>
                </c:pt>
                <c:pt idx="22">
                  <c:v>66990.34</c:v>
                </c:pt>
                <c:pt idx="23">
                  <c:v>67839.600000000006</c:v>
                </c:pt>
                <c:pt idx="24">
                  <c:v>71428.512000000002</c:v>
                </c:pt>
                <c:pt idx="25">
                  <c:v>68321.952000000005</c:v>
                </c:pt>
                <c:pt idx="26">
                  <c:v>68626.271999999997</c:v>
                </c:pt>
                <c:pt idx="27">
                  <c:v>66733.039999999994</c:v>
                </c:pt>
                <c:pt idx="28">
                  <c:v>72304.335999999996</c:v>
                </c:pt>
                <c:pt idx="29">
                  <c:v>65879.520000000004</c:v>
                </c:pt>
                <c:pt idx="30">
                  <c:v>70482.751999999993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898-40FB-8AB9-3F34C60F38D1}"/>
            </c:ext>
          </c:extLst>
        </c:ser>
        <c:ser>
          <c:idx val="0"/>
          <c:order val="4"/>
          <c:tx>
            <c:strRef>
              <c:f>'Stream Elec Data'!$AO$1</c:f>
              <c:strCache>
                <c:ptCount val="1"/>
                <c:pt idx="0">
                  <c:v>F325 Physical Education - kWh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'Stream Elec Data'!$A$1:$A$32</c:f>
              <c:strCache>
                <c:ptCount val="32"/>
                <c:pt idx="0">
                  <c:v>Date</c:v>
                </c:pt>
                <c:pt idx="1">
                  <c:v>Jan-22</c:v>
                </c:pt>
                <c:pt idx="2">
                  <c:v>Feb-22</c:v>
                </c:pt>
                <c:pt idx="3">
                  <c:v>Mar-22</c:v>
                </c:pt>
                <c:pt idx="4">
                  <c:v>Apr-22</c:v>
                </c:pt>
                <c:pt idx="5">
                  <c:v>May-22</c:v>
                </c:pt>
                <c:pt idx="6">
                  <c:v>Jun-22</c:v>
                </c:pt>
                <c:pt idx="7">
                  <c:v>Jul-22</c:v>
                </c:pt>
                <c:pt idx="8">
                  <c:v>Aug-22</c:v>
                </c:pt>
                <c:pt idx="9">
                  <c:v>Sep-22</c:v>
                </c:pt>
                <c:pt idx="10">
                  <c:v>Oct-22</c:v>
                </c:pt>
                <c:pt idx="11">
                  <c:v>Nov-22</c:v>
                </c:pt>
                <c:pt idx="12">
                  <c:v>Dec-22</c:v>
                </c:pt>
                <c:pt idx="13">
                  <c:v>Jan-23</c:v>
                </c:pt>
                <c:pt idx="14">
                  <c:v>Feb-23</c:v>
                </c:pt>
                <c:pt idx="15">
                  <c:v>Mar-23</c:v>
                </c:pt>
                <c:pt idx="16">
                  <c:v>Apr-23</c:v>
                </c:pt>
                <c:pt idx="17">
                  <c:v>May-23</c:v>
                </c:pt>
                <c:pt idx="18">
                  <c:v>Jun-23</c:v>
                </c:pt>
                <c:pt idx="19">
                  <c:v>Jul-23</c:v>
                </c:pt>
                <c:pt idx="20">
                  <c:v>Aug-23</c:v>
                </c:pt>
                <c:pt idx="21">
                  <c:v>Sep-23</c:v>
                </c:pt>
                <c:pt idx="22">
                  <c:v>Oct-23</c:v>
                </c:pt>
                <c:pt idx="23">
                  <c:v>Nov-23</c:v>
                </c:pt>
                <c:pt idx="24">
                  <c:v>Dec-23</c:v>
                </c:pt>
                <c:pt idx="25">
                  <c:v>Jan-24</c:v>
                </c:pt>
                <c:pt idx="26">
                  <c:v>Feb-24</c:v>
                </c:pt>
                <c:pt idx="27">
                  <c:v>Mar-24</c:v>
                </c:pt>
                <c:pt idx="28">
                  <c:v>Apr-24</c:v>
                </c:pt>
                <c:pt idx="29">
                  <c:v>May-24</c:v>
                </c:pt>
                <c:pt idx="30">
                  <c:v>Jun-24</c:v>
                </c:pt>
                <c:pt idx="31">
                  <c:v>Jul-24</c:v>
                </c:pt>
              </c:strCache>
            </c:strRef>
          </c:cat>
          <c:val>
            <c:numRef>
              <c:f>'Stream Elec Data'!$AO$2:$AO$32</c:f>
              <c:numCache>
                <c:formatCode>General</c:formatCode>
                <c:ptCount val="31"/>
                <c:pt idx="0">
                  <c:v>14269.856</c:v>
                </c:pt>
                <c:pt idx="1">
                  <c:v>14967.44</c:v>
                </c:pt>
                <c:pt idx="2">
                  <c:v>21471.824000000001</c:v>
                </c:pt>
                <c:pt idx="3">
                  <c:v>26929.583999999999</c:v>
                </c:pt>
                <c:pt idx="4">
                  <c:v>38658.480000000003</c:v>
                </c:pt>
                <c:pt idx="5">
                  <c:v>52347.807999999997</c:v>
                </c:pt>
                <c:pt idx="6">
                  <c:v>56881.52</c:v>
                </c:pt>
                <c:pt idx="7">
                  <c:v>51578.512000000002</c:v>
                </c:pt>
                <c:pt idx="8">
                  <c:v>49572.639999999999</c:v>
                </c:pt>
                <c:pt idx="9">
                  <c:v>42745.807999999997</c:v>
                </c:pt>
                <c:pt idx="10">
                  <c:v>23090.448</c:v>
                </c:pt>
                <c:pt idx="11">
                  <c:v>20941.135999999999</c:v>
                </c:pt>
                <c:pt idx="12">
                  <c:v>17463.392</c:v>
                </c:pt>
                <c:pt idx="13">
                  <c:v>16941.84</c:v>
                </c:pt>
                <c:pt idx="14">
                  <c:v>26037.871999999999</c:v>
                </c:pt>
                <c:pt idx="15">
                  <c:v>29906.304</c:v>
                </c:pt>
                <c:pt idx="16">
                  <c:v>39935.408000000003</c:v>
                </c:pt>
                <c:pt idx="17">
                  <c:v>47554.16</c:v>
                </c:pt>
                <c:pt idx="18">
                  <c:v>54850.112000000001</c:v>
                </c:pt>
                <c:pt idx="19">
                  <c:v>57357.599999999999</c:v>
                </c:pt>
                <c:pt idx="20">
                  <c:v>41488.735999999997</c:v>
                </c:pt>
                <c:pt idx="21">
                  <c:v>34996.495999999999</c:v>
                </c:pt>
                <c:pt idx="22">
                  <c:v>29557.582999999999</c:v>
                </c:pt>
                <c:pt idx="23">
                  <c:v>18906.128000000001</c:v>
                </c:pt>
                <c:pt idx="24">
                  <c:v>17944.031999999999</c:v>
                </c:pt>
                <c:pt idx="25">
                  <c:v>19589.504000000001</c:v>
                </c:pt>
                <c:pt idx="26">
                  <c:v>28936.48</c:v>
                </c:pt>
                <c:pt idx="27">
                  <c:v>32909.552000000003</c:v>
                </c:pt>
                <c:pt idx="28">
                  <c:v>50648.767999999996</c:v>
                </c:pt>
                <c:pt idx="29">
                  <c:v>47485.392</c:v>
                </c:pt>
                <c:pt idx="30">
                  <c:v>51708.608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98-40FB-8AB9-3F34C60F38D1}"/>
            </c:ext>
          </c:extLst>
        </c:ser>
        <c:ser>
          <c:idx val="6"/>
          <c:order val="5"/>
          <c:tx>
            <c:strRef>
              <c:f>'Stream Elec Data'!$Q$1</c:f>
              <c:strCache>
                <c:ptCount val="1"/>
                <c:pt idx="0">
                  <c:v>D403 Survey &amp; Marine - kWh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'Stream Elec Data'!$A$1:$A$32</c:f>
              <c:strCache>
                <c:ptCount val="32"/>
                <c:pt idx="0">
                  <c:v>Date</c:v>
                </c:pt>
                <c:pt idx="1">
                  <c:v>Jan-22</c:v>
                </c:pt>
                <c:pt idx="2">
                  <c:v>Feb-22</c:v>
                </c:pt>
                <c:pt idx="3">
                  <c:v>Mar-22</c:v>
                </c:pt>
                <c:pt idx="4">
                  <c:v>Apr-22</c:v>
                </c:pt>
                <c:pt idx="5">
                  <c:v>May-22</c:v>
                </c:pt>
                <c:pt idx="6">
                  <c:v>Jun-22</c:v>
                </c:pt>
                <c:pt idx="7">
                  <c:v>Jul-22</c:v>
                </c:pt>
                <c:pt idx="8">
                  <c:v>Aug-22</c:v>
                </c:pt>
                <c:pt idx="9">
                  <c:v>Sep-22</c:v>
                </c:pt>
                <c:pt idx="10">
                  <c:v>Oct-22</c:v>
                </c:pt>
                <c:pt idx="11">
                  <c:v>Nov-22</c:v>
                </c:pt>
                <c:pt idx="12">
                  <c:v>Dec-22</c:v>
                </c:pt>
                <c:pt idx="13">
                  <c:v>Jan-23</c:v>
                </c:pt>
                <c:pt idx="14">
                  <c:v>Feb-23</c:v>
                </c:pt>
                <c:pt idx="15">
                  <c:v>Mar-23</c:v>
                </c:pt>
                <c:pt idx="16">
                  <c:v>Apr-23</c:v>
                </c:pt>
                <c:pt idx="17">
                  <c:v>May-23</c:v>
                </c:pt>
                <c:pt idx="18">
                  <c:v>Jun-23</c:v>
                </c:pt>
                <c:pt idx="19">
                  <c:v>Jul-23</c:v>
                </c:pt>
                <c:pt idx="20">
                  <c:v>Aug-23</c:v>
                </c:pt>
                <c:pt idx="21">
                  <c:v>Sep-23</c:v>
                </c:pt>
                <c:pt idx="22">
                  <c:v>Oct-23</c:v>
                </c:pt>
                <c:pt idx="23">
                  <c:v>Nov-23</c:v>
                </c:pt>
                <c:pt idx="24">
                  <c:v>Dec-23</c:v>
                </c:pt>
                <c:pt idx="25">
                  <c:v>Jan-24</c:v>
                </c:pt>
                <c:pt idx="26">
                  <c:v>Feb-24</c:v>
                </c:pt>
                <c:pt idx="27">
                  <c:v>Mar-24</c:v>
                </c:pt>
                <c:pt idx="28">
                  <c:v>Apr-24</c:v>
                </c:pt>
                <c:pt idx="29">
                  <c:v>May-24</c:v>
                </c:pt>
                <c:pt idx="30">
                  <c:v>Jun-24</c:v>
                </c:pt>
                <c:pt idx="31">
                  <c:v>Jul-24</c:v>
                </c:pt>
              </c:strCache>
            </c:strRef>
          </c:cat>
          <c:val>
            <c:numRef>
              <c:f>'Stream Elec Data'!$Q$2:$Q$32</c:f>
              <c:numCache>
                <c:formatCode>General</c:formatCode>
                <c:ptCount val="31"/>
                <c:pt idx="0">
                  <c:v>9963.7279999999992</c:v>
                </c:pt>
                <c:pt idx="1">
                  <c:v>10737.415999999999</c:v>
                </c:pt>
                <c:pt idx="2">
                  <c:v>13596.736000000001</c:v>
                </c:pt>
                <c:pt idx="3">
                  <c:v>13572.791999999999</c:v>
                </c:pt>
                <c:pt idx="4">
                  <c:v>17680.423999999999</c:v>
                </c:pt>
                <c:pt idx="5">
                  <c:v>15654.924000000001</c:v>
                </c:pt>
                <c:pt idx="6">
                  <c:v>16693.732</c:v>
                </c:pt>
                <c:pt idx="7">
                  <c:v>17542.416000000001</c:v>
                </c:pt>
                <c:pt idx="8">
                  <c:v>16022.691999999999</c:v>
                </c:pt>
                <c:pt idx="9">
                  <c:v>16077.444</c:v>
                </c:pt>
                <c:pt idx="10">
                  <c:v>12872.744000000001</c:v>
                </c:pt>
                <c:pt idx="11">
                  <c:v>11147.26</c:v>
                </c:pt>
                <c:pt idx="12">
                  <c:v>11228.628000000001</c:v>
                </c:pt>
                <c:pt idx="13">
                  <c:v>12266.992</c:v>
                </c:pt>
                <c:pt idx="14">
                  <c:v>16801.824000000001</c:v>
                </c:pt>
                <c:pt idx="15">
                  <c:v>16292.248</c:v>
                </c:pt>
                <c:pt idx="16">
                  <c:v>20360.511999999999</c:v>
                </c:pt>
                <c:pt idx="17">
                  <c:v>16032.144</c:v>
                </c:pt>
                <c:pt idx="18">
                  <c:v>16537.567999999999</c:v>
                </c:pt>
                <c:pt idx="19">
                  <c:v>18685.092000000001</c:v>
                </c:pt>
                <c:pt idx="20">
                  <c:v>17196.259999999998</c:v>
                </c:pt>
                <c:pt idx="21">
                  <c:v>16794.475999999999</c:v>
                </c:pt>
                <c:pt idx="22">
                  <c:v>13836.291999999999</c:v>
                </c:pt>
                <c:pt idx="23">
                  <c:v>14427.436</c:v>
                </c:pt>
                <c:pt idx="24">
                  <c:v>15907.64</c:v>
                </c:pt>
                <c:pt idx="25">
                  <c:v>15755.776</c:v>
                </c:pt>
                <c:pt idx="26">
                  <c:v>19009.436000000002</c:v>
                </c:pt>
                <c:pt idx="27">
                  <c:v>19375.060000000001</c:v>
                </c:pt>
                <c:pt idx="28">
                  <c:v>23438.272000000001</c:v>
                </c:pt>
                <c:pt idx="29">
                  <c:v>18902.484</c:v>
                </c:pt>
                <c:pt idx="30">
                  <c:v>20556.472000000002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898-40FB-8AB9-3F34C60F38D1}"/>
            </c:ext>
          </c:extLst>
        </c:ser>
        <c:ser>
          <c:idx val="1"/>
          <c:order val="6"/>
          <c:tx>
            <c:strRef>
              <c:f>'Stream Elec Data'!$AS$1</c:f>
              <c:strCache>
                <c:ptCount val="1"/>
                <c:pt idx="0">
                  <c:v>F812 UOCOE Owheo Building - kWh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'Stream Elec Data'!$A$1:$A$32</c:f>
              <c:strCache>
                <c:ptCount val="32"/>
                <c:pt idx="0">
                  <c:v>Date</c:v>
                </c:pt>
                <c:pt idx="1">
                  <c:v>Jan-22</c:v>
                </c:pt>
                <c:pt idx="2">
                  <c:v>Feb-22</c:v>
                </c:pt>
                <c:pt idx="3">
                  <c:v>Mar-22</c:v>
                </c:pt>
                <c:pt idx="4">
                  <c:v>Apr-22</c:v>
                </c:pt>
                <c:pt idx="5">
                  <c:v>May-22</c:v>
                </c:pt>
                <c:pt idx="6">
                  <c:v>Jun-22</c:v>
                </c:pt>
                <c:pt idx="7">
                  <c:v>Jul-22</c:v>
                </c:pt>
                <c:pt idx="8">
                  <c:v>Aug-22</c:v>
                </c:pt>
                <c:pt idx="9">
                  <c:v>Sep-22</c:v>
                </c:pt>
                <c:pt idx="10">
                  <c:v>Oct-22</c:v>
                </c:pt>
                <c:pt idx="11">
                  <c:v>Nov-22</c:v>
                </c:pt>
                <c:pt idx="12">
                  <c:v>Dec-22</c:v>
                </c:pt>
                <c:pt idx="13">
                  <c:v>Jan-23</c:v>
                </c:pt>
                <c:pt idx="14">
                  <c:v>Feb-23</c:v>
                </c:pt>
                <c:pt idx="15">
                  <c:v>Mar-23</c:v>
                </c:pt>
                <c:pt idx="16">
                  <c:v>Apr-23</c:v>
                </c:pt>
                <c:pt idx="17">
                  <c:v>May-23</c:v>
                </c:pt>
                <c:pt idx="18">
                  <c:v>Jun-23</c:v>
                </c:pt>
                <c:pt idx="19">
                  <c:v>Jul-23</c:v>
                </c:pt>
                <c:pt idx="20">
                  <c:v>Aug-23</c:v>
                </c:pt>
                <c:pt idx="21">
                  <c:v>Sep-23</c:v>
                </c:pt>
                <c:pt idx="22">
                  <c:v>Oct-23</c:v>
                </c:pt>
                <c:pt idx="23">
                  <c:v>Nov-23</c:v>
                </c:pt>
                <c:pt idx="24">
                  <c:v>Dec-23</c:v>
                </c:pt>
                <c:pt idx="25">
                  <c:v>Jan-24</c:v>
                </c:pt>
                <c:pt idx="26">
                  <c:v>Feb-24</c:v>
                </c:pt>
                <c:pt idx="27">
                  <c:v>Mar-24</c:v>
                </c:pt>
                <c:pt idx="28">
                  <c:v>Apr-24</c:v>
                </c:pt>
                <c:pt idx="29">
                  <c:v>May-24</c:v>
                </c:pt>
                <c:pt idx="30">
                  <c:v>Jun-24</c:v>
                </c:pt>
                <c:pt idx="31">
                  <c:v>Jul-24</c:v>
                </c:pt>
              </c:strCache>
            </c:strRef>
          </c:cat>
          <c:val>
            <c:numRef>
              <c:f>'Stream Elec Data'!$AS$2:$AS$32</c:f>
              <c:numCache>
                <c:formatCode>General</c:formatCode>
                <c:ptCount val="31"/>
                <c:pt idx="0">
                  <c:v>29788.49</c:v>
                </c:pt>
                <c:pt idx="1">
                  <c:v>27845.59</c:v>
                </c:pt>
                <c:pt idx="2">
                  <c:v>31621</c:v>
                </c:pt>
                <c:pt idx="3">
                  <c:v>29930.47</c:v>
                </c:pt>
                <c:pt idx="4">
                  <c:v>34572.550000000003</c:v>
                </c:pt>
                <c:pt idx="5">
                  <c:v>32869.58</c:v>
                </c:pt>
                <c:pt idx="6">
                  <c:v>34543.1</c:v>
                </c:pt>
                <c:pt idx="7">
                  <c:v>34779.42</c:v>
                </c:pt>
                <c:pt idx="8">
                  <c:v>35788.379999999997</c:v>
                </c:pt>
                <c:pt idx="9">
                  <c:v>35880.81</c:v>
                </c:pt>
                <c:pt idx="10">
                  <c:v>30754.21</c:v>
                </c:pt>
                <c:pt idx="11">
                  <c:v>28871.38</c:v>
                </c:pt>
                <c:pt idx="12">
                  <c:v>29559.18</c:v>
                </c:pt>
                <c:pt idx="13">
                  <c:v>29898.86</c:v>
                </c:pt>
                <c:pt idx="14">
                  <c:v>34745.93</c:v>
                </c:pt>
                <c:pt idx="15">
                  <c:v>27523.43</c:v>
                </c:pt>
                <c:pt idx="16">
                  <c:v>33584.730000000003</c:v>
                </c:pt>
                <c:pt idx="17">
                  <c:v>31001.29</c:v>
                </c:pt>
                <c:pt idx="18">
                  <c:v>29638.99</c:v>
                </c:pt>
                <c:pt idx="19">
                  <c:v>31317.62</c:v>
                </c:pt>
                <c:pt idx="20">
                  <c:v>28126.560000000001</c:v>
                </c:pt>
                <c:pt idx="21">
                  <c:v>28092.63</c:v>
                </c:pt>
                <c:pt idx="22">
                  <c:v>24799.4</c:v>
                </c:pt>
                <c:pt idx="23">
                  <c:v>20844.599999999999</c:v>
                </c:pt>
                <c:pt idx="24">
                  <c:v>22429.58</c:v>
                </c:pt>
                <c:pt idx="25">
                  <c:v>22809.18</c:v>
                </c:pt>
                <c:pt idx="26">
                  <c:v>26827.71</c:v>
                </c:pt>
                <c:pt idx="27">
                  <c:v>26536.04</c:v>
                </c:pt>
                <c:pt idx="28">
                  <c:v>30552.03</c:v>
                </c:pt>
                <c:pt idx="29">
                  <c:v>27420.78</c:v>
                </c:pt>
                <c:pt idx="30">
                  <c:v>30927.97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98-40FB-8AB9-3F34C60F38D1}"/>
            </c:ext>
          </c:extLst>
        </c:ser>
        <c:ser>
          <c:idx val="4"/>
          <c:order val="7"/>
          <c:tx>
            <c:strRef>
              <c:f>'Stream Elec Data'!$BY$1</c:f>
              <c:strCache>
                <c:ptCount val="1"/>
                <c:pt idx="0">
                  <c:v>J960 Portobello Marine Lab - kWh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'Stream Elec Data'!$A$1:$A$32</c:f>
              <c:strCache>
                <c:ptCount val="32"/>
                <c:pt idx="0">
                  <c:v>Date</c:v>
                </c:pt>
                <c:pt idx="1">
                  <c:v>Jan-22</c:v>
                </c:pt>
                <c:pt idx="2">
                  <c:v>Feb-22</c:v>
                </c:pt>
                <c:pt idx="3">
                  <c:v>Mar-22</c:v>
                </c:pt>
                <c:pt idx="4">
                  <c:v>Apr-22</c:v>
                </c:pt>
                <c:pt idx="5">
                  <c:v>May-22</c:v>
                </c:pt>
                <c:pt idx="6">
                  <c:v>Jun-22</c:v>
                </c:pt>
                <c:pt idx="7">
                  <c:v>Jul-22</c:v>
                </c:pt>
                <c:pt idx="8">
                  <c:v>Aug-22</c:v>
                </c:pt>
                <c:pt idx="9">
                  <c:v>Sep-22</c:v>
                </c:pt>
                <c:pt idx="10">
                  <c:v>Oct-22</c:v>
                </c:pt>
                <c:pt idx="11">
                  <c:v>Nov-22</c:v>
                </c:pt>
                <c:pt idx="12">
                  <c:v>Dec-22</c:v>
                </c:pt>
                <c:pt idx="13">
                  <c:v>Jan-23</c:v>
                </c:pt>
                <c:pt idx="14">
                  <c:v>Feb-23</c:v>
                </c:pt>
                <c:pt idx="15">
                  <c:v>Mar-23</c:v>
                </c:pt>
                <c:pt idx="16">
                  <c:v>Apr-23</c:v>
                </c:pt>
                <c:pt idx="17">
                  <c:v>May-23</c:v>
                </c:pt>
                <c:pt idx="18">
                  <c:v>Jun-23</c:v>
                </c:pt>
                <c:pt idx="19">
                  <c:v>Jul-23</c:v>
                </c:pt>
                <c:pt idx="20">
                  <c:v>Aug-23</c:v>
                </c:pt>
                <c:pt idx="21">
                  <c:v>Sep-23</c:v>
                </c:pt>
                <c:pt idx="22">
                  <c:v>Oct-23</c:v>
                </c:pt>
                <c:pt idx="23">
                  <c:v>Nov-23</c:v>
                </c:pt>
                <c:pt idx="24">
                  <c:v>Dec-23</c:v>
                </c:pt>
                <c:pt idx="25">
                  <c:v>Jan-24</c:v>
                </c:pt>
                <c:pt idx="26">
                  <c:v>Feb-24</c:v>
                </c:pt>
                <c:pt idx="27">
                  <c:v>Mar-24</c:v>
                </c:pt>
                <c:pt idx="28">
                  <c:v>Apr-24</c:v>
                </c:pt>
                <c:pt idx="29">
                  <c:v>May-24</c:v>
                </c:pt>
                <c:pt idx="30">
                  <c:v>Jun-24</c:v>
                </c:pt>
                <c:pt idx="31">
                  <c:v>Jul-24</c:v>
                </c:pt>
              </c:strCache>
            </c:strRef>
          </c:cat>
          <c:val>
            <c:numRef>
              <c:f>'Stream Elec Data'!$BY$2:$BY$32</c:f>
              <c:numCache>
                <c:formatCode>General</c:formatCode>
                <c:ptCount val="31"/>
                <c:pt idx="0">
                  <c:v>24710.26</c:v>
                </c:pt>
                <c:pt idx="1">
                  <c:v>25267.87</c:v>
                </c:pt>
                <c:pt idx="2">
                  <c:v>28900.57</c:v>
                </c:pt>
                <c:pt idx="3">
                  <c:v>30259.42</c:v>
                </c:pt>
                <c:pt idx="4">
                  <c:v>34664.49</c:v>
                </c:pt>
                <c:pt idx="5">
                  <c:v>37133.83</c:v>
                </c:pt>
                <c:pt idx="6">
                  <c:v>35910.400000000001</c:v>
                </c:pt>
                <c:pt idx="7">
                  <c:v>31982.799999999999</c:v>
                </c:pt>
                <c:pt idx="8">
                  <c:v>32947.120000000003</c:v>
                </c:pt>
                <c:pt idx="9">
                  <c:v>30936.51</c:v>
                </c:pt>
                <c:pt idx="10">
                  <c:v>25707.61</c:v>
                </c:pt>
                <c:pt idx="11">
                  <c:v>24861.27</c:v>
                </c:pt>
                <c:pt idx="12">
                  <c:v>23955.61</c:v>
                </c:pt>
                <c:pt idx="13">
                  <c:v>22589.98</c:v>
                </c:pt>
                <c:pt idx="14">
                  <c:v>29199.52</c:v>
                </c:pt>
                <c:pt idx="15">
                  <c:v>27851.08</c:v>
                </c:pt>
                <c:pt idx="16">
                  <c:v>33108.15</c:v>
                </c:pt>
                <c:pt idx="17">
                  <c:v>41665.800000000003</c:v>
                </c:pt>
                <c:pt idx="18">
                  <c:v>44926.7</c:v>
                </c:pt>
                <c:pt idx="19">
                  <c:v>49317.51</c:v>
                </c:pt>
                <c:pt idx="20">
                  <c:v>39354.71</c:v>
                </c:pt>
                <c:pt idx="21">
                  <c:v>36232.160000000003</c:v>
                </c:pt>
                <c:pt idx="22">
                  <c:v>31764.25</c:v>
                </c:pt>
                <c:pt idx="23">
                  <c:v>27026.33</c:v>
                </c:pt>
                <c:pt idx="24">
                  <c:v>27669.599999999999</c:v>
                </c:pt>
                <c:pt idx="25">
                  <c:v>28895.25</c:v>
                </c:pt>
                <c:pt idx="26">
                  <c:v>35240.74</c:v>
                </c:pt>
                <c:pt idx="27">
                  <c:v>34872.959999999999</c:v>
                </c:pt>
                <c:pt idx="28">
                  <c:v>41494.519999999997</c:v>
                </c:pt>
                <c:pt idx="29">
                  <c:v>43748.7</c:v>
                </c:pt>
                <c:pt idx="30">
                  <c:v>49234.16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898-40FB-8AB9-3F34C60F3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74905400"/>
        <c:axId val="-1674904248"/>
        <c:extLst>
          <c:ext xmlns:c15="http://schemas.microsoft.com/office/drawing/2012/chart" uri="{02D57815-91ED-43cb-92C2-25804820EDAC}">
            <c15:filteredLineSeries>
              <c15:ser>
                <c:idx val="7"/>
                <c:order val="8"/>
                <c:tx>
                  <c:strRef>
                    <c:extLst>
                      <c:ext uri="{02D57815-91ED-43cb-92C2-25804820EDAC}">
                        <c15:formulaRef>
                          <c15:sqref>'Janitza data '!$B$553</c15:sqref>
                        </c15:formulaRef>
                      </c:ext>
                    </c:extLst>
                    <c:strCache>
                      <c:ptCount val="1"/>
                      <c:pt idx="0">
                        <c:v>E201 Dental Losses (MSB -CSB and Walsh)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'Stream Elec Data'!$A$1:$A$32</c15:sqref>
                        </c15:formulaRef>
                      </c:ext>
                    </c:extLst>
                    <c:strCache>
                      <c:ptCount val="32"/>
                      <c:pt idx="0">
                        <c:v>Date</c:v>
                      </c:pt>
                      <c:pt idx="1">
                        <c:v>Jan-22</c:v>
                      </c:pt>
                      <c:pt idx="2">
                        <c:v>Feb-22</c:v>
                      </c:pt>
                      <c:pt idx="3">
                        <c:v>Mar-22</c:v>
                      </c:pt>
                      <c:pt idx="4">
                        <c:v>Apr-22</c:v>
                      </c:pt>
                      <c:pt idx="5">
                        <c:v>May-22</c:v>
                      </c:pt>
                      <c:pt idx="6">
                        <c:v>Jun-22</c:v>
                      </c:pt>
                      <c:pt idx="7">
                        <c:v>Jul-22</c:v>
                      </c:pt>
                      <c:pt idx="8">
                        <c:v>Aug-22</c:v>
                      </c:pt>
                      <c:pt idx="9">
                        <c:v>Sep-22</c:v>
                      </c:pt>
                      <c:pt idx="10">
                        <c:v>Oct-22</c:v>
                      </c:pt>
                      <c:pt idx="11">
                        <c:v>Nov-22</c:v>
                      </c:pt>
                      <c:pt idx="12">
                        <c:v>Dec-22</c:v>
                      </c:pt>
                      <c:pt idx="13">
                        <c:v>Jan-23</c:v>
                      </c:pt>
                      <c:pt idx="14">
                        <c:v>Feb-23</c:v>
                      </c:pt>
                      <c:pt idx="15">
                        <c:v>Mar-23</c:v>
                      </c:pt>
                      <c:pt idx="16">
                        <c:v>Apr-23</c:v>
                      </c:pt>
                      <c:pt idx="17">
                        <c:v>May-23</c:v>
                      </c:pt>
                      <c:pt idx="18">
                        <c:v>Jun-23</c:v>
                      </c:pt>
                      <c:pt idx="19">
                        <c:v>Jul-23</c:v>
                      </c:pt>
                      <c:pt idx="20">
                        <c:v>Aug-23</c:v>
                      </c:pt>
                      <c:pt idx="21">
                        <c:v>Sep-23</c:v>
                      </c:pt>
                      <c:pt idx="22">
                        <c:v>Oct-23</c:v>
                      </c:pt>
                      <c:pt idx="23">
                        <c:v>Nov-23</c:v>
                      </c:pt>
                      <c:pt idx="24">
                        <c:v>Dec-23</c:v>
                      </c:pt>
                      <c:pt idx="25">
                        <c:v>Jan-24</c:v>
                      </c:pt>
                      <c:pt idx="26">
                        <c:v>Feb-24</c:v>
                      </c:pt>
                      <c:pt idx="27">
                        <c:v>Mar-24</c:v>
                      </c:pt>
                      <c:pt idx="28">
                        <c:v>Apr-24</c:v>
                      </c:pt>
                      <c:pt idx="29">
                        <c:v>May-24</c:v>
                      </c:pt>
                      <c:pt idx="30">
                        <c:v>Jun-24</c:v>
                      </c:pt>
                      <c:pt idx="31">
                        <c:v>Jul-24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'Janitza data '!$C$553:$AA$553</c15:sqref>
                        </c15:formulaRef>
                      </c:ext>
                    </c:extLst>
                    <c:numCache>
                      <c:formatCode>0</c:formatCode>
                      <c:ptCount val="25"/>
                      <c:pt idx="0">
                        <c:v>370</c:v>
                      </c:pt>
                      <c:pt idx="1">
                        <c:v>5</c:v>
                      </c:pt>
                      <c:pt idx="2">
                        <c:v>251</c:v>
                      </c:pt>
                      <c:pt idx="3">
                        <c:v>-179</c:v>
                      </c:pt>
                      <c:pt idx="4">
                        <c:v>562</c:v>
                      </c:pt>
                      <c:pt idx="5">
                        <c:v>-6920</c:v>
                      </c:pt>
                      <c:pt idx="6">
                        <c:v>-152</c:v>
                      </c:pt>
                      <c:pt idx="7">
                        <c:v>-824</c:v>
                      </c:pt>
                      <c:pt idx="8">
                        <c:v>-514</c:v>
                      </c:pt>
                      <c:pt idx="9">
                        <c:v>-899.703125</c:v>
                      </c:pt>
                      <c:pt idx="10">
                        <c:v>299.6484375</c:v>
                      </c:pt>
                      <c:pt idx="11">
                        <c:v>50.930000000014843</c:v>
                      </c:pt>
                      <c:pt idx="12">
                        <c:v>399.49000000001979</c:v>
                      </c:pt>
                      <c:pt idx="13">
                        <c:v>154.23999999999069</c:v>
                      </c:pt>
                      <c:pt idx="14">
                        <c:v>121.21000000002095</c:v>
                      </c:pt>
                      <c:pt idx="15">
                        <c:v>-1916.2799999999988</c:v>
                      </c:pt>
                      <c:pt idx="16">
                        <c:v>116.08000000000902</c:v>
                      </c:pt>
                      <c:pt idx="17">
                        <c:v>308.99999999998545</c:v>
                      </c:pt>
                      <c:pt idx="18">
                        <c:v>-701.5800000000163</c:v>
                      </c:pt>
                      <c:pt idx="19">
                        <c:v>-669.94999999999709</c:v>
                      </c:pt>
                      <c:pt idx="20">
                        <c:v>341.5</c:v>
                      </c:pt>
                      <c:pt idx="21">
                        <c:v>337.79999999998836</c:v>
                      </c:pt>
                      <c:pt idx="22">
                        <c:v>182.52000000000407</c:v>
                      </c:pt>
                      <c:pt idx="23">
                        <c:v>-164.10000000000582</c:v>
                      </c:pt>
                      <c:pt idx="24">
                        <c:v>173.05000000000291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0898-40FB-8AB9-3F34C60F38D1}"/>
                  </c:ext>
                </c:extLst>
              </c15:ser>
            </c15:filteredLineSeries>
          </c:ext>
        </c:extLst>
      </c:lineChart>
      <c:catAx>
        <c:axId val="-167490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904248"/>
        <c:crosses val="autoZero"/>
        <c:auto val="1"/>
        <c:lblAlgn val="ctr"/>
        <c:lblOffset val="100"/>
        <c:noMultiLvlLbl val="0"/>
      </c:catAx>
      <c:valAx>
        <c:axId val="-167490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90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0779677744641591E-2"/>
          <c:y val="0.26576287412925947"/>
          <c:w val="0.16766081682582951"/>
          <c:h val="0.455722096435147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Health Science Consumption Breakdown</a:t>
            </a:r>
            <a:r>
              <a:rPr lang="en-NZ" baseline="0"/>
              <a:t> over Time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261852145865964"/>
          <c:y val="9.5963081526327113E-2"/>
          <c:w val="0.674211275361697"/>
          <c:h val="0.79851013393862358"/>
        </c:manualLayout>
      </c:layout>
      <c:lineChart>
        <c:grouping val="standard"/>
        <c:varyColors val="0"/>
        <c:ser>
          <c:idx val="1"/>
          <c:order val="0"/>
          <c:tx>
            <c:strRef>
              <c:f>'Stream Elec Data'!$Y$1</c:f>
              <c:strCache>
                <c:ptCount val="1"/>
                <c:pt idx="0">
                  <c:v>E214 Otago Dental School - kWh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'Stream Elec Data'!$A$1:$A$32</c:f>
              <c:strCache>
                <c:ptCount val="32"/>
                <c:pt idx="0">
                  <c:v>Date</c:v>
                </c:pt>
                <c:pt idx="1">
                  <c:v>Jan-22</c:v>
                </c:pt>
                <c:pt idx="2">
                  <c:v>Feb-22</c:v>
                </c:pt>
                <c:pt idx="3">
                  <c:v>Mar-22</c:v>
                </c:pt>
                <c:pt idx="4">
                  <c:v>Apr-22</c:v>
                </c:pt>
                <c:pt idx="5">
                  <c:v>May-22</c:v>
                </c:pt>
                <c:pt idx="6">
                  <c:v>Jun-22</c:v>
                </c:pt>
                <c:pt idx="7">
                  <c:v>Jul-22</c:v>
                </c:pt>
                <c:pt idx="8">
                  <c:v>Aug-22</c:v>
                </c:pt>
                <c:pt idx="9">
                  <c:v>Sep-22</c:v>
                </c:pt>
                <c:pt idx="10">
                  <c:v>Oct-22</c:v>
                </c:pt>
                <c:pt idx="11">
                  <c:v>Nov-22</c:v>
                </c:pt>
                <c:pt idx="12">
                  <c:v>Dec-22</c:v>
                </c:pt>
                <c:pt idx="13">
                  <c:v>Jan-23</c:v>
                </c:pt>
                <c:pt idx="14">
                  <c:v>Feb-23</c:v>
                </c:pt>
                <c:pt idx="15">
                  <c:v>Mar-23</c:v>
                </c:pt>
                <c:pt idx="16">
                  <c:v>Apr-23</c:v>
                </c:pt>
                <c:pt idx="17">
                  <c:v>May-23</c:v>
                </c:pt>
                <c:pt idx="18">
                  <c:v>Jun-23</c:v>
                </c:pt>
                <c:pt idx="19">
                  <c:v>Jul-23</c:v>
                </c:pt>
                <c:pt idx="20">
                  <c:v>Aug-23</c:v>
                </c:pt>
                <c:pt idx="21">
                  <c:v>Sep-23</c:v>
                </c:pt>
                <c:pt idx="22">
                  <c:v>Oct-23</c:v>
                </c:pt>
                <c:pt idx="23">
                  <c:v>Nov-23</c:v>
                </c:pt>
                <c:pt idx="24">
                  <c:v>Dec-23</c:v>
                </c:pt>
                <c:pt idx="25">
                  <c:v>Jan-24</c:v>
                </c:pt>
                <c:pt idx="26">
                  <c:v>Feb-24</c:v>
                </c:pt>
                <c:pt idx="27">
                  <c:v>Mar-24</c:v>
                </c:pt>
                <c:pt idx="28">
                  <c:v>Apr-24</c:v>
                </c:pt>
                <c:pt idx="29">
                  <c:v>May-24</c:v>
                </c:pt>
                <c:pt idx="30">
                  <c:v>Jun-24</c:v>
                </c:pt>
                <c:pt idx="31">
                  <c:v>Jul-24</c:v>
                </c:pt>
              </c:strCache>
            </c:strRef>
          </c:cat>
          <c:val>
            <c:numRef>
              <c:f>'Stream Elec Data'!$Y$2:$Y$32</c:f>
              <c:numCache>
                <c:formatCode>General</c:formatCode>
                <c:ptCount val="31"/>
                <c:pt idx="0">
                  <c:v>163820.864</c:v>
                </c:pt>
                <c:pt idx="1">
                  <c:v>149261.728</c:v>
                </c:pt>
                <c:pt idx="2">
                  <c:v>177405.44</c:v>
                </c:pt>
                <c:pt idx="3">
                  <c:v>155201.05600000001</c:v>
                </c:pt>
                <c:pt idx="4">
                  <c:v>167116.67199999999</c:v>
                </c:pt>
                <c:pt idx="5">
                  <c:v>145395.872</c:v>
                </c:pt>
                <c:pt idx="6">
                  <c:v>169241.856</c:v>
                </c:pt>
                <c:pt idx="7">
                  <c:v>165493.408</c:v>
                </c:pt>
                <c:pt idx="8">
                  <c:v>158119.64799999999</c:v>
                </c:pt>
                <c:pt idx="9">
                  <c:v>161432.736</c:v>
                </c:pt>
                <c:pt idx="10">
                  <c:v>165834.016</c:v>
                </c:pt>
                <c:pt idx="11">
                  <c:v>170286.78400000001</c:v>
                </c:pt>
                <c:pt idx="12">
                  <c:v>190152.35200000001</c:v>
                </c:pt>
                <c:pt idx="13">
                  <c:v>184561.408</c:v>
                </c:pt>
                <c:pt idx="14">
                  <c:v>188243.23199999999</c:v>
                </c:pt>
                <c:pt idx="15">
                  <c:v>164965.50399999999</c:v>
                </c:pt>
                <c:pt idx="16">
                  <c:v>178832</c:v>
                </c:pt>
                <c:pt idx="17">
                  <c:v>164157.53599999999</c:v>
                </c:pt>
                <c:pt idx="18">
                  <c:v>177625.24799999999</c:v>
                </c:pt>
                <c:pt idx="19">
                  <c:v>184102.11199999999</c:v>
                </c:pt>
                <c:pt idx="20">
                  <c:v>178650.62400000001</c:v>
                </c:pt>
                <c:pt idx="21">
                  <c:v>182715.51999999999</c:v>
                </c:pt>
                <c:pt idx="22">
                  <c:v>153083.81599999999</c:v>
                </c:pt>
                <c:pt idx="23">
                  <c:v>147866.65599999999</c:v>
                </c:pt>
                <c:pt idx="24">
                  <c:v>157624.416</c:v>
                </c:pt>
                <c:pt idx="25">
                  <c:v>160042.304</c:v>
                </c:pt>
                <c:pt idx="26">
                  <c:v>172928.96</c:v>
                </c:pt>
                <c:pt idx="27">
                  <c:v>173134.49600000001</c:v>
                </c:pt>
                <c:pt idx="28">
                  <c:v>177966.272</c:v>
                </c:pt>
                <c:pt idx="29">
                  <c:v>154455.16800000001</c:v>
                </c:pt>
                <c:pt idx="30">
                  <c:v>168375.67999999999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832-4A13-A8D8-2E9F83F60009}"/>
            </c:ext>
          </c:extLst>
        </c:ser>
        <c:ser>
          <c:idx val="2"/>
          <c:order val="1"/>
          <c:tx>
            <c:strRef>
              <c:f>'Stream Elec Data'!$AA$1</c:f>
              <c:strCache>
                <c:ptCount val="1"/>
                <c:pt idx="0">
                  <c:v>E301 Hunter Centre - kWh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'Stream Elec Data'!$A$1:$A$32</c:f>
              <c:strCache>
                <c:ptCount val="32"/>
                <c:pt idx="0">
                  <c:v>Date</c:v>
                </c:pt>
                <c:pt idx="1">
                  <c:v>Jan-22</c:v>
                </c:pt>
                <c:pt idx="2">
                  <c:v>Feb-22</c:v>
                </c:pt>
                <c:pt idx="3">
                  <c:v>Mar-22</c:v>
                </c:pt>
                <c:pt idx="4">
                  <c:v>Apr-22</c:v>
                </c:pt>
                <c:pt idx="5">
                  <c:v>May-22</c:v>
                </c:pt>
                <c:pt idx="6">
                  <c:v>Jun-22</c:v>
                </c:pt>
                <c:pt idx="7">
                  <c:v>Jul-22</c:v>
                </c:pt>
                <c:pt idx="8">
                  <c:v>Aug-22</c:v>
                </c:pt>
                <c:pt idx="9">
                  <c:v>Sep-22</c:v>
                </c:pt>
                <c:pt idx="10">
                  <c:v>Oct-22</c:v>
                </c:pt>
                <c:pt idx="11">
                  <c:v>Nov-22</c:v>
                </c:pt>
                <c:pt idx="12">
                  <c:v>Dec-22</c:v>
                </c:pt>
                <c:pt idx="13">
                  <c:v>Jan-23</c:v>
                </c:pt>
                <c:pt idx="14">
                  <c:v>Feb-23</c:v>
                </c:pt>
                <c:pt idx="15">
                  <c:v>Mar-23</c:v>
                </c:pt>
                <c:pt idx="16">
                  <c:v>Apr-23</c:v>
                </c:pt>
                <c:pt idx="17">
                  <c:v>May-23</c:v>
                </c:pt>
                <c:pt idx="18">
                  <c:v>Jun-23</c:v>
                </c:pt>
                <c:pt idx="19">
                  <c:v>Jul-23</c:v>
                </c:pt>
                <c:pt idx="20">
                  <c:v>Aug-23</c:v>
                </c:pt>
                <c:pt idx="21">
                  <c:v>Sep-23</c:v>
                </c:pt>
                <c:pt idx="22">
                  <c:v>Oct-23</c:v>
                </c:pt>
                <c:pt idx="23">
                  <c:v>Nov-23</c:v>
                </c:pt>
                <c:pt idx="24">
                  <c:v>Dec-23</c:v>
                </c:pt>
                <c:pt idx="25">
                  <c:v>Jan-24</c:v>
                </c:pt>
                <c:pt idx="26">
                  <c:v>Feb-24</c:v>
                </c:pt>
                <c:pt idx="27">
                  <c:v>Mar-24</c:v>
                </c:pt>
                <c:pt idx="28">
                  <c:v>Apr-24</c:v>
                </c:pt>
                <c:pt idx="29">
                  <c:v>May-24</c:v>
                </c:pt>
                <c:pt idx="30">
                  <c:v>Jun-24</c:v>
                </c:pt>
                <c:pt idx="31">
                  <c:v>Jul-24</c:v>
                </c:pt>
              </c:strCache>
            </c:strRef>
          </c:cat>
          <c:val>
            <c:numRef>
              <c:f>'Stream Elec Data'!$AA$2:$AA$32</c:f>
              <c:numCache>
                <c:formatCode>General</c:formatCode>
                <c:ptCount val="31"/>
                <c:pt idx="0">
                  <c:v>14940.712</c:v>
                </c:pt>
                <c:pt idx="1">
                  <c:v>14445.744000000001</c:v>
                </c:pt>
                <c:pt idx="2">
                  <c:v>14334.04</c:v>
                </c:pt>
                <c:pt idx="3">
                  <c:v>13544.56</c:v>
                </c:pt>
                <c:pt idx="4">
                  <c:v>17434.52</c:v>
                </c:pt>
                <c:pt idx="5">
                  <c:v>15497.388000000001</c:v>
                </c:pt>
                <c:pt idx="6">
                  <c:v>15442.263999999999</c:v>
                </c:pt>
                <c:pt idx="7">
                  <c:v>17498.795999999998</c:v>
                </c:pt>
                <c:pt idx="8">
                  <c:v>16483.436000000002</c:v>
                </c:pt>
                <c:pt idx="9">
                  <c:v>12848.888000000001</c:v>
                </c:pt>
                <c:pt idx="10">
                  <c:v>12169.575999999999</c:v>
                </c:pt>
                <c:pt idx="11">
                  <c:v>10803.22</c:v>
                </c:pt>
                <c:pt idx="12">
                  <c:v>11610.628000000001</c:v>
                </c:pt>
                <c:pt idx="13">
                  <c:v>13100.092000000001</c:v>
                </c:pt>
                <c:pt idx="14">
                  <c:v>15319.332</c:v>
                </c:pt>
                <c:pt idx="15">
                  <c:v>12821.871999999999</c:v>
                </c:pt>
                <c:pt idx="16">
                  <c:v>15172.492</c:v>
                </c:pt>
                <c:pt idx="17">
                  <c:v>13155.4</c:v>
                </c:pt>
                <c:pt idx="18">
                  <c:v>13588.34</c:v>
                </c:pt>
                <c:pt idx="19">
                  <c:v>15116.976000000001</c:v>
                </c:pt>
                <c:pt idx="20">
                  <c:v>14412.316000000001</c:v>
                </c:pt>
                <c:pt idx="21">
                  <c:v>13303.995999999999</c:v>
                </c:pt>
                <c:pt idx="22">
                  <c:v>10927.763999999999</c:v>
                </c:pt>
                <c:pt idx="23">
                  <c:v>11513.168</c:v>
                </c:pt>
                <c:pt idx="24">
                  <c:v>11420.24</c:v>
                </c:pt>
                <c:pt idx="25">
                  <c:v>12308.644</c:v>
                </c:pt>
                <c:pt idx="26">
                  <c:v>14849.736000000001</c:v>
                </c:pt>
                <c:pt idx="27">
                  <c:v>13861.072</c:v>
                </c:pt>
                <c:pt idx="28">
                  <c:v>15613.6</c:v>
                </c:pt>
                <c:pt idx="29">
                  <c:v>13144.6</c:v>
                </c:pt>
                <c:pt idx="30">
                  <c:v>14619.896000000001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832-4A13-A8D8-2E9F83F60009}"/>
            </c:ext>
          </c:extLst>
        </c:ser>
        <c:ser>
          <c:idx val="3"/>
          <c:order val="2"/>
          <c:tx>
            <c:strRef>
              <c:f>'Stream Elec Data'!$AG$1</c:f>
              <c:strCache>
                <c:ptCount val="1"/>
                <c:pt idx="0">
                  <c:v>E325 Research Support Facility - kWh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'Stream Elec Data'!$A$1:$A$32</c:f>
              <c:strCache>
                <c:ptCount val="32"/>
                <c:pt idx="0">
                  <c:v>Date</c:v>
                </c:pt>
                <c:pt idx="1">
                  <c:v>Jan-22</c:v>
                </c:pt>
                <c:pt idx="2">
                  <c:v>Feb-22</c:v>
                </c:pt>
                <c:pt idx="3">
                  <c:v>Mar-22</c:v>
                </c:pt>
                <c:pt idx="4">
                  <c:v>Apr-22</c:v>
                </c:pt>
                <c:pt idx="5">
                  <c:v>May-22</c:v>
                </c:pt>
                <c:pt idx="6">
                  <c:v>Jun-22</c:v>
                </c:pt>
                <c:pt idx="7">
                  <c:v>Jul-22</c:v>
                </c:pt>
                <c:pt idx="8">
                  <c:v>Aug-22</c:v>
                </c:pt>
                <c:pt idx="9">
                  <c:v>Sep-22</c:v>
                </c:pt>
                <c:pt idx="10">
                  <c:v>Oct-22</c:v>
                </c:pt>
                <c:pt idx="11">
                  <c:v>Nov-22</c:v>
                </c:pt>
                <c:pt idx="12">
                  <c:v>Dec-22</c:v>
                </c:pt>
                <c:pt idx="13">
                  <c:v>Jan-23</c:v>
                </c:pt>
                <c:pt idx="14">
                  <c:v>Feb-23</c:v>
                </c:pt>
                <c:pt idx="15">
                  <c:v>Mar-23</c:v>
                </c:pt>
                <c:pt idx="16">
                  <c:v>Apr-23</c:v>
                </c:pt>
                <c:pt idx="17">
                  <c:v>May-23</c:v>
                </c:pt>
                <c:pt idx="18">
                  <c:v>Jun-23</c:v>
                </c:pt>
                <c:pt idx="19">
                  <c:v>Jul-23</c:v>
                </c:pt>
                <c:pt idx="20">
                  <c:v>Aug-23</c:v>
                </c:pt>
                <c:pt idx="21">
                  <c:v>Sep-23</c:v>
                </c:pt>
                <c:pt idx="22">
                  <c:v>Oct-23</c:v>
                </c:pt>
                <c:pt idx="23">
                  <c:v>Nov-23</c:v>
                </c:pt>
                <c:pt idx="24">
                  <c:v>Dec-23</c:v>
                </c:pt>
                <c:pt idx="25">
                  <c:v>Jan-24</c:v>
                </c:pt>
                <c:pt idx="26">
                  <c:v>Feb-24</c:v>
                </c:pt>
                <c:pt idx="27">
                  <c:v>Mar-24</c:v>
                </c:pt>
                <c:pt idx="28">
                  <c:v>Apr-24</c:v>
                </c:pt>
                <c:pt idx="29">
                  <c:v>May-24</c:v>
                </c:pt>
                <c:pt idx="30">
                  <c:v>Jun-24</c:v>
                </c:pt>
                <c:pt idx="31">
                  <c:v>Jul-24</c:v>
                </c:pt>
              </c:strCache>
            </c:strRef>
          </c:cat>
          <c:val>
            <c:numRef>
              <c:f>'Stream Elec Data'!$AG$2:$AG$32</c:f>
              <c:numCache>
                <c:formatCode>General</c:formatCode>
                <c:ptCount val="31"/>
                <c:pt idx="0">
                  <c:v>103243.08</c:v>
                </c:pt>
                <c:pt idx="1">
                  <c:v>94709.8</c:v>
                </c:pt>
                <c:pt idx="2">
                  <c:v>105043.72</c:v>
                </c:pt>
                <c:pt idx="3">
                  <c:v>91983.039999999994</c:v>
                </c:pt>
                <c:pt idx="4">
                  <c:v>94787.36</c:v>
                </c:pt>
                <c:pt idx="5">
                  <c:v>94090.04</c:v>
                </c:pt>
                <c:pt idx="6">
                  <c:v>95697.64</c:v>
                </c:pt>
                <c:pt idx="7">
                  <c:v>97352.4</c:v>
                </c:pt>
                <c:pt idx="8">
                  <c:v>92020.88</c:v>
                </c:pt>
                <c:pt idx="9">
                  <c:v>99877.6</c:v>
                </c:pt>
                <c:pt idx="10">
                  <c:v>135273.16</c:v>
                </c:pt>
                <c:pt idx="11">
                  <c:v>103929.76</c:v>
                </c:pt>
                <c:pt idx="12">
                  <c:v>109578.32</c:v>
                </c:pt>
                <c:pt idx="13">
                  <c:v>104342.16</c:v>
                </c:pt>
                <c:pt idx="14">
                  <c:v>104655.44</c:v>
                </c:pt>
                <c:pt idx="15">
                  <c:v>98537.36</c:v>
                </c:pt>
                <c:pt idx="16">
                  <c:v>99990.92</c:v>
                </c:pt>
                <c:pt idx="17">
                  <c:v>97478.64</c:v>
                </c:pt>
                <c:pt idx="18">
                  <c:v>97891.520000000004</c:v>
                </c:pt>
                <c:pt idx="19">
                  <c:v>104124.68</c:v>
                </c:pt>
                <c:pt idx="20">
                  <c:v>93749.84</c:v>
                </c:pt>
                <c:pt idx="21">
                  <c:v>119030.76</c:v>
                </c:pt>
                <c:pt idx="22">
                  <c:v>113043.96</c:v>
                </c:pt>
                <c:pt idx="23">
                  <c:v>116390.48</c:v>
                </c:pt>
                <c:pt idx="24">
                  <c:v>147614.04</c:v>
                </c:pt>
                <c:pt idx="25">
                  <c:v>102219.52</c:v>
                </c:pt>
                <c:pt idx="26">
                  <c:v>105732</c:v>
                </c:pt>
                <c:pt idx="27">
                  <c:v>102784.12</c:v>
                </c:pt>
                <c:pt idx="28">
                  <c:v>105924.52</c:v>
                </c:pt>
                <c:pt idx="29">
                  <c:v>106150.04</c:v>
                </c:pt>
                <c:pt idx="30">
                  <c:v>106911.28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832-4A13-A8D8-2E9F83F60009}"/>
            </c:ext>
          </c:extLst>
        </c:ser>
        <c:ser>
          <c:idx val="4"/>
          <c:order val="3"/>
          <c:tx>
            <c:strRef>
              <c:f>'Stream Elec Data'!$BC$1</c:f>
              <c:strCache>
                <c:ptCount val="1"/>
                <c:pt idx="0">
                  <c:v>G403 Biochemistry - kWh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'Stream Elec Data'!$A$1:$A$32</c:f>
              <c:strCache>
                <c:ptCount val="32"/>
                <c:pt idx="0">
                  <c:v>Date</c:v>
                </c:pt>
                <c:pt idx="1">
                  <c:v>Jan-22</c:v>
                </c:pt>
                <c:pt idx="2">
                  <c:v>Feb-22</c:v>
                </c:pt>
                <c:pt idx="3">
                  <c:v>Mar-22</c:v>
                </c:pt>
                <c:pt idx="4">
                  <c:v>Apr-22</c:v>
                </c:pt>
                <c:pt idx="5">
                  <c:v>May-22</c:v>
                </c:pt>
                <c:pt idx="6">
                  <c:v>Jun-22</c:v>
                </c:pt>
                <c:pt idx="7">
                  <c:v>Jul-22</c:v>
                </c:pt>
                <c:pt idx="8">
                  <c:v>Aug-22</c:v>
                </c:pt>
                <c:pt idx="9">
                  <c:v>Sep-22</c:v>
                </c:pt>
                <c:pt idx="10">
                  <c:v>Oct-22</c:v>
                </c:pt>
                <c:pt idx="11">
                  <c:v>Nov-22</c:v>
                </c:pt>
                <c:pt idx="12">
                  <c:v>Dec-22</c:v>
                </c:pt>
                <c:pt idx="13">
                  <c:v>Jan-23</c:v>
                </c:pt>
                <c:pt idx="14">
                  <c:v>Feb-23</c:v>
                </c:pt>
                <c:pt idx="15">
                  <c:v>Mar-23</c:v>
                </c:pt>
                <c:pt idx="16">
                  <c:v>Apr-23</c:v>
                </c:pt>
                <c:pt idx="17">
                  <c:v>May-23</c:v>
                </c:pt>
                <c:pt idx="18">
                  <c:v>Jun-23</c:v>
                </c:pt>
                <c:pt idx="19">
                  <c:v>Jul-23</c:v>
                </c:pt>
                <c:pt idx="20">
                  <c:v>Aug-23</c:v>
                </c:pt>
                <c:pt idx="21">
                  <c:v>Sep-23</c:v>
                </c:pt>
                <c:pt idx="22">
                  <c:v>Oct-23</c:v>
                </c:pt>
                <c:pt idx="23">
                  <c:v>Nov-23</c:v>
                </c:pt>
                <c:pt idx="24">
                  <c:v>Dec-23</c:v>
                </c:pt>
                <c:pt idx="25">
                  <c:v>Jan-24</c:v>
                </c:pt>
                <c:pt idx="26">
                  <c:v>Feb-24</c:v>
                </c:pt>
                <c:pt idx="27">
                  <c:v>Mar-24</c:v>
                </c:pt>
                <c:pt idx="28">
                  <c:v>Apr-24</c:v>
                </c:pt>
                <c:pt idx="29">
                  <c:v>May-24</c:v>
                </c:pt>
                <c:pt idx="30">
                  <c:v>Jun-24</c:v>
                </c:pt>
                <c:pt idx="31">
                  <c:v>Jul-24</c:v>
                </c:pt>
              </c:strCache>
            </c:strRef>
          </c:cat>
          <c:val>
            <c:numRef>
              <c:f>'Stream Elec Data'!$BC$2:$BC$32</c:f>
              <c:numCache>
                <c:formatCode>General</c:formatCode>
                <c:ptCount val="31"/>
                <c:pt idx="0">
                  <c:v>142364.04</c:v>
                </c:pt>
                <c:pt idx="1">
                  <c:v>132295.60800000001</c:v>
                </c:pt>
                <c:pt idx="2">
                  <c:v>149336.68799999999</c:v>
                </c:pt>
                <c:pt idx="3">
                  <c:v>142409.32800000001</c:v>
                </c:pt>
                <c:pt idx="4">
                  <c:v>152989.77600000001</c:v>
                </c:pt>
                <c:pt idx="5">
                  <c:v>151741.94399999999</c:v>
                </c:pt>
                <c:pt idx="6">
                  <c:v>161403.52799999999</c:v>
                </c:pt>
                <c:pt idx="7">
                  <c:v>159507.6</c:v>
                </c:pt>
                <c:pt idx="8">
                  <c:v>149133.09599999999</c:v>
                </c:pt>
                <c:pt idx="9">
                  <c:v>145513.272</c:v>
                </c:pt>
                <c:pt idx="10">
                  <c:v>138796.152</c:v>
                </c:pt>
                <c:pt idx="11">
                  <c:v>135829.63200000001</c:v>
                </c:pt>
                <c:pt idx="12">
                  <c:v>140288.95199999999</c:v>
                </c:pt>
                <c:pt idx="13">
                  <c:v>134816.736</c:v>
                </c:pt>
                <c:pt idx="14">
                  <c:v>142286.92800000001</c:v>
                </c:pt>
                <c:pt idx="15">
                  <c:v>131022.504</c:v>
                </c:pt>
                <c:pt idx="16">
                  <c:v>140897.35200000001</c:v>
                </c:pt>
                <c:pt idx="17">
                  <c:v>134212.728</c:v>
                </c:pt>
                <c:pt idx="18">
                  <c:v>136638.408</c:v>
                </c:pt>
                <c:pt idx="19">
                  <c:v>139276.22399999999</c:v>
                </c:pt>
                <c:pt idx="20">
                  <c:v>133371.52799999999</c:v>
                </c:pt>
                <c:pt idx="21">
                  <c:v>133075.152</c:v>
                </c:pt>
                <c:pt idx="22">
                  <c:v>125795.68799999999</c:v>
                </c:pt>
                <c:pt idx="23">
                  <c:v>125404.224</c:v>
                </c:pt>
                <c:pt idx="24">
                  <c:v>126663</c:v>
                </c:pt>
                <c:pt idx="25">
                  <c:v>123717.024</c:v>
                </c:pt>
                <c:pt idx="26">
                  <c:v>131844.93599999999</c:v>
                </c:pt>
                <c:pt idx="27">
                  <c:v>124997.25599999999</c:v>
                </c:pt>
                <c:pt idx="28">
                  <c:v>133525.008</c:v>
                </c:pt>
                <c:pt idx="29">
                  <c:v>124361.784</c:v>
                </c:pt>
                <c:pt idx="30">
                  <c:v>133628.68799999999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832-4A13-A8D8-2E9F83F60009}"/>
            </c:ext>
          </c:extLst>
        </c:ser>
        <c:ser>
          <c:idx val="5"/>
          <c:order val="4"/>
          <c:tx>
            <c:strRef>
              <c:f>'Stream Elec Data'!$BE$1</c:f>
              <c:strCache>
                <c:ptCount val="1"/>
                <c:pt idx="0">
                  <c:v>G404 Microbiology - kWh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'Stream Elec Data'!$A$1:$A$32</c:f>
              <c:strCache>
                <c:ptCount val="32"/>
                <c:pt idx="0">
                  <c:v>Date</c:v>
                </c:pt>
                <c:pt idx="1">
                  <c:v>Jan-22</c:v>
                </c:pt>
                <c:pt idx="2">
                  <c:v>Feb-22</c:v>
                </c:pt>
                <c:pt idx="3">
                  <c:v>Mar-22</c:v>
                </c:pt>
                <c:pt idx="4">
                  <c:v>Apr-22</c:v>
                </c:pt>
                <c:pt idx="5">
                  <c:v>May-22</c:v>
                </c:pt>
                <c:pt idx="6">
                  <c:v>Jun-22</c:v>
                </c:pt>
                <c:pt idx="7">
                  <c:v>Jul-22</c:v>
                </c:pt>
                <c:pt idx="8">
                  <c:v>Aug-22</c:v>
                </c:pt>
                <c:pt idx="9">
                  <c:v>Sep-22</c:v>
                </c:pt>
                <c:pt idx="10">
                  <c:v>Oct-22</c:v>
                </c:pt>
                <c:pt idx="11">
                  <c:v>Nov-22</c:v>
                </c:pt>
                <c:pt idx="12">
                  <c:v>Dec-22</c:v>
                </c:pt>
                <c:pt idx="13">
                  <c:v>Jan-23</c:v>
                </c:pt>
                <c:pt idx="14">
                  <c:v>Feb-23</c:v>
                </c:pt>
                <c:pt idx="15">
                  <c:v>Mar-23</c:v>
                </c:pt>
                <c:pt idx="16">
                  <c:v>Apr-23</c:v>
                </c:pt>
                <c:pt idx="17">
                  <c:v>May-23</c:v>
                </c:pt>
                <c:pt idx="18">
                  <c:v>Jun-23</c:v>
                </c:pt>
                <c:pt idx="19">
                  <c:v>Jul-23</c:v>
                </c:pt>
                <c:pt idx="20">
                  <c:v>Aug-23</c:v>
                </c:pt>
                <c:pt idx="21">
                  <c:v>Sep-23</c:v>
                </c:pt>
                <c:pt idx="22">
                  <c:v>Oct-23</c:v>
                </c:pt>
                <c:pt idx="23">
                  <c:v>Nov-23</c:v>
                </c:pt>
                <c:pt idx="24">
                  <c:v>Dec-23</c:v>
                </c:pt>
                <c:pt idx="25">
                  <c:v>Jan-24</c:v>
                </c:pt>
                <c:pt idx="26">
                  <c:v>Feb-24</c:v>
                </c:pt>
                <c:pt idx="27">
                  <c:v>Mar-24</c:v>
                </c:pt>
                <c:pt idx="28">
                  <c:v>Apr-24</c:v>
                </c:pt>
                <c:pt idx="29">
                  <c:v>May-24</c:v>
                </c:pt>
                <c:pt idx="30">
                  <c:v>Jun-24</c:v>
                </c:pt>
                <c:pt idx="31">
                  <c:v>Jul-24</c:v>
                </c:pt>
              </c:strCache>
            </c:strRef>
          </c:cat>
          <c:val>
            <c:numRef>
              <c:f>'Stream Elec Data'!$BE$2:$BE$32</c:f>
              <c:numCache>
                <c:formatCode>General</c:formatCode>
                <c:ptCount val="31"/>
                <c:pt idx="0">
                  <c:v>98978.64</c:v>
                </c:pt>
                <c:pt idx="1">
                  <c:v>94068.384000000005</c:v>
                </c:pt>
                <c:pt idx="2">
                  <c:v>108025.08</c:v>
                </c:pt>
                <c:pt idx="3">
                  <c:v>96618.6</c:v>
                </c:pt>
                <c:pt idx="4">
                  <c:v>101740.08</c:v>
                </c:pt>
                <c:pt idx="5">
                  <c:v>96235.368000000002</c:v>
                </c:pt>
                <c:pt idx="6">
                  <c:v>100340.4</c:v>
                </c:pt>
                <c:pt idx="7">
                  <c:v>104576.952</c:v>
                </c:pt>
                <c:pt idx="8">
                  <c:v>101239.416</c:v>
                </c:pt>
                <c:pt idx="9">
                  <c:v>100892.016</c:v>
                </c:pt>
                <c:pt idx="10">
                  <c:v>99258.744000000006</c:v>
                </c:pt>
                <c:pt idx="11">
                  <c:v>93505.919999999998</c:v>
                </c:pt>
                <c:pt idx="12">
                  <c:v>99157.224000000002</c:v>
                </c:pt>
                <c:pt idx="13">
                  <c:v>106457.736</c:v>
                </c:pt>
                <c:pt idx="14">
                  <c:v>118099.872</c:v>
                </c:pt>
                <c:pt idx="15">
                  <c:v>104355.48</c:v>
                </c:pt>
                <c:pt idx="16">
                  <c:v>118004.952</c:v>
                </c:pt>
                <c:pt idx="17">
                  <c:v>100029.216</c:v>
                </c:pt>
                <c:pt idx="18">
                  <c:v>107326.10400000001</c:v>
                </c:pt>
                <c:pt idx="19">
                  <c:v>109576.368</c:v>
                </c:pt>
                <c:pt idx="20">
                  <c:v>105502.848</c:v>
                </c:pt>
                <c:pt idx="21">
                  <c:v>105836.448</c:v>
                </c:pt>
                <c:pt idx="22">
                  <c:v>107854.60799999999</c:v>
                </c:pt>
                <c:pt idx="23">
                  <c:v>109056.72</c:v>
                </c:pt>
                <c:pt idx="24">
                  <c:v>109383.592</c:v>
                </c:pt>
                <c:pt idx="25">
                  <c:v>114057.288</c:v>
                </c:pt>
                <c:pt idx="26">
                  <c:v>116187.36</c:v>
                </c:pt>
                <c:pt idx="27">
                  <c:v>108442.152</c:v>
                </c:pt>
                <c:pt idx="28">
                  <c:v>111755.25599999999</c:v>
                </c:pt>
                <c:pt idx="29">
                  <c:v>105129.768</c:v>
                </c:pt>
                <c:pt idx="30">
                  <c:v>107123.4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832-4A13-A8D8-2E9F83F60009}"/>
            </c:ext>
          </c:extLst>
        </c:ser>
        <c:ser>
          <c:idx val="6"/>
          <c:order val="5"/>
          <c:tx>
            <c:strRef>
              <c:f>'Janitza data '!$B$548</c:f>
              <c:strCache>
                <c:ptCount val="1"/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'Stream Elec Data'!$A$1:$A$32</c:f>
              <c:strCache>
                <c:ptCount val="32"/>
                <c:pt idx="0">
                  <c:v>Date</c:v>
                </c:pt>
                <c:pt idx="1">
                  <c:v>Jan-22</c:v>
                </c:pt>
                <c:pt idx="2">
                  <c:v>Feb-22</c:v>
                </c:pt>
                <c:pt idx="3">
                  <c:v>Mar-22</c:v>
                </c:pt>
                <c:pt idx="4">
                  <c:v>Apr-22</c:v>
                </c:pt>
                <c:pt idx="5">
                  <c:v>May-22</c:v>
                </c:pt>
                <c:pt idx="6">
                  <c:v>Jun-22</c:v>
                </c:pt>
                <c:pt idx="7">
                  <c:v>Jul-22</c:v>
                </c:pt>
                <c:pt idx="8">
                  <c:v>Aug-22</c:v>
                </c:pt>
                <c:pt idx="9">
                  <c:v>Sep-22</c:v>
                </c:pt>
                <c:pt idx="10">
                  <c:v>Oct-22</c:v>
                </c:pt>
                <c:pt idx="11">
                  <c:v>Nov-22</c:v>
                </c:pt>
                <c:pt idx="12">
                  <c:v>Dec-22</c:v>
                </c:pt>
                <c:pt idx="13">
                  <c:v>Jan-23</c:v>
                </c:pt>
                <c:pt idx="14">
                  <c:v>Feb-23</c:v>
                </c:pt>
                <c:pt idx="15">
                  <c:v>Mar-23</c:v>
                </c:pt>
                <c:pt idx="16">
                  <c:v>Apr-23</c:v>
                </c:pt>
                <c:pt idx="17">
                  <c:v>May-23</c:v>
                </c:pt>
                <c:pt idx="18">
                  <c:v>Jun-23</c:v>
                </c:pt>
                <c:pt idx="19">
                  <c:v>Jul-23</c:v>
                </c:pt>
                <c:pt idx="20">
                  <c:v>Aug-23</c:v>
                </c:pt>
                <c:pt idx="21">
                  <c:v>Sep-23</c:v>
                </c:pt>
                <c:pt idx="22">
                  <c:v>Oct-23</c:v>
                </c:pt>
                <c:pt idx="23">
                  <c:v>Nov-23</c:v>
                </c:pt>
                <c:pt idx="24">
                  <c:v>Dec-23</c:v>
                </c:pt>
                <c:pt idx="25">
                  <c:v>Jan-24</c:v>
                </c:pt>
                <c:pt idx="26">
                  <c:v>Feb-24</c:v>
                </c:pt>
                <c:pt idx="27">
                  <c:v>Mar-24</c:v>
                </c:pt>
                <c:pt idx="28">
                  <c:v>Apr-24</c:v>
                </c:pt>
                <c:pt idx="29">
                  <c:v>May-24</c:v>
                </c:pt>
                <c:pt idx="30">
                  <c:v>Jun-24</c:v>
                </c:pt>
                <c:pt idx="31">
                  <c:v>Jul-24</c:v>
                </c:pt>
              </c:strCache>
              <c:extLst xmlns:c15="http://schemas.microsoft.com/office/drawing/2012/chart"/>
            </c:strRef>
          </c:cat>
          <c:val>
            <c:numRef>
              <c:f>'Janitza data '!$C$548:$Z$548</c:f>
              <c:numCache>
                <c:formatCode>0</c:formatCode>
                <c:ptCount val="24"/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F-C832-4A13-A8D8-2E9F83F60009}"/>
            </c:ext>
          </c:extLst>
        </c:ser>
        <c:ser>
          <c:idx val="7"/>
          <c:order val="6"/>
          <c:tx>
            <c:strRef>
              <c:f>'Janitza data '!$B$12</c:f>
              <c:strCache>
                <c:ptCount val="1"/>
                <c:pt idx="0">
                  <c:v>D204 LFB: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'Stream Elec Data'!$A$1:$A$32</c:f>
              <c:strCache>
                <c:ptCount val="32"/>
                <c:pt idx="0">
                  <c:v>Date</c:v>
                </c:pt>
                <c:pt idx="1">
                  <c:v>Jan-22</c:v>
                </c:pt>
                <c:pt idx="2">
                  <c:v>Feb-22</c:v>
                </c:pt>
                <c:pt idx="3">
                  <c:v>Mar-22</c:v>
                </c:pt>
                <c:pt idx="4">
                  <c:v>Apr-22</c:v>
                </c:pt>
                <c:pt idx="5">
                  <c:v>May-22</c:v>
                </c:pt>
                <c:pt idx="6">
                  <c:v>Jun-22</c:v>
                </c:pt>
                <c:pt idx="7">
                  <c:v>Jul-22</c:v>
                </c:pt>
                <c:pt idx="8">
                  <c:v>Aug-22</c:v>
                </c:pt>
                <c:pt idx="9">
                  <c:v>Sep-22</c:v>
                </c:pt>
                <c:pt idx="10">
                  <c:v>Oct-22</c:v>
                </c:pt>
                <c:pt idx="11">
                  <c:v>Nov-22</c:v>
                </c:pt>
                <c:pt idx="12">
                  <c:v>Dec-22</c:v>
                </c:pt>
                <c:pt idx="13">
                  <c:v>Jan-23</c:v>
                </c:pt>
                <c:pt idx="14">
                  <c:v>Feb-23</c:v>
                </c:pt>
                <c:pt idx="15">
                  <c:v>Mar-23</c:v>
                </c:pt>
                <c:pt idx="16">
                  <c:v>Apr-23</c:v>
                </c:pt>
                <c:pt idx="17">
                  <c:v>May-23</c:v>
                </c:pt>
                <c:pt idx="18">
                  <c:v>Jun-23</c:v>
                </c:pt>
                <c:pt idx="19">
                  <c:v>Jul-23</c:v>
                </c:pt>
                <c:pt idx="20">
                  <c:v>Aug-23</c:v>
                </c:pt>
                <c:pt idx="21">
                  <c:v>Sep-23</c:v>
                </c:pt>
                <c:pt idx="22">
                  <c:v>Oct-23</c:v>
                </c:pt>
                <c:pt idx="23">
                  <c:v>Nov-23</c:v>
                </c:pt>
                <c:pt idx="24">
                  <c:v>Dec-23</c:v>
                </c:pt>
                <c:pt idx="25">
                  <c:v>Jan-24</c:v>
                </c:pt>
                <c:pt idx="26">
                  <c:v>Feb-24</c:v>
                </c:pt>
                <c:pt idx="27">
                  <c:v>Mar-24</c:v>
                </c:pt>
                <c:pt idx="28">
                  <c:v>Apr-24</c:v>
                </c:pt>
                <c:pt idx="29">
                  <c:v>May-24</c:v>
                </c:pt>
                <c:pt idx="30">
                  <c:v>Jun-24</c:v>
                </c:pt>
                <c:pt idx="31">
                  <c:v>Jul-24</c:v>
                </c:pt>
              </c:strCache>
              <c:extLst xmlns:c15="http://schemas.microsoft.com/office/drawing/2012/chart"/>
            </c:strRef>
          </c:cat>
          <c:val>
            <c:numRef>
              <c:f>'Janitza data '!$C$12:$Z$12</c:f>
              <c:numCache>
                <c:formatCode>General</c:formatCode>
                <c:ptCount val="24"/>
                <c:pt idx="0">
                  <c:v>83003</c:v>
                </c:pt>
                <c:pt idx="1">
                  <c:v>91273</c:v>
                </c:pt>
                <c:pt idx="2">
                  <c:v>105411</c:v>
                </c:pt>
                <c:pt idx="3">
                  <c:v>103240</c:v>
                </c:pt>
                <c:pt idx="4">
                  <c:v>123336</c:v>
                </c:pt>
                <c:pt idx="5">
                  <c:v>119763</c:v>
                </c:pt>
                <c:pt idx="6">
                  <c:v>128629</c:v>
                </c:pt>
                <c:pt idx="7">
                  <c:v>129350</c:v>
                </c:pt>
                <c:pt idx="8">
                  <c:v>121421</c:v>
                </c:pt>
                <c:pt idx="9" formatCode="#,##0.00">
                  <c:v>122362.8828125</c:v>
                </c:pt>
                <c:pt idx="10" formatCode="#,##0.00">
                  <c:v>103203.84375</c:v>
                </c:pt>
                <c:pt idx="11" formatCode="#,##0.00">
                  <c:v>91644.93</c:v>
                </c:pt>
                <c:pt idx="12" formatCode="#,##0.00">
                  <c:v>94995.45</c:v>
                </c:pt>
                <c:pt idx="13" formatCode="#,##0.00">
                  <c:v>94465.02</c:v>
                </c:pt>
                <c:pt idx="14" formatCode="#,##0.00">
                  <c:v>111723.52</c:v>
                </c:pt>
                <c:pt idx="15" formatCode="#,##0.00">
                  <c:v>112121.86</c:v>
                </c:pt>
                <c:pt idx="16" formatCode="#,##0.00">
                  <c:v>130594.81</c:v>
                </c:pt>
                <c:pt idx="17" formatCode="#,##0.00">
                  <c:v>130812.93</c:v>
                </c:pt>
                <c:pt idx="18" formatCode="#,##0.00">
                  <c:v>136863.75</c:v>
                </c:pt>
                <c:pt idx="19" formatCode="#,##0.00">
                  <c:v>140831.75</c:v>
                </c:pt>
                <c:pt idx="20" formatCode="#,##0.00">
                  <c:v>125416.45</c:v>
                </c:pt>
                <c:pt idx="21" formatCode="#,##0.00">
                  <c:v>121571.33</c:v>
                </c:pt>
                <c:pt idx="22" formatCode="#,##0.00">
                  <c:v>113524.73</c:v>
                </c:pt>
                <c:pt idx="23" formatCode="#,##0.00">
                  <c:v>105088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0-C832-4A13-A8D8-2E9F83F60009}"/>
            </c:ext>
          </c:extLst>
        </c:ser>
        <c:ser>
          <c:idx val="8"/>
          <c:order val="8"/>
          <c:tx>
            <c:strRef>
              <c:f>'Janitza data '!$B$22</c:f>
              <c:strCache>
                <c:ptCount val="1"/>
                <c:pt idx="0">
                  <c:v>D206 Hercus: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'Stream Elec Data'!$A$1:$A$32</c:f>
              <c:strCache>
                <c:ptCount val="32"/>
                <c:pt idx="0">
                  <c:v>Date</c:v>
                </c:pt>
                <c:pt idx="1">
                  <c:v>Jan-22</c:v>
                </c:pt>
                <c:pt idx="2">
                  <c:v>Feb-22</c:v>
                </c:pt>
                <c:pt idx="3">
                  <c:v>Mar-22</c:v>
                </c:pt>
                <c:pt idx="4">
                  <c:v>Apr-22</c:v>
                </c:pt>
                <c:pt idx="5">
                  <c:v>May-22</c:v>
                </c:pt>
                <c:pt idx="6">
                  <c:v>Jun-22</c:v>
                </c:pt>
                <c:pt idx="7">
                  <c:v>Jul-22</c:v>
                </c:pt>
                <c:pt idx="8">
                  <c:v>Aug-22</c:v>
                </c:pt>
                <c:pt idx="9">
                  <c:v>Sep-22</c:v>
                </c:pt>
                <c:pt idx="10">
                  <c:v>Oct-22</c:v>
                </c:pt>
                <c:pt idx="11">
                  <c:v>Nov-22</c:v>
                </c:pt>
                <c:pt idx="12">
                  <c:v>Dec-22</c:v>
                </c:pt>
                <c:pt idx="13">
                  <c:v>Jan-23</c:v>
                </c:pt>
                <c:pt idx="14">
                  <c:v>Feb-23</c:v>
                </c:pt>
                <c:pt idx="15">
                  <c:v>Mar-23</c:v>
                </c:pt>
                <c:pt idx="16">
                  <c:v>Apr-23</c:v>
                </c:pt>
                <c:pt idx="17">
                  <c:v>May-23</c:v>
                </c:pt>
                <c:pt idx="18">
                  <c:v>Jun-23</c:v>
                </c:pt>
                <c:pt idx="19">
                  <c:v>Jul-23</c:v>
                </c:pt>
                <c:pt idx="20">
                  <c:v>Aug-23</c:v>
                </c:pt>
                <c:pt idx="21">
                  <c:v>Sep-23</c:v>
                </c:pt>
                <c:pt idx="22">
                  <c:v>Oct-23</c:v>
                </c:pt>
                <c:pt idx="23">
                  <c:v>Nov-23</c:v>
                </c:pt>
                <c:pt idx="24">
                  <c:v>Dec-23</c:v>
                </c:pt>
                <c:pt idx="25">
                  <c:v>Jan-24</c:v>
                </c:pt>
                <c:pt idx="26">
                  <c:v>Feb-24</c:v>
                </c:pt>
                <c:pt idx="27">
                  <c:v>Mar-24</c:v>
                </c:pt>
                <c:pt idx="28">
                  <c:v>Apr-24</c:v>
                </c:pt>
                <c:pt idx="29">
                  <c:v>May-24</c:v>
                </c:pt>
                <c:pt idx="30">
                  <c:v>Jun-24</c:v>
                </c:pt>
                <c:pt idx="31">
                  <c:v>Jul-24</c:v>
                </c:pt>
              </c:strCache>
              <c:extLst xmlns:c15="http://schemas.microsoft.com/office/drawing/2012/chart"/>
            </c:strRef>
          </c:cat>
          <c:val>
            <c:numRef>
              <c:f>'Janitza data '!$C$22:$Z$22</c:f>
              <c:numCache>
                <c:formatCode>General</c:formatCode>
                <c:ptCount val="24"/>
                <c:pt idx="0">
                  <c:v>91748</c:v>
                </c:pt>
                <c:pt idx="1">
                  <c:v>87307</c:v>
                </c:pt>
                <c:pt idx="2">
                  <c:v>98113</c:v>
                </c:pt>
                <c:pt idx="3">
                  <c:v>95227</c:v>
                </c:pt>
                <c:pt idx="4">
                  <c:v>100893</c:v>
                </c:pt>
                <c:pt idx="5">
                  <c:v>95433</c:v>
                </c:pt>
                <c:pt idx="6">
                  <c:v>97888</c:v>
                </c:pt>
                <c:pt idx="7">
                  <c:v>97029</c:v>
                </c:pt>
                <c:pt idx="8">
                  <c:v>94352</c:v>
                </c:pt>
                <c:pt idx="9" formatCode="#,##0.00">
                  <c:v>93953.0234375</c:v>
                </c:pt>
                <c:pt idx="10" formatCode="#,##0.00">
                  <c:v>86806.53125</c:v>
                </c:pt>
                <c:pt idx="11" formatCode="#,##0.00">
                  <c:v>85681.15</c:v>
                </c:pt>
                <c:pt idx="12" formatCode="#,##0.00">
                  <c:v>85189.63</c:v>
                </c:pt>
                <c:pt idx="13" formatCode="#,##0.00">
                  <c:v>78675.97</c:v>
                </c:pt>
                <c:pt idx="14" formatCode="#,##0.00">
                  <c:v>90477.57</c:v>
                </c:pt>
                <c:pt idx="15" formatCode="#,##0.00">
                  <c:v>87940.09</c:v>
                </c:pt>
                <c:pt idx="16" formatCode="#,##0.00">
                  <c:v>85538.81</c:v>
                </c:pt>
                <c:pt idx="17" formatCode="#,##0.00">
                  <c:v>78493.7</c:v>
                </c:pt>
                <c:pt idx="18" formatCode="#,##0.00">
                  <c:v>77831.17</c:v>
                </c:pt>
                <c:pt idx="19" formatCode="#,##0.00">
                  <c:v>81759.23</c:v>
                </c:pt>
                <c:pt idx="20" formatCode="#,##0.00">
                  <c:v>75276.289999999994</c:v>
                </c:pt>
                <c:pt idx="21" formatCode="#,##0.00">
                  <c:v>73930.75</c:v>
                </c:pt>
                <c:pt idx="22" formatCode="#,##0.00">
                  <c:v>72136.7</c:v>
                </c:pt>
                <c:pt idx="23" formatCode="#,##0.00">
                  <c:v>68659.199999999997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2-C832-4A13-A8D8-2E9F83F60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74905400"/>
        <c:axId val="-1674904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7"/>
                <c:tx>
                  <c:strRef>
                    <c:extLst>
                      <c:ext uri="{02D57815-91ED-43cb-92C2-25804820EDAC}">
                        <c15:formulaRef>
                          <c15:sqref>'Janitza data '!$C$21:$Z$21</c15:sqref>
                        </c15:formulaRef>
                      </c:ext>
                    </c:extLst>
                    <c:strCache>
                      <c:ptCount val="1"/>
                      <c:pt idx="0">
                        <c:v>28653 25394 29344 28250 32252 32241 33959 35078 32077 29,914.37 28,917.50 27,600.64 28,985.34 27,613.95 31,138.05 29,485.31 33,795.07 33,431.04 32,887.55 33,755.39 31,286.02 31,156.99 29,353.22 27,314.94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'Stream Elec Data'!$A$1:$A$32</c15:sqref>
                        </c15:formulaRef>
                      </c:ext>
                    </c:extLst>
                    <c:strCache>
                      <c:ptCount val="32"/>
                      <c:pt idx="0">
                        <c:v>Date</c:v>
                      </c:pt>
                      <c:pt idx="1">
                        <c:v>Jan-22</c:v>
                      </c:pt>
                      <c:pt idx="2">
                        <c:v>Feb-22</c:v>
                      </c:pt>
                      <c:pt idx="3">
                        <c:v>Mar-22</c:v>
                      </c:pt>
                      <c:pt idx="4">
                        <c:v>Apr-22</c:v>
                      </c:pt>
                      <c:pt idx="5">
                        <c:v>May-22</c:v>
                      </c:pt>
                      <c:pt idx="6">
                        <c:v>Jun-22</c:v>
                      </c:pt>
                      <c:pt idx="7">
                        <c:v>Jul-22</c:v>
                      </c:pt>
                      <c:pt idx="8">
                        <c:v>Aug-22</c:v>
                      </c:pt>
                      <c:pt idx="9">
                        <c:v>Sep-22</c:v>
                      </c:pt>
                      <c:pt idx="10">
                        <c:v>Oct-22</c:v>
                      </c:pt>
                      <c:pt idx="11">
                        <c:v>Nov-22</c:v>
                      </c:pt>
                      <c:pt idx="12">
                        <c:v>Dec-22</c:v>
                      </c:pt>
                      <c:pt idx="13">
                        <c:v>Jan-23</c:v>
                      </c:pt>
                      <c:pt idx="14">
                        <c:v>Feb-23</c:v>
                      </c:pt>
                      <c:pt idx="15">
                        <c:v>Mar-23</c:v>
                      </c:pt>
                      <c:pt idx="16">
                        <c:v>Apr-23</c:v>
                      </c:pt>
                      <c:pt idx="17">
                        <c:v>May-23</c:v>
                      </c:pt>
                      <c:pt idx="18">
                        <c:v>Jun-23</c:v>
                      </c:pt>
                      <c:pt idx="19">
                        <c:v>Jul-23</c:v>
                      </c:pt>
                      <c:pt idx="20">
                        <c:v>Aug-23</c:v>
                      </c:pt>
                      <c:pt idx="21">
                        <c:v>Sep-23</c:v>
                      </c:pt>
                      <c:pt idx="22">
                        <c:v>Oct-23</c:v>
                      </c:pt>
                      <c:pt idx="23">
                        <c:v>Nov-23</c:v>
                      </c:pt>
                      <c:pt idx="24">
                        <c:v>Dec-23</c:v>
                      </c:pt>
                      <c:pt idx="25">
                        <c:v>Jan-24</c:v>
                      </c:pt>
                      <c:pt idx="26">
                        <c:v>Feb-24</c:v>
                      </c:pt>
                      <c:pt idx="27">
                        <c:v>Mar-24</c:v>
                      </c:pt>
                      <c:pt idx="28">
                        <c:v>Apr-24</c:v>
                      </c:pt>
                      <c:pt idx="29">
                        <c:v>May-24</c:v>
                      </c:pt>
                      <c:pt idx="30">
                        <c:v>Jun-24</c:v>
                      </c:pt>
                      <c:pt idx="31">
                        <c:v>Jul-24</c:v>
                      </c:pt>
                    </c:strCache>
                  </c:str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11-C832-4A13-A8D8-2E9F83F6000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'Janitza data '!$B$50</c15:sqref>
                        </c15:formulaRef>
                      </c:ext>
                    </c:extLst>
                    <c:strCache>
                      <c:ptCount val="1"/>
                      <c:pt idx="0">
                        <c:v>E305 325 Gt King Physiotherapy: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'Stream Elec Data'!$A$1:$A$32</c15:sqref>
                        </c15:formulaRef>
                      </c:ext>
                    </c:extLst>
                    <c:strCache>
                      <c:ptCount val="32"/>
                      <c:pt idx="0">
                        <c:v>Date</c:v>
                      </c:pt>
                      <c:pt idx="1">
                        <c:v>Jan-22</c:v>
                      </c:pt>
                      <c:pt idx="2">
                        <c:v>Feb-22</c:v>
                      </c:pt>
                      <c:pt idx="3">
                        <c:v>Mar-22</c:v>
                      </c:pt>
                      <c:pt idx="4">
                        <c:v>Apr-22</c:v>
                      </c:pt>
                      <c:pt idx="5">
                        <c:v>May-22</c:v>
                      </c:pt>
                      <c:pt idx="6">
                        <c:v>Jun-22</c:v>
                      </c:pt>
                      <c:pt idx="7">
                        <c:v>Jul-22</c:v>
                      </c:pt>
                      <c:pt idx="8">
                        <c:v>Aug-22</c:v>
                      </c:pt>
                      <c:pt idx="9">
                        <c:v>Sep-22</c:v>
                      </c:pt>
                      <c:pt idx="10">
                        <c:v>Oct-22</c:v>
                      </c:pt>
                      <c:pt idx="11">
                        <c:v>Nov-22</c:v>
                      </c:pt>
                      <c:pt idx="12">
                        <c:v>Dec-22</c:v>
                      </c:pt>
                      <c:pt idx="13">
                        <c:v>Jan-23</c:v>
                      </c:pt>
                      <c:pt idx="14">
                        <c:v>Feb-23</c:v>
                      </c:pt>
                      <c:pt idx="15">
                        <c:v>Mar-23</c:v>
                      </c:pt>
                      <c:pt idx="16">
                        <c:v>Apr-23</c:v>
                      </c:pt>
                      <c:pt idx="17">
                        <c:v>May-23</c:v>
                      </c:pt>
                      <c:pt idx="18">
                        <c:v>Jun-23</c:v>
                      </c:pt>
                      <c:pt idx="19">
                        <c:v>Jul-23</c:v>
                      </c:pt>
                      <c:pt idx="20">
                        <c:v>Aug-23</c:v>
                      </c:pt>
                      <c:pt idx="21">
                        <c:v>Sep-23</c:v>
                      </c:pt>
                      <c:pt idx="22">
                        <c:v>Oct-23</c:v>
                      </c:pt>
                      <c:pt idx="23">
                        <c:v>Nov-23</c:v>
                      </c:pt>
                      <c:pt idx="24">
                        <c:v>Dec-23</c:v>
                      </c:pt>
                      <c:pt idx="25">
                        <c:v>Jan-24</c:v>
                      </c:pt>
                      <c:pt idx="26">
                        <c:v>Feb-24</c:v>
                      </c:pt>
                      <c:pt idx="27">
                        <c:v>Mar-24</c:v>
                      </c:pt>
                      <c:pt idx="28">
                        <c:v>Apr-24</c:v>
                      </c:pt>
                      <c:pt idx="29">
                        <c:v>May-24</c:v>
                      </c:pt>
                      <c:pt idx="30">
                        <c:v>Jun-24</c:v>
                      </c:pt>
                      <c:pt idx="31">
                        <c:v>Jul-24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'Janitza data '!$C$50:$Z$50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17018</c:v>
                      </c:pt>
                      <c:pt idx="1">
                        <c:v>18031</c:v>
                      </c:pt>
                      <c:pt idx="2">
                        <c:v>21186</c:v>
                      </c:pt>
                      <c:pt idx="3">
                        <c:v>20140</c:v>
                      </c:pt>
                      <c:pt idx="4">
                        <c:v>25463</c:v>
                      </c:pt>
                      <c:pt idx="5">
                        <c:v>29156</c:v>
                      </c:pt>
                      <c:pt idx="6">
                        <c:v>31791</c:v>
                      </c:pt>
                      <c:pt idx="7">
                        <c:v>29279</c:v>
                      </c:pt>
                      <c:pt idx="8">
                        <c:v>24787</c:v>
                      </c:pt>
                      <c:pt idx="9" formatCode="#,##0.00">
                        <c:v>20698.880859375</c:v>
                      </c:pt>
                      <c:pt idx="10" formatCode="#,##0.00">
                        <c:v>16445.18359375</c:v>
                      </c:pt>
                      <c:pt idx="11" formatCode="#,##0.00">
                        <c:v>15522.3</c:v>
                      </c:pt>
                      <c:pt idx="12" formatCode="#,##0.00">
                        <c:v>14908.67</c:v>
                      </c:pt>
                      <c:pt idx="13" formatCode="#,##0.00">
                        <c:v>14994.69</c:v>
                      </c:pt>
                      <c:pt idx="14" formatCode="#,##0.00">
                        <c:v>18892.8</c:v>
                      </c:pt>
                      <c:pt idx="15" formatCode="#,##0.00">
                        <c:v>17336.060000000001</c:v>
                      </c:pt>
                      <c:pt idx="16" formatCode="#,##0.00">
                        <c:v>20287.490000000002</c:v>
                      </c:pt>
                      <c:pt idx="17" formatCode="#,##0.00">
                        <c:v>26217.73</c:v>
                      </c:pt>
                      <c:pt idx="18" formatCode="#,##0.00">
                        <c:v>28550.14</c:v>
                      </c:pt>
                      <c:pt idx="19" formatCode="#,##0.00">
                        <c:v>29927.17</c:v>
                      </c:pt>
                      <c:pt idx="20" formatCode="#,##0.00">
                        <c:v>22114.3</c:v>
                      </c:pt>
                      <c:pt idx="21" formatCode="#,##0.00">
                        <c:v>20811.009999999998</c:v>
                      </c:pt>
                      <c:pt idx="22" formatCode="#,##0.00">
                        <c:v>19259.39</c:v>
                      </c:pt>
                      <c:pt idx="23" formatCode="#,##0.00">
                        <c:v>15597.82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832-4A13-A8D8-2E9F83F60009}"/>
                  </c:ext>
                </c:extLst>
              </c15:ser>
            </c15:filteredLineSeries>
          </c:ext>
        </c:extLst>
      </c:lineChart>
      <c:catAx>
        <c:axId val="-167490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904248"/>
        <c:crosses val="autoZero"/>
        <c:auto val="1"/>
        <c:lblAlgn val="ctr"/>
        <c:lblOffset val="100"/>
        <c:noMultiLvlLbl val="0"/>
      </c:catAx>
      <c:valAx>
        <c:axId val="-167490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90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5330086463987641E-2"/>
          <c:y val="0.14873875979010792"/>
          <c:w val="0.17533638615932182"/>
          <c:h val="0.455722096435147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6</xdr:col>
      <xdr:colOff>1114425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424803-96C1-493C-AFEB-2985D7791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161924</xdr:colOff>
      <xdr:row>26</xdr:row>
      <xdr:rowOff>19050</xdr:rowOff>
    </xdr:from>
    <xdr:to>
      <xdr:col>13</xdr:col>
      <xdr:colOff>523875</xdr:colOff>
      <xdr:row>52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DF257C-9A19-49AA-BE09-FD83A77E3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161924</xdr:colOff>
      <xdr:row>52</xdr:row>
      <xdr:rowOff>57150</xdr:rowOff>
    </xdr:from>
    <xdr:to>
      <xdr:col>13</xdr:col>
      <xdr:colOff>523875</xdr:colOff>
      <xdr:row>78</xdr:row>
      <xdr:rowOff>133351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CFE7E8-FDA3-4BAC-BD7D-3FA2722629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171450</xdr:colOff>
      <xdr:row>0</xdr:row>
      <xdr:rowOff>28575</xdr:rowOff>
    </xdr:from>
    <xdr:to>
      <xdr:col>13</xdr:col>
      <xdr:colOff>533400</xdr:colOff>
      <xdr:row>25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C72DD4-5914-494A-890A-FA10113B1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9</xdr:col>
      <xdr:colOff>104775</xdr:colOff>
      <xdr:row>26</xdr:row>
      <xdr:rowOff>38101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BBB791-7745-4C4E-B2A2-11ADA67B8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21</xdr:col>
      <xdr:colOff>295275</xdr:colOff>
      <xdr:row>26</xdr:row>
      <xdr:rowOff>22411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77E570-9F64-47CB-8AD7-98A8A0EB4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78</xdr:row>
      <xdr:rowOff>38100</xdr:rowOff>
    </xdr:from>
    <xdr:to>
      <xdr:col>21</xdr:col>
      <xdr:colOff>285750</xdr:colOff>
      <xdr:row>104</xdr:row>
      <xdr:rowOff>60511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6D958A-F41B-43A2-96B1-D57A60F29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52</xdr:row>
      <xdr:rowOff>28575</xdr:rowOff>
    </xdr:from>
    <xdr:to>
      <xdr:col>21</xdr:col>
      <xdr:colOff>295275</xdr:colOff>
      <xdr:row>78</xdr:row>
      <xdr:rowOff>50986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212926-9398-4D1D-972D-2A1B1CD38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9525</xdr:colOff>
      <xdr:row>26</xdr:row>
      <xdr:rowOff>19050</xdr:rowOff>
    </xdr:from>
    <xdr:to>
      <xdr:col>21</xdr:col>
      <xdr:colOff>295275</xdr:colOff>
      <xdr:row>52</xdr:row>
      <xdr:rowOff>41461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D84AEE-33A6-48BF-87EE-9A0F2DBCDF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9</xdr:col>
      <xdr:colOff>95250</xdr:colOff>
      <xdr:row>52</xdr:row>
      <xdr:rowOff>22411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AF68F9-6E8C-42A7-961B-8F9D17D46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133910</xdr:colOff>
      <xdr:row>166</xdr:row>
      <xdr:rowOff>145676</xdr:rowOff>
    </xdr:from>
    <xdr:to>
      <xdr:col>20</xdr:col>
      <xdr:colOff>145677</xdr:colOff>
      <xdr:row>196</xdr:row>
      <xdr:rowOff>41462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106</xdr:row>
      <xdr:rowOff>28575</xdr:rowOff>
    </xdr:from>
    <xdr:to>
      <xdr:col>4</xdr:col>
      <xdr:colOff>1047750</xdr:colOff>
      <xdr:row>128</xdr:row>
      <xdr:rowOff>47811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1A1D9A-0B0C-4664-BDC6-7AD7DA79C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129</xdr:row>
      <xdr:rowOff>0</xdr:rowOff>
    </xdr:from>
    <xdr:to>
      <xdr:col>4</xdr:col>
      <xdr:colOff>1047750</xdr:colOff>
      <xdr:row>151</xdr:row>
      <xdr:rowOff>12886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493F86-0D1D-4D60-98EE-1D0D22739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152</xdr:row>
      <xdr:rowOff>0</xdr:rowOff>
    </xdr:from>
    <xdr:to>
      <xdr:col>4</xdr:col>
      <xdr:colOff>1047750</xdr:colOff>
      <xdr:row>174</xdr:row>
      <xdr:rowOff>12886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C95137-5B79-4B56-A9A4-F7F2A31D4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272414</xdr:colOff>
      <xdr:row>0</xdr:row>
      <xdr:rowOff>120015</xdr:rowOff>
    </xdr:from>
    <xdr:to>
      <xdr:col>57</xdr:col>
      <xdr:colOff>144780</xdr:colOff>
      <xdr:row>25</xdr:row>
      <xdr:rowOff>120015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BDF05B-FA58-4174-86B8-D4C376E6D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76200</xdr:colOff>
      <xdr:row>0</xdr:row>
      <xdr:rowOff>95250</xdr:rowOff>
    </xdr:from>
    <xdr:to>
      <xdr:col>48</xdr:col>
      <xdr:colOff>238126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805E17-C002-4C91-B2F9-432616C4F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28575</xdr:colOff>
      <xdr:row>97</xdr:row>
      <xdr:rowOff>152400</xdr:rowOff>
    </xdr:from>
    <xdr:to>
      <xdr:col>49</xdr:col>
      <xdr:colOff>9525</xdr:colOff>
      <xdr:row>124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8E7E97-7BD5-4ED0-81E4-E3B270721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4</xdr:col>
      <xdr:colOff>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58D0E8-B4E6-4CA1-8D12-A4FCE6222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T163" totalsRowShown="0" headerRowBorderDxfId="113" tableBorderDxfId="114">
  <autoFilter ref="A3:T163" xr:uid="{00000000-0009-0000-0100-000002000000}"/>
  <tableColumns count="20">
    <tableColumn id="1" xr3:uid="{00000000-0010-0000-0000-000001000000}" name="Month " dataDxfId="112"/>
    <tableColumn id="16" xr3:uid="{00000000-0010-0000-0000-000010000000}" name="Year" dataDxfId="111"/>
    <tableColumn id="3" xr3:uid="{00000000-0010-0000-0000-000003000000}" name="MTHW Consumption_x000a_kWh" dataDxfId="110"/>
    <tableColumn id="4" xr3:uid="{00000000-0010-0000-0000-000004000000}" name="192 Reading MWh"/>
    <tableColumn id="5" xr3:uid="{00000000-0010-0000-0000-000005000000}" name="192 Consumption_x000a_KWh" dataDxfId="109">
      <calculatedColumnFormula>IF(ISNUMBER(D4),D4-D3," ")</calculatedColumnFormula>
    </tableColumn>
    <tableColumn id="6" xr3:uid="{00000000-0010-0000-0000-000006000000}" name="_x000a_Line A Reading kg" dataDxfId="108"/>
    <tableColumn id="7" xr3:uid="{00000000-0010-0000-0000-000007000000}" name="_x000a_Line A Reading kWh"/>
    <tableColumn id="8" xr3:uid="{00000000-0010-0000-0000-000008000000}" name="Line A Consumption kg" dataDxfId="107">
      <calculatedColumnFormula>IF(ISNUMBER(F4),F4-F3," ")</calculatedColumnFormula>
    </tableColumn>
    <tableColumn id="9" xr3:uid="{00000000-0010-0000-0000-000009000000}" name="Line A Consumption KWh" dataDxfId="106">
      <calculatedColumnFormula>IF(ISNUMBER(G4),G4-G3," ")</calculatedColumnFormula>
    </tableColumn>
    <tableColumn id="10" xr3:uid="{00000000-0010-0000-0000-00000A000000}" name="_x000a_Line B Reading kg" dataDxfId="105"/>
    <tableColumn id="11" xr3:uid="{00000000-0010-0000-0000-00000B000000}" name="_x000a_Line B Reading kWh" dataDxfId="104"/>
    <tableColumn id="12" xr3:uid="{00000000-0010-0000-0000-00000C000000}" name="Line B Consumption kg" dataDxfId="103">
      <calculatedColumnFormula>IF(ISNUMBER(J4),J4-J3," ")</calculatedColumnFormula>
    </tableColumn>
    <tableColumn id="13" xr3:uid="{00000000-0010-0000-0000-00000D000000}" name="Line B Consumption KWh" dataDxfId="102">
      <calculatedColumnFormula>IF(ISNUMBER(K4),K4-K3," ")</calculatedColumnFormula>
    </tableColumn>
    <tableColumn id="14" xr3:uid="{00000000-0010-0000-0000-00000E000000}" name=" A + B_x000a_kg" dataDxfId="101">
      <calculatedColumnFormula>IF(ISNUMBER(H4),H4+L4," ")</calculatedColumnFormula>
    </tableColumn>
    <tableColumn id="15" xr3:uid="{00000000-0010-0000-0000-00000F000000}" name="  A + B_x000a_kWh" dataDxfId="100">
      <calculatedColumnFormula>IF(ISNUMBER(I4),I4+M4," ")</calculatedColumnFormula>
    </tableColumn>
    <tableColumn id="2" xr3:uid="{00000000-0010-0000-0000-000002000000}" name="D401 Dining Meter Reading" dataDxfId="99"/>
    <tableColumn id="17" xr3:uid="{00000000-0010-0000-0000-000011000000}" name="D404 Castle Meter Reading" dataDxfId="98"/>
    <tableColumn id="18" xr3:uid="{00000000-0010-0000-0000-000012000000}" name="D401&amp; D404  Consumption - kg" dataDxfId="97"/>
    <tableColumn id="19" xr3:uid="{00000000-0010-0000-0000-000013000000}" name="D401&amp; D404  Consumption - kWh" dataDxfId="96">
      <calculatedColumnFormula>IF(ISNUMBER(Table2[[#This Row],[D401&amp; D404  Consumption - kg]]),Table2[[#This Row],[D401&amp; D404  Consumption - kg]]/1.18," ")</calculatedColumnFormula>
    </tableColumn>
    <tableColumn id="20" xr3:uid="{00000000-0010-0000-0000-000014000000}" name="Total Steam Consumption - kWh" dataDxfId="95">
      <calculatedColumnFormula>IF(ISNUMBER(Table2[[#This Row],[  A + B
kWh]]),Table2[[#This Row],[  A + B
kWh]]+Table2[[#This Row],[192 Consumption
KWh]]+Table2[[#This Row],[D401&amp; D404  Consumption - kWh]]," ")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CM54" totalsRowCount="1">
  <autoFilter ref="A1:CM53" xr:uid="{00000000-0009-0000-0100-000003000000}"/>
  <tableColumns count="91">
    <tableColumn id="1" xr3:uid="{00000000-0010-0000-0100-000001000000}" name="Date"/>
    <tableColumn id="2" xr3:uid="{00000000-0010-0000-0100-000002000000}" name="Time" totalsRowFunction="custom" totalsRowDxfId="94">
      <totalsRowFormula>OFFSET(Table3[[#Headers],[Time]],COUNT(B2:B53),0)</totalsRowFormula>
    </tableColumn>
    <tableColumn id="3" xr3:uid="{00000000-0010-0000-0100-000003000000}" name="0000 Ring Main #1 MP4889 - kWh" totalsRowFunction="custom" totalsRowDxfId="93">
      <totalsRowFormula>OFFSET(Table3[[#Headers],[0000 Ring Main '#1 MP4889 - kWh]],COUNT(C2:C53),0)</totalsRowFormula>
    </tableColumn>
    <tableColumn id="4" xr3:uid="{00000000-0010-0000-0100-000004000000}" name="0000 Ring Main #1 MP4889 - PF" totalsRowDxfId="92"/>
    <tableColumn id="5" xr3:uid="{00000000-0010-0000-0100-000005000000}" name="0000 Ring Main #2  - kWh" totalsRowFunction="custom" totalsRowDxfId="91">
      <totalsRowFormula>OFFSET(Table3[[#Headers],[0000 Ring Main '#2  - kWh]],COUNT(E2:E53),0)</totalsRowFormula>
    </tableColumn>
    <tableColumn id="6" xr3:uid="{00000000-0010-0000-0100-000006000000}" name="0000 Ring Main #2  - PF" totalsRowDxfId="90"/>
    <tableColumn id="7" xr3:uid="{00000000-0010-0000-0100-000007000000}" name="0000 Ring Main #3  - kWh" totalsRowFunction="custom" totalsRowDxfId="89">
      <totalsRowFormula>OFFSET(Table3[[#Headers],[0000 Ring Main '#3  - kWh]],COUNT(G2:G53),0)</totalsRowFormula>
    </tableColumn>
    <tableColumn id="8" xr3:uid="{00000000-0010-0000-0100-000008000000}" name="0000 Ring Main #3  - PF" totalsRowDxfId="88"/>
    <tableColumn id="9" xr3:uid="{00000000-0010-0000-0100-000009000000}" name="A161 Taieri Farm - kWh" totalsRowFunction="custom" totalsRowDxfId="87">
      <totalsRowFormula>OFFSET(Table3[[#Headers],[A161 Taieri Farm - kWh]],COUNT(I2:I53),0)</totalsRowFormula>
    </tableColumn>
    <tableColumn id="10" xr3:uid="{00000000-0010-0000-0100-00000A000000}" name="A161 Taieri Farm - PF" totalsRowDxfId="86"/>
    <tableColumn id="11" xr3:uid="{00000000-0010-0000-0100-00000B000000}" name="C405 192 Castle College - kWh" totalsRowFunction="custom" totalsRowDxfId="85">
      <totalsRowFormula>OFFSET(Table3[[#Headers],[C405 192 Castle College - kWh]],COUNT(K2:K53),0)</totalsRowFormula>
    </tableColumn>
    <tableColumn id="12" xr3:uid="{00000000-0010-0000-0100-00000C000000}" name="C405 192 Castle College - PF" totalsRowDxfId="84"/>
    <tableColumn id="13" xr3:uid="{00000000-0010-0000-0100-00000D000000}" name="D20X Med School Sub Main - kWh" totalsRowFunction="custom" totalsRowDxfId="83">
      <totalsRowFormula>OFFSET(Table3[[#Headers],[D20X Med School Sub Main - kWh]],COUNT(M2:M53),0)</totalsRowFormula>
    </tableColumn>
    <tableColumn id="14" xr3:uid="{00000000-0010-0000-0100-00000E000000}" name="D20X Med School Sub Main - PF" totalsRowDxfId="82"/>
    <tableColumn id="15" xr3:uid="{00000000-0010-0000-0100-00000F000000}" name="D402 Hayward College - kWh" totalsRowFunction="custom" totalsRowDxfId="81">
      <totalsRowFormula>OFFSET(Table3[[#Headers],[D402 Hayward College - kWh]],COUNT(O2:O53),0)</totalsRowFormula>
    </tableColumn>
    <tableColumn id="16" xr3:uid="{00000000-0010-0000-0100-000010000000}" name="D402 Hayward College - PF" totalsRowDxfId="80"/>
    <tableColumn id="17" xr3:uid="{00000000-0010-0000-0100-000011000000}" name="D403 Survey &amp; Marine - kWh" totalsRowFunction="custom" totalsRowDxfId="79">
      <totalsRowFormula>OFFSET(Table3[[#Headers],[D403 Survey &amp; Marine - kWh]],COUNT(Q2:Q53),0)</totalsRowFormula>
    </tableColumn>
    <tableColumn id="18" xr3:uid="{00000000-0010-0000-0100-000012000000}" name="D403 Survey &amp; Marine - PF" totalsRowDxfId="78"/>
    <tableColumn id="19" xr3:uid="{00000000-0010-0000-0100-000013000000}" name="D40X Cumberland College - kWh" totalsRowFunction="custom" totalsRowDxfId="77">
      <totalsRowFormula>OFFSET(Table3[[#Headers],[D40X Cumberland College - kWh]],COUNT(S2:S53),0)</totalsRowFormula>
    </tableColumn>
    <tableColumn id="20" xr3:uid="{00000000-0010-0000-0100-000014000000}" name="D40X Cumberland College - PF" totalsRowDxfId="76"/>
    <tableColumn id="21" xr3:uid="{00000000-0010-0000-0100-000015000000}" name="E201 School of Dentistry - kWh" totalsRowDxfId="75"/>
    <tableColumn id="22" xr3:uid="{00000000-0010-0000-0100-000016000000}" name="E201 School of Dentistry - PF" totalsRowDxfId="74"/>
    <tableColumn id="23" xr3:uid="{00000000-0010-0000-0100-000017000000}" name="E212 Zoology Buildings - kWh" totalsRowFunction="custom" totalsRowDxfId="73">
      <totalsRowFormula>OFFSET(Table3[[#Headers],[E212 Zoology Buildings - kWh]],COUNT(W2:W53),0)</totalsRowFormula>
    </tableColumn>
    <tableColumn id="24" xr3:uid="{00000000-0010-0000-0100-000018000000}" name="E212 Zoology Buildings - PF" totalsRowDxfId="72"/>
    <tableColumn id="25" xr3:uid="{00000000-0010-0000-0100-000019000000}" name="E214 Otago Dental School - kWh" totalsRowFunction="custom" totalsRowDxfId="71">
      <totalsRowFormula>OFFSET(Table3[[#Headers],[E214 Otago Dental School - kWh]],COUNT(Y2:Y53),0)</totalsRowFormula>
    </tableColumn>
    <tableColumn id="26" xr3:uid="{00000000-0010-0000-0100-00001A000000}" name="E214 Otago Dental School - PF" totalsRowDxfId="70"/>
    <tableColumn id="27" xr3:uid="{00000000-0010-0000-0100-00001B000000}" name="E301 Hunter Centre - kWh" totalsRowFunction="custom" totalsRowDxfId="69">
      <totalsRowFormula>OFFSET(Table3[[#Headers],[E301 Hunter Centre - kWh]],COUNT(AA2:AA53),0)</totalsRowFormula>
    </tableColumn>
    <tableColumn id="28" xr3:uid="{00000000-0010-0000-0100-00001C000000}" name="E301 Hunter Centre - PF" totalsRowDxfId="68"/>
    <tableColumn id="29" xr3:uid="{00000000-0010-0000-0100-00001D000000}" name="E305 Physiotherapy - kWh" totalsRowFunction="custom" totalsRowDxfId="67">
      <totalsRowFormula>OFFSET(Table3[[#Headers],[E305 Physiotherapy - kWh]],COUNT(AC2:AC53),0)</totalsRowFormula>
    </tableColumn>
    <tableColumn id="30" xr3:uid="{00000000-0010-0000-0100-00001E000000}" name="E305 Physiotherapy - PF" totalsRowDxfId="66"/>
    <tableColumn id="31" xr3:uid="{00000000-0010-0000-0100-00001F000000}" name="E308 Student Health - kWh" totalsRowFunction="custom" totalsRowDxfId="65">
      <totalsRowFormula>OFFSET(Table3[[#Headers],[E308 Student Health - kWh]],COUNT(AE2:AE53),0)</totalsRowFormula>
    </tableColumn>
    <tableColumn id="32" xr3:uid="{00000000-0010-0000-0100-000020000000}" name="E308 Student Health - PF" totalsRowDxfId="64"/>
    <tableColumn id="33" xr3:uid="{00000000-0010-0000-0100-000021000000}" name="E325 Research Support Facility - kWh" totalsRowFunction="custom" totalsRowDxfId="63">
      <totalsRowFormula>OFFSET(Table3[[#Headers],[E325 Research Support Facility - kWh]],COUNT(AG2:AG53),0)</totalsRowFormula>
    </tableColumn>
    <tableColumn id="34" xr3:uid="{00000000-0010-0000-0100-000022000000}" name="E325 Research Support Facility - PF" totalsRowDxfId="62"/>
    <tableColumn id="35" xr3:uid="{00000000-0010-0000-0100-000023000000}" name="E902 Hocken Library - kWh" totalsRowFunction="custom" totalsRowDxfId="61">
      <totalsRowFormula>OFFSET(Table3[[#Headers],[E902 Hocken Library - kWh]],COUNT(AI2:AI53),0)</totalsRowFormula>
    </tableColumn>
    <tableColumn id="36" xr3:uid="{00000000-0010-0000-0100-000024000000}" name="E902 Hocken Library - PF" totalsRowDxfId="60"/>
    <tableColumn id="37" xr3:uid="{00000000-0010-0000-0100-000025000000}" name="F204 444 Great King Street - kWh" totalsRowFunction="custom" totalsRowDxfId="59">
      <totalsRowFormula>OFFSET(Table3[[#Headers],[F204 444 Great King Street - kWh]],COUNT(AK2:AK53),0)</totalsRowFormula>
    </tableColumn>
    <tableColumn id="38" xr3:uid="{00000000-0010-0000-0100-000026000000}" name="F204 444 Great King Street - PF" totalsRowDxfId="58"/>
    <tableColumn id="39" xr3:uid="{00000000-0010-0000-0100-000027000000}" name="F315 Botany Tin Hut - kWh" totalsRowFunction="custom" totalsRowDxfId="57">
      <totalsRowFormula>OFFSET(Table3[[#Headers],[F315 Botany Tin Hut - kWh]],COUNT(AM2:AM53),0)</totalsRowFormula>
    </tableColumn>
    <tableColumn id="40" xr3:uid="{00000000-0010-0000-0100-000028000000}" name="F315 Botany Tin Hut - PF" totalsRowDxfId="56"/>
    <tableColumn id="41" xr3:uid="{00000000-0010-0000-0100-000029000000}" name="F325 Physical Education - kWh" totalsRowFunction="custom" totalsRowDxfId="55">
      <totalsRowFormula>OFFSET(Table3[[#Headers],[F325 Physical Education - kWh]],COUNT(AO2:AO53),0)</totalsRowFormula>
    </tableColumn>
    <tableColumn id="42" xr3:uid="{00000000-0010-0000-0100-00002A000000}" name="F325 Physical Education - PF" totalsRowDxfId="54"/>
    <tableColumn id="43" xr3:uid="{00000000-0010-0000-0100-00002B000000}" name="F711 Executive Residence - kWh" totalsRowFunction="custom" totalsRowDxfId="53">
      <totalsRowFormula>OFFSET(Table3[[#Headers],[F711 Executive Residence - kWh]],COUNT(AQ2:AQ53),0)</totalsRowFormula>
    </tableColumn>
    <tableColumn id="44" xr3:uid="{00000000-0010-0000-0100-00002C000000}" name="F711 Executive Residence - PF" totalsRowDxfId="52"/>
    <tableColumn id="45" xr3:uid="{00000000-0010-0000-0100-00002D000000}" name="F812 UOCOE Owheo Building - kWh" totalsRowFunction="custom" totalsRowDxfId="51">
      <totalsRowFormula>OFFSET(Table3[[#Headers],[F812 UOCOE Owheo Building - kWh]],COUNT(AS2:AS53),0)</totalsRowFormula>
    </tableColumn>
    <tableColumn id="46" xr3:uid="{00000000-0010-0000-0100-00002E000000}" name="F812 UOCOE Owheo Building - PF" totalsRowDxfId="50"/>
    <tableColumn id="47" xr3:uid="{00000000-0010-0000-0100-00002F000000}" name="F813 UOCOE Robertson Library - kWh" totalsRowFunction="custom" totalsRowDxfId="49">
      <totalsRowFormula>OFFSET(Table3[[#Headers],[F813 UOCOE Robertson Library - kWh]],COUNT(AU2:AU53),0)</totalsRowFormula>
    </tableColumn>
    <tableColumn id="48" xr3:uid="{00000000-0010-0000-0100-000030000000}" name="F813 UOCOE Robertson Library - PF" totalsRowDxfId="48"/>
    <tableColumn id="49" xr3:uid="{00000000-0010-0000-0100-000031000000}" name="F940 Plaza Building - kWh" totalsRowFunction="custom" totalsRowDxfId="47">
      <totalsRowFormula>OFFSET(Table3[[#Headers],[F940 Plaza Building - kWh]],COUNT(AW2:AW53),0)</totalsRowFormula>
    </tableColumn>
    <tableColumn id="50" xr3:uid="{00000000-0010-0000-0100-000032000000}" name="F940 Plaza Building - PF" totalsRowDxfId="46"/>
    <tableColumn id="51" xr3:uid="{00000000-0010-0000-0100-000033000000}" name="F9XX College of Education main (Boiler room) - kWh" totalsRowFunction="custom" totalsRowDxfId="45">
      <totalsRowFormula>OFFSET(Table3[[#Headers],[F9XX College of Education main (Boiler room) - kWh]],COUNT(AY2:AY53),0)</totalsRowFormula>
    </tableColumn>
    <tableColumn id="52" xr3:uid="{00000000-0010-0000-0100-000034000000}" name="F9XX College of Education main (Boiler room) - PF" totalsRowDxfId="44"/>
    <tableColumn id="53" xr3:uid="{00000000-0010-0000-0100-000035000000}" name="G401 Mellor Laboratories - kWh" totalsRowFunction="custom" totalsRowDxfId="43">
      <totalsRowFormula>OFFSET(Table3[[#Headers],[G401 Mellor Laboratories - kWh]],COUNT(BA2:BA53),0)</totalsRowFormula>
    </tableColumn>
    <tableColumn id="54" xr3:uid="{00000000-0010-0000-0100-000036000000}" name="G401 Mellor Laboratories - PF" totalsRowDxfId="42"/>
    <tableColumn id="55" xr3:uid="{00000000-0010-0000-0100-000037000000}" name="G403 Biochemistry - kWh" totalsRowFunction="custom" totalsRowDxfId="41">
      <totalsRowFormula>OFFSET(Table3[[#Headers],[G403 Biochemistry - kWh]],COUNT(BC2:BC53),0)</totalsRowFormula>
    </tableColumn>
    <tableColumn id="56" xr3:uid="{00000000-0010-0000-0100-000038000000}" name="G403 Biochemistry - PF" totalsRowDxfId="40"/>
    <tableColumn id="57" xr3:uid="{00000000-0010-0000-0100-000039000000}" name="G404 Microbiology - kWh" totalsRowFunction="custom" totalsRowDxfId="39">
      <totalsRowFormula>OFFSET(Table3[[#Headers],[G404 Microbiology - kWh]],COUNT(BE2:BE53),0)</totalsRowFormula>
    </tableColumn>
    <tableColumn id="58" xr3:uid="{00000000-0010-0000-0100-00003A000000}" name="G404 Microbiology - PF" totalsRowDxfId="38"/>
    <tableColumn id="59" xr3:uid="{00000000-0010-0000-0100-00003B000000}" name="G413 Science 2 - kWh" totalsRowFunction="custom" totalsRowDxfId="37">
      <totalsRowFormula>OFFSET(Table3[[#Headers],[G413 Science 2 - kWh]],COUNT(BG2:BG53),0)</totalsRowFormula>
    </tableColumn>
    <tableColumn id="60" xr3:uid="{00000000-0010-0000-0100-00003C000000}" name="G413 Science 2 - PF" totalsRowDxfId="36"/>
    <tableColumn id="61" xr3:uid="{00000000-0010-0000-0100-00003D000000}" name="G608 St Margarets College - kWh" totalsRowFunction="custom" dataDxfId="34" totalsRowDxfId="35">
      <totalsRowFormula>OFFSET(Table3[[#Headers],[G608 St Margarets College - kWh]],COUNT(BI2:BI53),0)</totalsRowFormula>
    </tableColumn>
    <tableColumn id="62" xr3:uid="{00000000-0010-0000-0100-00003E000000}" name="G608 St Margarets College - PF" totalsRowDxfId="33"/>
    <tableColumn id="63" xr3:uid="{00000000-0010-0000-0100-00003F000000}" name="G60X UNICOL - kWh" totalsRowFunction="custom" totalsRowDxfId="32">
      <totalsRowFormula>OFFSET(Table3[[#Headers],[G60X UNICOL - kWh]],COUNT(BK2:BK53),0)</totalsRowFormula>
    </tableColumn>
    <tableColumn id="64" xr3:uid="{00000000-0010-0000-0100-000040000000}" name="G60X UNICOL - PF" totalsRowDxfId="31"/>
    <tableColumn id="65" xr3:uid="{00000000-0010-0000-0100-000041000000}" name="H41X Selwyn College - kWh E2" totalsRowFunction="custom" totalsRowDxfId="30">
      <totalsRowFormula>OFFSET(Table3[[#Headers],[H41X Selwyn College - kWh E2]],COUNT(BM2:BM53),0)</totalsRowFormula>
    </tableColumn>
    <tableColumn id="66" xr3:uid="{00000000-0010-0000-0100-000042000000}" name="H41X Selwyn College - PF" totalsRowDxfId="29"/>
    <tableColumn id="67" xr3:uid="{00000000-0010-0000-0100-000043000000}" name="H633 Arana College main - kWh" totalsRowFunction="custom" totalsRowDxfId="28">
      <totalsRowFormula>OFFSET(Table3[[#Headers],[H633 Arana College main - kWh]],COUNT(BO2:BO53),0)</totalsRowFormula>
    </tableColumn>
    <tableColumn id="68" xr3:uid="{00000000-0010-0000-0100-000044000000}" name="H633 Arana College main - PF" totalsRowDxfId="27"/>
    <tableColumn id="69" xr3:uid="{00000000-0010-0000-0100-000045000000}" name="H71X Studholm College - kWh E2" totalsRowFunction="custom" totalsRowDxfId="26">
      <totalsRowFormula>OFFSET(Table3[[#Headers],[H71X Studholm College - kWh E2]],COUNT(BQ2:BQ53),0)</totalsRowFormula>
    </tableColumn>
    <tableColumn id="70" xr3:uid="{00000000-0010-0000-0100-000046000000}" name="H71X Studholm College - PF" totalsRowDxfId="25"/>
    <tableColumn id="71" xr3:uid="{00000000-0010-0000-0100-000047000000}" name="J126 Carrington College (Kitchen/Dining) - kWh" totalsRowFunction="custom" totalsRowDxfId="24">
      <totalsRowFormula>OFFSET(Table3[[#Headers],[J126 Carrington College (Kitchen/Dining) - kWh]],COUNT(BS2:BS53),0)</totalsRowFormula>
    </tableColumn>
    <tableColumn id="72" xr3:uid="{00000000-0010-0000-0100-000048000000}" name="J126 Carrington College (Kitchen/Dining) - PF" totalsRowDxfId="23"/>
    <tableColumn id="73" xr3:uid="{00000000-0010-0000-0100-000049000000}" name="J14X Aquinas College - kWh" totalsRowFunction="custom" totalsRowDxfId="22">
      <totalsRowFormula>OFFSET(Table3[[#Headers],[J14X Aquinas College - kWh]],COUNT(BU2:BU53),0)</totalsRowFormula>
    </tableColumn>
    <tableColumn id="74" xr3:uid="{00000000-0010-0000-0100-00004A000000}" name="J14X Aquinas College - PF" totalsRowDxfId="21"/>
    <tableColumn id="75" xr3:uid="{00000000-0010-0000-0100-00004B000000}" name="J303 Caroline Freeman College - kWh" totalsRowFunction="custom" totalsRowDxfId="20">
      <totalsRowFormula>OFFSET(Table3[[#Headers],[J303 Caroline Freeman College - kWh]],COUNT(BW2:BW53),0)</totalsRowFormula>
    </tableColumn>
    <tableColumn id="76" xr3:uid="{00000000-0010-0000-0100-00004C000000}" name="J303 Caroline Freeman College - PF" totalsRowDxfId="19"/>
    <tableColumn id="77" xr3:uid="{00000000-0010-0000-0100-00004D000000}" name="J960 Portobello Marine Lab - kWh" totalsRowFunction="custom" totalsRowDxfId="18">
      <totalsRowFormula>OFFSET(Table3[[#Headers],[J960 Portobello Marine Lab - kWh]],COUNT(BY2:BY53),0)</totalsRowFormula>
    </tableColumn>
    <tableColumn id="78" xr3:uid="{00000000-0010-0000-0100-00004E000000}" name="J960 Portobello Marine Lab - PF" totalsRowDxfId="17"/>
    <tableColumn id="79" xr3:uid="{00000000-0010-0000-0100-00004F000000}" name="K427 Abbey College - kWh" totalsRowFunction="custom" totalsRowDxfId="16">
      <totalsRowFormula>OFFSET(Table3[[#Headers],[K427 Abbey College - kWh]],COUNT(CA2:CA53),0)</totalsRowFormula>
    </tableColumn>
    <tableColumn id="80" xr3:uid="{00000000-0010-0000-0100-000050000000}" name="K427 Abbey College - PF" totalsRowDxfId="15"/>
    <tableColumn id="81" xr3:uid="{00000000-0010-0000-0100-000051000000}" name="XC01 UoO School of Medicine ChCh - kWh" totalsRowFunction="custom" totalsRowDxfId="14">
      <totalsRowFormula>OFFSET(Table3[[#Headers],[XC01 UoO School of Medicine ChCh - kWh]],COUNT(CC2:CC53),0)</totalsRowFormula>
    </tableColumn>
    <tableColumn id="82" xr3:uid="{00000000-0010-0000-0100-000052000000}" name="XC01 UoO School of Medicine ChCh - PF" totalsRowDxfId="13"/>
    <tableColumn id="84" xr3:uid="{00000000-0010-0000-0100-000054000000}" name="Ring Mains Total - kWh" totalsRowFunction="custom" dataDxfId="11" totalsRowDxfId="12">
      <calculatedColumnFormula>IF(ISNUMBER(C2),(C2+E2+G2)," ")</calculatedColumnFormula>
      <totalsRowFormula>OFFSET(Table3[[#Headers],[Ring Mains Total - kWh]],COUNT(CE2:CE53),0)</totalsRowFormula>
    </tableColumn>
    <tableColumn id="85" xr3:uid="{00000000-0010-0000-0100-000055000000}" name="Libraries Total - kWh" totalsRowFunction="custom" totalsRowDxfId="10">
      <calculatedColumnFormula>IF(ISNUMBER(AI2),(AI2+AU2)," ")</calculatedColumnFormula>
      <totalsRowFormula>OFFSET(Table3[[#Headers],[Libraries Total - kWh]],COUNT(CF2:CF53),0)</totalsRowFormula>
    </tableColumn>
    <tableColumn id="86" xr3:uid="{00000000-0010-0000-0100-000056000000}" name="Colleges Total - kWh" totalsRowFunction="custom" totalsRowDxfId="9">
      <calculatedColumnFormula>IF(ISNUMBER(K2),(K2+O2+S2+AQ2+AS2+BI2+BM2+BO2+BQ2+BS2+BU2+BW2+CA2)," ")</calculatedColumnFormula>
      <totalsRowFormula>OFFSET(Table3[[#Headers],[Colleges Total - kWh]],COUNT(CG2:CG53),0)</totalsRowFormula>
    </tableColumn>
    <tableColumn id="87" xr3:uid="{00000000-0010-0000-0100-000057000000}" name="Science Total - kWh" totalsRowFunction="custom" totalsRowDxfId="8">
      <calculatedColumnFormula>IF(ISNUMBER(Q2),(Q2+W2+AM2+AO2+AS2+BA2+BE2+BG2+BY2)," ")</calculatedColumnFormula>
      <totalsRowFormula>OFFSET(Table3[[#Headers],[Science Total - kWh]],COUNT(CH2:CH53),0)</totalsRowFormula>
    </tableColumn>
    <tableColumn id="88" xr3:uid="{00000000-0010-0000-0100-000058000000}" name="Health Science Total -kWh" totalsRowFunction="custom" totalsRowDxfId="7">
      <calculatedColumnFormula>IF(ISNUMBER(I2),(I2+M2+Y2+AA2+AC2+AG2)," ")</calculatedColumnFormula>
      <totalsRowFormula>OFFSET(Table3[[#Headers],[Health Science Total -kWh]],COUNT(CI2:CI53),0)</totalsRowFormula>
    </tableColumn>
    <tableColumn id="89" xr3:uid="{00000000-0010-0000-0100-000059000000}" name="Humanities Total - kWh" totalsRowFunction="custom" dataDxfId="5" totalsRowDxfId="6">
      <calculatedColumnFormula>IF(ISNUMBER(AY2),(AY2+D$82+D$98)," ")</calculatedColumnFormula>
      <totalsRowFormula>OFFSET(Table3[[#Headers],[Humanities Total - kWh]],COUNT(CJ2:CJ53),0)</totalsRowFormula>
    </tableColumn>
    <tableColumn id="92" xr3:uid="{00000000-0010-0000-0100-00005C000000}" name="OBS &amp; Psychology Total - kWh" totalsRowFunction="custom" totalsRowDxfId="4">
      <totalsRowFormula>OFFSET(Table3[[#Headers],[OBS &amp; Psychology Total - kWh]],COUNT(CK2:CK53),0)</totalsRowFormula>
    </tableColumn>
    <tableColumn id="83" xr3:uid="{00000000-0010-0000-0100-000053000000}" name="Total Stream DN Electricity - kWh" totalsRowFunction="custom" dataDxfId="2" totalsRowDxfId="3">
      <calculatedColumnFormula>IF(ISNUMBER(C2),(C2+E2+G2+I2+K2+M2+O2+Q2+S2+U2+W2+Y2+AA2+AC2+AE2+AG2+AI2+AK2+AM2+AO2+AQ2+AS2+AU2+AW2+AY2+BA2+BC2+BE2+BG2+BI2+BK2+BM2+BO2+BQ2+BS2+BU2+BW2+BY2+CA2)," ")</calculatedColumnFormula>
      <totalsRowFormula>OFFSET(Table3[[#Headers],[Total Stream DN Electricity - kWh]],COUNT(CL2:CL53),0)</totalsRowFormula>
    </tableColumn>
    <tableColumn id="90" xr3:uid="{00000000-0010-0000-0100-00005A000000}" name="ITS Servers Total - kWh" totalsRowFunction="custom" dataDxfId="0" totalsRowDxfId="1">
      <calculatedColumnFormula>IF(ISNUMBER(AK2),(AK2+'Janitza data '!D$49-'Janitza data '!D$50)," ")</calculatedColumnFormula>
      <totalsRowFormula>OFFSET(Table3[[#Headers],[ITS Servers Total - kWh]],COUNT(CM2:CM53),0)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4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7.bin"/><Relationship Id="rId1" Type="http://schemas.openxmlformats.org/officeDocument/2006/relationships/printerSettings" Target="../printerSettings/printerSettings2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5" Type="http://schemas.openxmlformats.org/officeDocument/2006/relationships/printerSettings" Target="../printerSettings/printerSettings7.bin"/><Relationship Id="rId4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table" Target="../tables/table1.xml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drawing" Target="../drawings/drawing4.xml"/><Relationship Id="rId5" Type="http://schemas.openxmlformats.org/officeDocument/2006/relationships/printerSettings" Target="../printerSettings/printerSettings17.bin"/><Relationship Id="rId4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0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8:Y142"/>
  <sheetViews>
    <sheetView topLeftCell="A26" workbookViewId="0" xr3:uid="{AEA406A1-0E4B-5B11-9CD5-51D6E497D94C}">
      <selection activeCell="D30" sqref="D30"/>
    </sheetView>
  </sheetViews>
  <sheetFormatPr defaultRowHeight="13.15"/>
  <cols>
    <col min="2" max="2" width="18" customWidth="1"/>
    <col min="3" max="3" width="18.140625" bestFit="1" customWidth="1"/>
    <col min="4" max="4" width="22.85546875" bestFit="1" customWidth="1"/>
    <col min="5" max="5" width="10.28515625" bestFit="1" customWidth="1"/>
    <col min="6" max="6" width="22.7109375" bestFit="1" customWidth="1"/>
    <col min="7" max="7" width="16.85546875" bestFit="1" customWidth="1"/>
    <col min="12" max="12" width="31.7109375" bestFit="1" customWidth="1"/>
    <col min="13" max="13" width="18.28515625" customWidth="1"/>
    <col min="14" max="14" width="17.7109375" customWidth="1"/>
    <col min="15" max="15" width="16.28515625" customWidth="1"/>
    <col min="16" max="16" width="22.7109375" bestFit="1" customWidth="1"/>
    <col min="17" max="17" width="17.28515625" customWidth="1"/>
    <col min="25" max="25" width="9.140625" style="508"/>
  </cols>
  <sheetData>
    <row r="28" spans="1:25" ht="13.9" thickBot="1"/>
    <row r="29" spans="1:25" s="473" customFormat="1">
      <c r="A29" s="1228"/>
      <c r="B29" s="1211" t="s">
        <v>0</v>
      </c>
      <c r="C29" s="1211" t="s">
        <v>1</v>
      </c>
      <c r="D29" s="1211" t="s">
        <v>2</v>
      </c>
      <c r="E29" s="1211"/>
      <c r="F29" s="1211"/>
      <c r="G29" s="1213"/>
      <c r="Y29" s="990"/>
    </row>
    <row r="30" spans="1:25">
      <c r="A30" s="1008" t="s">
        <v>3</v>
      </c>
      <c r="B30" s="1149">
        <f ca="1">R98</f>
        <v>4897803.2577372883</v>
      </c>
      <c r="C30" s="1042">
        <f ca="1">R113</f>
        <v>4412222.1884237286</v>
      </c>
      <c r="D30" s="1042">
        <f>P129</f>
        <v>29110</v>
      </c>
      <c r="E30" s="1042"/>
      <c r="F30" s="1042"/>
      <c r="G30" s="1043"/>
    </row>
    <row r="31" spans="1:25">
      <c r="A31" s="1008" t="s">
        <v>4</v>
      </c>
      <c r="B31" s="441">
        <f t="shared" ref="B31:B41" ca="1" si="0">R99</f>
        <v>4729420.1320847478</v>
      </c>
      <c r="C31">
        <f t="shared" ref="C31:C41" ca="1" si="1">R114</f>
        <v>4448386.6860084748</v>
      </c>
      <c r="D31">
        <f t="shared" ref="D31:D33" si="2">P130</f>
        <v>52424.97</v>
      </c>
      <c r="G31" s="417"/>
    </row>
    <row r="32" spans="1:25">
      <c r="A32" s="1008" t="s">
        <v>5</v>
      </c>
      <c r="B32" s="441">
        <f t="shared" ca="1" si="0"/>
        <v>5919640.8465084741</v>
      </c>
      <c r="C32">
        <f t="shared" ca="1" si="1"/>
        <v>5896660.7838305077</v>
      </c>
      <c r="D32">
        <f t="shared" si="2"/>
        <v>223873.6</v>
      </c>
      <c r="G32" s="417"/>
    </row>
    <row r="33" spans="1:7">
      <c r="A33" s="1008" t="s">
        <v>6</v>
      </c>
      <c r="B33" s="441">
        <f t="shared" ca="1" si="0"/>
        <v>6405571.2515084753</v>
      </c>
      <c r="C33">
        <f t="shared" ca="1" si="1"/>
        <v>6378971.3816694925</v>
      </c>
      <c r="D33">
        <f t="shared" si="2"/>
        <v>301485.38</v>
      </c>
      <c r="G33" s="417"/>
    </row>
    <row r="34" spans="1:7">
      <c r="A34" s="1008" t="s">
        <v>7</v>
      </c>
      <c r="B34" s="441">
        <f t="shared" ca="1" si="0"/>
        <v>7384970.3149322029</v>
      </c>
      <c r="C34">
        <f t="shared" ca="1" si="1"/>
        <v>7513305.5805508457</v>
      </c>
      <c r="D34" t="str">
        <f>IF(ISNUMBER(P133),P133," ")</f>
        <v xml:space="preserve"> </v>
      </c>
      <c r="G34" s="417"/>
    </row>
    <row r="35" spans="1:7">
      <c r="A35" s="1008" t="s">
        <v>8</v>
      </c>
      <c r="B35" s="441">
        <f t="shared" ca="1" si="0"/>
        <v>8760861.1989322044</v>
      </c>
      <c r="C35">
        <f t="shared" ca="1" si="1"/>
        <v>8117834.6952118641</v>
      </c>
      <c r="D35" t="str">
        <f t="shared" ref="D35:D41" si="3">IF(ISNUMBER(P134),P134," ")</f>
        <v xml:space="preserve"> </v>
      </c>
      <c r="G35" s="417"/>
    </row>
    <row r="36" spans="1:7">
      <c r="A36" s="1008" t="s">
        <v>9</v>
      </c>
      <c r="B36" s="441">
        <f t="shared" ca="1" si="0"/>
        <v>10008995.232864406</v>
      </c>
      <c r="C36">
        <f t="shared" ca="1" si="1"/>
        <v>8977783.5636779666</v>
      </c>
      <c r="D36" t="str">
        <f t="shared" si="3"/>
        <v xml:space="preserve"> </v>
      </c>
      <c r="G36" s="417"/>
    </row>
    <row r="37" spans="1:7">
      <c r="A37" s="1008" t="s">
        <v>10</v>
      </c>
      <c r="B37" s="441">
        <f t="shared" ca="1" si="0"/>
        <v>8641412.3415084742</v>
      </c>
      <c r="C37">
        <f t="shared" ca="1" si="1"/>
        <v>9916075.059694916</v>
      </c>
      <c r="D37" t="str">
        <f t="shared" si="3"/>
        <v xml:space="preserve"> </v>
      </c>
      <c r="G37" s="417"/>
    </row>
    <row r="38" spans="1:7">
      <c r="A38" s="1008" t="s">
        <v>11</v>
      </c>
      <c r="B38" s="441">
        <f t="shared" ca="1" si="0"/>
        <v>8296188.639067797</v>
      </c>
      <c r="C38">
        <f t="shared" ca="1" si="1"/>
        <v>8050945.2368305083</v>
      </c>
      <c r="D38" t="str">
        <f t="shared" si="3"/>
        <v xml:space="preserve"> </v>
      </c>
      <c r="G38" s="417"/>
    </row>
    <row r="39" spans="1:7">
      <c r="A39" s="1008" t="s">
        <v>12</v>
      </c>
      <c r="B39" s="441">
        <f t="shared" ca="1" si="0"/>
        <v>7927843.0486016944</v>
      </c>
      <c r="C39">
        <f t="shared" ca="1" si="1"/>
        <v>7481521.4900423735</v>
      </c>
      <c r="D39" t="str">
        <f t="shared" si="3"/>
        <v xml:space="preserve"> </v>
      </c>
      <c r="G39" s="417"/>
    </row>
    <row r="40" spans="1:7">
      <c r="A40" s="1008" t="s">
        <v>13</v>
      </c>
      <c r="B40" s="441">
        <f t="shared" ca="1" si="0"/>
        <v>5559843.3062711861</v>
      </c>
      <c r="C40">
        <f t="shared" ca="1" si="1"/>
        <v>5938327.0767033892</v>
      </c>
      <c r="D40" t="str">
        <f t="shared" si="3"/>
        <v xml:space="preserve"> </v>
      </c>
      <c r="G40" s="417"/>
    </row>
    <row r="41" spans="1:7">
      <c r="A41" s="1008" t="s">
        <v>14</v>
      </c>
      <c r="B41" s="1047">
        <f t="shared" ca="1" si="0"/>
        <v>4781392.1882881355</v>
      </c>
      <c r="C41" s="295">
        <f t="shared" ca="1" si="1"/>
        <v>4856969.6015508473</v>
      </c>
      <c r="D41" s="295" t="str">
        <f t="shared" si="3"/>
        <v xml:space="preserve"> </v>
      </c>
      <c r="E41" s="295"/>
      <c r="F41" s="295"/>
      <c r="G41" s="494"/>
    </row>
    <row r="42" spans="1:7">
      <c r="A42" s="441"/>
      <c r="G42" s="417"/>
    </row>
    <row r="43" spans="1:7">
      <c r="A43" s="1010" t="s">
        <v>15</v>
      </c>
      <c r="B43" s="1229">
        <f ca="1">R110</f>
        <v>83313941.758305073</v>
      </c>
      <c r="C43" s="1230">
        <f ca="1">R125</f>
        <v>81989003.344194904</v>
      </c>
      <c r="D43" s="1230"/>
      <c r="E43" s="1230"/>
      <c r="F43" s="1230"/>
      <c r="G43" s="1231"/>
    </row>
    <row r="68" spans="1:1">
      <c r="A68" s="292">
        <f>IF(ISNUMBER('Stream Elec Data'!A31),'Stream Elec Data'!A31," ")</f>
        <v>45444</v>
      </c>
    </row>
    <row r="69" spans="1:1">
      <c r="A69" s="292" t="str">
        <f>IF(ISNUMBER('Stream Elec Data'!A53),'Stream Elec Data'!A53," ")</f>
        <v xml:space="preserve"> </v>
      </c>
    </row>
    <row r="70" spans="1:1">
      <c r="A70" s="292" t="str">
        <f>IF(ISNUMBER('Stream Elec Data'!A54),'Stream Elec Data'!A54," ")</f>
        <v xml:space="preserve"> </v>
      </c>
    </row>
    <row r="97" spans="1:25">
      <c r="K97" s="473"/>
      <c r="L97" s="473" t="str">
        <f t="shared" ref="L97:L109" si="4">B101</f>
        <v>Total Stream DN Electricity - kWh</v>
      </c>
      <c r="M97" s="473" t="str">
        <f t="shared" ref="M97:M109" si="5">C101</f>
        <v>MTHW - kWh</v>
      </c>
      <c r="N97" s="473" t="str">
        <f t="shared" ref="N97:N109" si="6">D101</f>
        <v>Steam - kWh</v>
      </c>
      <c r="O97" s="473" t="str">
        <f t="shared" ref="O97" si="7">E101</f>
        <v>LPG - kWh</v>
      </c>
      <c r="P97" s="473" t="str">
        <f t="shared" ref="P97:P109" si="8">F101</f>
        <v>Woodchip/ Pellet - kWh</v>
      </c>
      <c r="Q97" s="473" t="str">
        <f t="shared" ref="Q97:Q109" si="9">G101</f>
        <v>Solar - kWh</v>
      </c>
      <c r="R97" s="473" t="s">
        <v>15</v>
      </c>
    </row>
    <row r="98" spans="1:25">
      <c r="K98" s="292">
        <f>'Stream Elec Data'!A2</f>
        <v>44562</v>
      </c>
      <c r="L98" s="1149">
        <f t="shared" si="4"/>
        <v>2666022.7849999997</v>
      </c>
      <c r="M98" s="1042">
        <f t="shared" si="5"/>
        <v>882860</v>
      </c>
      <c r="N98" s="1042">
        <f t="shared" ca="1" si="6"/>
        <v>603729.25423728814</v>
      </c>
      <c r="O98" s="1042">
        <f t="shared" ref="O98:O109" si="10">E102</f>
        <v>669921.21849999996</v>
      </c>
      <c r="P98" s="1042">
        <f t="shared" si="8"/>
        <v>73770</v>
      </c>
      <c r="Q98" s="1043">
        <v>1500</v>
      </c>
      <c r="R98" s="473">
        <f ca="1">SUM(L98:Q98)</f>
        <v>4897803.2577372883</v>
      </c>
    </row>
    <row r="99" spans="1:25" s="473" customFormat="1">
      <c r="A99" s="996"/>
      <c r="B99" s="997" t="s">
        <v>16</v>
      </c>
      <c r="C99" s="997" t="s">
        <v>17</v>
      </c>
      <c r="D99" s="997" t="s">
        <v>18</v>
      </c>
      <c r="E99" s="997" t="s">
        <v>19</v>
      </c>
      <c r="F99" s="998" t="s">
        <v>20</v>
      </c>
      <c r="G99" s="1220" t="s">
        <v>21</v>
      </c>
      <c r="K99" s="292">
        <f>'Stream Elec Data'!A3</f>
        <v>44593</v>
      </c>
      <c r="L99" s="441">
        <f t="shared" si="4"/>
        <v>2702224.6270000017</v>
      </c>
      <c r="M99">
        <f t="shared" si="5"/>
        <v>886950</v>
      </c>
      <c r="N99">
        <f t="shared" ca="1" si="6"/>
        <v>466066.30508474575</v>
      </c>
      <c r="O99">
        <f t="shared" si="10"/>
        <v>549042.19999999995</v>
      </c>
      <c r="P99">
        <f t="shared" si="8"/>
        <v>121570</v>
      </c>
      <c r="Q99" s="417">
        <f t="shared" si="9"/>
        <v>3567</v>
      </c>
      <c r="R99" s="473">
        <f t="shared" ref="R99:R110" ca="1" si="11">SUM(L99:Q99)</f>
        <v>4729420.1320847478</v>
      </c>
      <c r="Y99" s="990"/>
    </row>
    <row r="100" spans="1:25" s="473" customFormat="1">
      <c r="A100" s="996"/>
      <c r="B100" s="997" t="s">
        <v>16</v>
      </c>
      <c r="C100" s="997" t="s">
        <v>17</v>
      </c>
      <c r="D100" s="997" t="s">
        <v>18</v>
      </c>
      <c r="E100" s="997" t="s">
        <v>19</v>
      </c>
      <c r="F100" s="998" t="s">
        <v>20</v>
      </c>
      <c r="G100" s="1220" t="s">
        <v>21</v>
      </c>
      <c r="K100" s="292">
        <f>'Stream Elec Data'!A4</f>
        <v>44621</v>
      </c>
      <c r="L100" s="441">
        <f t="shared" si="4"/>
        <v>3254557.8309999998</v>
      </c>
      <c r="M100">
        <f t="shared" si="5"/>
        <v>1057320</v>
      </c>
      <c r="N100">
        <f t="shared" ca="1" si="6"/>
        <v>544021.83050847461</v>
      </c>
      <c r="O100">
        <f t="shared" si="10"/>
        <v>869793.18499999994</v>
      </c>
      <c r="P100">
        <f t="shared" si="8"/>
        <v>189279.99999999994</v>
      </c>
      <c r="Q100" s="417">
        <f t="shared" si="9"/>
        <v>4668</v>
      </c>
      <c r="R100" s="473">
        <f t="shared" ca="1" si="11"/>
        <v>5919640.8465084741</v>
      </c>
      <c r="Y100" s="990"/>
    </row>
    <row r="101" spans="1:25" s="473" customFormat="1">
      <c r="A101" s="996"/>
      <c r="B101" s="997" t="str">
        <f>'Stream Elec Data'!CL1</f>
        <v>Total Stream DN Electricity - kWh</v>
      </c>
      <c r="C101" s="997" t="s">
        <v>17</v>
      </c>
      <c r="D101" s="997" t="s">
        <v>18</v>
      </c>
      <c r="E101" s="997" t="s">
        <v>19</v>
      </c>
      <c r="F101" s="998" t="s">
        <v>20</v>
      </c>
      <c r="G101" s="1220" t="s">
        <v>21</v>
      </c>
      <c r="K101" s="292">
        <f>'Stream Elec Data'!A5</f>
        <v>44652</v>
      </c>
      <c r="L101" s="441">
        <f t="shared" si="4"/>
        <v>3125000.171000001</v>
      </c>
      <c r="M101">
        <f t="shared" si="5"/>
        <v>1390460</v>
      </c>
      <c r="N101">
        <f t="shared" ca="1" si="6"/>
        <v>882966.83050847461</v>
      </c>
      <c r="O101">
        <f t="shared" si="10"/>
        <v>815919.24999999988</v>
      </c>
      <c r="P101">
        <f t="shared" si="8"/>
        <v>188230.00000000006</v>
      </c>
      <c r="Q101" s="417">
        <f t="shared" si="9"/>
        <v>2995</v>
      </c>
      <c r="R101" s="473">
        <f t="shared" ca="1" si="11"/>
        <v>6405571.2515084753</v>
      </c>
      <c r="Y101" s="990"/>
    </row>
    <row r="102" spans="1:25">
      <c r="A102" s="987">
        <f>'Stream Elec Data'!A2</f>
        <v>44562</v>
      </c>
      <c r="B102" s="1149">
        <f>'Stream Elec Data'!CL2</f>
        <v>2666022.7849999997</v>
      </c>
      <c r="C102" s="1221">
        <f>IF(ISNUMBER('Steam and MTHW'!C104),('Steam and MTHW'!C104)," ")</f>
        <v>882860</v>
      </c>
      <c r="D102" s="1042">
        <f ca="1">IF(ISNUMBER('Steam and MTHW'!O104),('Steam and MTHW'!T104)," ")</f>
        <v>603729.25423728814</v>
      </c>
      <c r="E102" s="1042">
        <v>669921.21849999996</v>
      </c>
      <c r="F102" s="1042">
        <v>73770</v>
      </c>
      <c r="G102" s="1043">
        <v>1</v>
      </c>
      <c r="K102" s="292">
        <f>'Stream Elec Data'!A6</f>
        <v>44682</v>
      </c>
      <c r="L102" s="441">
        <f t="shared" si="4"/>
        <v>3683255.3739999998</v>
      </c>
      <c r="M102">
        <f t="shared" si="5"/>
        <v>1902630</v>
      </c>
      <c r="N102">
        <f t="shared" ca="1" si="6"/>
        <v>1063783.3559322034</v>
      </c>
      <c r="O102">
        <f t="shared" si="10"/>
        <v>279539.58499999996</v>
      </c>
      <c r="P102">
        <f t="shared" si="8"/>
        <v>453950</v>
      </c>
      <c r="Q102" s="417">
        <f t="shared" si="9"/>
        <v>1812</v>
      </c>
      <c r="R102" s="473">
        <f t="shared" ca="1" si="11"/>
        <v>7384970.3149322029</v>
      </c>
    </row>
    <row r="103" spans="1:25">
      <c r="A103" s="987">
        <f>'Stream Elec Data'!A3</f>
        <v>44593</v>
      </c>
      <c r="B103" s="441">
        <f>'Stream Elec Data'!CL3</f>
        <v>2702224.6270000017</v>
      </c>
      <c r="C103" s="325">
        <f>IF(ISNUMBER('Steam and MTHW'!C105),('Steam and MTHW'!C105)," ")</f>
        <v>886950</v>
      </c>
      <c r="D103">
        <f ca="1">IF(ISNUMBER('Steam and MTHW'!O105),('Steam and MTHW'!T105)," ")</f>
        <v>466066.30508474575</v>
      </c>
      <c r="E103">
        <v>549042.19999999995</v>
      </c>
      <c r="F103">
        <v>121570</v>
      </c>
      <c r="G103" s="417">
        <v>3567</v>
      </c>
      <c r="K103" s="292">
        <f>'Stream Elec Data'!A7</f>
        <v>44713</v>
      </c>
      <c r="L103" s="441">
        <f t="shared" si="4"/>
        <v>3728325.0130000007</v>
      </c>
      <c r="M103">
        <f t="shared" si="5"/>
        <v>2352150</v>
      </c>
      <c r="N103">
        <f t="shared" ca="1" si="6"/>
        <v>1207140.3559322034</v>
      </c>
      <c r="O103">
        <f t="shared" si="10"/>
        <v>883319.82999999984</v>
      </c>
      <c r="P103">
        <f t="shared" si="8"/>
        <v>588900</v>
      </c>
      <c r="Q103" s="417">
        <f t="shared" si="9"/>
        <v>1026</v>
      </c>
      <c r="R103" s="473">
        <f t="shared" ca="1" si="11"/>
        <v>8760861.1989322044</v>
      </c>
    </row>
    <row r="104" spans="1:25">
      <c r="A104" s="987">
        <f>'Stream Elec Data'!A4</f>
        <v>44621</v>
      </c>
      <c r="B104" s="441">
        <f>'Stream Elec Data'!CL4</f>
        <v>3254557.8309999998</v>
      </c>
      <c r="C104" s="325">
        <f>IF(ISNUMBER('Steam and MTHW'!C106),('Steam and MTHW'!C106)," ")</f>
        <v>1057320</v>
      </c>
      <c r="D104">
        <f ca="1">IF(ISNUMBER('Steam and MTHW'!O106),('Steam and MTHW'!T106)," ")</f>
        <v>544021.83050847461</v>
      </c>
      <c r="E104">
        <v>869793.18499999994</v>
      </c>
      <c r="F104">
        <v>189279.99999999994</v>
      </c>
      <c r="G104" s="417">
        <v>4668</v>
      </c>
      <c r="K104" s="292">
        <f>'Stream Elec Data'!A8</f>
        <v>44743</v>
      </c>
      <c r="L104" s="441">
        <f t="shared" si="4"/>
        <v>3901568.8609999996</v>
      </c>
      <c r="M104">
        <f t="shared" si="5"/>
        <v>2631050</v>
      </c>
      <c r="N104">
        <f t="shared" ca="1" si="6"/>
        <v>1660269.7118644067</v>
      </c>
      <c r="O104">
        <f t="shared" si="10"/>
        <v>1075351.6599999997</v>
      </c>
      <c r="P104">
        <f t="shared" si="8"/>
        <v>739710</v>
      </c>
      <c r="Q104" s="417">
        <f t="shared" si="9"/>
        <v>1045</v>
      </c>
      <c r="R104" s="473">
        <f t="shared" ca="1" si="11"/>
        <v>10008995.232864406</v>
      </c>
    </row>
    <row r="105" spans="1:25">
      <c r="A105" s="987">
        <f>'Stream Elec Data'!A5</f>
        <v>44652</v>
      </c>
      <c r="B105" s="441">
        <f>'Stream Elec Data'!CL5</f>
        <v>3125000.171000001</v>
      </c>
      <c r="C105" s="325">
        <f>IF(ISNUMBER('Steam and MTHW'!C107),('Steam and MTHW'!C107)," ")</f>
        <v>1390460</v>
      </c>
      <c r="D105">
        <f ca="1">IF(ISNUMBER('Steam and MTHW'!O107),('Steam and MTHW'!T107)," ")</f>
        <v>882966.83050847461</v>
      </c>
      <c r="E105">
        <v>815919.24999999988</v>
      </c>
      <c r="F105">
        <v>188230.00000000006</v>
      </c>
      <c r="G105" s="417">
        <v>2995</v>
      </c>
      <c r="K105" s="292">
        <f>'Stream Elec Data'!A9</f>
        <v>44774</v>
      </c>
      <c r="L105" s="441">
        <f t="shared" si="4"/>
        <v>3866309.0009999992</v>
      </c>
      <c r="M105">
        <f t="shared" si="5"/>
        <v>2193547</v>
      </c>
      <c r="N105">
        <f t="shared" ca="1" si="6"/>
        <v>1074892.8305084745</v>
      </c>
      <c r="O105">
        <f t="shared" si="10"/>
        <v>886244.50999999989</v>
      </c>
      <c r="P105">
        <f t="shared" si="8"/>
        <v>618090</v>
      </c>
      <c r="Q105" s="417">
        <f t="shared" si="9"/>
        <v>2329</v>
      </c>
      <c r="R105" s="473">
        <f t="shared" ca="1" si="11"/>
        <v>8641412.3415084742</v>
      </c>
    </row>
    <row r="106" spans="1:25">
      <c r="A106" s="987">
        <f>'Stream Elec Data'!A6</f>
        <v>44682</v>
      </c>
      <c r="B106" s="441">
        <f>'Stream Elec Data'!CL6</f>
        <v>3683255.3739999998</v>
      </c>
      <c r="C106" s="325">
        <f>IF(ISNUMBER('Steam and MTHW'!C108),('Steam and MTHW'!C108)," ")</f>
        <v>1902630</v>
      </c>
      <c r="D106">
        <f ca="1">IF(ISNUMBER('Steam and MTHW'!O108),('Steam and MTHW'!T108)," ")</f>
        <v>1063783.3559322034</v>
      </c>
      <c r="E106">
        <v>279539.58499999996</v>
      </c>
      <c r="F106">
        <v>453950</v>
      </c>
      <c r="G106" s="417">
        <v>1812</v>
      </c>
      <c r="K106" s="292">
        <f>'Stream Elec Data'!A10</f>
        <v>44805</v>
      </c>
      <c r="L106" s="441">
        <f t="shared" si="4"/>
        <v>3591847.2549999999</v>
      </c>
      <c r="M106">
        <f t="shared" si="5"/>
        <v>2084430</v>
      </c>
      <c r="N106">
        <f t="shared" ca="1" si="6"/>
        <v>1174694.6440677966</v>
      </c>
      <c r="O106">
        <f t="shared" si="10"/>
        <v>846960.73999999987</v>
      </c>
      <c r="P106">
        <f t="shared" si="8"/>
        <v>595810.00000000012</v>
      </c>
      <c r="Q106" s="417">
        <f t="shared" si="9"/>
        <v>2446</v>
      </c>
      <c r="R106" s="473">
        <f t="shared" ca="1" si="11"/>
        <v>8296188.639067797</v>
      </c>
    </row>
    <row r="107" spans="1:25">
      <c r="A107" s="987">
        <f>'Stream Elec Data'!A7</f>
        <v>44713</v>
      </c>
      <c r="B107" s="441">
        <f>'Stream Elec Data'!CL7</f>
        <v>3728325.0130000007</v>
      </c>
      <c r="C107" s="325">
        <f>IF(ISNUMBER('Steam and MTHW'!C109),('Steam and MTHW'!C109)," ")</f>
        <v>2352150</v>
      </c>
      <c r="D107">
        <f ca="1">IF(ISNUMBER('Steam and MTHW'!O109),('Steam and MTHW'!T109)," ")</f>
        <v>1207140.3559322034</v>
      </c>
      <c r="E107">
        <v>883319.82999999984</v>
      </c>
      <c r="F107">
        <v>588900</v>
      </c>
      <c r="G107" s="417">
        <v>1026</v>
      </c>
      <c r="K107" s="292">
        <f>'Stream Elec Data'!A11</f>
        <v>44835</v>
      </c>
      <c r="L107" s="441">
        <f t="shared" si="4"/>
        <v>3513574.2259999998</v>
      </c>
      <c r="M107">
        <f t="shared" si="5"/>
        <v>2046890</v>
      </c>
      <c r="N107">
        <f t="shared" ca="1" si="6"/>
        <v>1201203.9661016949</v>
      </c>
      <c r="O107">
        <f t="shared" si="10"/>
        <v>680250.65649999992</v>
      </c>
      <c r="P107">
        <f t="shared" si="8"/>
        <v>482949.99999999983</v>
      </c>
      <c r="Q107" s="417">
        <f t="shared" si="9"/>
        <v>2974.1999999999971</v>
      </c>
      <c r="R107" s="473">
        <f t="shared" ca="1" si="11"/>
        <v>7927843.0486016944</v>
      </c>
    </row>
    <row r="108" spans="1:25">
      <c r="A108" s="987">
        <f>'Stream Elec Data'!A8</f>
        <v>44743</v>
      </c>
      <c r="B108" s="441">
        <f>'Stream Elec Data'!CL8</f>
        <v>3901568.8609999996</v>
      </c>
      <c r="C108" s="325">
        <f>IF(ISNUMBER('Steam and MTHW'!C110),('Steam and MTHW'!C110)," ")</f>
        <v>2631050</v>
      </c>
      <c r="D108">
        <f ca="1">IF(ISNUMBER('Steam and MTHW'!O110),('Steam and MTHW'!T110)," ")</f>
        <v>1660269.7118644067</v>
      </c>
      <c r="E108">
        <v>1075351.6599999997</v>
      </c>
      <c r="F108">
        <v>739710</v>
      </c>
      <c r="G108" s="417">
        <v>1045</v>
      </c>
      <c r="K108" s="292">
        <f>'Stream Elec Data'!A12</f>
        <v>44866</v>
      </c>
      <c r="L108" s="441">
        <f t="shared" si="4"/>
        <v>2813819.284</v>
      </c>
      <c r="M108">
        <f t="shared" si="5"/>
        <v>1236867</v>
      </c>
      <c r="N108">
        <f t="shared" ca="1" si="6"/>
        <v>845178.57627118647</v>
      </c>
      <c r="O108">
        <f t="shared" si="10"/>
        <v>452780.3459999999</v>
      </c>
      <c r="P108">
        <f t="shared" si="8"/>
        <v>208940.00000000006</v>
      </c>
      <c r="Q108" s="417">
        <f t="shared" si="9"/>
        <v>2258.1000000000058</v>
      </c>
      <c r="R108" s="473">
        <f t="shared" ca="1" si="11"/>
        <v>5559843.3062711861</v>
      </c>
    </row>
    <row r="109" spans="1:25">
      <c r="A109" s="987">
        <f>'Stream Elec Data'!A9</f>
        <v>44774</v>
      </c>
      <c r="B109" s="441">
        <f>'Stream Elec Data'!CL9</f>
        <v>3866309.0009999992</v>
      </c>
      <c r="C109" s="325">
        <f>IF(ISNUMBER('Steam and MTHW'!C111),('Steam and MTHW'!C111)," ")</f>
        <v>2193547</v>
      </c>
      <c r="D109">
        <f ca="1">IF(ISNUMBER('Steam and MTHW'!O111),('Steam and MTHW'!T111)," ")</f>
        <v>1074892.8305084745</v>
      </c>
      <c r="E109">
        <v>886244.50999999989</v>
      </c>
      <c r="F109">
        <v>618090</v>
      </c>
      <c r="G109" s="417">
        <v>2329</v>
      </c>
      <c r="K109" s="292">
        <f>'Stream Elec Data'!A13</f>
        <v>44896</v>
      </c>
      <c r="L109" s="1047">
        <f t="shared" si="4"/>
        <v>2495401.838</v>
      </c>
      <c r="M109" s="295">
        <f t="shared" si="5"/>
        <v>536240</v>
      </c>
      <c r="N109" s="295">
        <f t="shared" ca="1" si="6"/>
        <v>798710.23728813557</v>
      </c>
      <c r="O109" s="295">
        <f t="shared" si="10"/>
        <v>847352.91299999994</v>
      </c>
      <c r="P109" s="295">
        <f t="shared" si="8"/>
        <v>101410</v>
      </c>
      <c r="Q109" s="494">
        <f t="shared" si="9"/>
        <v>2277.1999999999971</v>
      </c>
      <c r="R109" s="473">
        <f t="shared" ca="1" si="11"/>
        <v>4781392.1882881355</v>
      </c>
    </row>
    <row r="110" spans="1:25">
      <c r="A110" s="987">
        <f>'Stream Elec Data'!A10</f>
        <v>44805</v>
      </c>
      <c r="B110" s="441">
        <f>'Stream Elec Data'!CL10</f>
        <v>3591847.2549999999</v>
      </c>
      <c r="C110" s="325">
        <f>IF(ISNUMBER('Steam and MTHW'!C112),('Steam and MTHW'!C112)," ")</f>
        <v>2084430</v>
      </c>
      <c r="D110">
        <f ca="1">IF(ISNUMBER('Steam and MTHW'!O112),('Steam and MTHW'!T112)," ")</f>
        <v>1174694.6440677966</v>
      </c>
      <c r="E110">
        <v>846960.73999999987</v>
      </c>
      <c r="F110">
        <v>595810.00000000012</v>
      </c>
      <c r="G110" s="417">
        <v>2446</v>
      </c>
      <c r="K110" s="473" t="s">
        <v>15</v>
      </c>
      <c r="L110" s="473">
        <f>SUM(L98:L109)</f>
        <v>39341906.265999995</v>
      </c>
      <c r="M110" s="473">
        <f t="shared" ref="M110:Q110" si="12">SUM(M98:M109)</f>
        <v>19201394</v>
      </c>
      <c r="N110" s="473">
        <f t="shared" ca="1" si="12"/>
        <v>11522657.898305083</v>
      </c>
      <c r="O110" s="473">
        <f>SUM(O98:O109)</f>
        <v>8856476.0939999986</v>
      </c>
      <c r="P110" s="473">
        <f t="shared" si="12"/>
        <v>4362610</v>
      </c>
      <c r="Q110" s="473">
        <f t="shared" si="12"/>
        <v>28897.5</v>
      </c>
      <c r="R110" s="473">
        <f t="shared" ca="1" si="11"/>
        <v>83313941.758305073</v>
      </c>
    </row>
    <row r="111" spans="1:25">
      <c r="A111" s="987">
        <f>'Stream Elec Data'!A11</f>
        <v>44835</v>
      </c>
      <c r="B111" s="441">
        <f>'Stream Elec Data'!CL11</f>
        <v>3513574.2259999998</v>
      </c>
      <c r="C111" s="325">
        <f>IF(ISNUMBER('Steam and MTHW'!C113),('Steam and MTHW'!C113)," ")</f>
        <v>2046890</v>
      </c>
      <c r="D111">
        <f ca="1">IF(ISNUMBER('Steam and MTHW'!O113),('Steam and MTHW'!T113)," ")</f>
        <v>1201203.9661016949</v>
      </c>
      <c r="E111">
        <v>680250.65649999992</v>
      </c>
      <c r="F111">
        <v>482949.99999999983</v>
      </c>
      <c r="G111" s="417">
        <v>2974.1999999999971</v>
      </c>
    </row>
    <row r="112" spans="1:25">
      <c r="A112" s="987">
        <f>'Stream Elec Data'!A12</f>
        <v>44866</v>
      </c>
      <c r="B112" s="441">
        <f>'Stream Elec Data'!CL12</f>
        <v>2813819.284</v>
      </c>
      <c r="C112" s="325">
        <f>IF(ISNUMBER('Steam and MTHW'!C114),('Steam and MTHW'!C114)," ")</f>
        <v>1236867</v>
      </c>
      <c r="D112">
        <f ca="1">IF(ISNUMBER('Steam and MTHW'!O114),('Steam and MTHW'!T114)," ")</f>
        <v>845178.57627118647</v>
      </c>
      <c r="E112">
        <v>452780.3459999999</v>
      </c>
      <c r="F112">
        <v>208940.00000000006</v>
      </c>
      <c r="G112" s="417">
        <v>2258.1000000000058</v>
      </c>
      <c r="L112" s="473" t="str">
        <f t="shared" ref="L112:Q112" si="13">B100</f>
        <v>Total Stream DN Electricity - kWh</v>
      </c>
      <c r="M112" s="473" t="str">
        <f t="shared" si="13"/>
        <v>MTHW - kWh</v>
      </c>
      <c r="N112" s="473" t="str">
        <f>D100</f>
        <v>Steam - kWh</v>
      </c>
      <c r="O112" s="473" t="str">
        <f t="shared" si="13"/>
        <v>LPG - kWh</v>
      </c>
      <c r="P112" s="473" t="str">
        <f t="shared" si="13"/>
        <v>Woodchip/ Pellet - kWh</v>
      </c>
      <c r="Q112" s="473" t="str">
        <f t="shared" si="13"/>
        <v>Solar - kWh</v>
      </c>
      <c r="R112" s="473" t="s">
        <v>15</v>
      </c>
    </row>
    <row r="113" spans="1:19">
      <c r="A113" s="987">
        <f>'Stream Elec Data'!A13</f>
        <v>44896</v>
      </c>
      <c r="B113" s="1047">
        <f>'Stream Elec Data'!CL13</f>
        <v>2495401.838</v>
      </c>
      <c r="C113" s="478">
        <f>IF(ISNUMBER('Steam and MTHW'!C115),('Steam and MTHW'!C115)," ")</f>
        <v>536240</v>
      </c>
      <c r="D113" s="295">
        <f ca="1">IF(ISNUMBER('Steam and MTHW'!O115),('Steam and MTHW'!T115)," ")</f>
        <v>798710.23728813557</v>
      </c>
      <c r="E113" s="295">
        <v>847352.91299999994</v>
      </c>
      <c r="F113" s="295">
        <f>IF(ISNUMBER('LTHW Data'!R66),('LTHW Data'!R66)," ")</f>
        <v>101410</v>
      </c>
      <c r="G113" s="494">
        <v>2277.1999999999971</v>
      </c>
      <c r="K113" s="292">
        <f>'Stream Elec Data'!A14</f>
        <v>44927</v>
      </c>
      <c r="L113" s="1149">
        <f t="shared" ref="L113:L124" si="14">B114</f>
        <v>2527644.9279999998</v>
      </c>
      <c r="M113" s="1042">
        <f t="shared" ref="M113:M124" si="15">C114</f>
        <v>806188</v>
      </c>
      <c r="N113" s="1042">
        <f t="shared" ref="N113:N124" ca="1" si="16">D114</f>
        <v>552945.52542372886</v>
      </c>
      <c r="O113" s="1042">
        <f t="shared" ref="O113:O124" si="17">E114</f>
        <v>446711.63499999995</v>
      </c>
      <c r="P113" s="1042">
        <f t="shared" ref="P113:P124" si="18">F114</f>
        <v>77200</v>
      </c>
      <c r="Q113" s="1043">
        <f t="shared" ref="Q113:Q124" si="19">G114</f>
        <v>1532.1000000000058</v>
      </c>
      <c r="R113" s="473">
        <f ca="1">SUM(L113:Q113)</f>
        <v>4412222.1884237286</v>
      </c>
      <c r="S113" s="1223">
        <f ca="1">IF(ISNUMBER(R113),R113/R98," ")</f>
        <v>0.90085737548839584</v>
      </c>
    </row>
    <row r="114" spans="1:19">
      <c r="A114" s="987">
        <f>IF(ISNUMBER('Stream Elec Data'!A14),'Stream Elec Data'!A14," ")</f>
        <v>44927</v>
      </c>
      <c r="B114" s="1149">
        <f>'Stream Elec Data'!CL14</f>
        <v>2527644.9279999998</v>
      </c>
      <c r="C114" s="1221">
        <f>IF(ISNUMBER('Steam and MTHW'!C116),('Steam and MTHW'!C116)," ")</f>
        <v>806188</v>
      </c>
      <c r="D114" s="1042">
        <f ca="1">IF(ISNUMBER('Steam and MTHW'!O116),('Steam and MTHW'!T116)," ")</f>
        <v>552945.52542372886</v>
      </c>
      <c r="E114" s="1042">
        <v>446711.63499999995</v>
      </c>
      <c r="F114" s="1042">
        <f>IF(ISNUMBER('LTHW Data'!S66),('LTHW Data'!S66)," ")</f>
        <v>77200</v>
      </c>
      <c r="G114" s="1043">
        <v>1532.1000000000058</v>
      </c>
      <c r="K114" s="292">
        <f>'Stream Elec Data'!A15</f>
        <v>44958</v>
      </c>
      <c r="L114" s="441">
        <f t="shared" si="14"/>
        <v>2637154.7969999998</v>
      </c>
      <c r="M114">
        <f t="shared" si="15"/>
        <v>784246</v>
      </c>
      <c r="N114">
        <f t="shared" ca="1" si="16"/>
        <v>550772.83050847461</v>
      </c>
      <c r="O114">
        <f t="shared" si="17"/>
        <v>397527.15850000002</v>
      </c>
      <c r="P114">
        <f t="shared" si="18"/>
        <v>77090</v>
      </c>
      <c r="Q114" s="417">
        <f t="shared" si="19"/>
        <v>1595.8999999999942</v>
      </c>
      <c r="R114" s="473">
        <f t="shared" ref="R114:R125" ca="1" si="20">SUM(L114:Q114)</f>
        <v>4448386.6860084748</v>
      </c>
      <c r="S114" s="1223">
        <f t="shared" ref="S114:S125" ca="1" si="21">IF(ISNUMBER(R114),R114/R99," ")</f>
        <v>0.94057761031427078</v>
      </c>
    </row>
    <row r="115" spans="1:19">
      <c r="A115" s="987">
        <f>IF(ISNUMBER('Stream Elec Data'!A15),'Stream Elec Data'!A15," ")</f>
        <v>44958</v>
      </c>
      <c r="B115" s="441">
        <f>'Stream Elec Data'!CL15</f>
        <v>2637154.7969999998</v>
      </c>
      <c r="C115" s="325">
        <f>IF(ISNUMBER('Steam and MTHW'!C117),('Steam and MTHW'!C117)," ")</f>
        <v>784246</v>
      </c>
      <c r="D115">
        <f ca="1">IF(ISNUMBER('Steam and MTHW'!O117),('Steam and MTHW'!T117)," ")</f>
        <v>550772.83050847461</v>
      </c>
      <c r="E115">
        <v>397527.15850000002</v>
      </c>
      <c r="F115">
        <f>IF(ISNUMBER('LTHW Data'!T66),('LTHW Data'!T66)," ")</f>
        <v>77090</v>
      </c>
      <c r="G115" s="417">
        <v>1595.8999999999942</v>
      </c>
      <c r="K115" s="292">
        <f>'Stream Elec Data'!A16</f>
        <v>44986</v>
      </c>
      <c r="L115" s="441">
        <f t="shared" si="14"/>
        <v>3261550.0599999996</v>
      </c>
      <c r="M115">
        <f t="shared" si="15"/>
        <v>1242068</v>
      </c>
      <c r="N115">
        <f t="shared" ca="1" si="16"/>
        <v>682615.3898305085</v>
      </c>
      <c r="O115">
        <f t="shared" si="17"/>
        <v>474077.33399999992</v>
      </c>
      <c r="P115">
        <f t="shared" si="18"/>
        <v>233829.99999999994</v>
      </c>
      <c r="Q115" s="417">
        <f t="shared" si="19"/>
        <v>2520</v>
      </c>
      <c r="R115" s="473">
        <f t="shared" ca="1" si="20"/>
        <v>5896660.7838305077</v>
      </c>
      <c r="S115" s="1223">
        <f t="shared" ca="1" si="21"/>
        <v>0.99611799714310023</v>
      </c>
    </row>
    <row r="116" spans="1:19">
      <c r="A116" s="987">
        <f>IF(ISNUMBER('Stream Elec Data'!A16),'Stream Elec Data'!A16," ")</f>
        <v>44986</v>
      </c>
      <c r="B116" s="441">
        <f>'Stream Elec Data'!CL16</f>
        <v>3261550.0599999996</v>
      </c>
      <c r="C116" s="325">
        <f>IF(ISNUMBER('Steam and MTHW'!C118),('Steam and MTHW'!C118)," ")</f>
        <v>1242068</v>
      </c>
      <c r="D116">
        <f ca="1">IF(ISNUMBER('Steam and MTHW'!O118),('Steam and MTHW'!T118)," ")</f>
        <v>682615.3898305085</v>
      </c>
      <c r="E116">
        <v>474077.33399999992</v>
      </c>
      <c r="F116">
        <f>IF(ISNUMBER('LTHW Data'!U66),('LTHW Data'!U66)," ")</f>
        <v>233829.99999999994</v>
      </c>
      <c r="G116" s="1222">
        <v>2520</v>
      </c>
      <c r="K116" s="292">
        <f>'Stream Elec Data'!A17</f>
        <v>45017</v>
      </c>
      <c r="L116" s="441">
        <f t="shared" si="14"/>
        <v>3097949.9780000011</v>
      </c>
      <c r="M116">
        <f t="shared" si="15"/>
        <v>1582880</v>
      </c>
      <c r="N116">
        <f t="shared" ca="1" si="16"/>
        <v>768727.6101694915</v>
      </c>
      <c r="O116">
        <f t="shared" si="17"/>
        <v>608934.99349999998</v>
      </c>
      <c r="P116">
        <f t="shared" si="18"/>
        <v>317630.00000000006</v>
      </c>
      <c r="Q116" s="417">
        <f t="shared" si="19"/>
        <v>2848.8000000000029</v>
      </c>
      <c r="R116" s="473">
        <f t="shared" ca="1" si="20"/>
        <v>6378971.3816694925</v>
      </c>
      <c r="S116" s="1223">
        <f t="shared" ca="1" si="21"/>
        <v>0.99584738522224403</v>
      </c>
    </row>
    <row r="117" spans="1:19">
      <c r="A117" s="987">
        <v>45017</v>
      </c>
      <c r="B117" s="441">
        <f>'Stream Elec Data'!CL17</f>
        <v>3097949.9780000011</v>
      </c>
      <c r="C117" s="325">
        <f>IF(ISNUMBER('Steam and MTHW'!C119),('Steam and MTHW'!C119)," ")</f>
        <v>1582880</v>
      </c>
      <c r="D117">
        <f ca="1">IF(ISNUMBER('Steam and MTHW'!O119),('Steam and MTHW'!T119)," ")</f>
        <v>768727.6101694915</v>
      </c>
      <c r="E117">
        <v>608934.99349999998</v>
      </c>
      <c r="F117">
        <f>IF(ISNUMBER('LTHW Data'!V66),('LTHW Data'!V66)," ")</f>
        <v>317630.00000000006</v>
      </c>
      <c r="G117" s="417">
        <v>2848.8000000000029</v>
      </c>
      <c r="K117" s="292">
        <f>'Stream Elec Data'!A18</f>
        <v>45047</v>
      </c>
      <c r="L117" s="441">
        <f t="shared" si="14"/>
        <v>3572115.456999999</v>
      </c>
      <c r="M117">
        <f t="shared" si="15"/>
        <v>1867226</v>
      </c>
      <c r="N117">
        <f t="shared" ca="1" si="16"/>
        <v>984561.98305084743</v>
      </c>
      <c r="O117">
        <f t="shared" si="17"/>
        <v>561747.94049999991</v>
      </c>
      <c r="P117">
        <f t="shared" si="18"/>
        <v>526130</v>
      </c>
      <c r="Q117" s="417">
        <f t="shared" si="19"/>
        <v>1524.1999999999971</v>
      </c>
      <c r="R117" s="473">
        <f t="shared" ca="1" si="20"/>
        <v>7513305.5805508457</v>
      </c>
      <c r="S117" s="1223">
        <f t="shared" ca="1" si="21"/>
        <v>1.0173778986435671</v>
      </c>
    </row>
    <row r="118" spans="1:19">
      <c r="A118" s="987">
        <v>45047</v>
      </c>
      <c r="B118" s="441">
        <f>'Stream Elec Data'!CL18</f>
        <v>3572115.456999999</v>
      </c>
      <c r="C118" s="325">
        <f>IF(ISNUMBER('Steam and MTHW'!C120),('Steam and MTHW'!C120)," ")</f>
        <v>1867226</v>
      </c>
      <c r="D118">
        <f ca="1">IF(ISNUMBER('Steam and MTHW'!O120),('Steam and MTHW'!T120)," ")</f>
        <v>984561.98305084743</v>
      </c>
      <c r="E118">
        <v>561747.94049999991</v>
      </c>
      <c r="F118">
        <f>IF(ISNUMBER('LTHW Data'!W66),('LTHW Data'!W66)," ")</f>
        <v>526130</v>
      </c>
      <c r="G118" s="417">
        <v>1524.1999999999971</v>
      </c>
      <c r="K118" s="292">
        <f>'Stream Elec Data'!A19</f>
        <v>45078</v>
      </c>
      <c r="L118" s="441">
        <f t="shared" si="14"/>
        <v>3504665.0579999997</v>
      </c>
      <c r="M118">
        <f t="shared" si="15"/>
        <v>2183608</v>
      </c>
      <c r="N118">
        <f t="shared" ca="1" si="16"/>
        <v>1115680.7627118644</v>
      </c>
      <c r="O118">
        <f t="shared" si="17"/>
        <v>732057.37449999992</v>
      </c>
      <c r="P118">
        <f t="shared" si="18"/>
        <v>580910</v>
      </c>
      <c r="Q118" s="417">
        <f t="shared" si="19"/>
        <v>913.5</v>
      </c>
      <c r="R118" s="473">
        <f t="shared" ca="1" si="20"/>
        <v>8117834.6952118641</v>
      </c>
      <c r="S118" s="1223">
        <f t="shared" ca="1" si="21"/>
        <v>0.92660236372667171</v>
      </c>
    </row>
    <row r="119" spans="1:19">
      <c r="A119" s="987">
        <v>45078</v>
      </c>
      <c r="B119" s="441">
        <f>'Stream Elec Data'!CL19</f>
        <v>3504665.0579999997</v>
      </c>
      <c r="C119" s="325">
        <f>IF(ISNUMBER('Steam and MTHW'!C121),('Steam and MTHW'!C121)," ")</f>
        <v>2183608</v>
      </c>
      <c r="D119">
        <f ca="1">IF(ISNUMBER('Steam and MTHW'!O121),('Steam and MTHW'!T121)," ")</f>
        <v>1115680.7627118644</v>
      </c>
      <c r="E119">
        <v>732057.37449999992</v>
      </c>
      <c r="F119">
        <f>IF(ISNUMBER('LTHW Data'!X66),('LTHW Data'!X66)," ")</f>
        <v>580910</v>
      </c>
      <c r="G119" s="417">
        <v>913.5</v>
      </c>
      <c r="K119" s="292">
        <f>'Stream Elec Data'!A20</f>
        <v>45108</v>
      </c>
      <c r="L119" s="441">
        <f t="shared" si="14"/>
        <v>3690040.8559999997</v>
      </c>
      <c r="M119">
        <f t="shared" si="15"/>
        <v>2485373</v>
      </c>
      <c r="N119">
        <f t="shared" ca="1" si="16"/>
        <v>1372038.440677966</v>
      </c>
      <c r="O119">
        <f t="shared" si="17"/>
        <v>701663.96699999983</v>
      </c>
      <c r="P119">
        <f t="shared" si="18"/>
        <v>727620</v>
      </c>
      <c r="Q119" s="417">
        <f t="shared" si="19"/>
        <v>1047.3000000000029</v>
      </c>
      <c r="R119" s="473">
        <f t="shared" ca="1" si="20"/>
        <v>8977783.5636779666</v>
      </c>
      <c r="S119" s="1223">
        <f t="shared" ca="1" si="21"/>
        <v>0.89697150960763083</v>
      </c>
    </row>
    <row r="120" spans="1:19">
      <c r="A120" s="987">
        <v>45108</v>
      </c>
      <c r="B120" s="441">
        <f>'Stream Elec Data'!CL20</f>
        <v>3690040.8559999997</v>
      </c>
      <c r="C120" s="325">
        <f>IF(ISNUMBER('Steam and MTHW'!C122),('Steam and MTHW'!C122)," ")</f>
        <v>2485373</v>
      </c>
      <c r="D120">
        <f ca="1">IF(ISNUMBER('Steam and MTHW'!O122),('Steam and MTHW'!T122)," ")</f>
        <v>1372038.440677966</v>
      </c>
      <c r="E120">
        <v>701663.96699999983</v>
      </c>
      <c r="F120">
        <f>IF(ISNUMBER('LTHW Data'!X68),('LTHW Data'!Y66)," ")</f>
        <v>727620</v>
      </c>
      <c r="G120" s="417">
        <v>1047.3000000000029</v>
      </c>
      <c r="K120" s="292">
        <f>'Stream Elec Data'!A21</f>
        <v>45139</v>
      </c>
      <c r="L120" s="441">
        <f t="shared" si="14"/>
        <v>3917122.9559999998</v>
      </c>
      <c r="M120">
        <f t="shared" si="15"/>
        <v>2752910</v>
      </c>
      <c r="N120">
        <f t="shared" ca="1" si="16"/>
        <v>1403867.1016949152</v>
      </c>
      <c r="O120">
        <f t="shared" si="17"/>
        <v>1143058.0019999996</v>
      </c>
      <c r="P120">
        <f t="shared" si="18"/>
        <v>697410</v>
      </c>
      <c r="Q120" s="417">
        <f t="shared" si="19"/>
        <v>1707</v>
      </c>
      <c r="R120" s="473">
        <f t="shared" ca="1" si="20"/>
        <v>9916075.059694916</v>
      </c>
      <c r="S120" s="1223">
        <f t="shared" ca="1" si="21"/>
        <v>1.1475062950142629</v>
      </c>
    </row>
    <row r="121" spans="1:19">
      <c r="A121" s="987">
        <v>45139</v>
      </c>
      <c r="B121" s="441">
        <f>'Stream Elec Data'!CL21</f>
        <v>3917122.9559999998</v>
      </c>
      <c r="C121" s="325">
        <f>IF(ISNUMBER('Steam and MTHW'!C123),('Steam and MTHW'!C123)," ")</f>
        <v>2752910</v>
      </c>
      <c r="D121">
        <f ca="1">IF(ISNUMBER('Steam and MTHW'!O123),('Steam and MTHW'!T123)," ")</f>
        <v>1403867.1016949152</v>
      </c>
      <c r="E121">
        <v>1143058.0019999996</v>
      </c>
      <c r="F121">
        <f>IF(ISNUMBER('MTHW Data'!AA104),('LTHW Data'!Z66)," ")</f>
        <v>697410</v>
      </c>
      <c r="G121" s="417">
        <v>1707</v>
      </c>
      <c r="K121" s="292">
        <f>'Stream Elec Data'!A22</f>
        <v>45170</v>
      </c>
      <c r="L121" s="441">
        <f t="shared" si="14"/>
        <v>3464517.7850000001</v>
      </c>
      <c r="M121">
        <f t="shared" si="15"/>
        <v>2255240</v>
      </c>
      <c r="N121">
        <f t="shared" ca="1" si="16"/>
        <v>1148142.3898305085</v>
      </c>
      <c r="O121">
        <f t="shared" si="17"/>
        <v>675640.96199999994</v>
      </c>
      <c r="P121">
        <f t="shared" si="18"/>
        <v>504840.00000000012</v>
      </c>
      <c r="Q121" s="417">
        <f t="shared" si="19"/>
        <v>2564.0999999999913</v>
      </c>
      <c r="R121" s="473">
        <f t="shared" ca="1" si="20"/>
        <v>8050945.2368305083</v>
      </c>
      <c r="S121" s="1223">
        <f t="shared" ca="1" si="21"/>
        <v>0.97043902773830304</v>
      </c>
    </row>
    <row r="122" spans="1:19">
      <c r="A122" s="987">
        <f>IF(ISNUMBER('Stream Elec Data'!A22),'Stream Elec Data'!A22," ")</f>
        <v>45170</v>
      </c>
      <c r="B122" s="441">
        <f>'Stream Elec Data'!CL22</f>
        <v>3464517.7850000001</v>
      </c>
      <c r="C122" s="325">
        <f>IF(ISNUMBER('Steam and MTHW'!C124),('Steam and MTHW'!C124)," ")</f>
        <v>2255240</v>
      </c>
      <c r="D122">
        <f ca="1">IF(ISNUMBER('Steam and MTHW'!O124),('Steam and MTHW'!T124)," ")</f>
        <v>1148142.3898305085</v>
      </c>
      <c r="E122">
        <v>675640.96199999994</v>
      </c>
      <c r="F122">
        <f>IF(ISNUMBER('LTHW Data'!X76),('LTHW Data'!AA66)," ")</f>
        <v>504840.00000000012</v>
      </c>
      <c r="G122" s="417">
        <v>2564.0999999999913</v>
      </c>
      <c r="K122" s="292">
        <f>'Stream Elec Data'!A23</f>
        <v>45200</v>
      </c>
      <c r="L122" s="441">
        <f t="shared" si="14"/>
        <v>3420999.4760000007</v>
      </c>
      <c r="M122">
        <f t="shared" si="15"/>
        <v>2023701</v>
      </c>
      <c r="N122">
        <f t="shared" ca="1" si="16"/>
        <v>947406.15254237293</v>
      </c>
      <c r="O122">
        <f t="shared" si="17"/>
        <v>663732.8615</v>
      </c>
      <c r="P122">
        <f t="shared" si="18"/>
        <v>422519.99999999983</v>
      </c>
      <c r="Q122" s="417">
        <f t="shared" si="19"/>
        <v>3162</v>
      </c>
      <c r="R122" s="473">
        <f t="shared" ca="1" si="20"/>
        <v>7481521.4900423735</v>
      </c>
      <c r="S122" s="1223">
        <f t="shared" ca="1" si="21"/>
        <v>0.94370201884382121</v>
      </c>
    </row>
    <row r="123" spans="1:19">
      <c r="A123" s="987">
        <f>IF(ISNUMBER('Stream Elec Data'!A23),'Stream Elec Data'!A23," ")</f>
        <v>45200</v>
      </c>
      <c r="B123" s="441">
        <f>'Stream Elec Data'!CL23</f>
        <v>3420999.4760000007</v>
      </c>
      <c r="C123" s="325">
        <f>IF(ISNUMBER('Steam and MTHW'!C125),('Steam and MTHW'!C125)," ")</f>
        <v>2023701</v>
      </c>
      <c r="D123">
        <f ca="1">IF(ISNUMBER('Steam and MTHW'!O125),('Steam and MTHW'!T125)," ")</f>
        <v>947406.15254237293</v>
      </c>
      <c r="E123">
        <v>663732.8615</v>
      </c>
      <c r="F123">
        <f>IF(ISNUMBER('LTHW Data'!X77),('LTHW Data'!AB66)," ")</f>
        <v>422519.99999999983</v>
      </c>
      <c r="G123" s="417">
        <v>3162</v>
      </c>
      <c r="K123" s="292">
        <f>'Stream Elec Data'!A24</f>
        <v>45231</v>
      </c>
      <c r="L123" s="441">
        <f t="shared" si="14"/>
        <v>2868989.8370000003</v>
      </c>
      <c r="M123">
        <f t="shared" si="15"/>
        <v>1275338</v>
      </c>
      <c r="N123">
        <f t="shared" ca="1" si="16"/>
        <v>873028.93220338982</v>
      </c>
      <c r="O123">
        <f t="shared" si="17"/>
        <v>654546.7074999999</v>
      </c>
      <c r="P123">
        <f t="shared" si="18"/>
        <v>264180.00000000006</v>
      </c>
      <c r="Q123" s="417">
        <f t="shared" si="19"/>
        <v>2243.6000000000058</v>
      </c>
      <c r="R123" s="473">
        <f t="shared" ca="1" si="20"/>
        <v>5938327.0767033892</v>
      </c>
      <c r="S123" s="1223">
        <f t="shared" ca="1" si="21"/>
        <v>1.0680745390801383</v>
      </c>
    </row>
    <row r="124" spans="1:19">
      <c r="A124" s="987">
        <f>IF(ISNUMBER('Stream Elec Data'!A24),'Stream Elec Data'!A24," ")</f>
        <v>45231</v>
      </c>
      <c r="B124" s="441">
        <f>'Stream Elec Data'!CL24</f>
        <v>2868989.8370000003</v>
      </c>
      <c r="C124" s="325">
        <f>IF(ISNUMBER('Steam and MTHW'!C126),('Steam and MTHW'!C126)," ")</f>
        <v>1275338</v>
      </c>
      <c r="D124">
        <f ca="1">IF(ISNUMBER('Steam and MTHW'!O126),('Steam and MTHW'!T126)," ")</f>
        <v>873028.93220338982</v>
      </c>
      <c r="E124">
        <v>654546.7074999999</v>
      </c>
      <c r="F124">
        <f>IF(ISNUMBER('LTHW Data'!X78),('LTHW Data'!AC66)," ")</f>
        <v>264180.00000000006</v>
      </c>
      <c r="G124" s="417">
        <v>2243.6000000000058</v>
      </c>
      <c r="K124" s="292">
        <f>'Stream Elec Data'!A25</f>
        <v>45261</v>
      </c>
      <c r="L124" s="1047">
        <f t="shared" si="14"/>
        <v>2535856.341</v>
      </c>
      <c r="M124" s="295">
        <f t="shared" si="15"/>
        <v>1220450</v>
      </c>
      <c r="N124" s="295">
        <f t="shared" ca="1" si="16"/>
        <v>473948.98305084748</v>
      </c>
      <c r="O124" s="295">
        <f t="shared" si="17"/>
        <v>573519.77749999997</v>
      </c>
      <c r="P124" s="295">
        <f t="shared" si="18"/>
        <v>51500</v>
      </c>
      <c r="Q124" s="494">
        <f t="shared" si="19"/>
        <v>1694.5</v>
      </c>
      <c r="R124" s="473">
        <f t="shared" ca="1" si="20"/>
        <v>4856969.6015508473</v>
      </c>
      <c r="S124" s="1223">
        <f t="shared" ca="1" si="21"/>
        <v>1.01580657061511</v>
      </c>
    </row>
    <row r="125" spans="1:19">
      <c r="A125" s="987">
        <v>45261</v>
      </c>
      <c r="B125" s="1047">
        <f>'Stream Elec Data'!CL25</f>
        <v>2535856.341</v>
      </c>
      <c r="C125" s="478">
        <f>IF(ISNUMBER('Steam and MTHW'!C127),('Steam and MTHW'!C127)," ")</f>
        <v>1220450</v>
      </c>
      <c r="D125" s="295">
        <f ca="1">IF(ISNUMBER('Steam and MTHW'!O127),('Steam and MTHW'!T127)," ")</f>
        <v>473948.98305084748</v>
      </c>
      <c r="E125" s="295">
        <v>573519.77749999997</v>
      </c>
      <c r="F125" s="295">
        <f>IF(ISNUMBER('LTHW Data'!AD66),('LTHW Data'!AD66)," ")</f>
        <v>51500</v>
      </c>
      <c r="G125" s="494">
        <v>1694.5</v>
      </c>
      <c r="K125" s="473" t="s">
        <v>15</v>
      </c>
      <c r="L125" s="473">
        <f>SUM(L113:L124)</f>
        <v>38498607.528999992</v>
      </c>
      <c r="M125" s="473">
        <f t="shared" ref="M125:Q125" si="22">SUM(M113:M124)</f>
        <v>20479228</v>
      </c>
      <c r="N125" s="473">
        <f t="shared" ca="1" si="22"/>
        <v>10873736.101694915</v>
      </c>
      <c r="O125" s="473">
        <f>SUM(O113:O124)</f>
        <v>7633218.7134999987</v>
      </c>
      <c r="P125" s="473">
        <f t="shared" si="22"/>
        <v>4480860</v>
      </c>
      <c r="Q125" s="473">
        <f t="shared" si="22"/>
        <v>23353</v>
      </c>
      <c r="R125" s="473">
        <f t="shared" ca="1" si="20"/>
        <v>81989003.344194904</v>
      </c>
      <c r="S125" s="1223">
        <f t="shared" ca="1" si="21"/>
        <v>0.98409703842900831</v>
      </c>
    </row>
    <row r="126" spans="1:19">
      <c r="A126" s="987">
        <v>45292</v>
      </c>
      <c r="B126" s="441">
        <f>'Stream Elec Data'!CL26</f>
        <v>2616949.6779999998</v>
      </c>
      <c r="C126" s="325">
        <f>IF(ISNUMBER('Steam and MTHW'!C128),('Steam and MTHW'!C128)," ")</f>
        <v>1090082</v>
      </c>
      <c r="D126">
        <f ca="1">IF(ISNUMBER('Steam and MTHW'!O128),('Steam and MTHW'!T128)," ")</f>
        <v>795980.10169491521</v>
      </c>
      <c r="E126">
        <f>'Gas Data'!AE78</f>
        <v>260482</v>
      </c>
      <c r="F126">
        <f>IF(ISNUMBER('LTHW Data'!AE66),('LTHW Data'!AE66)," ")</f>
        <v>29110</v>
      </c>
      <c r="G126" s="417">
        <f>IF(ISNUMBER('LTHW Data'!AE67),('LTHW Data'!AE67)," ")</f>
        <v>2205.8000000000029</v>
      </c>
      <c r="K126" t="s">
        <v>22</v>
      </c>
      <c r="L126" s="1223">
        <f>L125/L110</f>
        <v>0.97856487351430665</v>
      </c>
      <c r="M126" s="1223">
        <f t="shared" ref="M126:Q126" si="23">M125/M110</f>
        <v>1.0665490224303507</v>
      </c>
      <c r="N126" s="1223">
        <f t="shared" ca="1" si="23"/>
        <v>0.94368297641591703</v>
      </c>
      <c r="O126" s="1223">
        <f>O125/O110</f>
        <v>0.86187989810882903</v>
      </c>
      <c r="P126" s="1223">
        <f t="shared" si="23"/>
        <v>1.0271053337337053</v>
      </c>
      <c r="Q126" s="1223">
        <f t="shared" si="23"/>
        <v>0.80813219136603509</v>
      </c>
    </row>
    <row r="127" spans="1:19">
      <c r="A127" s="987">
        <v>45323</v>
      </c>
      <c r="B127" s="441">
        <f>'Stream Elec Data'!CL27</f>
        <v>2684761.93</v>
      </c>
      <c r="C127" s="325">
        <f>IF(ISNUMBER('Steam and MTHW'!C129),('Steam and MTHW'!C129)," ")</f>
        <v>1215228</v>
      </c>
      <c r="D127">
        <f ca="1">IF(ISNUMBER('Steam and MTHW'!O129),('Steam and MTHW'!T129)," ")</f>
        <v>599494.6610169491</v>
      </c>
      <c r="E127">
        <f>'Gas Data'!AF78</f>
        <v>189425</v>
      </c>
      <c r="F127">
        <f>IF(ISNUMBER('LTHW Data'!AF66),('LTHW Data'!AF66)," ")</f>
        <v>52424.97</v>
      </c>
      <c r="G127" s="417">
        <f>IF(ISNUMBER('LTHW Data'!AF67),('LTHW Data'!AF67)," ")</f>
        <v>2693.5</v>
      </c>
    </row>
    <row r="128" spans="1:19">
      <c r="A128" s="987">
        <v>45352</v>
      </c>
      <c r="B128" s="441">
        <f>'Stream Elec Data'!CL28</f>
        <v>3158657.9399999995</v>
      </c>
      <c r="C128" s="325">
        <f>IF(ISNUMBER('Steam and MTHW'!C130),('Steam and MTHW'!C130)," ")</f>
        <v>1750460</v>
      </c>
      <c r="D128">
        <f ca="1">IF(ISNUMBER('Steam and MTHW'!O130),('Steam and MTHW'!T130)," ")</f>
        <v>897756.08474576275</v>
      </c>
      <c r="E128">
        <f>'Gas Data'!AG78</f>
        <v>213297</v>
      </c>
      <c r="F128">
        <f>IF(ISNUMBER('LTHW Data'!AG66),('LTHW Data'!AG66)," ")</f>
        <v>223873.6</v>
      </c>
      <c r="G128" s="417">
        <f>IF(ISNUMBER('LTHW Data'!AG67),('LTHW Data'!AG67)," ")</f>
        <v>2360.6000000000058</v>
      </c>
      <c r="L128" s="473" t="str">
        <f t="shared" ref="L128:Q128" si="24">B99</f>
        <v>Total Stream DN Electricity - kWh</v>
      </c>
      <c r="M128" s="473" t="str">
        <f t="shared" si="24"/>
        <v>MTHW - kWh</v>
      </c>
      <c r="N128" s="473" t="str">
        <f>D99</f>
        <v>Steam - kWh</v>
      </c>
      <c r="O128" s="473" t="str">
        <f t="shared" si="24"/>
        <v>LPG - kWh</v>
      </c>
      <c r="P128" s="473" t="str">
        <f t="shared" si="24"/>
        <v>Woodchip/ Pellet - kWh</v>
      </c>
      <c r="Q128" s="473" t="str">
        <f t="shared" si="24"/>
        <v>Solar - kWh</v>
      </c>
      <c r="R128" s="473" t="s">
        <v>15</v>
      </c>
    </row>
    <row r="129" spans="1:19">
      <c r="A129" s="988">
        <v>45383</v>
      </c>
      <c r="B129" s="441">
        <f>'Stream Elec Data'!CL29</f>
        <v>3183011.8870000001</v>
      </c>
      <c r="C129" s="325">
        <f>IF(ISNUMBER('Steam and MTHW'!C131),('Steam and MTHW'!C131)," ")</f>
        <v>1903140</v>
      </c>
      <c r="D129">
        <f ca="1">IF(ISNUMBER('Steam and MTHW'!O131),('Steam and MTHW'!T131)," ")</f>
        <v>847275.3389830509</v>
      </c>
      <c r="E129">
        <f>'Gas Data'!AH78</f>
        <v>234802</v>
      </c>
      <c r="F129">
        <f>IF(ISNUMBER('LTHW Data'!AH66),('LTHW Data'!AH66)," ")</f>
        <v>301485.38</v>
      </c>
      <c r="G129" s="417">
        <f>IF(ISNUMBER('LTHW Data'!AH67),('LTHW Data'!AH67)," ")</f>
        <v>1622.1999999999971</v>
      </c>
      <c r="K129" s="1224">
        <v>45292</v>
      </c>
      <c r="L129" s="1149">
        <f t="shared" ref="L129:M130" si="25">B126</f>
        <v>2616949.6779999998</v>
      </c>
      <c r="M129" s="1042">
        <f t="shared" si="25"/>
        <v>1090082</v>
      </c>
      <c r="N129" s="1042">
        <f ca="1">D126</f>
        <v>795980.10169491521</v>
      </c>
      <c r="O129" s="1042">
        <f>E126</f>
        <v>260482</v>
      </c>
      <c r="P129" s="1042">
        <f t="shared" ref="P129:Q132" si="26">F126</f>
        <v>29110</v>
      </c>
      <c r="Q129" s="1043">
        <f t="shared" si="26"/>
        <v>2205.8000000000029</v>
      </c>
      <c r="R129">
        <f ca="1">IF(ISNUMBER(O129),SUM(L129:Q129)," ")</f>
        <v>4794809.5796949146</v>
      </c>
      <c r="S129" s="1223">
        <f ca="1">IF(ISNUMBER(R129),R129/R114," ")</f>
        <v>1.0778760746623142</v>
      </c>
    </row>
    <row r="130" spans="1:19">
      <c r="A130" s="987">
        <v>45413</v>
      </c>
      <c r="B130" s="441">
        <f>'Stream Elec Data'!CL30</f>
        <v>3794274.7139999992</v>
      </c>
      <c r="C130" s="325">
        <f>IF(ISNUMBER('Steam and MTHW'!C132),('Steam and MTHW'!C132)," ")</f>
        <v>2682010</v>
      </c>
      <c r="D130">
        <f ca="1">IF(ISNUMBER('Steam and MTHW'!O132),('Steam and MTHW'!T132)," ")</f>
        <v>1175232.4915254237</v>
      </c>
      <c r="E130">
        <f>'Gas Data'!AI78</f>
        <v>315945</v>
      </c>
      <c r="F130">
        <f>IF(ISNUMBER('LTHW Data'!AI66),('LTHW Data'!AI66)," ")</f>
        <v>404373.61</v>
      </c>
      <c r="G130" s="417">
        <f>IF(ISNUMBER('LTHW Data'!AI67),('LTHW Data'!AI67)," ")</f>
        <v>1699.5999999999913</v>
      </c>
      <c r="K130" s="1225">
        <v>45323</v>
      </c>
      <c r="L130" s="441">
        <f t="shared" si="25"/>
        <v>2684761.93</v>
      </c>
      <c r="M130">
        <f t="shared" si="25"/>
        <v>1215228</v>
      </c>
      <c r="N130">
        <f ca="1">D127</f>
        <v>599494.6610169491</v>
      </c>
      <c r="O130" t="str">
        <f>IF(ISNUMBER(#REF!),#REF!," ")</f>
        <v xml:space="preserve"> </v>
      </c>
      <c r="P130">
        <f t="shared" si="26"/>
        <v>52424.97</v>
      </c>
      <c r="Q130" s="417">
        <f t="shared" si="26"/>
        <v>2693.5</v>
      </c>
      <c r="R130" t="str">
        <f t="shared" ref="R130:R141" ca="1" si="27">IF(ISNUMBER(O130),SUM(L130:Q130)," ")</f>
        <v xml:space="preserve"> </v>
      </c>
      <c r="S130" s="1223" t="str">
        <f t="shared" ref="S130:S141" ca="1" si="28">IF(ISNUMBER(R130),R130/R115," ")</f>
        <v xml:space="preserve"> </v>
      </c>
    </row>
    <row r="131" spans="1:19">
      <c r="A131" s="987">
        <v>45444</v>
      </c>
      <c r="B131" s="441">
        <f>'Stream Elec Data'!CL31</f>
        <v>3441555.9380000005</v>
      </c>
      <c r="C131" s="325">
        <f>IF(ISNUMBER('Steam and MTHW'!C133),('Steam and MTHW'!C133)," ")</f>
        <v>2502168</v>
      </c>
      <c r="D131">
        <f ca="1">IF(ISNUMBER('Steam and MTHW'!O133),('Steam and MTHW'!T133)," ")</f>
        <v>1062959.6440677966</v>
      </c>
      <c r="E131">
        <f>'Gas Data'!AJ78</f>
        <v>342520</v>
      </c>
      <c r="F131">
        <f>IF(ISNUMBER('LTHW Data'!AJ66),('LTHW Data'!AJ66)," ")</f>
        <v>262606</v>
      </c>
      <c r="G131" s="417">
        <f>IF(ISNUMBER('LTHW Data'!AJ67),('LTHW Data'!AJ67)," ")</f>
        <v>708.60000000000582</v>
      </c>
      <c r="K131" s="1225">
        <v>45352</v>
      </c>
      <c r="L131" s="441"/>
      <c r="M131">
        <f>C128</f>
        <v>1750460</v>
      </c>
      <c r="N131">
        <f ca="1">D128</f>
        <v>897756.08474576275</v>
      </c>
      <c r="O131">
        <f t="shared" ref="O131:O139" si="29">IF(ISNUMBER(E127),E127," ")</f>
        <v>189425</v>
      </c>
      <c r="P131">
        <f t="shared" si="26"/>
        <v>223873.6</v>
      </c>
      <c r="Q131" s="417">
        <f t="shared" si="26"/>
        <v>2360.6000000000058</v>
      </c>
      <c r="R131">
        <f t="shared" ca="1" si="27"/>
        <v>3063875.2847457631</v>
      </c>
      <c r="S131" s="1223">
        <f t="shared" ca="1" si="28"/>
        <v>0.48030867383259701</v>
      </c>
    </row>
    <row r="132" spans="1:19">
      <c r="A132" s="987">
        <v>45474</v>
      </c>
      <c r="B132" s="441"/>
      <c r="C132" s="325">
        <f>IF(ISNUMBER('Steam and MTHW'!C134),('Steam and MTHW'!C134)," ")</f>
        <v>2672173</v>
      </c>
      <c r="D132">
        <f ca="1">IF(ISNUMBER('Steam and MTHW'!O134),('Steam and MTHW'!T134)," ")</f>
        <v>1116472.1864406778</v>
      </c>
      <c r="E132">
        <f>'Gas Data'!AK78</f>
        <v>362369</v>
      </c>
      <c r="F132">
        <f>IF(ISNUMBER('LTHW Data'!AK66),('LTHW Data'!AK66)," ")</f>
        <v>215836</v>
      </c>
      <c r="G132" s="417">
        <f>IF(ISNUMBER('LTHW Data'!AK67),('LTHW Data'!AK67)," ")</f>
        <v>1196.1000000000058</v>
      </c>
      <c r="K132" s="1226">
        <v>45383</v>
      </c>
      <c r="L132" s="441"/>
      <c r="N132">
        <f ca="1">D129</f>
        <v>847275.3389830509</v>
      </c>
      <c r="O132">
        <f t="shared" si="29"/>
        <v>213297</v>
      </c>
      <c r="P132">
        <f t="shared" si="26"/>
        <v>301485.38</v>
      </c>
      <c r="Q132" s="417">
        <f t="shared" si="26"/>
        <v>1622.1999999999971</v>
      </c>
      <c r="R132">
        <f t="shared" ca="1" si="27"/>
        <v>1363679.9189830509</v>
      </c>
      <c r="S132" s="1223">
        <f t="shared" ca="1" si="28"/>
        <v>0.18150199061690117</v>
      </c>
    </row>
    <row r="133" spans="1:19">
      <c r="A133" s="988">
        <v>45505</v>
      </c>
      <c r="B133" s="441"/>
      <c r="C133" s="325">
        <f>IF(ISNUMBER('Steam and MTHW'!C135),('Steam and MTHW'!C135)," ")</f>
        <v>2725880</v>
      </c>
      <c r="E133">
        <f>'Gas Data'!AL78</f>
        <v>359128</v>
      </c>
      <c r="F133">
        <f>IF(ISNUMBER('LTHW Data'!AL66),('LTHW Data'!AL66)," ")</f>
        <v>421406</v>
      </c>
      <c r="G133" s="417">
        <f>IF(ISNUMBER('LTHW Data'!AL67),('LTHW Data'!AL67)," ")</f>
        <v>2234.5</v>
      </c>
      <c r="K133" s="987">
        <v>45413</v>
      </c>
      <c r="L133" s="441"/>
      <c r="O133">
        <f t="shared" si="29"/>
        <v>234802</v>
      </c>
      <c r="Q133" s="417"/>
      <c r="R133" t="str">
        <f>IF(ISNUMBER(L133),SUM(L133:Q133)," ")</f>
        <v xml:space="preserve"> </v>
      </c>
      <c r="S133" s="1223" t="str">
        <f t="shared" ca="1" si="28"/>
        <v xml:space="preserve"> </v>
      </c>
    </row>
    <row r="134" spans="1:19">
      <c r="A134" s="987">
        <v>45536</v>
      </c>
      <c r="B134" s="441"/>
      <c r="E134">
        <f>'Gas Data'!AM78</f>
        <v>405043</v>
      </c>
      <c r="G134" s="417">
        <f>IF(ISNUMBER('LTHW Data'!AM67),('LTHW Data'!AM67)," ")</f>
        <v>2018.3999999999942</v>
      </c>
      <c r="K134" s="987">
        <v>45444</v>
      </c>
      <c r="L134" s="441"/>
      <c r="O134">
        <f t="shared" si="29"/>
        <v>315945</v>
      </c>
      <c r="Q134" s="417"/>
      <c r="R134">
        <f t="shared" si="27"/>
        <v>315945</v>
      </c>
      <c r="S134" s="1223">
        <f t="shared" ca="1" si="28"/>
        <v>3.5191870884283771E-2</v>
      </c>
    </row>
    <row r="135" spans="1:19">
      <c r="A135" s="987">
        <v>45566</v>
      </c>
      <c r="B135" s="441"/>
      <c r="E135">
        <f>'Gas Data'!AN78</f>
        <v>382578</v>
      </c>
      <c r="G135" s="417">
        <f>IF(ISNUMBER('LTHW Data'!AN67),('LTHW Data'!AN67)," ")</f>
        <v>2206.3000000000029</v>
      </c>
      <c r="K135" s="987">
        <v>45474</v>
      </c>
      <c r="L135" s="441"/>
      <c r="O135">
        <f t="shared" si="29"/>
        <v>342520</v>
      </c>
      <c r="Q135" s="417"/>
      <c r="R135">
        <f t="shared" si="27"/>
        <v>342520</v>
      </c>
      <c r="S135" s="1223">
        <f t="shared" ca="1" si="28"/>
        <v>3.4541892627680267E-2</v>
      </c>
    </row>
    <row r="136" spans="1:19">
      <c r="A136" s="987">
        <v>45597</v>
      </c>
      <c r="B136" s="441"/>
      <c r="E136">
        <f>'Gas Data'!AO78</f>
        <v>309866</v>
      </c>
      <c r="G136" s="417" t="str">
        <f>IF(ISNUMBER('LTHW Data'!AO67),('LTHW Data'!AO67)," ")</f>
        <v xml:space="preserve"> </v>
      </c>
      <c r="K136" s="988">
        <v>45505</v>
      </c>
      <c r="L136" s="441"/>
      <c r="O136">
        <f t="shared" si="29"/>
        <v>362369</v>
      </c>
      <c r="Q136" s="417"/>
      <c r="R136">
        <f t="shared" si="27"/>
        <v>362369</v>
      </c>
      <c r="S136" s="1223">
        <f t="shared" ca="1" si="28"/>
        <v>4.5009497560892273E-2</v>
      </c>
    </row>
    <row r="137" spans="1:19">
      <c r="A137" s="988">
        <v>45627</v>
      </c>
      <c r="B137" s="1047"/>
      <c r="C137" s="295"/>
      <c r="D137" s="295"/>
      <c r="E137" s="295" t="str">
        <f>'Gas Data'!AP78</f>
        <v xml:space="preserve"> </v>
      </c>
      <c r="F137" s="295"/>
      <c r="G137" s="494" t="str">
        <f>IF(ISNUMBER('LTHW Data'!AP67),('LTHW Data'!AP67)," ")</f>
        <v xml:space="preserve"> </v>
      </c>
      <c r="K137" s="987">
        <v>45536</v>
      </c>
      <c r="L137" s="441"/>
      <c r="O137">
        <f t="shared" si="29"/>
        <v>359128</v>
      </c>
      <c r="Q137" s="417"/>
      <c r="R137">
        <f t="shared" si="27"/>
        <v>359128</v>
      </c>
      <c r="S137" s="1223">
        <f t="shared" ca="1" si="28"/>
        <v>4.8002000726454636E-2</v>
      </c>
    </row>
    <row r="138" spans="1:19">
      <c r="A138" s="987">
        <v>45658</v>
      </c>
      <c r="E138" t="str">
        <f>'Gas Data'!AP78</f>
        <v xml:space="preserve"> </v>
      </c>
      <c r="K138" s="987">
        <v>45566</v>
      </c>
      <c r="L138" s="441"/>
      <c r="O138">
        <f t="shared" si="29"/>
        <v>405043</v>
      </c>
      <c r="Q138" s="417"/>
      <c r="R138">
        <f t="shared" si="27"/>
        <v>405043</v>
      </c>
      <c r="S138" s="1223">
        <f t="shared" ca="1" si="28"/>
        <v>6.8208267205257425E-2</v>
      </c>
    </row>
    <row r="139" spans="1:19">
      <c r="A139" s="987">
        <v>45689</v>
      </c>
      <c r="K139" s="987">
        <v>45597</v>
      </c>
      <c r="L139" s="441"/>
      <c r="O139">
        <f t="shared" si="29"/>
        <v>382578</v>
      </c>
      <c r="Q139" s="417"/>
      <c r="R139">
        <f t="shared" si="27"/>
        <v>382578</v>
      </c>
      <c r="S139" s="1223">
        <f t="shared" ca="1" si="28"/>
        <v>7.8768868530254235E-2</v>
      </c>
    </row>
    <row r="140" spans="1:19">
      <c r="A140" s="987">
        <v>45717</v>
      </c>
      <c r="K140" s="988">
        <v>45627</v>
      </c>
      <c r="L140" s="1047"/>
      <c r="M140" s="295"/>
      <c r="N140" s="295"/>
      <c r="O140" s="295" t="str">
        <f>IF(ISNUMBER(E137),E137," ")</f>
        <v xml:space="preserve"> </v>
      </c>
      <c r="P140" s="295"/>
      <c r="Q140" s="494"/>
      <c r="R140" t="str">
        <f t="shared" si="27"/>
        <v xml:space="preserve"> </v>
      </c>
      <c r="S140" s="1223" t="str">
        <f t="shared" ca="1" si="28"/>
        <v xml:space="preserve"> </v>
      </c>
    </row>
    <row r="141" spans="1:19">
      <c r="A141" s="988">
        <v>45748</v>
      </c>
      <c r="K141" s="473" t="s">
        <v>15</v>
      </c>
      <c r="L141">
        <f>IF(ISNUMBER(L129),SUM(L129:L140)," ")</f>
        <v>5301711.608</v>
      </c>
      <c r="M141">
        <f>IF(ISNUMBER(M129),SUM(M129:M140)," ")</f>
        <v>4055770</v>
      </c>
      <c r="N141">
        <f t="shared" ref="N141:Q141" ca="1" si="30">IF(ISNUMBER(N129),SUM(N129:N140)," ")</f>
        <v>3140506.1864406783</v>
      </c>
      <c r="O141">
        <f t="shared" si="30"/>
        <v>3065589</v>
      </c>
      <c r="P141">
        <f t="shared" si="30"/>
        <v>606893.94999999995</v>
      </c>
      <c r="Q141">
        <f t="shared" si="30"/>
        <v>8882.1000000000058</v>
      </c>
      <c r="R141">
        <f t="shared" ca="1" si="27"/>
        <v>16179352.844440676</v>
      </c>
      <c r="S141" s="1223" t="e">
        <f t="shared" ca="1" si="28"/>
        <v>#DIV/0!</v>
      </c>
    </row>
    <row r="142" spans="1:19">
      <c r="K142" t="s">
        <v>22</v>
      </c>
      <c r="L142" s="1223">
        <f>IF(ISNUMBER(L141),L141/L126," ")</f>
        <v>5417843.7745880205</v>
      </c>
      <c r="M142" s="1223">
        <f t="shared" ref="M142:Q142" si="31">IF(ISNUMBER(M141),M141/M126," ")</f>
        <v>3802703.7807958387</v>
      </c>
      <c r="N142" s="1223">
        <f t="shared" ca="1" si="31"/>
        <v>3327925.0181753174</v>
      </c>
      <c r="O142" s="1223">
        <f t="shared" si="31"/>
        <v>3556863.324839849</v>
      </c>
      <c r="P142" s="1223">
        <f t="shared" si="31"/>
        <v>590878.00449232955</v>
      </c>
      <c r="Q142" s="1223">
        <f t="shared" si="31"/>
        <v>10990.899873677909</v>
      </c>
    </row>
  </sheetData>
  <protectedRanges>
    <protectedRange sqref="W60:X60 K24:X59 K60 K61:X70" name="Range1"/>
    <protectedRange sqref="M3:X17 M18:Q18 S18:X18 K3:L18" name="Range1_1"/>
  </protectedRanges>
  <customSheetViews>
    <customSheetView guid="{673E8A68-6A24-44BE-9F14-EEC413B6644E}" showPageBreaks="1" topLeftCell="A4">
      <selection activeCell="E12" sqref="E12"/>
      <pageMargins left="0" right="0" top="0" bottom="0" header="0" footer="0"/>
      <pageSetup orientation="portrait" r:id="rId1"/>
    </customSheetView>
    <customSheetView guid="{90A42C2A-6CDA-4EAF-9471-F44CF19471E9}">
      <selection activeCell="H20" sqref="H20"/>
      <pageMargins left="0" right="0" top="0" bottom="0" header="0" footer="0"/>
    </customSheetView>
  </customSheetViews>
  <conditionalFormatting sqref="B31:C31 E31:G3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C32 E32:G3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C33 E33:G3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C34 E34:G3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C35 E35:G3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C36 E36:G3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:C37 E37:G3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:C38 E38:G3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:C39 E39:G3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:C40 E40:G4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:C41 E41:G4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G30 D31:D4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G41">
    <cfRule type="colorScale" priority="2">
      <colorScale>
        <cfvo type="min"/>
        <cfvo type="max"/>
        <color rgb="FFFCFCFF"/>
        <color rgb="FFF8696B"/>
      </colorScale>
    </cfRule>
  </conditionalFormatting>
  <conditionalFormatting sqref="B43:G43">
    <cfRule type="colorScale" priority="1">
      <colorScale>
        <cfvo type="min"/>
        <cfvo type="max"/>
        <color rgb="FFFCFCFF"/>
        <color rgb="FFF8696B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8:L109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{DD15FE28-3FED-4F6F-9420-C930D0724264}</x14:id>
        </ext>
      </extLst>
    </cfRule>
  </conditionalFormatting>
  <conditionalFormatting sqref="L113:L12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{9F86BED6-0A0E-49EB-B5A9-17F88425CF2A}</x14:id>
        </ext>
      </extLst>
    </cfRule>
  </conditionalFormatting>
  <conditionalFormatting sqref="M98:M109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{51C0E5A9-3106-485A-80DC-B56FA6B98C48}</x14:id>
        </ext>
      </extLst>
    </cfRule>
  </conditionalFormatting>
  <conditionalFormatting sqref="M113:M124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{4E9CBA31-B587-4F97-982D-7FF960CECCA8}</x14:id>
        </ext>
      </extLst>
    </cfRule>
  </conditionalFormatting>
  <conditionalFormatting sqref="N98:N109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{1463BACC-86F9-4D56-B9B2-DBECB5497B6D}</x14:id>
        </ext>
      </extLst>
    </cfRule>
  </conditionalFormatting>
  <conditionalFormatting sqref="N113:N12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{55CE0647-D27D-4DC2-BD1B-CE12FE7786AD}</x14:id>
        </ext>
      </extLst>
    </cfRule>
  </conditionalFormatting>
  <conditionalFormatting sqref="O98:O109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{B3C9609E-3A8C-435D-8862-2E011574BC60}</x14:id>
        </ext>
      </extLst>
    </cfRule>
  </conditionalFormatting>
  <conditionalFormatting sqref="O113:O124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{7D08B8C3-78DE-4179-9F96-8AE6A95232A2}</x14:id>
        </ext>
      </extLst>
    </cfRule>
  </conditionalFormatting>
  <conditionalFormatting sqref="P98:P109">
    <cfRule type="dataBar" priority="6">
      <dataBar>
        <cfvo type="min"/>
        <cfvo type="max"/>
        <color theme="2" tint="-0.249977111117893"/>
      </dataBar>
      <extLst>
        <ext xmlns:x14="http://schemas.microsoft.com/office/spreadsheetml/2009/9/main" uri="{B025F937-C7B1-47D3-B67F-A62EFF666E3E}">
          <x14:id>{AD93474B-86EC-4AF5-90FA-AB025250449C}</x14:id>
        </ext>
      </extLst>
    </cfRule>
  </conditionalFormatting>
  <conditionalFormatting sqref="P113:P124">
    <cfRule type="dataBar" priority="5">
      <dataBar>
        <cfvo type="min"/>
        <cfvo type="max"/>
        <color theme="2" tint="-0.249977111117893"/>
      </dataBar>
      <extLst>
        <ext xmlns:x14="http://schemas.microsoft.com/office/spreadsheetml/2009/9/main" uri="{B025F937-C7B1-47D3-B67F-A62EFF666E3E}">
          <x14:id>{812E37D2-C5B7-4570-84FE-C0D08F3C37D2}</x14:id>
        </ext>
      </extLst>
    </cfRule>
  </conditionalFormatting>
  <conditionalFormatting sqref="Q98:Q109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{F314D27F-8566-4941-B2A9-E587C5DDCD5E}</x14:id>
        </ext>
      </extLst>
    </cfRule>
  </conditionalFormatting>
  <conditionalFormatting sqref="Q113:Q124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{3DB7CA86-5BB0-4347-88FC-2047F3D53576}</x14:id>
        </ext>
      </extLst>
    </cfRule>
  </conditionalFormatting>
  <pageMargins left="0.7" right="0.7" top="0.75" bottom="0.75" header="0.3" footer="0.3"/>
  <pageSetup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15FE28-3FED-4F6F-9420-C930D0724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L98:L109</xm:sqref>
        </x14:conditionalFormatting>
        <x14:conditionalFormatting xmlns:xm="http://schemas.microsoft.com/office/excel/2006/main">
          <x14:cfRule type="dataBar" id="{9F86BED6-0A0E-49EB-B5A9-17F88425CF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L113:L124</xm:sqref>
        </x14:conditionalFormatting>
        <x14:conditionalFormatting xmlns:xm="http://schemas.microsoft.com/office/excel/2006/main">
          <x14:cfRule type="dataBar" id="{51C0E5A9-3106-485A-80DC-B56FA6B98C4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M98:M109</xm:sqref>
        </x14:conditionalFormatting>
        <x14:conditionalFormatting xmlns:xm="http://schemas.microsoft.com/office/excel/2006/main">
          <x14:cfRule type="dataBar" id="{4E9CBA31-B587-4F97-982D-7FF960CECCA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M113:M124</xm:sqref>
        </x14:conditionalFormatting>
        <x14:conditionalFormatting xmlns:xm="http://schemas.microsoft.com/office/excel/2006/main">
          <x14:cfRule type="dataBar" id="{1463BACC-86F9-4D56-B9B2-DBECB5497B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N98:N109</xm:sqref>
        </x14:conditionalFormatting>
        <x14:conditionalFormatting xmlns:xm="http://schemas.microsoft.com/office/excel/2006/main">
          <x14:cfRule type="dataBar" id="{55CE0647-D27D-4DC2-BD1B-CE12FE7786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N113:N124</xm:sqref>
        </x14:conditionalFormatting>
        <x14:conditionalFormatting xmlns:xm="http://schemas.microsoft.com/office/excel/2006/main">
          <x14:cfRule type="dataBar" id="{B3C9609E-3A8C-435D-8862-2E011574BC6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O98:O109</xm:sqref>
        </x14:conditionalFormatting>
        <x14:conditionalFormatting xmlns:xm="http://schemas.microsoft.com/office/excel/2006/main">
          <x14:cfRule type="dataBar" id="{7D08B8C3-78DE-4179-9F96-8AE6A95232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O113:O124</xm:sqref>
        </x14:conditionalFormatting>
        <x14:conditionalFormatting xmlns:xm="http://schemas.microsoft.com/office/excel/2006/main">
          <x14:cfRule type="dataBar" id="{AD93474B-86EC-4AF5-90FA-AB025250449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P98:P109</xm:sqref>
        </x14:conditionalFormatting>
        <x14:conditionalFormatting xmlns:xm="http://schemas.microsoft.com/office/excel/2006/main">
          <x14:cfRule type="dataBar" id="{812E37D2-C5B7-4570-84FE-C0D08F3C37D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P113:P124</xm:sqref>
        </x14:conditionalFormatting>
        <x14:conditionalFormatting xmlns:xm="http://schemas.microsoft.com/office/excel/2006/main">
          <x14:cfRule type="dataBar" id="{F314D27F-8566-4941-B2A9-E587C5DDCD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Q98:Q109</xm:sqref>
        </x14:conditionalFormatting>
        <x14:conditionalFormatting xmlns:xm="http://schemas.microsoft.com/office/excel/2006/main">
          <x14:cfRule type="dataBar" id="{3DB7CA86-5BB0-4347-88FC-2047F3D5357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Q113:Q124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0:AQ81"/>
  <sheetViews>
    <sheetView topLeftCell="A16" zoomScaleNormal="100" workbookViewId="0" xr3:uid="{842E5F09-E766-5B8D-85AF-A39847EA96FD}">
      <pane xSplit="4" topLeftCell="AC1" activePane="topRight" state="frozen"/>
      <selection pane="topRight" activeCell="AJ19" sqref="AJ19"/>
      <selection activeCell="A7" sqref="A7"/>
    </sheetView>
  </sheetViews>
  <sheetFormatPr defaultRowHeight="13.15"/>
  <cols>
    <col min="1" max="1" width="31.7109375" customWidth="1"/>
    <col min="2" max="2" width="47.7109375" bestFit="1" customWidth="1"/>
    <col min="3" max="3" width="19.85546875" bestFit="1" customWidth="1"/>
    <col min="4" max="4" width="8.7109375" bestFit="1" customWidth="1"/>
    <col min="5" max="5" width="10.7109375" customWidth="1"/>
    <col min="6" max="6" width="12.5703125" bestFit="1" customWidth="1"/>
    <col min="7" max="7" width="10.5703125" customWidth="1"/>
    <col min="8" max="8" width="9.5703125" customWidth="1"/>
    <col min="9" max="16" width="10.85546875" customWidth="1"/>
    <col min="17" max="17" width="9.5703125" bestFit="1" customWidth="1"/>
    <col min="18" max="18" width="12.28515625" customWidth="1"/>
    <col min="19" max="19" width="11.7109375" bestFit="1" customWidth="1"/>
    <col min="24" max="24" width="12.7109375" customWidth="1"/>
    <col min="32" max="32" width="11.42578125" customWidth="1"/>
    <col min="34" max="34" width="32.28515625" bestFit="1" customWidth="1"/>
  </cols>
  <sheetData>
    <row r="10" spans="1:18">
      <c r="C10" s="473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</row>
    <row r="11" spans="1:18">
      <c r="C11" s="35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</row>
    <row r="12" spans="1:18" ht="13.9">
      <c r="A12" s="35"/>
      <c r="B12" s="35"/>
      <c r="C12" s="228"/>
    </row>
    <row r="13" spans="1:18" ht="13.9">
      <c r="C13" s="228"/>
    </row>
    <row r="14" spans="1:18" ht="13.9">
      <c r="C14" s="228"/>
    </row>
    <row r="15" spans="1:18" ht="13.9">
      <c r="C15" s="228"/>
    </row>
    <row r="16" spans="1:18" ht="13.9">
      <c r="C16" s="228"/>
    </row>
    <row r="17" spans="1:43" ht="13.9">
      <c r="C17" s="228"/>
    </row>
    <row r="18" spans="1:43" ht="13.9">
      <c r="C18" s="228"/>
    </row>
    <row r="19" spans="1:43" ht="13.9">
      <c r="C19" s="228"/>
    </row>
    <row r="20" spans="1:43" ht="13.9">
      <c r="C20" s="228"/>
    </row>
    <row r="21" spans="1:43" ht="13.9">
      <c r="C21" s="228"/>
    </row>
    <row r="22" spans="1:43" ht="13.9">
      <c r="C22" s="228"/>
    </row>
    <row r="23" spans="1:43" ht="13.9">
      <c r="C23" s="228"/>
    </row>
    <row r="24" spans="1:43" ht="13.9">
      <c r="C24" s="228"/>
    </row>
    <row r="25" spans="1:43" ht="13.9">
      <c r="C25" s="228"/>
    </row>
    <row r="26" spans="1:43" ht="13.9">
      <c r="C26" s="228"/>
    </row>
    <row r="27" spans="1:43" ht="13.9">
      <c r="C27" s="228"/>
    </row>
    <row r="28" spans="1:43" ht="14.45">
      <c r="A28" s="806" t="s">
        <v>1462</v>
      </c>
      <c r="B28" s="806" t="s">
        <v>1463</v>
      </c>
      <c r="C28" s="806" t="s">
        <v>556</v>
      </c>
      <c r="D28" s="806" t="s">
        <v>1464</v>
      </c>
      <c r="E28" s="806" t="s">
        <v>1465</v>
      </c>
      <c r="F28" s="806" t="s">
        <v>1466</v>
      </c>
      <c r="G28" s="806" t="s">
        <v>1467</v>
      </c>
      <c r="H28" s="806" t="s">
        <v>406</v>
      </c>
      <c r="I28" s="806" t="s">
        <v>1468</v>
      </c>
      <c r="J28" s="806" t="s">
        <v>1469</v>
      </c>
      <c r="K28" s="806" t="s">
        <v>1470</v>
      </c>
      <c r="L28" s="806" t="s">
        <v>1471</v>
      </c>
      <c r="M28" s="806" t="s">
        <v>1472</v>
      </c>
      <c r="N28" s="806" t="s">
        <v>1473</v>
      </c>
      <c r="O28" s="806" t="s">
        <v>1474</v>
      </c>
      <c r="P28" s="806" t="s">
        <v>1475</v>
      </c>
      <c r="Q28" s="806" t="s">
        <v>48</v>
      </c>
      <c r="R28" s="806" t="s">
        <v>49</v>
      </c>
      <c r="S28" s="806" t="s">
        <v>50</v>
      </c>
      <c r="T28" s="806" t="s">
        <v>51</v>
      </c>
      <c r="U28" s="806" t="s">
        <v>420</v>
      </c>
      <c r="V28" s="806" t="s">
        <v>53</v>
      </c>
      <c r="W28" s="806" t="s">
        <v>54</v>
      </c>
      <c r="X28" s="806" t="s">
        <v>55</v>
      </c>
      <c r="Y28" s="806" t="s">
        <v>56</v>
      </c>
      <c r="Z28" s="806" t="s">
        <v>57</v>
      </c>
      <c r="AA28" s="806" t="s">
        <v>58</v>
      </c>
      <c r="AB28" s="806" t="s">
        <v>59</v>
      </c>
      <c r="AC28" s="806" t="s">
        <v>60</v>
      </c>
      <c r="AD28" s="806" t="s">
        <v>61</v>
      </c>
      <c r="AE28" s="806" t="s">
        <v>62</v>
      </c>
      <c r="AF28" s="806" t="s">
        <v>63</v>
      </c>
      <c r="AG28" s="806" t="s">
        <v>64</v>
      </c>
      <c r="AH28" s="806" t="s">
        <v>65</v>
      </c>
      <c r="AI28" s="806" t="s">
        <v>66</v>
      </c>
      <c r="AJ28" s="806" t="s">
        <v>67</v>
      </c>
      <c r="AK28" s="806" t="s">
        <v>68</v>
      </c>
      <c r="AL28" s="806" t="s">
        <v>69</v>
      </c>
      <c r="AM28" s="806" t="s">
        <v>70</v>
      </c>
      <c r="AN28" s="806" t="s">
        <v>71</v>
      </c>
      <c r="AO28" s="806" t="s">
        <v>1476</v>
      </c>
      <c r="AP28" s="806" t="s">
        <v>1477</v>
      </c>
      <c r="AQ28" s="806" t="s">
        <v>1478</v>
      </c>
    </row>
    <row r="29" spans="1:43" ht="15.6">
      <c r="A29" s="361" t="s">
        <v>1479</v>
      </c>
      <c r="B29" s="805" t="s">
        <v>1480</v>
      </c>
      <c r="C29" s="805" t="s">
        <v>1481</v>
      </c>
      <c r="D29" s="973">
        <v>45</v>
      </c>
      <c r="E29" s="973">
        <v>44</v>
      </c>
      <c r="F29" s="973">
        <v>40</v>
      </c>
      <c r="G29" s="973">
        <v>46.700000000000045</v>
      </c>
      <c r="H29" s="973">
        <v>44.200000000000045</v>
      </c>
      <c r="I29" s="973">
        <v>47.799999999999955</v>
      </c>
      <c r="J29" s="973">
        <v>44.099999999999909</v>
      </c>
      <c r="K29" s="973">
        <v>46.5</v>
      </c>
      <c r="L29" s="973">
        <v>46.900000000000091</v>
      </c>
      <c r="M29" s="973">
        <v>45.799999999999955</v>
      </c>
      <c r="N29" s="973">
        <v>46.599999999999909</v>
      </c>
      <c r="O29" s="974">
        <v>43.800000000000182</v>
      </c>
      <c r="P29" s="973">
        <f>IF(ISNUMBER(P48),P48-O48," ")</f>
        <v>43.165959960939972</v>
      </c>
      <c r="Q29" s="973">
        <f t="shared" ref="Q29:AB29" si="0">IF(ISNUMBER(Q48),Q48-P48," ")</f>
        <v>43.619000000000142</v>
      </c>
      <c r="R29" s="973">
        <f t="shared" si="0"/>
        <v>40.282999999999902</v>
      </c>
      <c r="S29" s="973">
        <f t="shared" si="0"/>
        <v>49.092000000000098</v>
      </c>
      <c r="T29" s="973">
        <f t="shared" si="0"/>
        <v>45.308057617189888</v>
      </c>
      <c r="U29" s="973">
        <f t="shared" si="0"/>
        <v>50.146942382810039</v>
      </c>
      <c r="V29" s="973">
        <f t="shared" si="0"/>
        <v>46.04099999999994</v>
      </c>
      <c r="W29" s="973">
        <f t="shared" si="0"/>
        <v>49.777000000000044</v>
      </c>
      <c r="X29" s="973">
        <f t="shared" si="0"/>
        <v>50.34699999999998</v>
      </c>
      <c r="Y29" s="973">
        <f t="shared" si="0"/>
        <v>47.339058593749996</v>
      </c>
      <c r="Z29" s="973">
        <f t="shared" si="0"/>
        <v>49.471941406250153</v>
      </c>
      <c r="AA29" s="973">
        <f t="shared" si="0"/>
        <v>45.876999999999953</v>
      </c>
      <c r="AB29" s="973">
        <f t="shared" si="0"/>
        <v>44.686999999999898</v>
      </c>
      <c r="AC29" s="973">
        <f t="shared" ref="AC29" si="1">IF(ISNUMBER(AC48),AC48-AB48," ")</f>
        <v>48.003999999999905</v>
      </c>
      <c r="AD29" s="973">
        <f t="shared" ref="AD29" si="2">IF(ISNUMBER(AD48),AD48-AC48," ")</f>
        <v>46.670020000000022</v>
      </c>
      <c r="AE29" s="973">
        <f t="shared" ref="AE29" si="3">IF(ISNUMBER(AE48),AE48-AD48," ")</f>
        <v>54.166015000000243</v>
      </c>
      <c r="AF29" s="973">
        <f t="shared" ref="AF29" si="4">IF(ISNUMBER(AF48),AF48-AE48," ")</f>
        <v>54.457030999999915</v>
      </c>
      <c r="AG29" s="973">
        <f t="shared" ref="AG29" si="5">IF(ISNUMBER(AG48),AG48-AF48," ")</f>
        <v>57.634033999999701</v>
      </c>
      <c r="AH29" s="973">
        <f t="shared" ref="AH29" si="6">IF(ISNUMBER(AH48),AH48-AG48," ")</f>
        <v>49.778076000000056</v>
      </c>
      <c r="AI29" s="973">
        <f t="shared" ref="AI29" si="7">IF(ISNUMBER(AI48),AI48-AH48," ")</f>
        <v>54.156981999999971</v>
      </c>
      <c r="AJ29" s="973">
        <f t="shared" ref="AJ29" si="8">IF(ISNUMBER(AJ48),AJ48-AI48," ")</f>
        <v>54.147949000000153</v>
      </c>
      <c r="AK29" s="973">
        <f t="shared" ref="AK29:AM29" si="9">IF(ISNUMBER(AK48),AK48-AJ48," ")</f>
        <v>51.758057000000008</v>
      </c>
      <c r="AL29" s="973">
        <f t="shared" si="9"/>
        <v>54.74902400000019</v>
      </c>
      <c r="AM29" s="973" t="str">
        <f t="shared" si="9"/>
        <v xml:space="preserve"> </v>
      </c>
      <c r="AN29" s="973" t="str">
        <f t="shared" ref="AN29" si="10">IF(ISNUMBER(AN48),AN48-AM48," ")</f>
        <v xml:space="preserve"> </v>
      </c>
      <c r="AO29" s="973" t="str">
        <f t="shared" ref="AO29" si="11">IF(ISNUMBER(AO48),AO48-AN48," ")</f>
        <v xml:space="preserve"> </v>
      </c>
      <c r="AP29" s="973" t="str">
        <f t="shared" ref="AP29" si="12">IF(ISNUMBER(AP48),AP48-AO48," ")</f>
        <v xml:space="preserve"> </v>
      </c>
      <c r="AQ29" s="973" t="str">
        <f t="shared" ref="AQ29" si="13">IF(ISNUMBER(AQ48),AQ48-AP48," ")</f>
        <v xml:space="preserve"> </v>
      </c>
    </row>
    <row r="30" spans="1:43" s="473" customFormat="1" ht="15.6">
      <c r="A30" s="356" t="s">
        <v>1482</v>
      </c>
      <c r="B30" s="975" t="s">
        <v>1483</v>
      </c>
      <c r="C30" s="975" t="s">
        <v>1481</v>
      </c>
      <c r="D30" s="976">
        <v>35296</v>
      </c>
      <c r="E30" s="976">
        <v>30498</v>
      </c>
      <c r="F30" s="976">
        <v>28011</v>
      </c>
      <c r="G30" s="976">
        <v>29887</v>
      </c>
      <c r="H30" s="976">
        <v>27212</v>
      </c>
      <c r="I30" s="976">
        <v>30530.699999999953</v>
      </c>
      <c r="J30" s="976">
        <v>24812.600000000093</v>
      </c>
      <c r="K30" s="976">
        <v>26121.699999999953</v>
      </c>
      <c r="L30" s="976">
        <v>27368.400000000023</v>
      </c>
      <c r="M30" s="976">
        <v>27537</v>
      </c>
      <c r="N30" s="976">
        <v>28243.79999999993</v>
      </c>
      <c r="O30" s="977">
        <v>24546.300000000047</v>
      </c>
      <c r="P30" s="976">
        <f t="shared" ref="P30:AB30" si="14">IF(ISNUMBER(P52),P52-O52," ")</f>
        <v>23068</v>
      </c>
      <c r="Q30" s="976">
        <f t="shared" si="14"/>
        <v>24508.5</v>
      </c>
      <c r="R30" s="976">
        <f t="shared" si="14"/>
        <v>23678</v>
      </c>
      <c r="S30" s="976">
        <f t="shared" si="14"/>
        <v>31348</v>
      </c>
      <c r="T30" s="976">
        <f t="shared" si="14"/>
        <v>28592.375</v>
      </c>
      <c r="U30" s="976">
        <f t="shared" si="14"/>
        <v>30546.625</v>
      </c>
      <c r="V30" s="976">
        <f t="shared" si="14"/>
        <v>25894</v>
      </c>
      <c r="W30" s="976">
        <f t="shared" si="14"/>
        <v>28614</v>
      </c>
      <c r="X30" s="976">
        <f t="shared" si="14"/>
        <v>30012</v>
      </c>
      <c r="Y30" s="976">
        <f t="shared" si="14"/>
        <v>26543.125</v>
      </c>
      <c r="Z30" s="976">
        <f t="shared" si="14"/>
        <v>26874.875</v>
      </c>
      <c r="AA30" s="976">
        <f t="shared" si="14"/>
        <v>25057</v>
      </c>
      <c r="AB30" s="976">
        <f t="shared" si="14"/>
        <v>23100</v>
      </c>
      <c r="AC30" s="976">
        <f t="shared" ref="AC30:AC31" si="15">IF(ISNUMBER(AC52),AC52-AB52," ")</f>
        <v>26608</v>
      </c>
      <c r="AD30" s="976">
        <f t="shared" ref="AD30:AD31" si="16">IF(ISNUMBER(AD52),AD52-AC52," ")</f>
        <v>24798.375</v>
      </c>
      <c r="AE30" s="976" t="str">
        <f t="shared" ref="AE30:AE31" si="17">IF(ISNUMBER(AE52),AE52-AD52," ")</f>
        <v xml:space="preserve"> </v>
      </c>
      <c r="AF30" s="976">
        <f t="shared" ref="AF30:AF31" si="18">IF(ISNUMBER(AF52),AF52-AE52," ")</f>
        <v>1407819.125</v>
      </c>
      <c r="AG30" s="976">
        <f t="shared" ref="AG30:AG31" si="19">IF(ISNUMBER(AG52),AG52-AF52," ")</f>
        <v>27977</v>
      </c>
      <c r="AH30" s="976">
        <f t="shared" ref="AH30:AH31" si="20">IF(ISNUMBER(AH52),AH52-AG52," ")</f>
        <v>22526.375</v>
      </c>
      <c r="AI30" s="976">
        <f t="shared" ref="AI30:AI31" si="21">IF(ISNUMBER(AI52),AI52-AH52," ")</f>
        <v>26469.125</v>
      </c>
      <c r="AJ30" s="976">
        <f t="shared" ref="AJ30:AJ31" si="22">IF(ISNUMBER(AJ52),AJ52-AI52," ")</f>
        <v>28236.875</v>
      </c>
      <c r="AK30" s="976">
        <f t="shared" ref="AK30:AM31" si="23">IF(ISNUMBER(AK52),AK52-AJ52," ")</f>
        <v>26007.375</v>
      </c>
      <c r="AL30" s="976">
        <f t="shared" si="23"/>
        <v>28080.75</v>
      </c>
      <c r="AM30" s="976" t="str">
        <f t="shared" si="23"/>
        <v xml:space="preserve"> </v>
      </c>
      <c r="AN30" s="976" t="str">
        <f t="shared" ref="AN30:AN31" si="24">IF(ISNUMBER(AN52),AN52-AM52," ")</f>
        <v xml:space="preserve"> </v>
      </c>
      <c r="AO30" s="976" t="str">
        <f t="shared" ref="AO30:AO31" si="25">IF(ISNUMBER(AO52),AO52-AN52," ")</f>
        <v xml:space="preserve"> </v>
      </c>
      <c r="AP30" s="976" t="str">
        <f t="shared" ref="AP30:AP31" si="26">IF(ISNUMBER(AP52),AP52-AO52," ")</f>
        <v xml:space="preserve"> </v>
      </c>
      <c r="AQ30" s="976" t="str">
        <f t="shared" ref="AQ30:AQ31" si="27">IF(ISNUMBER(AQ52),AQ52-AP52," ")</f>
        <v xml:space="preserve"> </v>
      </c>
    </row>
    <row r="31" spans="1:43" ht="15.6">
      <c r="A31" s="361" t="s">
        <v>1484</v>
      </c>
      <c r="B31" s="805" t="s">
        <v>1485</v>
      </c>
      <c r="C31" s="805" t="s">
        <v>1481</v>
      </c>
      <c r="D31" s="973">
        <v>8275</v>
      </c>
      <c r="E31" s="973">
        <v>7976</v>
      </c>
      <c r="F31" s="973">
        <v>6892</v>
      </c>
      <c r="G31" s="973">
        <v>6321.7000000000116</v>
      </c>
      <c r="H31" s="973">
        <v>6071.2999999999884</v>
      </c>
      <c r="I31" s="973">
        <v>6696</v>
      </c>
      <c r="J31" s="973">
        <v>6338.6000000000058</v>
      </c>
      <c r="K31" s="973">
        <v>6648</v>
      </c>
      <c r="L31" s="973">
        <v>6531.5</v>
      </c>
      <c r="M31" s="973">
        <v>6231.7999999999884</v>
      </c>
      <c r="N31" s="973">
        <v>6224</v>
      </c>
      <c r="O31" s="974">
        <v>6077</v>
      </c>
      <c r="P31" s="973">
        <f t="shared" ref="P31:AB31" si="28">IF(ISNUMBER(P53),P53-O53," ")</f>
        <v>5855.2468750000116</v>
      </c>
      <c r="Q31" s="973">
        <f t="shared" si="28"/>
        <v>6290.7999999999884</v>
      </c>
      <c r="R31" s="973">
        <f t="shared" si="28"/>
        <v>5735.2000000000116</v>
      </c>
      <c r="S31" s="1076">
        <f t="shared" si="28"/>
        <v>6549.5</v>
      </c>
      <c r="T31" s="1076">
        <f t="shared" si="28"/>
        <v>6520.5812499999884</v>
      </c>
      <c r="U31" s="1076">
        <f t="shared" si="28"/>
        <v>7183.21875</v>
      </c>
      <c r="V31" s="1076">
        <f t="shared" si="28"/>
        <v>6355.7999999999884</v>
      </c>
      <c r="W31" s="1076">
        <f t="shared" si="28"/>
        <v>6705.2999999999884</v>
      </c>
      <c r="X31" s="1076">
        <f t="shared" si="28"/>
        <v>6644.6000000000349</v>
      </c>
      <c r="Y31" s="1076">
        <f t="shared" si="28"/>
        <v>6276.8312499999884</v>
      </c>
      <c r="Z31" s="1076">
        <f t="shared" si="28"/>
        <v>6312.3687500000233</v>
      </c>
      <c r="AA31" s="1076">
        <f t="shared" si="28"/>
        <v>5875.7999999999884</v>
      </c>
      <c r="AB31" s="1076">
        <f t="shared" si="28"/>
        <v>5784.8999999999651</v>
      </c>
      <c r="AC31" s="1076">
        <f t="shared" si="15"/>
        <v>5775.4000000000233</v>
      </c>
      <c r="AD31" s="1076">
        <f t="shared" si="16"/>
        <v>5161.2812999999733</v>
      </c>
      <c r="AE31" s="1076">
        <f t="shared" si="17"/>
        <v>5873.25</v>
      </c>
      <c r="AF31" s="1076">
        <f t="shared" si="18"/>
        <v>5805.3125</v>
      </c>
      <c r="AG31" s="1076">
        <f t="shared" si="19"/>
        <v>6573.5312000000267</v>
      </c>
      <c r="AH31" s="1076">
        <f t="shared" si="20"/>
        <v>6103.875</v>
      </c>
      <c r="AI31" s="1076">
        <f t="shared" si="21"/>
        <v>6648.7187999999733</v>
      </c>
      <c r="AJ31" s="1076">
        <f t="shared" si="22"/>
        <v>6619.5</v>
      </c>
      <c r="AK31" s="1076">
        <f t="shared" si="23"/>
        <v>6028.4687000000267</v>
      </c>
      <c r="AL31" s="1076">
        <f t="shared" si="23"/>
        <v>6278.3437999999733</v>
      </c>
      <c r="AM31" s="1076" t="str">
        <f t="shared" si="23"/>
        <v xml:space="preserve"> </v>
      </c>
      <c r="AN31" s="1076" t="str">
        <f t="shared" si="24"/>
        <v xml:space="preserve"> </v>
      </c>
      <c r="AO31" s="1076" t="str">
        <f t="shared" si="25"/>
        <v xml:space="preserve"> </v>
      </c>
      <c r="AP31" s="1076" t="str">
        <f t="shared" si="26"/>
        <v xml:space="preserve"> </v>
      </c>
      <c r="AQ31" s="1076" t="str">
        <f t="shared" si="27"/>
        <v xml:space="preserve"> </v>
      </c>
    </row>
    <row r="32" spans="1:43" ht="15.6">
      <c r="A32" s="361" t="s">
        <v>1486</v>
      </c>
      <c r="B32" s="805" t="s">
        <v>1487</v>
      </c>
      <c r="C32" s="805" t="s">
        <v>1481</v>
      </c>
      <c r="D32" s="973">
        <v>6195</v>
      </c>
      <c r="E32" s="973">
        <v>6584</v>
      </c>
      <c r="F32" s="973">
        <v>6336</v>
      </c>
      <c r="G32" s="973">
        <v>5359.6000000000058</v>
      </c>
      <c r="H32" s="973">
        <v>3708.3999999999942</v>
      </c>
      <c r="I32" s="973">
        <v>2462</v>
      </c>
      <c r="J32" s="973">
        <v>1220.5</v>
      </c>
      <c r="K32" s="973">
        <v>1126.8000000000029</v>
      </c>
      <c r="L32" s="973">
        <v>1382.3999999999942</v>
      </c>
      <c r="M32" s="973">
        <v>1660.5</v>
      </c>
      <c r="N32" s="973">
        <v>2360.1999999999971</v>
      </c>
      <c r="O32" s="974">
        <v>3186.1000000000058</v>
      </c>
      <c r="P32" s="973">
        <f t="shared" ref="P32:AA32" si="29">IF(ISNUMBER(P51),P51-O51," ")</f>
        <v>3969.2843750000029</v>
      </c>
      <c r="Q32" s="973">
        <f t="shared" si="29"/>
        <v>4903.1999999999971</v>
      </c>
      <c r="R32" s="973">
        <f t="shared" si="29"/>
        <v>4599.5</v>
      </c>
      <c r="S32" s="1076">
        <f t="shared" si="29"/>
        <v>4623.6999999999971</v>
      </c>
      <c r="T32" s="1076">
        <f t="shared" si="29"/>
        <v>3563.6671875000029</v>
      </c>
      <c r="U32" s="1076">
        <f t="shared" si="29"/>
        <v>2728.7328125000058</v>
      </c>
      <c r="V32" s="1076">
        <f t="shared" si="29"/>
        <v>1067.2999999999884</v>
      </c>
      <c r="W32" s="1076">
        <f t="shared" si="29"/>
        <v>1104.9000000000087</v>
      </c>
      <c r="X32" s="1076">
        <f t="shared" si="29"/>
        <v>1174</v>
      </c>
      <c r="Y32" s="1076">
        <f t="shared" si="29"/>
        <v>1360.7859374999971</v>
      </c>
      <c r="Z32" s="1076">
        <f t="shared" si="29"/>
        <v>2086.5140625000058</v>
      </c>
      <c r="AA32" s="1076">
        <f t="shared" si="29"/>
        <v>3000.6999999999825</v>
      </c>
      <c r="AB32" s="1076">
        <f>IF(ISNUMBER(AB51),AB51-AA51," ")</f>
        <v>3895.4000000000233</v>
      </c>
      <c r="AC32" s="1076">
        <f t="shared" ref="AC32:AI32" si="30">IF(ISNUMBER(AC51),AC51-AB51," ")</f>
        <v>6999.5999999999767</v>
      </c>
      <c r="AD32" s="1076">
        <f t="shared" si="30"/>
        <v>5336.6843999999983</v>
      </c>
      <c r="AE32" s="1076">
        <f t="shared" si="30"/>
        <v>4119.4062000000267</v>
      </c>
      <c r="AF32" s="1076">
        <f t="shared" si="30"/>
        <v>3182.7968999999866</v>
      </c>
      <c r="AG32" s="1076">
        <f t="shared" si="30"/>
        <v>1781.7656000000134</v>
      </c>
      <c r="AH32" s="1076">
        <f t="shared" si="30"/>
        <v>1141.6093999999866</v>
      </c>
      <c r="AI32" s="1076">
        <f t="shared" si="30"/>
        <v>1134.7031000000134</v>
      </c>
      <c r="AJ32" s="1076">
        <f t="shared" ref="AJ32" si="31">IF(ISNUMBER(AJ51),AJ51-AI51," ")</f>
        <v>1432.9375</v>
      </c>
      <c r="AK32" s="1076">
        <f t="shared" ref="AK32:AM32" si="32">IF(ISNUMBER(AK51),AK51-AJ51," ")</f>
        <v>1682.5937999999733</v>
      </c>
      <c r="AL32" s="1076">
        <f t="shared" si="32"/>
        <v>2558.3906000000134</v>
      </c>
      <c r="AM32" s="1076" t="str">
        <f t="shared" si="32"/>
        <v xml:space="preserve"> </v>
      </c>
      <c r="AN32" s="1076" t="str">
        <f t="shared" ref="AN32" si="33">IF(ISNUMBER(AN51),AN51-AM51," ")</f>
        <v xml:space="preserve"> </v>
      </c>
      <c r="AO32" s="1076" t="str">
        <f t="shared" ref="AO32" si="34">IF(ISNUMBER(AO51),AO51-AN51," ")</f>
        <v xml:space="preserve"> </v>
      </c>
      <c r="AP32" s="1076" t="str">
        <f t="shared" ref="AP32" si="35">IF(ISNUMBER(AP51),AP51-AO51," ")</f>
        <v xml:space="preserve"> </v>
      </c>
      <c r="AQ32" s="1076" t="str">
        <f t="shared" ref="AQ32" si="36">IF(ISNUMBER(AQ51),AQ51-AP51," ")</f>
        <v xml:space="preserve"> </v>
      </c>
    </row>
    <row r="33" spans="1:43" ht="15.6">
      <c r="A33" s="361" t="s">
        <v>1488</v>
      </c>
      <c r="B33" s="805" t="s">
        <v>1489</v>
      </c>
      <c r="C33" s="805" t="s">
        <v>1481</v>
      </c>
      <c r="D33" s="973">
        <v>1850</v>
      </c>
      <c r="E33" s="973">
        <v>1806</v>
      </c>
      <c r="F33" s="973">
        <v>1544</v>
      </c>
      <c r="G33" s="973">
        <v>1161.3000000000029</v>
      </c>
      <c r="H33" s="973">
        <v>1589.6999999999971</v>
      </c>
      <c r="I33" s="973">
        <v>2276.3000000000029</v>
      </c>
      <c r="J33" s="973">
        <v>2931.3999999999942</v>
      </c>
      <c r="K33" s="973">
        <v>3046.6000000000058</v>
      </c>
      <c r="L33" s="973">
        <v>3099.5</v>
      </c>
      <c r="M33" s="973">
        <v>2798.1999999999971</v>
      </c>
      <c r="N33" s="973">
        <v>2330.6000000000058</v>
      </c>
      <c r="O33" s="974">
        <v>1765.2999999999884</v>
      </c>
      <c r="P33" s="973">
        <f t="shared" ref="P33:AB33" si="37">IF(ISNUMBER(P50),P50-O50," ")</f>
        <v>1379.5390625</v>
      </c>
      <c r="Q33" s="973">
        <f t="shared" si="37"/>
        <v>1357.5</v>
      </c>
      <c r="R33" s="973">
        <f t="shared" si="37"/>
        <v>1243.4100000000035</v>
      </c>
      <c r="S33" s="1076">
        <f t="shared" si="37"/>
        <v>1594.179999999993</v>
      </c>
      <c r="T33" s="1076">
        <f t="shared" si="37"/>
        <v>1726.2225000000035</v>
      </c>
      <c r="U33" s="1076">
        <f t="shared" si="37"/>
        <v>2311.8175000000047</v>
      </c>
      <c r="V33" s="1076">
        <f t="shared" si="37"/>
        <v>3253.2799999999988</v>
      </c>
      <c r="W33" s="1076">
        <f t="shared" si="37"/>
        <v>3888.2899999999936</v>
      </c>
      <c r="X33" s="1076">
        <f t="shared" si="37"/>
        <v>4333.5</v>
      </c>
      <c r="Y33" s="1076">
        <f t="shared" si="37"/>
        <v>2549.2609375000029</v>
      </c>
      <c r="Z33" s="1076">
        <f t="shared" si="37"/>
        <v>2195.4390624999942</v>
      </c>
      <c r="AA33" s="1076">
        <f t="shared" si="37"/>
        <v>1681.8000000000029</v>
      </c>
      <c r="AB33" s="1076">
        <f t="shared" si="37"/>
        <v>1350.9000000000087</v>
      </c>
      <c r="AC33" s="1076">
        <f t="shared" ref="AC33" si="38">IF(ISNUMBER(AC50),AC50-AB50," ")</f>
        <v>1192.8999999999942</v>
      </c>
      <c r="AD33" s="1076">
        <f t="shared" ref="AD33" si="39">IF(ISNUMBER(AD50),AD50-AC50," ")</f>
        <v>1107.125</v>
      </c>
      <c r="AE33" s="1076" t="str">
        <f t="shared" ref="AE33" si="40">IF(ISNUMBER(AE50),AE50-AD50," ")</f>
        <v xml:space="preserve"> </v>
      </c>
      <c r="AF33" s="1076">
        <f t="shared" ref="AF33" si="41">IF(ISNUMBER(AF50),AF50-AE50," ")</f>
        <v>118262.0156</v>
      </c>
      <c r="AG33" s="1076">
        <f t="shared" ref="AG33" si="42">IF(ISNUMBER(AG50),AG50-AF50," ")</f>
        <v>2911.0157000000036</v>
      </c>
      <c r="AH33" s="1076">
        <f t="shared" ref="AH33" si="43">IF(ISNUMBER(AH50),AH50-AG50," ")</f>
        <v>2819.8515000000043</v>
      </c>
      <c r="AI33" s="1076">
        <f t="shared" ref="AI33" si="44">IF(ISNUMBER(AI50),AI50-AH50," ")</f>
        <v>3572.2655999999988</v>
      </c>
      <c r="AJ33" s="1076">
        <f t="shared" ref="AJ33" si="45">IF(ISNUMBER(AJ50),AJ50-AI50," ")</f>
        <v>3158.3594000000012</v>
      </c>
      <c r="AK33" s="1076">
        <f t="shared" ref="AK33:AM33" si="46">IF(ISNUMBER(AK50),AK50-AJ50," ")</f>
        <v>2366.03909999998</v>
      </c>
      <c r="AL33" s="1076">
        <f t="shared" si="46"/>
        <v>1893.375</v>
      </c>
      <c r="AM33" s="1076" t="str">
        <f t="shared" si="46"/>
        <v xml:space="preserve"> </v>
      </c>
      <c r="AN33" s="1076" t="str">
        <f t="shared" ref="AN33" si="47">IF(ISNUMBER(AN50),AN50-AM50," ")</f>
        <v xml:space="preserve"> </v>
      </c>
      <c r="AO33" s="1076" t="str">
        <f t="shared" ref="AO33" si="48">IF(ISNUMBER(AO50),AO50-AN50," ")</f>
        <v xml:space="preserve"> </v>
      </c>
      <c r="AP33" s="1076" t="str">
        <f t="shared" ref="AP33" si="49">IF(ISNUMBER(AP50),AP50-AO50," ")</f>
        <v xml:space="preserve"> </v>
      </c>
      <c r="AQ33" s="1076" t="str">
        <f t="shared" ref="AQ33" si="50">IF(ISNUMBER(AQ50),AQ50-AP50," ")</f>
        <v xml:space="preserve"> </v>
      </c>
    </row>
    <row r="34" spans="1:43" ht="15.6">
      <c r="A34" s="361" t="s">
        <v>1490</v>
      </c>
      <c r="B34" s="805" t="s">
        <v>1491</v>
      </c>
      <c r="C34" s="805" t="s">
        <v>1481</v>
      </c>
      <c r="D34" s="973">
        <v>5962</v>
      </c>
      <c r="E34" s="973">
        <v>3124</v>
      </c>
      <c r="F34" s="973">
        <v>3229</v>
      </c>
      <c r="G34" s="973">
        <v>5270</v>
      </c>
      <c r="H34" s="973">
        <v>4772</v>
      </c>
      <c r="I34" s="973">
        <v>6324.8999999999942</v>
      </c>
      <c r="J34" s="973">
        <v>3673.4000000000087</v>
      </c>
      <c r="K34" s="973">
        <v>3724.3000000000029</v>
      </c>
      <c r="L34" s="973">
        <v>4452</v>
      </c>
      <c r="M34" s="973">
        <v>4904.6000000000058</v>
      </c>
      <c r="N34" s="973">
        <v>5110.7999999999884</v>
      </c>
      <c r="O34" s="974">
        <v>3248.7000000000116</v>
      </c>
      <c r="P34" s="973">
        <f t="shared" ref="P34:AB34" si="51">IF(ISNUMBER(P58),P58-O58," ")</f>
        <v>2282.6499999999942</v>
      </c>
      <c r="Q34" s="973">
        <f t="shared" si="51"/>
        <v>2277.6000000000058</v>
      </c>
      <c r="R34" s="973">
        <f t="shared" si="51"/>
        <v>2388.3999999999942</v>
      </c>
      <c r="S34" s="1076">
        <f t="shared" si="51"/>
        <v>5258.1000000000058</v>
      </c>
      <c r="T34" s="1076">
        <f t="shared" si="51"/>
        <v>4455.15625</v>
      </c>
      <c r="U34" s="1076">
        <f t="shared" si="51"/>
        <v>5066.2437499999942</v>
      </c>
      <c r="V34" s="1076">
        <f t="shared" si="51"/>
        <v>3796.3999999999942</v>
      </c>
      <c r="W34" s="1076">
        <f t="shared" si="51"/>
        <v>4452.8000000000175</v>
      </c>
      <c r="X34" s="1076">
        <f t="shared" si="51"/>
        <v>5030.2999999999884</v>
      </c>
      <c r="Y34" s="1076">
        <f t="shared" si="51"/>
        <v>4582.9281250000058</v>
      </c>
      <c r="Z34" s="1076">
        <f t="shared" si="51"/>
        <v>4166.671875</v>
      </c>
      <c r="AA34" s="1076">
        <f t="shared" si="51"/>
        <v>3900.3999999999942</v>
      </c>
      <c r="AB34" s="1076">
        <f t="shared" si="51"/>
        <v>2705.1000000000058</v>
      </c>
      <c r="AC34" s="1076">
        <f t="shared" ref="AC34" si="52">IF(ISNUMBER(AC58),AC58-AB58," ")</f>
        <v>2788.8999999999942</v>
      </c>
      <c r="AD34" s="1076">
        <f t="shared" ref="AD34" si="53">IF(ISNUMBER(AD58),AD58-AC58," ")</f>
        <v>3344.7250000000058</v>
      </c>
      <c r="AE34" s="1076" t="str">
        <f t="shared" ref="AE34" si="54">IF(ISNUMBER(AE58),AE58-AD58," ")</f>
        <v xml:space="preserve"> </v>
      </c>
      <c r="AF34" s="1076">
        <f t="shared" ref="AF34" si="55">IF(ISNUMBER(AF58),AF58-AE58," ")</f>
        <v>213856.6563</v>
      </c>
      <c r="AG34" s="1076">
        <f t="shared" ref="AG34" si="56">IF(ISNUMBER(AG58),AG58-AF58," ")</f>
        <v>4364.7655999999843</v>
      </c>
      <c r="AH34" s="1076">
        <f t="shared" ref="AH34" si="57">IF(ISNUMBER(AH58),AH58-AG58," ")</f>
        <v>2831.8594000000157</v>
      </c>
      <c r="AI34" s="1076">
        <f t="shared" ref="AI34" si="58">IF(ISNUMBER(AI58),AI58-AH58," ")</f>
        <v>3554.8280999999843</v>
      </c>
      <c r="AJ34" s="1076">
        <f t="shared" ref="AJ34" si="59">IF(ISNUMBER(AJ58),AJ58-AI58," ")</f>
        <v>4072.0781000000134</v>
      </c>
      <c r="AK34" s="1076">
        <f t="shared" ref="AK34:AM34" si="60">IF(ISNUMBER(AK58),AK58-AJ58," ")</f>
        <v>3755.4375</v>
      </c>
      <c r="AL34" s="1076">
        <f t="shared" si="60"/>
        <v>3963.4218999999866</v>
      </c>
      <c r="AM34" s="1076" t="str">
        <f t="shared" si="60"/>
        <v xml:space="preserve"> </v>
      </c>
      <c r="AN34" s="1076" t="str">
        <f t="shared" ref="AN34" si="61">IF(ISNUMBER(AN58),AN58-AM58," ")</f>
        <v xml:space="preserve"> </v>
      </c>
      <c r="AO34" s="1076" t="str">
        <f t="shared" ref="AO34" si="62">IF(ISNUMBER(AO58),AO58-AN58," ")</f>
        <v xml:space="preserve"> </v>
      </c>
      <c r="AP34" s="1076" t="str">
        <f t="shared" ref="AP34" si="63">IF(ISNUMBER(AP58),AP58-AO58," ")</f>
        <v xml:space="preserve"> </v>
      </c>
      <c r="AQ34" s="1076" t="str">
        <f t="shared" ref="AQ34" si="64">IF(ISNUMBER(AQ58),AQ58-AP58," ")</f>
        <v xml:space="preserve"> </v>
      </c>
    </row>
    <row r="35" spans="1:43" ht="15.6">
      <c r="A35" s="361" t="s">
        <v>1492</v>
      </c>
      <c r="B35" s="805" t="s">
        <v>1493</v>
      </c>
      <c r="C35" s="805" t="s">
        <v>1481</v>
      </c>
      <c r="D35" s="973">
        <v>1551</v>
      </c>
      <c r="E35" s="973">
        <v>1551</v>
      </c>
      <c r="F35" s="973">
        <v>1393</v>
      </c>
      <c r="G35" s="973">
        <v>1634.8000000000029</v>
      </c>
      <c r="H35" s="973">
        <v>1349.1999999999971</v>
      </c>
      <c r="I35" s="973">
        <v>1406.1999999999971</v>
      </c>
      <c r="J35" s="973">
        <v>1017.9000000000015</v>
      </c>
      <c r="K35" s="973">
        <v>1166.5999999999985</v>
      </c>
      <c r="L35" s="973">
        <v>1252.6000000000058</v>
      </c>
      <c r="M35" s="973">
        <v>1266.5999999999985</v>
      </c>
      <c r="N35" s="973">
        <v>1289.9000000000015</v>
      </c>
      <c r="O35" s="974">
        <v>1008.7999999999956</v>
      </c>
      <c r="P35" s="973">
        <f t="shared" ref="P35:AB35" si="65">IF(ISNUMBER(P61),P61-O61," ")</f>
        <v>1011.1489062499968</v>
      </c>
      <c r="Q35" s="973">
        <f t="shared" si="65"/>
        <v>1046.2300000000032</v>
      </c>
      <c r="R35" s="973">
        <f t="shared" si="65"/>
        <v>1216.1800000000003</v>
      </c>
      <c r="S35" s="1076">
        <f t="shared" si="65"/>
        <v>1783.3499999999985</v>
      </c>
      <c r="T35" s="1076">
        <f t="shared" si="65"/>
        <v>1756.4856250000012</v>
      </c>
      <c r="U35" s="1076">
        <f t="shared" si="65"/>
        <v>1418.8143750000017</v>
      </c>
      <c r="V35" s="1076">
        <f t="shared" si="65"/>
        <v>1012.7999999999956</v>
      </c>
      <c r="W35" s="1076">
        <f t="shared" si="65"/>
        <v>1217.8000000000029</v>
      </c>
      <c r="X35" s="1076">
        <f t="shared" si="65"/>
        <v>1207.0199999999968</v>
      </c>
      <c r="Y35" s="1076">
        <f t="shared" si="65"/>
        <v>1202.1515625000029</v>
      </c>
      <c r="Z35" s="1076">
        <f t="shared" si="65"/>
        <v>1244.8584374999991</v>
      </c>
      <c r="AA35" s="1076">
        <f t="shared" si="65"/>
        <v>1008.260000000002</v>
      </c>
      <c r="AB35" s="1076">
        <f t="shared" si="65"/>
        <v>1060.6199999999953</v>
      </c>
      <c r="AC35" s="1076">
        <f t="shared" ref="AC35" si="66">IF(ISNUMBER(AC61),AC61-AB61," ")</f>
        <v>1339.0599999999977</v>
      </c>
      <c r="AD35" s="1076">
        <f t="shared" ref="AD35" si="67">IF(ISNUMBER(AD61),AD61-AC61," ")</f>
        <v>1321.0140600000013</v>
      </c>
      <c r="AE35" s="1076" t="str">
        <f t="shared" ref="AE35" si="68">IF(ISNUMBER(AE61),AE61-AD61," ")</f>
        <v xml:space="preserve"> </v>
      </c>
      <c r="AF35" s="1076">
        <f t="shared" ref="AF35" si="69">IF(ISNUMBER(AF61),AF61-AE61," ")</f>
        <v>71554.8125</v>
      </c>
      <c r="AG35" s="1076">
        <f t="shared" ref="AG35" si="70">IF(ISNUMBER(AG61),AG61-AF61," ")</f>
        <v>1295.6484400000045</v>
      </c>
      <c r="AH35" s="1076">
        <f t="shared" ref="AH35" si="71">IF(ISNUMBER(AH61),AH61-AG61," ")</f>
        <v>916.49218999998993</v>
      </c>
      <c r="AI35" s="1076">
        <f t="shared" ref="AI35" si="72">IF(ISNUMBER(AI61),AI61-AH61," ")</f>
        <v>1133.3046800000011</v>
      </c>
      <c r="AJ35" s="1076">
        <f t="shared" ref="AJ35" si="73">IF(ISNUMBER(AJ61),AJ61-AI61," ")</f>
        <v>1688.828130000009</v>
      </c>
      <c r="AK35" s="1076">
        <f t="shared" ref="AK35:AM35" si="74">IF(ISNUMBER(AK61),AK61-AJ61," ")</f>
        <v>1435.40625</v>
      </c>
      <c r="AL35" s="1076">
        <f t="shared" si="74"/>
        <v>1222.859369999991</v>
      </c>
      <c r="AM35" s="1076" t="str">
        <f t="shared" si="74"/>
        <v xml:space="preserve"> </v>
      </c>
      <c r="AN35" s="1076" t="str">
        <f t="shared" ref="AN35" si="75">IF(ISNUMBER(AN61),AN61-AM61," ")</f>
        <v xml:space="preserve"> </v>
      </c>
      <c r="AO35" s="1076" t="str">
        <f t="shared" ref="AO35" si="76">IF(ISNUMBER(AO61),AO61-AN61," ")</f>
        <v xml:space="preserve"> </v>
      </c>
      <c r="AP35" s="1076" t="str">
        <f t="shared" ref="AP35" si="77">IF(ISNUMBER(AP61),AP61-AO61," ")</f>
        <v xml:space="preserve"> </v>
      </c>
      <c r="AQ35" s="1076" t="str">
        <f t="shared" ref="AQ35" si="78">IF(ISNUMBER(AQ61),AQ61-AP61," ")</f>
        <v xml:space="preserve"> </v>
      </c>
    </row>
    <row r="36" spans="1:43" ht="15.6">
      <c r="A36" s="361" t="s">
        <v>1494</v>
      </c>
      <c r="B36" s="805" t="s">
        <v>1495</v>
      </c>
      <c r="C36" s="805" t="s">
        <v>1481</v>
      </c>
      <c r="D36" s="973">
        <v>1579</v>
      </c>
      <c r="E36" s="973">
        <v>1199</v>
      </c>
      <c r="F36" s="973">
        <v>1116</v>
      </c>
      <c r="G36" s="973">
        <v>942</v>
      </c>
      <c r="H36" s="973">
        <v>1044</v>
      </c>
      <c r="I36" s="973">
        <v>1353.0999999999985</v>
      </c>
      <c r="J36" s="973">
        <v>1262.4000000000015</v>
      </c>
      <c r="K36" s="973">
        <v>1088.1999999999971</v>
      </c>
      <c r="L36" s="973">
        <v>1346.8000000000029</v>
      </c>
      <c r="M36" s="973">
        <v>1110.1999999999971</v>
      </c>
      <c r="N36" s="973">
        <v>1367.4000000000015</v>
      </c>
      <c r="O36" s="974">
        <v>1343.0999999999985</v>
      </c>
      <c r="P36" s="973">
        <f t="shared" ref="P36:AB36" si="79">IF(ISNUMBER(P57),P57-O57," ")</f>
        <v>1234.7356250000012</v>
      </c>
      <c r="Q36" s="973">
        <f t="shared" si="79"/>
        <v>1371.0299999999988</v>
      </c>
      <c r="R36" s="973">
        <f t="shared" si="79"/>
        <v>1217.1999999999971</v>
      </c>
      <c r="S36" s="1076">
        <f t="shared" si="79"/>
        <v>1426.9500000000044</v>
      </c>
      <c r="T36" s="1076">
        <f t="shared" si="79"/>
        <v>1311.1624999999985</v>
      </c>
      <c r="U36" s="1076">
        <f t="shared" si="79"/>
        <v>1369.8075000000026</v>
      </c>
      <c r="V36" s="1076">
        <f t="shared" si="79"/>
        <v>1308.3199999999997</v>
      </c>
      <c r="W36" s="1076">
        <f t="shared" si="79"/>
        <v>1291.2299999999959</v>
      </c>
      <c r="X36" s="1076">
        <f t="shared" si="79"/>
        <v>1401.1500000000015</v>
      </c>
      <c r="Y36" s="1076">
        <f t="shared" si="79"/>
        <v>1239.8753125000003</v>
      </c>
      <c r="Z36" s="1076">
        <f t="shared" si="79"/>
        <v>1128.7846875000032</v>
      </c>
      <c r="AA36" s="1076">
        <f t="shared" si="79"/>
        <v>958.30999999999767</v>
      </c>
      <c r="AB36" s="1076">
        <f t="shared" si="79"/>
        <v>840.52999999999884</v>
      </c>
      <c r="AC36" s="1076">
        <f t="shared" ref="AC36" si="80">IF(ISNUMBER(AC57),AC57-AB57," ")</f>
        <v>999.18000000000029</v>
      </c>
      <c r="AD36" s="1076">
        <f t="shared" ref="AD36" si="81">IF(ISNUMBER(AD57),AD57-AC57," ")</f>
        <v>909.0625</v>
      </c>
      <c r="AE36" s="1076" t="str">
        <f t="shared" ref="AE36" si="82">IF(ISNUMBER(AE57),AE57-AD57," ")</f>
        <v xml:space="preserve"> </v>
      </c>
      <c r="AF36" s="1076">
        <f t="shared" ref="AF36" si="83">IF(ISNUMBER(AF57),AF57-AE57," ")</f>
        <v>64551.203130000002</v>
      </c>
      <c r="AG36" s="1076">
        <f t="shared" ref="AG36" si="84">IF(ISNUMBER(AG57),AG57-AF57," ")</f>
        <v>1021.4453100000028</v>
      </c>
      <c r="AH36" s="1076">
        <f t="shared" ref="AH36" si="85">IF(ISNUMBER(AH57),AH57-AG57," ")</f>
        <v>1103.1875</v>
      </c>
      <c r="AI36" s="1076">
        <f t="shared" ref="AI36" si="86">IF(ISNUMBER(AI57),AI57-AH57," ")</f>
        <v>1183.5078099999955</v>
      </c>
      <c r="AJ36" s="1076">
        <f t="shared" ref="AJ36" si="87">IF(ISNUMBER(AJ57),AJ57-AI57," ")</f>
        <v>1062.4843799999944</v>
      </c>
      <c r="AK36" s="1076">
        <f t="shared" ref="AK36:AM36" si="88">IF(ISNUMBER(AK57),AK57-AJ57," ")</f>
        <v>1073.9609300000011</v>
      </c>
      <c r="AL36" s="1076">
        <f t="shared" si="88"/>
        <v>1071.6015699999989</v>
      </c>
      <c r="AM36" s="1076" t="str">
        <f t="shared" si="88"/>
        <v xml:space="preserve"> </v>
      </c>
      <c r="AN36" s="1076" t="str">
        <f t="shared" ref="AN36" si="89">IF(ISNUMBER(AN57),AN57-AM57," ")</f>
        <v xml:space="preserve"> </v>
      </c>
      <c r="AO36" s="1076" t="str">
        <f t="shared" ref="AO36" si="90">IF(ISNUMBER(AO57),AO57-AN57," ")</f>
        <v xml:space="preserve"> </v>
      </c>
      <c r="AP36" s="1076" t="str">
        <f t="shared" ref="AP36" si="91">IF(ISNUMBER(AP57),AP57-AO57," ")</f>
        <v xml:space="preserve"> </v>
      </c>
      <c r="AQ36" s="1076" t="str">
        <f t="shared" ref="AQ36" si="92">IF(ISNUMBER(AQ57),AQ57-AP57," ")</f>
        <v xml:space="preserve"> </v>
      </c>
    </row>
    <row r="37" spans="1:43" ht="15.6">
      <c r="A37" s="361" t="s">
        <v>1496</v>
      </c>
      <c r="B37" s="805" t="s">
        <v>1497</v>
      </c>
      <c r="C37" s="805" t="s">
        <v>1481</v>
      </c>
      <c r="D37" s="973">
        <v>6107</v>
      </c>
      <c r="E37" s="973">
        <v>6049</v>
      </c>
      <c r="F37" s="973">
        <v>5578</v>
      </c>
      <c r="G37" s="973">
        <v>6983</v>
      </c>
      <c r="H37" s="973">
        <v>6490</v>
      </c>
      <c r="I37" s="973">
        <v>7772</v>
      </c>
      <c r="J37" s="973">
        <v>6190.7000000000116</v>
      </c>
      <c r="K37" s="973">
        <v>7105.2999999999884</v>
      </c>
      <c r="L37" s="973">
        <v>7021.7000000000116</v>
      </c>
      <c r="M37" s="973">
        <v>7349.8999999999942</v>
      </c>
      <c r="N37" s="973">
        <v>7299.6999999999825</v>
      </c>
      <c r="O37" s="974">
        <v>5744.2000000000116</v>
      </c>
      <c r="P37" s="973">
        <f t="shared" ref="P37:AB37" si="93">IF(ISNUMBER(P49),P49-O49," ")</f>
        <v>5088.1843750000116</v>
      </c>
      <c r="Q37" s="973">
        <f t="shared" si="93"/>
        <v>6065.2999999999884</v>
      </c>
      <c r="R37" s="973">
        <f t="shared" si="93"/>
        <v>4199.7999999999884</v>
      </c>
      <c r="S37" s="1076">
        <f t="shared" si="93"/>
        <v>7873.1000000000058</v>
      </c>
      <c r="T37" s="1076">
        <f t="shared" si="93"/>
        <v>7060.9281250000058</v>
      </c>
      <c r="U37" s="1076">
        <f t="shared" si="93"/>
        <v>8142.171875</v>
      </c>
      <c r="V37" s="1076">
        <f t="shared" si="93"/>
        <v>6786</v>
      </c>
      <c r="W37" s="1076">
        <f t="shared" si="93"/>
        <v>7550.9000000000233</v>
      </c>
      <c r="X37" s="1076">
        <f t="shared" si="93"/>
        <v>7808.6999999999534</v>
      </c>
      <c r="Y37" s="1076">
        <f t="shared" si="93"/>
        <v>7057.9312500000233</v>
      </c>
      <c r="Z37" s="1076">
        <f t="shared" si="93"/>
        <v>7394.46875</v>
      </c>
      <c r="AA37" s="1076">
        <f t="shared" si="93"/>
        <v>6347.0999999999767</v>
      </c>
      <c r="AB37" s="1076">
        <f t="shared" si="93"/>
        <v>5128.2000000000116</v>
      </c>
      <c r="AC37" s="1076">
        <f t="shared" ref="AC37" si="94">IF(ISNUMBER(AC49),AC49-AB49," ")</f>
        <v>5174.1000000000349</v>
      </c>
      <c r="AD37" s="1076">
        <f t="shared" ref="AD37" si="95">IF(ISNUMBER(AD49),AD49-AC49," ")</f>
        <v>5472.94379999995</v>
      </c>
      <c r="AE37" s="1076">
        <f t="shared" ref="AE37" si="96">IF(ISNUMBER(AE49),AE49-AD49," ")</f>
        <v>6762.3125</v>
      </c>
      <c r="AF37" s="1076">
        <f t="shared" ref="AF37" si="97">IF(ISNUMBER(AF49),AF49-AE49," ")</f>
        <v>6858.0625</v>
      </c>
      <c r="AG37" s="1076">
        <f t="shared" ref="AG37" si="98">IF(ISNUMBER(AG49),AG49-AF49," ")</f>
        <v>7651.5625</v>
      </c>
      <c r="AH37" s="1076">
        <f t="shared" ref="AH37" si="99">IF(ISNUMBER(AH49),AH49-AG49," ")</f>
        <v>5292.0312000000267</v>
      </c>
      <c r="AI37" s="1076">
        <f t="shared" ref="AI37" si="100">IF(ISNUMBER(AI49),AI49-AH49," ")</f>
        <v>6851.375</v>
      </c>
      <c r="AJ37" s="1076">
        <f t="shared" ref="AJ37" si="101">IF(ISNUMBER(AJ49),AJ49-AI49," ")</f>
        <v>7836</v>
      </c>
      <c r="AK37" s="1076">
        <f t="shared" ref="AK37:AM37" si="102">IF(ISNUMBER(AK49),AK49-AJ49," ")</f>
        <v>7383.125</v>
      </c>
      <c r="AL37" s="1076">
        <f t="shared" si="102"/>
        <v>8107.75</v>
      </c>
      <c r="AM37" s="1076" t="str">
        <f t="shared" si="102"/>
        <v xml:space="preserve"> </v>
      </c>
      <c r="AN37" s="1076" t="str">
        <f t="shared" ref="AN37" si="103">IF(ISNUMBER(AN49),AN49-AM49," ")</f>
        <v xml:space="preserve"> </v>
      </c>
      <c r="AO37" s="1076" t="str">
        <f t="shared" ref="AO37" si="104">IF(ISNUMBER(AO49),AO49-AN49," ")</f>
        <v xml:space="preserve"> </v>
      </c>
      <c r="AP37" s="1076" t="str">
        <f t="shared" ref="AP37" si="105">IF(ISNUMBER(AP49),AP49-AO49," ")</f>
        <v xml:space="preserve"> </v>
      </c>
      <c r="AQ37" s="1076" t="str">
        <f t="shared" ref="AQ37" si="106">IF(ISNUMBER(AQ49),AQ49-AP49," ")</f>
        <v xml:space="preserve"> </v>
      </c>
    </row>
    <row r="38" spans="1:43" ht="15.6">
      <c r="A38" s="361" t="s">
        <v>1498</v>
      </c>
      <c r="B38" s="805" t="s">
        <v>1499</v>
      </c>
      <c r="C38" s="805" t="s">
        <v>1481</v>
      </c>
      <c r="D38" s="973">
        <v>126</v>
      </c>
      <c r="E38" s="973">
        <v>143</v>
      </c>
      <c r="F38" s="973">
        <v>112</v>
      </c>
      <c r="G38" s="973">
        <v>145.80000000000018</v>
      </c>
      <c r="H38" s="973">
        <v>154.19999999999982</v>
      </c>
      <c r="I38" s="973">
        <v>161.10000000000036</v>
      </c>
      <c r="J38" s="973">
        <v>121.29999999999927</v>
      </c>
      <c r="K38" s="973">
        <v>89.5</v>
      </c>
      <c r="L38" s="973">
        <v>157.80000000000018</v>
      </c>
      <c r="M38" s="973">
        <v>168.60000000000036</v>
      </c>
      <c r="N38" s="973">
        <v>160.39999999999964</v>
      </c>
      <c r="O38" s="974">
        <v>142.60000000000036</v>
      </c>
      <c r="P38" s="973">
        <f t="shared" ref="P38:AB38" si="107">IF(ISNUMBER(P63),P63-O63," ")</f>
        <v>140.21390625000004</v>
      </c>
      <c r="Q38" s="973">
        <f t="shared" si="107"/>
        <v>145.50900000000001</v>
      </c>
      <c r="R38" s="973">
        <f t="shared" si="107"/>
        <v>139.83699999999953</v>
      </c>
      <c r="S38" s="1076">
        <f t="shared" si="107"/>
        <v>165.8760000000002</v>
      </c>
      <c r="T38" s="1076">
        <f t="shared" si="107"/>
        <v>176.28235546875021</v>
      </c>
      <c r="U38" s="1076">
        <f t="shared" si="107"/>
        <v>194.86264453125023</v>
      </c>
      <c r="V38" s="1076">
        <f t="shared" si="107"/>
        <v>168.10300000000007</v>
      </c>
      <c r="W38" s="1076">
        <f t="shared" si="107"/>
        <v>196.56899999999951</v>
      </c>
      <c r="X38" s="1076">
        <f t="shared" si="107"/>
        <v>203.50900000000001</v>
      </c>
      <c r="Y38" s="1076">
        <f t="shared" si="107"/>
        <v>136.55742968750019</v>
      </c>
      <c r="Z38" s="1076">
        <f t="shared" si="107"/>
        <v>130.31457031250011</v>
      </c>
      <c r="AA38" s="1076">
        <f t="shared" si="107"/>
        <v>144.85599999999977</v>
      </c>
      <c r="AB38" s="1076">
        <f t="shared" si="107"/>
        <v>131.54799999999977</v>
      </c>
      <c r="AC38" s="1076">
        <f t="shared" ref="AC38" si="108">IF(ISNUMBER(AC63),AC63-AB63," ")</f>
        <v>149.39100000000053</v>
      </c>
      <c r="AD38" s="1076">
        <f t="shared" ref="AD38" si="109">IF(ISNUMBER(AD63),AD63-AC63," ")</f>
        <v>144.21513700000014</v>
      </c>
      <c r="AE38" s="1076" t="str">
        <f t="shared" ref="AE38" si="110">IF(ISNUMBER(AE63),AE63-AD63," ")</f>
        <v xml:space="preserve"> </v>
      </c>
      <c r="AF38" s="1076">
        <f t="shared" ref="AF38" si="111">IF(ISNUMBER(AF63),AF63-AE63," ")</f>
        <v>8153.1503910000001</v>
      </c>
      <c r="AG38" s="1076">
        <f t="shared" ref="AG38" si="112">IF(ISNUMBER(AG63),AG63-AF63," ")</f>
        <v>198.38476499999979</v>
      </c>
      <c r="AH38" s="1076">
        <f t="shared" ref="AH38" si="113">IF(ISNUMBER(AH63),AH63-AG63," ")</f>
        <v>198.8027349999993</v>
      </c>
      <c r="AI38" s="1076">
        <f t="shared" ref="AI38" si="114">IF(ISNUMBER(AI63),AI63-AH63," ")</f>
        <v>203.96484300000157</v>
      </c>
      <c r="AJ38" s="1076">
        <f t="shared" ref="AJ38" si="115">IF(ISNUMBER(AJ63),AJ63-AI63," ")</f>
        <v>192.71582099999978</v>
      </c>
      <c r="AK38" s="1076">
        <f t="shared" ref="AK38:AM38" si="116">IF(ISNUMBER(AK63),AK63-AJ63," ")</f>
        <v>172.99316399999952</v>
      </c>
      <c r="AL38" s="1076">
        <f t="shared" si="116"/>
        <v>164.26953099999992</v>
      </c>
      <c r="AM38" s="1076" t="str">
        <f t="shared" si="116"/>
        <v xml:space="preserve"> </v>
      </c>
      <c r="AN38" s="1076" t="str">
        <f t="shared" ref="AN38" si="117">IF(ISNUMBER(AN63),AN63-AM63," ")</f>
        <v xml:space="preserve"> </v>
      </c>
      <c r="AO38" s="1076" t="str">
        <f t="shared" ref="AO38" si="118">IF(ISNUMBER(AO63),AO63-AN63," ")</f>
        <v xml:space="preserve"> </v>
      </c>
      <c r="AP38" s="1076" t="str">
        <f t="shared" ref="AP38" si="119">IF(ISNUMBER(AP63),AP63-AO63," ")</f>
        <v xml:space="preserve"> </v>
      </c>
      <c r="AQ38" s="1076" t="str">
        <f t="shared" ref="AQ38" si="120">IF(ISNUMBER(AQ63),AQ63-AP63," ")</f>
        <v xml:space="preserve"> </v>
      </c>
    </row>
    <row r="39" spans="1:43" ht="15.6">
      <c r="A39" s="363"/>
      <c r="B39" s="805"/>
      <c r="C39" s="805"/>
      <c r="D39" s="973"/>
      <c r="E39" s="973"/>
      <c r="F39" s="973"/>
      <c r="G39" s="973"/>
      <c r="H39" s="973"/>
      <c r="I39" s="973"/>
      <c r="J39" s="973"/>
      <c r="K39" s="973"/>
      <c r="L39" s="973"/>
      <c r="M39" s="973"/>
      <c r="N39" s="973"/>
      <c r="O39" s="974"/>
      <c r="P39" s="973"/>
      <c r="Q39" s="973"/>
      <c r="R39" s="973"/>
      <c r="S39" s="973"/>
    </row>
    <row r="40" spans="1:43" ht="14.45">
      <c r="A40" s="806" t="s">
        <v>1500</v>
      </c>
      <c r="B40" s="806" t="s">
        <v>1463</v>
      </c>
      <c r="C40" s="806" t="s">
        <v>556</v>
      </c>
      <c r="D40" s="806" t="s">
        <v>1464</v>
      </c>
      <c r="E40" s="806" t="s">
        <v>1465</v>
      </c>
      <c r="F40" s="806" t="s">
        <v>1466</v>
      </c>
      <c r="G40" s="806" t="s">
        <v>1467</v>
      </c>
      <c r="H40" s="806" t="s">
        <v>406</v>
      </c>
      <c r="I40" s="806" t="s">
        <v>1468</v>
      </c>
      <c r="J40" s="806" t="s">
        <v>1469</v>
      </c>
      <c r="K40" s="806" t="s">
        <v>1470</v>
      </c>
      <c r="L40" s="806" t="s">
        <v>1471</v>
      </c>
      <c r="M40" s="806" t="s">
        <v>1472</v>
      </c>
      <c r="N40" s="806" t="s">
        <v>1473</v>
      </c>
      <c r="O40" s="806" t="s">
        <v>1474</v>
      </c>
      <c r="P40" s="806" t="s">
        <v>1475</v>
      </c>
      <c r="Q40" s="806" t="s">
        <v>48</v>
      </c>
      <c r="R40" s="806" t="s">
        <v>49</v>
      </c>
      <c r="S40" s="806" t="s">
        <v>50</v>
      </c>
      <c r="T40" s="806" t="s">
        <v>51</v>
      </c>
      <c r="U40" s="806" t="s">
        <v>420</v>
      </c>
      <c r="V40" s="806" t="s">
        <v>53</v>
      </c>
      <c r="W40" s="806" t="s">
        <v>54</v>
      </c>
      <c r="X40" s="806" t="s">
        <v>55</v>
      </c>
      <c r="Y40" s="806" t="s">
        <v>56</v>
      </c>
      <c r="Z40" s="806" t="s">
        <v>57</v>
      </c>
      <c r="AA40" s="806" t="s">
        <v>58</v>
      </c>
      <c r="AB40" s="806" t="s">
        <v>59</v>
      </c>
      <c r="AC40" s="806" t="s">
        <v>60</v>
      </c>
      <c r="AD40" s="806" t="s">
        <v>61</v>
      </c>
      <c r="AE40" s="806" t="s">
        <v>62</v>
      </c>
      <c r="AF40" s="806" t="s">
        <v>63</v>
      </c>
      <c r="AG40" s="806" t="s">
        <v>64</v>
      </c>
      <c r="AH40" s="806" t="s">
        <v>65</v>
      </c>
      <c r="AI40" s="806" t="s">
        <v>66</v>
      </c>
      <c r="AJ40" s="806" t="s">
        <v>67</v>
      </c>
      <c r="AK40" s="806" t="s">
        <v>68</v>
      </c>
      <c r="AL40" s="806" t="s">
        <v>69</v>
      </c>
      <c r="AM40" s="806" t="s">
        <v>70</v>
      </c>
      <c r="AN40" s="806" t="s">
        <v>71</v>
      </c>
      <c r="AO40" s="806" t="s">
        <v>1476</v>
      </c>
      <c r="AP40" s="806" t="s">
        <v>1477</v>
      </c>
      <c r="AQ40" s="806" t="s">
        <v>1478</v>
      </c>
    </row>
    <row r="41" spans="1:43" ht="15.6">
      <c r="A41" s="148" t="s">
        <v>1501</v>
      </c>
      <c r="B41" s="805" t="s">
        <v>1502</v>
      </c>
      <c r="C41" s="805" t="s">
        <v>1503</v>
      </c>
      <c r="D41" s="973">
        <v>74.700000000000045</v>
      </c>
      <c r="E41" s="973">
        <v>111</v>
      </c>
      <c r="F41" s="973">
        <v>192.20000000000005</v>
      </c>
      <c r="G41" s="973">
        <v>149</v>
      </c>
      <c r="H41" s="973">
        <v>78.900000000000091</v>
      </c>
      <c r="I41" s="973">
        <v>92.099999999999909</v>
      </c>
      <c r="J41" s="973">
        <v>56.400000000000091</v>
      </c>
      <c r="K41" s="973">
        <v>74.899999999999864</v>
      </c>
      <c r="L41" s="973">
        <v>130.60000000000014</v>
      </c>
      <c r="M41" s="973">
        <v>85.400000000000091</v>
      </c>
      <c r="N41" s="973">
        <v>81.799999999999727</v>
      </c>
      <c r="O41" s="974">
        <v>37.800000000000182</v>
      </c>
      <c r="P41" s="973">
        <f t="shared" ref="P41:AB41" si="121">IF(ISNUMBER(P62),P62-O62," ")</f>
        <v>30.85004882812018</v>
      </c>
      <c r="Q41" s="973">
        <f t="shared" si="121"/>
        <v>42.399999999999636</v>
      </c>
      <c r="R41" s="973">
        <f t="shared" si="121"/>
        <v>50.900000000000091</v>
      </c>
      <c r="S41" s="973">
        <f t="shared" si="121"/>
        <v>164.70000000000027</v>
      </c>
      <c r="T41" s="973">
        <f t="shared" si="121"/>
        <v>101.19999999999982</v>
      </c>
      <c r="U41" s="973">
        <f t="shared" si="121"/>
        <v>139</v>
      </c>
      <c r="V41" s="973">
        <f t="shared" si="121"/>
        <v>69</v>
      </c>
      <c r="W41" s="973">
        <f t="shared" si="121"/>
        <v>93.329999999999927</v>
      </c>
      <c r="X41" s="973">
        <f t="shared" si="121"/>
        <v>95.970000000000255</v>
      </c>
      <c r="Y41" s="973">
        <f t="shared" si="121"/>
        <v>99.5</v>
      </c>
      <c r="Z41" s="973">
        <f t="shared" si="121"/>
        <v>106.30999999999995</v>
      </c>
      <c r="AA41" s="973">
        <f t="shared" si="121"/>
        <v>45.009999999999764</v>
      </c>
      <c r="AB41" s="973">
        <f t="shared" si="121"/>
        <v>35.079999999999927</v>
      </c>
      <c r="AC41" s="973">
        <f t="shared" ref="AC41" si="122">IF(ISNUMBER(AC62),AC62-AB62," ")</f>
        <v>95.400000000000091</v>
      </c>
      <c r="AD41" s="973">
        <f t="shared" ref="AD41" si="123">IF(ISNUMBER(AD62),AD62-AC62," ")</f>
        <v>104.26987300000019</v>
      </c>
      <c r="AE41" s="973" t="str">
        <f t="shared" ref="AE41" si="124">IF(ISNUMBER(AE62),AE62-AD62," ")</f>
        <v xml:space="preserve"> </v>
      </c>
      <c r="AF41" s="973">
        <f t="shared" ref="AF41" si="125">IF(ISNUMBER(AF62),AF62-AE62," ")</f>
        <v>157124.6875</v>
      </c>
      <c r="AG41" s="973">
        <f t="shared" ref="AG41" si="126">IF(ISNUMBER(AG62),AG62-AF62," ")</f>
        <v>-153100.14770500001</v>
      </c>
      <c r="AH41" s="973">
        <f t="shared" ref="AH41" si="127">IF(ISNUMBER(AH62),AH62-AG62," ")</f>
        <v>59.970214999999826</v>
      </c>
      <c r="AI41" s="973">
        <f t="shared" ref="AI41:AJ41" si="128">IF(ISNUMBER(AI62),AI62-AH62," ")</f>
        <v>98.510009999999966</v>
      </c>
      <c r="AJ41" s="973">
        <f t="shared" si="128"/>
        <v>121.0200190000005</v>
      </c>
      <c r="AK41" s="973">
        <f t="shared" ref="AK41" si="129">IF(ISNUMBER(AK62),AK62-AJ62," ")</f>
        <v>104.31005899999946</v>
      </c>
      <c r="AL41" s="973">
        <f t="shared" ref="AL41" si="130">IF(ISNUMBER(AL62),AL62-AK62," ")</f>
        <v>110.25976499999979</v>
      </c>
      <c r="AM41" s="973" t="str">
        <f t="shared" ref="AM41" si="131">IF(ISNUMBER(AM62),AM62-AL62," ")</f>
        <v xml:space="preserve"> </v>
      </c>
      <c r="AN41" s="973" t="str">
        <f t="shared" ref="AN41" si="132">IF(ISNUMBER(AN62),AN62-AM62," ")</f>
        <v xml:space="preserve"> </v>
      </c>
      <c r="AO41" s="973" t="str">
        <f t="shared" ref="AO41" si="133">IF(ISNUMBER(AO62),AO62-AN62," ")</f>
        <v xml:space="preserve"> </v>
      </c>
      <c r="AP41" s="973" t="str">
        <f t="shared" ref="AP41" si="134">IF(ISNUMBER(AP62),AP62-AO62," ")</f>
        <v xml:space="preserve"> </v>
      </c>
      <c r="AQ41" s="973" t="str">
        <f t="shared" ref="AQ41" si="135">IF(ISNUMBER(AQ62),AQ62-AP62," ")</f>
        <v xml:space="preserve"> </v>
      </c>
    </row>
    <row r="42" spans="1:43" ht="15.6">
      <c r="A42" s="148" t="s">
        <v>1504</v>
      </c>
      <c r="B42" s="805" t="s">
        <v>1505</v>
      </c>
      <c r="C42" s="805" t="s">
        <v>1503</v>
      </c>
      <c r="D42" s="973">
        <v>0.10000000000000142</v>
      </c>
      <c r="E42" s="973">
        <v>9.9999999999997868E-2</v>
      </c>
      <c r="F42" s="973">
        <v>0</v>
      </c>
      <c r="G42" s="973">
        <v>0.10000000000000142</v>
      </c>
      <c r="H42" s="973">
        <v>0.19999999999999929</v>
      </c>
      <c r="I42" s="973">
        <v>0</v>
      </c>
      <c r="J42" s="973">
        <v>0.10000000000000142</v>
      </c>
      <c r="K42" s="973">
        <v>9.9999999999997868E-2</v>
      </c>
      <c r="L42" s="973">
        <v>0.10000000000000142</v>
      </c>
      <c r="M42" s="973">
        <v>0.10000000000000142</v>
      </c>
      <c r="N42" s="973">
        <v>9.9999999999997868E-2</v>
      </c>
      <c r="O42" s="974">
        <v>0</v>
      </c>
      <c r="P42" s="973">
        <f t="shared" ref="P42:AB42" si="136">IF(ISNUMBER(P54),P54-O54," ")</f>
        <v>5.3200531005899165E-2</v>
      </c>
      <c r="Q42" s="973">
        <f t="shared" si="136"/>
        <v>3.3899999999999153E-2</v>
      </c>
      <c r="R42" s="973">
        <f t="shared" si="136"/>
        <v>6.6099999999998715E-2</v>
      </c>
      <c r="S42" s="973">
        <f t="shared" si="136"/>
        <v>0.10000000000000142</v>
      </c>
      <c r="T42" s="973">
        <f t="shared" si="136"/>
        <v>0.10000000000000142</v>
      </c>
      <c r="U42" s="973">
        <f>IF(ISNUMBER(U54),U54-T54," ")</f>
        <v>9.9999999999997868E-2</v>
      </c>
      <c r="V42" s="973">
        <f>IF(ISNUMBER(V54),V54-U54," ")</f>
        <v>0.10000000000000142</v>
      </c>
      <c r="W42" s="973">
        <f t="shared" si="136"/>
        <v>9.9999999999997868E-2</v>
      </c>
      <c r="X42" s="973">
        <f t="shared" si="136"/>
        <v>0.10000000000000142</v>
      </c>
      <c r="Y42" s="973">
        <f t="shared" si="136"/>
        <v>0.10000000000000142</v>
      </c>
      <c r="Z42" s="973">
        <f t="shared" si="136"/>
        <v>0.16300000000000026</v>
      </c>
      <c r="AA42" s="973">
        <f t="shared" si="136"/>
        <v>5.9599999999999653E-2</v>
      </c>
      <c r="AB42" s="973">
        <f t="shared" si="136"/>
        <v>7.7399999999997249E-2</v>
      </c>
      <c r="AC42" s="973">
        <f t="shared" ref="AC42" si="137">IF(ISNUMBER(AC54),AC54-AB54," ")</f>
        <v>0</v>
      </c>
      <c r="AD42" s="973">
        <f t="shared" ref="AD42" si="138">IF(ISNUMBER(AD54),AD54-AC54," ")</f>
        <v>6.3699340000002991E-2</v>
      </c>
      <c r="AE42" s="973">
        <f t="shared" ref="AE42" si="139">IF(ISNUMBER(AE54),AE54-AD54," ")</f>
        <v>0.10390091000000012</v>
      </c>
      <c r="AF42" s="973">
        <f t="shared" ref="AF42" si="140">IF(ISNUMBER(AF54),AF54-AE54," ")</f>
        <v>9.6599579999999463E-2</v>
      </c>
      <c r="AG42" s="973">
        <f t="shared" ref="AG42" si="141">IF(ISNUMBER(AG54),AG54-AF54," ")</f>
        <v>0.13259887999999975</v>
      </c>
      <c r="AH42" s="973">
        <f t="shared" ref="AH42" si="142">IF(ISNUMBER(AH54),AH54-AG54," ")</f>
        <v>0.11030006000000014</v>
      </c>
      <c r="AI42" s="973">
        <f t="shared" ref="AI42:AJ42" si="143">IF(ISNUMBER(AI54),AI54-AH54," ")</f>
        <v>0.11800002999999748</v>
      </c>
      <c r="AJ42" s="973">
        <f t="shared" si="143"/>
        <v>0.13140106000000173</v>
      </c>
      <c r="AK42" s="973">
        <f t="shared" ref="AK42" si="144">IF(ISNUMBER(AK54),AK54-AJ54," ")</f>
        <v>0.11569976999999909</v>
      </c>
      <c r="AL42" s="973">
        <f t="shared" ref="AL42" si="145">IF(ISNUMBER(AL54),AL54-AK54," ")</f>
        <v>0.12699890000000025</v>
      </c>
      <c r="AM42" s="973" t="str">
        <f t="shared" ref="AM42" si="146">IF(ISNUMBER(AM54),AM54-AL54," ")</f>
        <v xml:space="preserve"> </v>
      </c>
      <c r="AN42" s="973" t="str">
        <f t="shared" ref="AN42" si="147">IF(ISNUMBER(AN54),AN54-AM54," ")</f>
        <v xml:space="preserve"> </v>
      </c>
      <c r="AO42" s="973" t="str">
        <f t="shared" ref="AO42" si="148">IF(ISNUMBER(AO54),AO54-AN54," ")</f>
        <v xml:space="preserve"> </v>
      </c>
      <c r="AP42" s="973" t="str">
        <f t="shared" ref="AP42" si="149">IF(ISNUMBER(AP54),AP54-AO54," ")</f>
        <v xml:space="preserve"> </v>
      </c>
      <c r="AQ42" s="973" t="str">
        <f t="shared" ref="AQ42" si="150">IF(ISNUMBER(AQ54),AQ54-AP54," ")</f>
        <v xml:space="preserve"> </v>
      </c>
    </row>
    <row r="43" spans="1:43" ht="15.6">
      <c r="A43" s="148" t="s">
        <v>1506</v>
      </c>
      <c r="B43" s="805" t="s">
        <v>1507</v>
      </c>
      <c r="C43" s="805" t="s">
        <v>1503</v>
      </c>
      <c r="D43" s="973">
        <v>2.2000000000000028</v>
      </c>
      <c r="E43" s="973">
        <v>1.8999999999999986</v>
      </c>
      <c r="F43" s="973">
        <v>1.7999999999999972</v>
      </c>
      <c r="G43" s="973">
        <v>6.5</v>
      </c>
      <c r="H43" s="973">
        <v>6.2000000000000028</v>
      </c>
      <c r="I43" s="973">
        <v>10.400000000000006</v>
      </c>
      <c r="J43" s="973">
        <v>7.7999999999999972</v>
      </c>
      <c r="K43" s="973">
        <v>10</v>
      </c>
      <c r="L43" s="973">
        <v>12.700000000000003</v>
      </c>
      <c r="M43" s="973">
        <v>12.799999999999997</v>
      </c>
      <c r="N43" s="973">
        <v>11.899999999999991</v>
      </c>
      <c r="O43" s="974">
        <v>7</v>
      </c>
      <c r="P43" s="973">
        <f t="shared" ref="P43:AB43" si="151">IF(ISNUMBER(P59),P59-O59," ")</f>
        <v>3.2399963378910002</v>
      </c>
      <c r="Q43" s="973">
        <f t="shared" si="151"/>
        <v>3.7999999999999829</v>
      </c>
      <c r="R43" s="973">
        <f t="shared" si="151"/>
        <v>7.6000000000000227</v>
      </c>
      <c r="S43" s="973">
        <f t="shared" si="151"/>
        <v>21.299999999999983</v>
      </c>
      <c r="T43" s="973">
        <f t="shared" si="151"/>
        <v>12.400000000000006</v>
      </c>
      <c r="U43" s="973">
        <f t="shared" si="151"/>
        <v>20</v>
      </c>
      <c r="V43" s="973">
        <f t="shared" si="151"/>
        <v>8</v>
      </c>
      <c r="W43" s="973">
        <f t="shared" si="151"/>
        <v>13.580000000000013</v>
      </c>
      <c r="X43" s="973">
        <f t="shared" si="151"/>
        <v>15.019999999999982</v>
      </c>
      <c r="Y43" s="973">
        <f t="shared" si="151"/>
        <v>12.900000000000006</v>
      </c>
      <c r="Z43" s="973">
        <f t="shared" si="151"/>
        <v>12.639999999999986</v>
      </c>
      <c r="AA43" s="973">
        <f t="shared" si="151"/>
        <v>3.4399999999999977</v>
      </c>
      <c r="AB43" s="973">
        <f t="shared" si="151"/>
        <v>1.6200000000000045</v>
      </c>
      <c r="AC43" s="973">
        <f t="shared" ref="AC43" si="152">IF(ISNUMBER(AC59),AC59-AB59," ")</f>
        <v>2.3000000000000114</v>
      </c>
      <c r="AD43" s="973" t="str">
        <f t="shared" ref="AD43" si="153">IF(ISNUMBER(AD59),AD59-AC59," ")</f>
        <v xml:space="preserve"> </v>
      </c>
      <c r="AE43" s="973" t="str">
        <f t="shared" ref="AE43" si="154">IF(ISNUMBER(AE59),AE59-AD59," ")</f>
        <v xml:space="preserve"> </v>
      </c>
      <c r="AF43" s="973">
        <f t="shared" ref="AF43" si="155">IF(ISNUMBER(AF59),AF59-AE59," ")</f>
        <v>304.52999879999999</v>
      </c>
      <c r="AG43" s="973">
        <f t="shared" ref="AG43" si="156">IF(ISNUMBER(AG59),AG59-AF59," ")</f>
        <v>16.579986600000041</v>
      </c>
      <c r="AH43" s="973">
        <f t="shared" ref="AH43" si="157">IF(ISNUMBER(AH59),AH59-AG59," ")</f>
        <v>4.720001199999956</v>
      </c>
      <c r="AI43" s="973">
        <f t="shared" ref="AI43:AJ43" si="158">IF(ISNUMBER(AI59),AI59-AH59," ")</f>
        <v>9.9400024000000258</v>
      </c>
      <c r="AJ43" s="973">
        <f t="shared" si="158"/>
        <v>14.529998799999987</v>
      </c>
      <c r="AK43" s="973">
        <f t="shared" ref="AK43" si="159">IF(ISNUMBER(AK59),AK59-AJ59," ")</f>
        <v>11.5</v>
      </c>
      <c r="AL43" s="973">
        <f t="shared" ref="AL43" si="160">IF(ISNUMBER(AL59),AL59-AK59," ")</f>
        <v>13.83001710000002</v>
      </c>
      <c r="AM43" s="973" t="str">
        <f t="shared" ref="AM43" si="161">IF(ISNUMBER(AM59),AM59-AL59," ")</f>
        <v xml:space="preserve"> </v>
      </c>
      <c r="AN43" s="973" t="str">
        <f t="shared" ref="AN43" si="162">IF(ISNUMBER(AN59),AN59-AM59," ")</f>
        <v xml:space="preserve"> </v>
      </c>
      <c r="AO43" s="973" t="str">
        <f t="shared" ref="AO43" si="163">IF(ISNUMBER(AO59),AO59-AN59," ")</f>
        <v xml:space="preserve"> </v>
      </c>
      <c r="AP43" s="973" t="str">
        <f t="shared" ref="AP43" si="164">IF(ISNUMBER(AP59),AP59-AO59," ")</f>
        <v xml:space="preserve"> </v>
      </c>
      <c r="AQ43" s="973" t="str">
        <f t="shared" ref="AQ43" si="165">IF(ISNUMBER(AQ59),AQ59-AP59," ")</f>
        <v xml:space="preserve"> </v>
      </c>
    </row>
    <row r="44" spans="1:43" ht="15.6">
      <c r="A44" s="148" t="s">
        <v>1508</v>
      </c>
      <c r="B44" s="805" t="s">
        <v>1509</v>
      </c>
      <c r="C44" s="805" t="s">
        <v>1503</v>
      </c>
      <c r="D44" s="973">
        <v>0</v>
      </c>
      <c r="E44" s="973">
        <v>0</v>
      </c>
      <c r="F44" s="973">
        <v>9.9999999999999978E-2</v>
      </c>
      <c r="G44" s="973">
        <v>0</v>
      </c>
      <c r="H44" s="973">
        <v>0</v>
      </c>
      <c r="I44" s="973">
        <v>0</v>
      </c>
      <c r="J44" s="973">
        <v>0</v>
      </c>
      <c r="K44" s="973">
        <v>0</v>
      </c>
      <c r="L44" s="973">
        <v>0</v>
      </c>
      <c r="M44" s="973">
        <v>0</v>
      </c>
      <c r="N44" s="973">
        <v>0</v>
      </c>
      <c r="O44" s="974">
        <v>0</v>
      </c>
      <c r="P44" s="973">
        <f t="shared" ref="P44:AB44" si="166">IF(ISNUMBER(P55),P55-O55," ")</f>
        <v>1.7881392977425747E-8</v>
      </c>
      <c r="Q44" s="973">
        <f t="shared" si="166"/>
        <v>0</v>
      </c>
      <c r="R44" s="973">
        <f t="shared" si="166"/>
        <v>0</v>
      </c>
      <c r="S44" s="973">
        <f t="shared" si="166"/>
        <v>0</v>
      </c>
      <c r="T44" s="973">
        <f t="shared" si="166"/>
        <v>0</v>
      </c>
      <c r="U44" s="973">
        <f t="shared" si="166"/>
        <v>0</v>
      </c>
      <c r="V44" s="973">
        <f t="shared" si="166"/>
        <v>0</v>
      </c>
      <c r="W44" s="973">
        <f t="shared" si="166"/>
        <v>7.0000000000000007E-2</v>
      </c>
      <c r="X44" s="973">
        <f t="shared" si="166"/>
        <v>3.0000000000000027E-2</v>
      </c>
      <c r="Y44" s="973">
        <f t="shared" si="166"/>
        <v>0</v>
      </c>
      <c r="Z44" s="973">
        <f t="shared" si="166"/>
        <v>0</v>
      </c>
      <c r="AA44" s="973">
        <f t="shared" si="166"/>
        <v>0</v>
      </c>
      <c r="AB44" s="973">
        <f t="shared" si="166"/>
        <v>0</v>
      </c>
      <c r="AC44" s="973">
        <f t="shared" ref="AC44" si="167">IF(ISNUMBER(AC55),AC55-AB55," ")</f>
        <v>0</v>
      </c>
      <c r="AD44" s="973" t="str">
        <f t="shared" ref="AD44" si="168">IF(ISNUMBER(AD55),AD55-AC55," ")</f>
        <v xml:space="preserve"> </v>
      </c>
      <c r="AE44" s="973" t="str">
        <f t="shared" ref="AE44" si="169">IF(ISNUMBER(AE55),AE55-AD55," ")</f>
        <v xml:space="preserve"> </v>
      </c>
      <c r="AF44" s="973">
        <f t="shared" ref="AF44" si="170">IF(ISNUMBER(AF55),AF55-AE55," ")</f>
        <v>0.37000000500000002</v>
      </c>
      <c r="AG44" s="973">
        <f t="shared" ref="AG44" si="171">IF(ISNUMBER(AG55),AG55-AF55," ")</f>
        <v>0</v>
      </c>
      <c r="AH44" s="973">
        <f t="shared" ref="AH44" si="172">IF(ISNUMBER(AH55),AH55-AG55," ")</f>
        <v>-0.37000000500000002</v>
      </c>
      <c r="AI44" s="973">
        <f t="shared" ref="AI44:AJ44" si="173">IF(ISNUMBER(AI55),AI55-AH55," ")</f>
        <v>0.37000000500000002</v>
      </c>
      <c r="AJ44" s="973">
        <f t="shared" si="173"/>
        <v>0</v>
      </c>
      <c r="AK44" s="973">
        <f t="shared" ref="AK44" si="174">IF(ISNUMBER(AK55),AK55-AJ55," ")</f>
        <v>0</v>
      </c>
      <c r="AL44" s="973">
        <f t="shared" ref="AL44" si="175">IF(ISNUMBER(AL55),AL55-AK55," ")</f>
        <v>0</v>
      </c>
      <c r="AM44" s="973" t="str">
        <f t="shared" ref="AM44" si="176">IF(ISNUMBER(AM55),AM55-AL55," ")</f>
        <v xml:space="preserve"> </v>
      </c>
      <c r="AN44" s="973" t="str">
        <f t="shared" ref="AN44" si="177">IF(ISNUMBER(AN55),AN55-AM55," ")</f>
        <v xml:space="preserve"> </v>
      </c>
      <c r="AO44" s="973" t="str">
        <f t="shared" ref="AO44" si="178">IF(ISNUMBER(AO55),AO55-AN55," ")</f>
        <v xml:space="preserve"> </v>
      </c>
      <c r="AP44" s="973" t="str">
        <f t="shared" ref="AP44" si="179">IF(ISNUMBER(AP55),AP55-AO55," ")</f>
        <v xml:space="preserve"> </v>
      </c>
      <c r="AQ44" s="973" t="str">
        <f t="shared" ref="AQ44" si="180">IF(ISNUMBER(AQ55),AQ55-AP55," ")</f>
        <v xml:space="preserve"> </v>
      </c>
    </row>
    <row r="45" spans="1:43" ht="14.45">
      <c r="B45" s="805"/>
      <c r="C45" s="805"/>
      <c r="D45" s="973"/>
      <c r="E45" s="973"/>
      <c r="F45" s="973"/>
      <c r="G45" s="973"/>
      <c r="H45" s="973"/>
      <c r="I45" s="973"/>
      <c r="J45" s="973"/>
      <c r="K45" s="973"/>
      <c r="L45" s="973"/>
      <c r="M45" s="973"/>
      <c r="N45" s="973"/>
      <c r="O45" s="974"/>
      <c r="P45" s="973"/>
      <c r="Q45" s="973"/>
      <c r="R45" s="973"/>
      <c r="S45" s="973"/>
    </row>
    <row r="47" spans="1:43" ht="14.45">
      <c r="A47" s="806" t="s">
        <v>1510</v>
      </c>
      <c r="B47" s="806" t="s">
        <v>1463</v>
      </c>
      <c r="C47" s="806" t="s">
        <v>556</v>
      </c>
      <c r="D47" s="806" t="s">
        <v>1464</v>
      </c>
      <c r="E47" s="806" t="s">
        <v>1465</v>
      </c>
      <c r="F47" s="806" t="s">
        <v>1466</v>
      </c>
      <c r="G47" s="806" t="s">
        <v>1467</v>
      </c>
      <c r="H47" s="806" t="s">
        <v>406</v>
      </c>
      <c r="I47" s="806" t="s">
        <v>1468</v>
      </c>
      <c r="J47" s="806" t="s">
        <v>1469</v>
      </c>
      <c r="K47" s="806" t="s">
        <v>1470</v>
      </c>
      <c r="L47" s="806" t="s">
        <v>1471</v>
      </c>
      <c r="M47" s="806" t="s">
        <v>1472</v>
      </c>
      <c r="N47" s="806" t="s">
        <v>1473</v>
      </c>
      <c r="O47" s="806" t="s">
        <v>1474</v>
      </c>
      <c r="P47" s="806" t="s">
        <v>1475</v>
      </c>
      <c r="Q47" s="806" t="s">
        <v>48</v>
      </c>
      <c r="R47" s="806" t="s">
        <v>49</v>
      </c>
      <c r="S47" s="806" t="s">
        <v>50</v>
      </c>
      <c r="T47" s="806" t="s">
        <v>51</v>
      </c>
      <c r="U47" s="806" t="s">
        <v>420</v>
      </c>
      <c r="V47" s="806" t="s">
        <v>53</v>
      </c>
      <c r="W47" s="806" t="s">
        <v>54</v>
      </c>
      <c r="X47" s="806" t="s">
        <v>55</v>
      </c>
      <c r="Y47" s="806" t="s">
        <v>56</v>
      </c>
      <c r="Z47" s="806" t="s">
        <v>57</v>
      </c>
      <c r="AA47" s="806" t="s">
        <v>58</v>
      </c>
      <c r="AB47" s="806" t="s">
        <v>59</v>
      </c>
      <c r="AC47" s="806" t="s">
        <v>60</v>
      </c>
      <c r="AD47" s="806" t="s">
        <v>61</v>
      </c>
      <c r="AE47" s="806" t="s">
        <v>62</v>
      </c>
      <c r="AF47" s="806" t="s">
        <v>63</v>
      </c>
      <c r="AG47" s="806" t="s">
        <v>64</v>
      </c>
      <c r="AH47" s="806" t="s">
        <v>65</v>
      </c>
      <c r="AI47" s="806" t="s">
        <v>66</v>
      </c>
      <c r="AJ47" s="806" t="s">
        <v>67</v>
      </c>
      <c r="AK47" s="806" t="s">
        <v>68</v>
      </c>
      <c r="AL47" s="806" t="s">
        <v>69</v>
      </c>
      <c r="AM47" s="806" t="s">
        <v>70</v>
      </c>
      <c r="AN47" s="806" t="s">
        <v>71</v>
      </c>
      <c r="AO47" s="806" t="s">
        <v>1476</v>
      </c>
      <c r="AP47" s="806" t="s">
        <v>1477</v>
      </c>
      <c r="AQ47" s="806" t="s">
        <v>1478</v>
      </c>
    </row>
    <row r="48" spans="1:43" ht="14.45">
      <c r="A48" s="35" t="s">
        <v>1511</v>
      </c>
      <c r="B48" s="805" t="s">
        <v>1480</v>
      </c>
      <c r="C48" s="805" t="s">
        <v>1481</v>
      </c>
      <c r="D48" s="973">
        <v>1066</v>
      </c>
      <c r="E48" s="973">
        <v>1110</v>
      </c>
      <c r="F48" s="973">
        <v>1150</v>
      </c>
      <c r="G48" s="973">
        <v>1196.7</v>
      </c>
      <c r="H48" s="973">
        <v>1240.9000000000001</v>
      </c>
      <c r="I48" s="973">
        <v>1288.7</v>
      </c>
      <c r="J48" s="973">
        <v>1332.8</v>
      </c>
      <c r="K48" s="973">
        <v>1379.3</v>
      </c>
      <c r="L48" s="973">
        <v>1426.2</v>
      </c>
      <c r="M48" s="973">
        <v>1472</v>
      </c>
      <c r="N48" s="973">
        <v>1518.6</v>
      </c>
      <c r="O48" s="974">
        <v>1562.44104003906</v>
      </c>
      <c r="P48" s="973">
        <v>1605.607</v>
      </c>
      <c r="Q48" s="973">
        <v>1649.2260000000001</v>
      </c>
      <c r="R48" s="973">
        <v>1689.509</v>
      </c>
      <c r="S48" s="973">
        <v>1738.6010000000001</v>
      </c>
      <c r="T48">
        <v>1783.90905761719</v>
      </c>
      <c r="U48">
        <v>1834.056</v>
      </c>
      <c r="V48">
        <v>1880.097</v>
      </c>
      <c r="W48">
        <v>1929.874</v>
      </c>
      <c r="X48">
        <v>1980.221</v>
      </c>
      <c r="Y48">
        <v>2027.56005859375</v>
      </c>
      <c r="Z48">
        <v>2077.0320000000002</v>
      </c>
      <c r="AA48">
        <v>2122.9090000000001</v>
      </c>
      <c r="AB48">
        <v>2167.596</v>
      </c>
      <c r="AC48">
        <v>2215.6</v>
      </c>
      <c r="AD48">
        <v>2262.2700199999999</v>
      </c>
      <c r="AE48">
        <v>2316.4360350000002</v>
      </c>
      <c r="AF48">
        <v>2370.8930660000001</v>
      </c>
      <c r="AG48">
        <v>2428.5270999999998</v>
      </c>
      <c r="AH48" s="1240">
        <v>2478.3051759999998</v>
      </c>
      <c r="AI48">
        <v>2532.4621579999998</v>
      </c>
      <c r="AJ48">
        <v>2586.610107</v>
      </c>
      <c r="AK48">
        <v>2638.368164</v>
      </c>
      <c r="AL48">
        <v>2693.1171880000002</v>
      </c>
    </row>
    <row r="49" spans="1:38" ht="14.45">
      <c r="B49" s="805" t="s">
        <v>1497</v>
      </c>
      <c r="C49" s="805" t="s">
        <v>1481</v>
      </c>
      <c r="D49" s="973">
        <v>139212</v>
      </c>
      <c r="E49" s="973">
        <v>145261</v>
      </c>
      <c r="F49" s="973">
        <v>150839</v>
      </c>
      <c r="G49" s="973">
        <v>157822</v>
      </c>
      <c r="H49" s="973">
        <v>164312</v>
      </c>
      <c r="I49" s="973">
        <v>172084</v>
      </c>
      <c r="J49" s="973">
        <v>178274.7</v>
      </c>
      <c r="K49" s="973">
        <v>185380</v>
      </c>
      <c r="L49" s="973">
        <v>192401.7</v>
      </c>
      <c r="M49" s="973">
        <v>199751.6</v>
      </c>
      <c r="N49" s="973">
        <v>207051.3</v>
      </c>
      <c r="O49" s="974">
        <v>212795.515625</v>
      </c>
      <c r="P49" s="973">
        <v>217883.7</v>
      </c>
      <c r="Q49" s="973">
        <v>223949</v>
      </c>
      <c r="R49" s="973">
        <v>228148.8</v>
      </c>
      <c r="S49" s="973">
        <v>236021.9</v>
      </c>
      <c r="T49">
        <v>243082.828125</v>
      </c>
      <c r="U49">
        <v>251225</v>
      </c>
      <c r="V49">
        <v>258011</v>
      </c>
      <c r="W49">
        <v>265561.90000000002</v>
      </c>
      <c r="X49">
        <v>273370.59999999998</v>
      </c>
      <c r="Y49">
        <v>280428.53125</v>
      </c>
      <c r="Z49">
        <v>287823</v>
      </c>
      <c r="AA49">
        <v>294170.09999999998</v>
      </c>
      <c r="AB49">
        <v>299298.3</v>
      </c>
      <c r="AC49">
        <v>304472.40000000002</v>
      </c>
      <c r="AD49">
        <v>309945.34379999997</v>
      </c>
      <c r="AE49">
        <v>316707.65629999997</v>
      </c>
      <c r="AF49">
        <v>323565.71879999997</v>
      </c>
      <c r="AG49">
        <v>331217.28129999997</v>
      </c>
      <c r="AH49" s="1240">
        <v>336509.3125</v>
      </c>
      <c r="AI49">
        <v>343360.6875</v>
      </c>
      <c r="AJ49">
        <v>351196.6875</v>
      </c>
      <c r="AK49">
        <v>358579.8125</v>
      </c>
      <c r="AL49">
        <v>366687.5625</v>
      </c>
    </row>
    <row r="50" spans="1:38" ht="14.45">
      <c r="A50" s="35" t="s">
        <v>1512</v>
      </c>
      <c r="B50" s="805" t="s">
        <v>1489</v>
      </c>
      <c r="C50" s="805" t="s">
        <v>1481</v>
      </c>
      <c r="D50" s="973">
        <v>59565</v>
      </c>
      <c r="E50" s="973">
        <v>61371</v>
      </c>
      <c r="F50" s="973">
        <v>62915</v>
      </c>
      <c r="G50" s="973">
        <v>64076.3</v>
      </c>
      <c r="H50" s="973">
        <v>65666</v>
      </c>
      <c r="I50" s="973">
        <v>67942.3</v>
      </c>
      <c r="J50" s="973">
        <v>70873.7</v>
      </c>
      <c r="K50" s="973">
        <v>73920.3</v>
      </c>
      <c r="L50" s="973">
        <v>77019.8</v>
      </c>
      <c r="M50" s="973">
        <v>79818</v>
      </c>
      <c r="N50" s="973">
        <v>82148.600000000006</v>
      </c>
      <c r="O50" s="974">
        <v>83913.9609375</v>
      </c>
      <c r="P50" s="973">
        <v>85293.5</v>
      </c>
      <c r="Q50" s="973">
        <v>86651</v>
      </c>
      <c r="R50" s="973">
        <v>87894.41</v>
      </c>
      <c r="S50" s="973">
        <v>89488.59</v>
      </c>
      <c r="T50">
        <v>91214.8125</v>
      </c>
      <c r="U50">
        <v>93526.63</v>
      </c>
      <c r="V50">
        <v>96779.91</v>
      </c>
      <c r="W50">
        <v>100668.2</v>
      </c>
      <c r="X50">
        <v>105001.7</v>
      </c>
      <c r="Y50">
        <v>107550.9609375</v>
      </c>
      <c r="Z50">
        <v>109746.4</v>
      </c>
      <c r="AA50">
        <v>111428.2</v>
      </c>
      <c r="AB50">
        <v>112779.1</v>
      </c>
      <c r="AC50">
        <v>113972</v>
      </c>
      <c r="AD50">
        <v>115079.125</v>
      </c>
      <c r="AF50">
        <v>118262.0156</v>
      </c>
      <c r="AG50">
        <v>121173.0313</v>
      </c>
      <c r="AH50" s="1240">
        <v>123992.88280000001</v>
      </c>
      <c r="AI50">
        <v>127565.14840000001</v>
      </c>
      <c r="AJ50">
        <v>130723.50780000001</v>
      </c>
      <c r="AK50">
        <v>133089.54689999999</v>
      </c>
      <c r="AL50">
        <v>134982.92189999999</v>
      </c>
    </row>
    <row r="51" spans="1:38" ht="14.45">
      <c r="A51" s="35" t="s">
        <v>1513</v>
      </c>
      <c r="B51" s="805" t="s">
        <v>1487</v>
      </c>
      <c r="C51" s="805" t="s">
        <v>1481</v>
      </c>
      <c r="D51" s="973">
        <v>64022</v>
      </c>
      <c r="E51" s="973">
        <v>70606</v>
      </c>
      <c r="F51" s="973">
        <v>76942</v>
      </c>
      <c r="G51" s="973">
        <v>82301.600000000006</v>
      </c>
      <c r="H51" s="973">
        <v>86010</v>
      </c>
      <c r="I51" s="973">
        <v>88472</v>
      </c>
      <c r="J51" s="973">
        <v>89692.5</v>
      </c>
      <c r="K51" s="973">
        <v>90819.3</v>
      </c>
      <c r="L51" s="973">
        <v>92201.7</v>
      </c>
      <c r="M51" s="973">
        <v>93862.2</v>
      </c>
      <c r="N51" s="973">
        <v>96222.399999999994</v>
      </c>
      <c r="O51" s="974">
        <v>99408.515625</v>
      </c>
      <c r="P51" s="973">
        <v>103377.8</v>
      </c>
      <c r="Q51" s="973">
        <v>108281</v>
      </c>
      <c r="R51" s="973">
        <v>112880.5</v>
      </c>
      <c r="S51" s="973">
        <v>117504.2</v>
      </c>
      <c r="T51">
        <v>121067.8671875</v>
      </c>
      <c r="U51">
        <v>123796.6</v>
      </c>
      <c r="V51">
        <v>124863.9</v>
      </c>
      <c r="W51">
        <v>125968.8</v>
      </c>
      <c r="X51">
        <v>127142.8</v>
      </c>
      <c r="Y51">
        <v>128503.5859375</v>
      </c>
      <c r="Z51">
        <v>130590.1</v>
      </c>
      <c r="AA51">
        <v>133590.79999999999</v>
      </c>
      <c r="AB51">
        <v>137486.20000000001</v>
      </c>
      <c r="AC51">
        <v>144485.79999999999</v>
      </c>
      <c r="AD51">
        <v>149822.48439999999</v>
      </c>
      <c r="AE51">
        <v>153941.89060000001</v>
      </c>
      <c r="AF51">
        <v>157124.6875</v>
      </c>
      <c r="AG51">
        <v>158906.45310000001</v>
      </c>
      <c r="AH51" s="1240">
        <v>160048.0625</v>
      </c>
      <c r="AI51">
        <v>161182.76560000001</v>
      </c>
      <c r="AJ51">
        <v>162615.70310000001</v>
      </c>
      <c r="AK51">
        <v>164298.29689999999</v>
      </c>
      <c r="AL51">
        <v>166856.6875</v>
      </c>
    </row>
    <row r="52" spans="1:38" ht="14.45">
      <c r="B52" s="805" t="s">
        <v>1514</v>
      </c>
      <c r="C52" s="805" t="s">
        <v>1481</v>
      </c>
      <c r="D52" s="973">
        <v>650857</v>
      </c>
      <c r="E52" s="973">
        <v>681355</v>
      </c>
      <c r="F52" s="973">
        <v>709366</v>
      </c>
      <c r="G52" s="973">
        <v>739253</v>
      </c>
      <c r="H52" s="973">
        <v>766465</v>
      </c>
      <c r="I52" s="973">
        <v>796995.7</v>
      </c>
      <c r="J52" s="973">
        <v>821808.3</v>
      </c>
      <c r="K52" s="973">
        <v>847930</v>
      </c>
      <c r="L52" s="973">
        <v>875298.4</v>
      </c>
      <c r="M52" s="973">
        <v>902835.4</v>
      </c>
      <c r="N52" s="973">
        <v>931079.2</v>
      </c>
      <c r="O52" s="974">
        <v>955625.5</v>
      </c>
      <c r="P52" s="973">
        <v>978693.5</v>
      </c>
      <c r="Q52" s="973">
        <v>1003202</v>
      </c>
      <c r="R52" s="973">
        <v>1026880</v>
      </c>
      <c r="S52" s="973">
        <v>1058228</v>
      </c>
      <c r="T52">
        <v>1086820.375</v>
      </c>
      <c r="U52">
        <v>1117367</v>
      </c>
      <c r="V52">
        <v>1143261</v>
      </c>
      <c r="W52">
        <v>1171875</v>
      </c>
      <c r="X52">
        <v>1201887</v>
      </c>
      <c r="Y52">
        <v>1228430.125</v>
      </c>
      <c r="Z52">
        <v>1255305</v>
      </c>
      <c r="AA52">
        <v>1280362</v>
      </c>
      <c r="AB52">
        <v>1303462</v>
      </c>
      <c r="AC52">
        <v>1330070</v>
      </c>
      <c r="AD52">
        <v>1354868.375</v>
      </c>
      <c r="AF52">
        <v>1407819.125</v>
      </c>
      <c r="AG52">
        <v>1435796.125</v>
      </c>
      <c r="AH52" s="1240">
        <v>1458322.5</v>
      </c>
      <c r="AI52">
        <v>1484791.625</v>
      </c>
      <c r="AJ52">
        <v>1513028.5</v>
      </c>
      <c r="AK52">
        <v>1539035.875</v>
      </c>
      <c r="AL52">
        <v>1567116.625</v>
      </c>
    </row>
    <row r="53" spans="1:38" ht="14.45">
      <c r="B53" s="805" t="s">
        <v>1485</v>
      </c>
      <c r="C53" s="805" t="s">
        <v>1481</v>
      </c>
      <c r="D53" s="973">
        <v>166280</v>
      </c>
      <c r="E53" s="973">
        <v>174256</v>
      </c>
      <c r="F53" s="973">
        <v>181148</v>
      </c>
      <c r="G53" s="973">
        <v>187469.7</v>
      </c>
      <c r="H53" s="973">
        <v>193541</v>
      </c>
      <c r="I53" s="973">
        <v>200237</v>
      </c>
      <c r="J53" s="973">
        <v>206575.6</v>
      </c>
      <c r="K53" s="973">
        <v>213223.6</v>
      </c>
      <c r="L53" s="973">
        <v>219755.1</v>
      </c>
      <c r="M53" s="973">
        <v>225986.9</v>
      </c>
      <c r="N53" s="973">
        <v>232210.9</v>
      </c>
      <c r="O53" s="974">
        <v>238287.953125</v>
      </c>
      <c r="P53" s="973">
        <v>244143.2</v>
      </c>
      <c r="Q53" s="973">
        <v>250434</v>
      </c>
      <c r="R53" s="973">
        <v>256169.2</v>
      </c>
      <c r="S53" s="973">
        <v>262718.7</v>
      </c>
      <c r="T53">
        <v>269239.28125</v>
      </c>
      <c r="U53">
        <v>276422.5</v>
      </c>
      <c r="V53">
        <v>282778.3</v>
      </c>
      <c r="W53">
        <v>289483.59999999998</v>
      </c>
      <c r="X53">
        <v>296128.2</v>
      </c>
      <c r="Y53">
        <v>302405.03125</v>
      </c>
      <c r="Z53">
        <v>308717.40000000002</v>
      </c>
      <c r="AA53">
        <v>314593.2</v>
      </c>
      <c r="AB53">
        <v>320378.09999999998</v>
      </c>
      <c r="AC53">
        <v>326153.5</v>
      </c>
      <c r="AD53">
        <v>331314.78129999997</v>
      </c>
      <c r="AE53">
        <v>337188.03129999997</v>
      </c>
      <c r="AF53">
        <v>342993.34379999997</v>
      </c>
      <c r="AG53">
        <v>349566.875</v>
      </c>
      <c r="AH53" s="1240">
        <v>355670.75</v>
      </c>
      <c r="AI53">
        <v>362319.46879999997</v>
      </c>
      <c r="AJ53">
        <v>368938.96879999997</v>
      </c>
      <c r="AK53">
        <v>374967.4375</v>
      </c>
      <c r="AL53">
        <v>381245.78129999997</v>
      </c>
    </row>
    <row r="54" spans="1:38" ht="14.25" customHeight="1">
      <c r="B54" s="805" t="s">
        <v>1505</v>
      </c>
      <c r="C54" s="805" t="s">
        <v>1503</v>
      </c>
      <c r="D54" s="973">
        <v>22.8</v>
      </c>
      <c r="E54" s="973">
        <v>22.9</v>
      </c>
      <c r="F54" s="973">
        <v>22.9</v>
      </c>
      <c r="G54" s="973">
        <v>23</v>
      </c>
      <c r="H54" s="973">
        <v>23.2</v>
      </c>
      <c r="I54" s="973">
        <v>23.2</v>
      </c>
      <c r="J54" s="973">
        <v>23.3</v>
      </c>
      <c r="K54" s="973">
        <v>23.4</v>
      </c>
      <c r="L54" s="973">
        <v>23.5</v>
      </c>
      <c r="M54" s="973">
        <v>23.6</v>
      </c>
      <c r="N54" s="973">
        <v>23.7</v>
      </c>
      <c r="O54" s="974">
        <v>23.746799468994102</v>
      </c>
      <c r="P54" s="973">
        <v>23.8</v>
      </c>
      <c r="Q54" s="973">
        <v>23.8339</v>
      </c>
      <c r="R54" s="973">
        <v>23.9</v>
      </c>
      <c r="S54" s="973">
        <v>24</v>
      </c>
      <c r="T54">
        <v>24.1</v>
      </c>
      <c r="U54">
        <v>24.2</v>
      </c>
      <c r="V54">
        <v>24.3</v>
      </c>
      <c r="W54">
        <v>24.4</v>
      </c>
      <c r="X54">
        <v>24.5</v>
      </c>
      <c r="Y54">
        <v>24.6</v>
      </c>
      <c r="Z54">
        <v>24.763000000000002</v>
      </c>
      <c r="AA54">
        <v>24.822600000000001</v>
      </c>
      <c r="AB54">
        <v>24.9</v>
      </c>
      <c r="AC54">
        <v>24.9</v>
      </c>
      <c r="AD54">
        <v>24.963699340000002</v>
      </c>
      <c r="AE54">
        <v>25.067600250000002</v>
      </c>
      <c r="AF54">
        <v>25.164199830000001</v>
      </c>
      <c r="AG54">
        <v>25.296798710000001</v>
      </c>
      <c r="AH54" s="1240">
        <v>25.407098770000001</v>
      </c>
      <c r="AI54">
        <v>25.525098799999999</v>
      </c>
      <c r="AJ54">
        <v>25.65649986</v>
      </c>
      <c r="AK54">
        <v>25.772199629999999</v>
      </c>
      <c r="AL54">
        <v>25.89919853</v>
      </c>
    </row>
    <row r="55" spans="1:38" ht="14.45">
      <c r="B55" s="805" t="s">
        <v>1509</v>
      </c>
      <c r="C55" s="805" t="s">
        <v>1503</v>
      </c>
      <c r="D55" s="973">
        <v>0.2</v>
      </c>
      <c r="E55" s="973">
        <v>0.2</v>
      </c>
      <c r="F55" s="973">
        <v>0.3</v>
      </c>
      <c r="G55" s="973">
        <v>0.3</v>
      </c>
      <c r="H55" s="973">
        <v>0.3</v>
      </c>
      <c r="I55" s="973">
        <v>0.3</v>
      </c>
      <c r="J55" s="973">
        <v>0.3</v>
      </c>
      <c r="K55" s="973">
        <v>0.3</v>
      </c>
      <c r="L55" s="973">
        <v>0.3</v>
      </c>
      <c r="M55" s="973">
        <v>0.3</v>
      </c>
      <c r="N55" s="973">
        <v>0.3</v>
      </c>
      <c r="O55" s="974">
        <v>0.29999998211860701</v>
      </c>
      <c r="P55" s="973">
        <v>0.3</v>
      </c>
      <c r="Q55" s="973">
        <v>0.3</v>
      </c>
      <c r="R55" s="973">
        <v>0.3</v>
      </c>
      <c r="S55" s="973">
        <v>0.3</v>
      </c>
      <c r="T55">
        <v>0.3</v>
      </c>
      <c r="U55" s="973">
        <v>0.3</v>
      </c>
      <c r="V55">
        <v>0.3</v>
      </c>
      <c r="W55">
        <v>0.37</v>
      </c>
      <c r="X55">
        <v>0.4</v>
      </c>
      <c r="Y55">
        <v>0.4</v>
      </c>
      <c r="Z55">
        <v>0.4</v>
      </c>
      <c r="AA55">
        <v>0.4</v>
      </c>
      <c r="AB55">
        <v>0.4</v>
      </c>
      <c r="AC55">
        <v>0.4</v>
      </c>
      <c r="AF55">
        <v>0.37000000500000002</v>
      </c>
      <c r="AG55">
        <v>0.37000000500000002</v>
      </c>
      <c r="AH55" s="1240">
        <v>0</v>
      </c>
      <c r="AI55">
        <v>0.37000000500000002</v>
      </c>
      <c r="AJ55">
        <v>0.37000000500000002</v>
      </c>
      <c r="AK55">
        <v>0.37000000500000002</v>
      </c>
      <c r="AL55">
        <v>0.37000000500000002</v>
      </c>
    </row>
    <row r="56" spans="1:38" ht="14.45">
      <c r="B56" s="805" t="s">
        <v>1515</v>
      </c>
      <c r="C56" s="805" t="s">
        <v>1516</v>
      </c>
      <c r="D56" s="973">
        <v>0</v>
      </c>
      <c r="E56" s="973">
        <v>0</v>
      </c>
      <c r="F56" s="973">
        <v>0</v>
      </c>
      <c r="G56" s="973">
        <v>0</v>
      </c>
      <c r="H56" s="973">
        <v>0</v>
      </c>
      <c r="I56" s="973">
        <v>0</v>
      </c>
      <c r="J56" s="973">
        <v>0</v>
      </c>
      <c r="K56" s="973">
        <v>0</v>
      </c>
      <c r="L56" s="973">
        <v>0</v>
      </c>
      <c r="M56" s="973">
        <v>0</v>
      </c>
      <c r="N56" s="973">
        <v>0</v>
      </c>
      <c r="O56" s="974">
        <v>0</v>
      </c>
      <c r="P56" s="973">
        <v>0</v>
      </c>
      <c r="Q56" s="973">
        <v>0</v>
      </c>
      <c r="R56" s="973">
        <v>0</v>
      </c>
      <c r="S56" s="973">
        <v>0</v>
      </c>
      <c r="T56">
        <v>0</v>
      </c>
      <c r="U56">
        <v>0</v>
      </c>
      <c r="V56">
        <v>3.9980000000000002</v>
      </c>
      <c r="W56">
        <v>3.9990000000000001</v>
      </c>
      <c r="X56">
        <v>3.9990000000000001</v>
      </c>
      <c r="Y56">
        <v>4</v>
      </c>
      <c r="Z56">
        <v>4.399</v>
      </c>
      <c r="AA56">
        <v>3.9990000000000001</v>
      </c>
      <c r="AB56">
        <v>4.9619999999999997</v>
      </c>
      <c r="AC56">
        <v>10</v>
      </c>
      <c r="AD56">
        <v>10</v>
      </c>
      <c r="AF56">
        <v>3.9990000719999999</v>
      </c>
      <c r="AG56">
        <v>3.9990000719999999</v>
      </c>
      <c r="AH56" s="1240">
        <v>0</v>
      </c>
      <c r="AI56">
        <v>3.9990000719999999</v>
      </c>
      <c r="AJ56">
        <v>3.9990000719999999</v>
      </c>
      <c r="AK56">
        <v>3.9990000719999999</v>
      </c>
      <c r="AL56">
        <v>3.9980001449999998</v>
      </c>
    </row>
    <row r="57" spans="1:38" ht="14.45">
      <c r="B57" s="805" t="s">
        <v>1495</v>
      </c>
      <c r="C57" s="805" t="s">
        <v>1481</v>
      </c>
      <c r="D57" s="973">
        <v>31408</v>
      </c>
      <c r="E57" s="973">
        <v>32607</v>
      </c>
      <c r="F57" s="973">
        <v>33723</v>
      </c>
      <c r="G57" s="973">
        <v>34665</v>
      </c>
      <c r="H57" s="973">
        <v>35709</v>
      </c>
      <c r="I57" s="973">
        <v>37062.1</v>
      </c>
      <c r="J57" s="973">
        <v>38324.5</v>
      </c>
      <c r="K57" s="973">
        <v>39412.699999999997</v>
      </c>
      <c r="L57" s="973">
        <v>40759.5</v>
      </c>
      <c r="M57" s="973">
        <v>41869.699999999997</v>
      </c>
      <c r="N57" s="973">
        <v>43237.1</v>
      </c>
      <c r="O57" s="974">
        <v>44580.234375</v>
      </c>
      <c r="P57" s="973">
        <v>45814.97</v>
      </c>
      <c r="Q57" s="973">
        <v>47186</v>
      </c>
      <c r="R57" s="973">
        <v>48403.199999999997</v>
      </c>
      <c r="S57" s="973">
        <v>49830.15</v>
      </c>
      <c r="T57">
        <v>51141.3125</v>
      </c>
      <c r="U57">
        <v>52511.12</v>
      </c>
      <c r="V57">
        <v>53819.44</v>
      </c>
      <c r="W57">
        <v>55110.67</v>
      </c>
      <c r="X57">
        <v>56511.82</v>
      </c>
      <c r="Y57">
        <v>57751.6953125</v>
      </c>
      <c r="Z57">
        <v>58880.480000000003</v>
      </c>
      <c r="AA57">
        <v>59838.79</v>
      </c>
      <c r="AB57">
        <v>60679.32</v>
      </c>
      <c r="AC57">
        <v>61678.5</v>
      </c>
      <c r="AD57">
        <v>62587.5625</v>
      </c>
      <c r="AF57">
        <v>64551.203130000002</v>
      </c>
      <c r="AG57">
        <v>65572.648440000004</v>
      </c>
      <c r="AH57" s="1240">
        <v>66675.835940000004</v>
      </c>
      <c r="AI57">
        <v>67859.34375</v>
      </c>
      <c r="AJ57">
        <v>68921.828129999994</v>
      </c>
      <c r="AK57">
        <v>69995.789059999996</v>
      </c>
      <c r="AL57">
        <v>71067.390629999994</v>
      </c>
    </row>
    <row r="58" spans="1:38" ht="14.45">
      <c r="B58" s="805" t="s">
        <v>1491</v>
      </c>
      <c r="C58" s="805" t="s">
        <v>1481</v>
      </c>
      <c r="D58" s="973">
        <v>101965</v>
      </c>
      <c r="E58" s="973">
        <v>105089</v>
      </c>
      <c r="F58" s="973">
        <v>108318</v>
      </c>
      <c r="G58" s="973">
        <v>113588</v>
      </c>
      <c r="H58" s="973">
        <v>118360</v>
      </c>
      <c r="I58" s="973">
        <v>124684.9</v>
      </c>
      <c r="J58" s="973">
        <v>128358.3</v>
      </c>
      <c r="K58" s="973">
        <v>132082.6</v>
      </c>
      <c r="L58" s="973">
        <v>136534.6</v>
      </c>
      <c r="M58" s="973">
        <v>141439.20000000001</v>
      </c>
      <c r="N58" s="973">
        <v>146550</v>
      </c>
      <c r="O58" s="974">
        <v>149798.75</v>
      </c>
      <c r="P58" s="973">
        <v>152081.4</v>
      </c>
      <c r="Q58" s="973">
        <v>154359</v>
      </c>
      <c r="R58" s="973">
        <v>156747.4</v>
      </c>
      <c r="S58" s="973">
        <v>162005.5</v>
      </c>
      <c r="T58">
        <v>166460.65625</v>
      </c>
      <c r="U58">
        <v>171526.9</v>
      </c>
      <c r="V58">
        <v>175323.3</v>
      </c>
      <c r="W58">
        <v>179776.1</v>
      </c>
      <c r="X58">
        <v>184806.39999999999</v>
      </c>
      <c r="Y58">
        <v>189389.328125</v>
      </c>
      <c r="Z58">
        <v>193556</v>
      </c>
      <c r="AA58">
        <v>197456.4</v>
      </c>
      <c r="AB58">
        <v>200161.5</v>
      </c>
      <c r="AC58">
        <v>202950.39999999999</v>
      </c>
      <c r="AD58">
        <v>206295.125</v>
      </c>
      <c r="AF58">
        <v>213856.6563</v>
      </c>
      <c r="AG58">
        <v>218221.42189999999</v>
      </c>
      <c r="AH58" s="1240">
        <v>221053.2813</v>
      </c>
      <c r="AI58">
        <v>224608.10939999999</v>
      </c>
      <c r="AJ58">
        <v>228680.1875</v>
      </c>
      <c r="AK58">
        <v>232435.625</v>
      </c>
      <c r="AL58">
        <v>236399.04689999999</v>
      </c>
    </row>
    <row r="59" spans="1:38" ht="14.45">
      <c r="B59" s="805" t="s">
        <v>1507</v>
      </c>
      <c r="C59" s="805" t="s">
        <v>1503</v>
      </c>
      <c r="D59" s="973">
        <v>45.6</v>
      </c>
      <c r="E59" s="973">
        <v>47.5</v>
      </c>
      <c r="F59" s="973">
        <v>49.3</v>
      </c>
      <c r="G59" s="973">
        <v>55.8</v>
      </c>
      <c r="H59" s="973">
        <v>62</v>
      </c>
      <c r="I59" s="973">
        <v>72.400000000000006</v>
      </c>
      <c r="J59" s="973">
        <v>80.2</v>
      </c>
      <c r="K59" s="973">
        <v>90.2</v>
      </c>
      <c r="L59" s="973">
        <v>102.9</v>
      </c>
      <c r="M59" s="973">
        <v>115.7</v>
      </c>
      <c r="N59" s="973">
        <v>127.6</v>
      </c>
      <c r="O59" s="974">
        <v>134.66000366210901</v>
      </c>
      <c r="P59" s="973">
        <v>137.9</v>
      </c>
      <c r="Q59" s="973">
        <v>141.69999999999999</v>
      </c>
      <c r="R59" s="973">
        <v>149.30000000000001</v>
      </c>
      <c r="S59" s="973">
        <v>170.6</v>
      </c>
      <c r="T59">
        <v>183</v>
      </c>
      <c r="U59">
        <v>203</v>
      </c>
      <c r="V59">
        <v>211</v>
      </c>
      <c r="W59">
        <v>224.58</v>
      </c>
      <c r="X59">
        <v>239.6</v>
      </c>
      <c r="Y59">
        <v>252.5</v>
      </c>
      <c r="Z59">
        <v>265.14</v>
      </c>
      <c r="AA59">
        <v>268.58</v>
      </c>
      <c r="AB59">
        <v>270.2</v>
      </c>
      <c r="AC59">
        <v>272.5</v>
      </c>
      <c r="AF59">
        <v>304.52999879999999</v>
      </c>
      <c r="AG59">
        <v>321.10998540000003</v>
      </c>
      <c r="AH59" s="1240">
        <v>325.82998659999998</v>
      </c>
      <c r="AI59">
        <v>335.76998900000001</v>
      </c>
      <c r="AJ59">
        <v>350.2999878</v>
      </c>
      <c r="AK59">
        <v>361.7999878</v>
      </c>
      <c r="AL59">
        <v>375.63000490000002</v>
      </c>
    </row>
    <row r="60" spans="1:38" ht="14.45">
      <c r="B60" s="805" t="s">
        <v>1517</v>
      </c>
      <c r="C60" s="805" t="s">
        <v>1516</v>
      </c>
      <c r="D60" s="973">
        <v>0</v>
      </c>
      <c r="E60" s="973">
        <v>0</v>
      </c>
      <c r="F60" s="973">
        <v>0</v>
      </c>
      <c r="G60" s="973">
        <v>0</v>
      </c>
      <c r="H60" s="973">
        <v>0</v>
      </c>
      <c r="I60" s="973">
        <v>0</v>
      </c>
      <c r="J60" s="973">
        <v>0</v>
      </c>
      <c r="K60" s="973">
        <v>0</v>
      </c>
      <c r="L60" s="973">
        <v>0</v>
      </c>
      <c r="M60" s="973">
        <v>0</v>
      </c>
      <c r="N60" s="973">
        <v>0</v>
      </c>
      <c r="O60" s="974">
        <v>0</v>
      </c>
      <c r="P60" s="973">
        <v>0</v>
      </c>
      <c r="Q60" s="973">
        <v>0</v>
      </c>
      <c r="R60" s="973">
        <v>0</v>
      </c>
      <c r="S60" s="973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4.5940000000000003</v>
      </c>
      <c r="AF60">
        <v>0</v>
      </c>
      <c r="AG60">
        <v>0</v>
      </c>
      <c r="AH60" s="1240">
        <v>3.9980001449999998</v>
      </c>
      <c r="AI60">
        <v>0</v>
      </c>
      <c r="AJ60">
        <v>0</v>
      </c>
      <c r="AK60">
        <v>0</v>
      </c>
      <c r="AL60">
        <v>0</v>
      </c>
    </row>
    <row r="61" spans="1:38" ht="14.45">
      <c r="B61" s="805" t="s">
        <v>1493</v>
      </c>
      <c r="C61" s="805" t="s">
        <v>1481</v>
      </c>
      <c r="D61" s="973">
        <v>35365</v>
      </c>
      <c r="E61" s="973">
        <v>36916</v>
      </c>
      <c r="F61" s="973">
        <v>38309</v>
      </c>
      <c r="G61" s="973">
        <v>39943.800000000003</v>
      </c>
      <c r="H61" s="973">
        <v>41293</v>
      </c>
      <c r="I61" s="973">
        <v>42699.199999999997</v>
      </c>
      <c r="J61" s="973">
        <v>43717.1</v>
      </c>
      <c r="K61" s="973">
        <v>44883.7</v>
      </c>
      <c r="L61" s="973">
        <v>46136.3</v>
      </c>
      <c r="M61" s="973">
        <v>47402.9</v>
      </c>
      <c r="N61" s="973">
        <v>48692.800000000003</v>
      </c>
      <c r="O61" s="974">
        <v>49701.62109375</v>
      </c>
      <c r="P61" s="973">
        <v>50712.77</v>
      </c>
      <c r="Q61" s="973">
        <v>51759</v>
      </c>
      <c r="R61" s="973">
        <v>52975.18</v>
      </c>
      <c r="S61" s="973">
        <v>54758.53</v>
      </c>
      <c r="T61">
        <v>56515.015625</v>
      </c>
      <c r="U61">
        <v>57933.83</v>
      </c>
      <c r="V61">
        <v>58946.63</v>
      </c>
      <c r="W61">
        <v>60164.43</v>
      </c>
      <c r="X61">
        <v>61371.45</v>
      </c>
      <c r="Y61">
        <v>62573.6015625</v>
      </c>
      <c r="Z61">
        <v>63818.46</v>
      </c>
      <c r="AA61">
        <v>64826.720000000001</v>
      </c>
      <c r="AB61">
        <v>65887.34</v>
      </c>
      <c r="AC61">
        <v>67226.399999999994</v>
      </c>
      <c r="AD61">
        <v>68547.414059999996</v>
      </c>
      <c r="AF61">
        <v>71554.8125</v>
      </c>
      <c r="AG61">
        <v>72850.460940000004</v>
      </c>
      <c r="AH61" s="1240">
        <v>73766.953129999994</v>
      </c>
      <c r="AI61">
        <v>74900.257809999996</v>
      </c>
      <c r="AJ61">
        <v>76589.085940000004</v>
      </c>
      <c r="AK61">
        <v>78024.492190000004</v>
      </c>
      <c r="AL61">
        <v>79247.351559999996</v>
      </c>
    </row>
    <row r="62" spans="1:38" ht="14.45">
      <c r="B62" s="805" t="s">
        <v>1502</v>
      </c>
      <c r="C62" s="805" t="s">
        <v>1503</v>
      </c>
      <c r="D62" s="973">
        <v>1221.8</v>
      </c>
      <c r="E62" s="973">
        <v>1332.8</v>
      </c>
      <c r="F62" s="973">
        <v>1525</v>
      </c>
      <c r="G62" s="973">
        <v>1674</v>
      </c>
      <c r="H62" s="973">
        <v>1752.9</v>
      </c>
      <c r="I62" s="973">
        <v>1845</v>
      </c>
      <c r="J62" s="973">
        <v>1901.4</v>
      </c>
      <c r="K62" s="973">
        <v>1976.3</v>
      </c>
      <c r="L62" s="973">
        <v>2106.9</v>
      </c>
      <c r="M62" s="973">
        <v>2192.3000000000002</v>
      </c>
      <c r="N62" s="973">
        <v>2274.1</v>
      </c>
      <c r="O62" s="974">
        <v>2311.94995117188</v>
      </c>
      <c r="P62" s="973">
        <v>2342.8000000000002</v>
      </c>
      <c r="Q62" s="973">
        <v>2385.1999999999998</v>
      </c>
      <c r="R62" s="973">
        <v>2436.1</v>
      </c>
      <c r="S62" s="973">
        <v>2600.8000000000002</v>
      </c>
      <c r="T62">
        <v>2702</v>
      </c>
      <c r="U62">
        <v>2841</v>
      </c>
      <c r="V62">
        <v>2910</v>
      </c>
      <c r="W62">
        <v>3003.33</v>
      </c>
      <c r="X62">
        <v>3099.3</v>
      </c>
      <c r="Y62">
        <v>3198.8</v>
      </c>
      <c r="Z62">
        <v>3305.11</v>
      </c>
      <c r="AA62">
        <v>3350.12</v>
      </c>
      <c r="AB62">
        <v>3385.2</v>
      </c>
      <c r="AC62">
        <v>3480.6</v>
      </c>
      <c r="AD62">
        <v>3584.8698730000001</v>
      </c>
      <c r="AF62">
        <v>157124.6875</v>
      </c>
      <c r="AG62">
        <v>4024.5397950000001</v>
      </c>
      <c r="AH62" s="1240">
        <v>4084.51001</v>
      </c>
      <c r="AI62">
        <v>4183.0200199999999</v>
      </c>
      <c r="AJ62">
        <v>4304.0400390000004</v>
      </c>
      <c r="AK62">
        <v>4408.3500979999999</v>
      </c>
      <c r="AL62">
        <v>4518.6098629999997</v>
      </c>
    </row>
    <row r="63" spans="1:38" ht="14.45">
      <c r="B63" s="805" t="s">
        <v>1499</v>
      </c>
      <c r="C63" s="805" t="s">
        <v>1481</v>
      </c>
      <c r="D63" s="973">
        <v>3876</v>
      </c>
      <c r="E63" s="973">
        <v>4019</v>
      </c>
      <c r="F63" s="973">
        <v>4131</v>
      </c>
      <c r="G63" s="973">
        <v>4276.8</v>
      </c>
      <c r="H63" s="973">
        <v>4431</v>
      </c>
      <c r="I63" s="973">
        <v>4592.1000000000004</v>
      </c>
      <c r="J63" s="973">
        <v>4713.3999999999996</v>
      </c>
      <c r="K63" s="973">
        <v>4802.8999999999996</v>
      </c>
      <c r="L63" s="973">
        <v>4960.7</v>
      </c>
      <c r="M63" s="973">
        <v>5129.3</v>
      </c>
      <c r="N63" s="973">
        <v>5289.7</v>
      </c>
      <c r="O63" s="974">
        <v>5432.37109375</v>
      </c>
      <c r="P63" s="973">
        <v>5572.585</v>
      </c>
      <c r="Q63" s="973">
        <v>5718.0940000000001</v>
      </c>
      <c r="R63" s="973">
        <v>5857.9309999999996</v>
      </c>
      <c r="S63" s="973">
        <v>6023.8069999999998</v>
      </c>
      <c r="T63">
        <v>6200.08935546875</v>
      </c>
      <c r="U63">
        <v>6394.9520000000002</v>
      </c>
      <c r="V63">
        <v>6563.0550000000003</v>
      </c>
      <c r="W63">
        <v>6759.6239999999998</v>
      </c>
      <c r="X63">
        <v>6963.1329999999998</v>
      </c>
      <c r="Y63">
        <v>7099.6904296875</v>
      </c>
      <c r="Z63">
        <v>7230.0050000000001</v>
      </c>
      <c r="AA63">
        <v>7374.8609999999999</v>
      </c>
      <c r="AB63">
        <v>7506.4089999999997</v>
      </c>
      <c r="AC63">
        <v>7655.8</v>
      </c>
      <c r="AD63">
        <v>7800.0151370000003</v>
      </c>
      <c r="AF63">
        <v>8153.1503910000001</v>
      </c>
      <c r="AG63">
        <v>8351.5351559999999</v>
      </c>
      <c r="AH63" s="1240">
        <v>8550.3378909999992</v>
      </c>
      <c r="AI63">
        <v>8754.3027340000008</v>
      </c>
      <c r="AJ63">
        <v>8947.0185550000006</v>
      </c>
      <c r="AK63">
        <v>9120.0117190000001</v>
      </c>
      <c r="AL63">
        <v>9284.28125</v>
      </c>
    </row>
    <row r="64" spans="1:38">
      <c r="C64" s="973"/>
      <c r="D64" s="973"/>
      <c r="E64" s="973"/>
      <c r="F64" s="973"/>
      <c r="G64" s="973"/>
      <c r="H64" s="973"/>
      <c r="I64" s="973"/>
      <c r="J64" s="973"/>
      <c r="K64" s="973"/>
      <c r="L64" s="973"/>
      <c r="M64" s="973"/>
      <c r="N64" s="973"/>
      <c r="O64" s="973"/>
      <c r="P64" s="973"/>
      <c r="Q64" s="973"/>
      <c r="R64" s="973"/>
      <c r="S64" s="973"/>
    </row>
    <row r="65" spans="2:21"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</row>
    <row r="66" spans="2:21" ht="14.45">
      <c r="B66" s="1144"/>
      <c r="C66" s="1144"/>
    </row>
    <row r="67" spans="2:21" ht="14.45">
      <c r="B67" s="1144"/>
      <c r="C67" s="1144"/>
    </row>
    <row r="68" spans="2:21" ht="14.45">
      <c r="B68" s="1144"/>
      <c r="C68" s="1144"/>
    </row>
    <row r="69" spans="2:21" ht="14.45">
      <c r="B69" s="1144"/>
      <c r="C69" s="1144"/>
    </row>
    <row r="70" spans="2:21" ht="14.45">
      <c r="B70" s="1144"/>
      <c r="C70" s="1144"/>
    </row>
    <row r="71" spans="2:21" ht="14.45">
      <c r="B71" s="1144"/>
      <c r="C71" s="1144"/>
    </row>
    <row r="72" spans="2:21" ht="14.45">
      <c r="B72" s="1144"/>
      <c r="C72" s="1144"/>
    </row>
    <row r="73" spans="2:21" ht="14.45">
      <c r="B73" s="1144"/>
      <c r="C73" s="1144"/>
    </row>
    <row r="74" spans="2:21" ht="14.45">
      <c r="B74" s="1144"/>
      <c r="C74" s="1144"/>
    </row>
    <row r="75" spans="2:21" ht="14.45">
      <c r="B75" s="1144"/>
      <c r="C75" s="1144"/>
    </row>
    <row r="76" spans="2:21" ht="14.45">
      <c r="B76" s="1144"/>
      <c r="C76" s="1144"/>
    </row>
    <row r="77" spans="2:21" ht="14.45">
      <c r="B77" s="1144"/>
      <c r="C77" s="1144"/>
    </row>
    <row r="78" spans="2:21" ht="14.45">
      <c r="B78" s="1144"/>
      <c r="C78" s="1144"/>
    </row>
    <row r="79" spans="2:21" ht="14.45">
      <c r="B79" s="1144"/>
      <c r="C79" s="1144"/>
    </row>
    <row r="80" spans="2:21" ht="14.45">
      <c r="B80" s="1144"/>
      <c r="C80" s="1144"/>
    </row>
    <row r="81" spans="2:3" ht="14.45">
      <c r="B81" s="1144"/>
      <c r="C81" s="1144"/>
    </row>
  </sheetData>
  <protectedRanges>
    <protectedRange sqref="G29:N31 D29:D31 G34:N34 D34 D37:N37 G38:N39 D38:D39 D41:M44 D49:N49 G63:N63 G52:N53 G48:N48 D48 D59:M59 D63 G58:N58 D58 D52:D53 D54:M55 D62:M62" name="Range1_1"/>
    <protectedRange sqref="N41:N44 N59 N54:N55 N62" name="Range1_1_2"/>
  </protectedRanges>
  <customSheetViews>
    <customSheetView guid="{673E8A68-6A24-44BE-9F14-EEC413B6644E}" scale="200" showPageBreaks="1" topLeftCell="G14">
      <selection activeCell="J23" sqref="J23"/>
      <pageMargins left="0" right="0" top="0" bottom="0" header="0" footer="0"/>
      <pageSetup paperSize="9" orientation="portrait" r:id="rId1"/>
    </customSheetView>
    <customSheetView guid="{90A42C2A-6CDA-4EAF-9471-F44CF19471E9}" topLeftCell="A2">
      <selection activeCell="J12" sqref="J12"/>
      <pageMargins left="0" right="0" top="0" bottom="0" header="0" footer="0"/>
      <pageSetup paperSize="9" orientation="portrait" r:id="rId2"/>
    </customSheetView>
  </customSheetViews>
  <phoneticPr fontId="10" type="noConversion"/>
  <conditionalFormatting sqref="D30:AQ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M156"/>
  <sheetViews>
    <sheetView topLeftCell="A113" zoomScaleNormal="100" workbookViewId="0" xr3:uid="{C67EF94B-0B3B-5838-830C-E3A509766221}">
      <pane xSplit="5" topLeftCell="F1" activePane="topRight" state="frozen"/>
      <selection pane="topRight" activeCell="B109" sqref="B109"/>
      <selection activeCell="A61" sqref="A61"/>
    </sheetView>
  </sheetViews>
  <sheetFormatPr defaultRowHeight="13.15"/>
  <cols>
    <col min="1" max="1" width="14.140625" style="473" customWidth="1"/>
    <col min="2" max="2" width="48.85546875" style="473" customWidth="1"/>
    <col min="3" max="3" width="13.28515625" bestFit="1" customWidth="1"/>
    <col min="4" max="4" width="5.42578125" bestFit="1" customWidth="1"/>
    <col min="5" max="5" width="12.140625" bestFit="1" customWidth="1"/>
    <col min="6" max="6" width="19.140625" bestFit="1" customWidth="1"/>
    <col min="7" max="7" width="14.28515625" bestFit="1" customWidth="1"/>
    <col min="8" max="8" width="8.42578125" bestFit="1" customWidth="1"/>
    <col min="9" max="9" width="9" bestFit="1" customWidth="1"/>
    <col min="10" max="10" width="16.42578125" bestFit="1" customWidth="1"/>
    <col min="11" max="11" width="9.85546875" bestFit="1" customWidth="1"/>
    <col min="12" max="12" width="9.5703125" bestFit="1" customWidth="1"/>
    <col min="13" max="14" width="9.85546875" bestFit="1" customWidth="1"/>
    <col min="15" max="15" width="9.5703125" bestFit="1" customWidth="1"/>
    <col min="16" max="16" width="10.140625" bestFit="1" customWidth="1"/>
    <col min="17" max="17" width="9.28515625" bestFit="1" customWidth="1"/>
    <col min="18" max="18" width="9" customWidth="1"/>
    <col min="19" max="19" width="10.28515625" customWidth="1"/>
    <col min="20" max="20" width="10" customWidth="1"/>
    <col min="21" max="21" width="9.42578125" bestFit="1" customWidth="1"/>
    <col min="22" max="22" width="12" bestFit="1" customWidth="1"/>
    <col min="23" max="28" width="8.5703125" bestFit="1" customWidth="1"/>
    <col min="29" max="30" width="9" bestFit="1" customWidth="1"/>
    <col min="32" max="32" width="13.140625" bestFit="1" customWidth="1"/>
    <col min="38" max="38" width="11.42578125" bestFit="1" customWidth="1"/>
  </cols>
  <sheetData>
    <row r="1" spans="1:38" ht="13.9" thickBot="1"/>
    <row r="2" spans="1:38">
      <c r="A2" s="857" t="s">
        <v>1518</v>
      </c>
      <c r="B2" s="857"/>
      <c r="C2" s="432"/>
      <c r="D2" s="432"/>
      <c r="E2" s="432"/>
      <c r="F2" s="432"/>
      <c r="G2" s="434"/>
      <c r="H2" s="435" t="s">
        <v>1519</v>
      </c>
      <c r="I2" s="436" t="s">
        <v>1520</v>
      </c>
      <c r="J2" s="1126" t="s">
        <v>1521</v>
      </c>
      <c r="K2" s="1129" t="s">
        <v>1522</v>
      </c>
      <c r="L2" s="1129" t="s">
        <v>1464</v>
      </c>
      <c r="M2" s="1129" t="s">
        <v>1465</v>
      </c>
      <c r="N2" s="1129" t="s">
        <v>1466</v>
      </c>
      <c r="O2" s="1129" t="s">
        <v>1467</v>
      </c>
      <c r="P2" s="1129" t="s">
        <v>406</v>
      </c>
      <c r="Q2" s="1129" t="s">
        <v>1468</v>
      </c>
      <c r="R2" s="1129" t="s">
        <v>1469</v>
      </c>
      <c r="S2" s="1129" t="s">
        <v>1470</v>
      </c>
      <c r="T2" s="1129" t="s">
        <v>1471</v>
      </c>
      <c r="U2" s="1129" t="s">
        <v>1472</v>
      </c>
      <c r="V2" s="1129" t="s">
        <v>1473</v>
      </c>
      <c r="W2" s="1129" t="s">
        <v>1474</v>
      </c>
      <c r="X2" s="1129" t="s">
        <v>414</v>
      </c>
      <c r="Y2" s="1129" t="s">
        <v>48</v>
      </c>
      <c r="Z2" s="1129" t="s">
        <v>49</v>
      </c>
      <c r="AA2" s="1129" t="s">
        <v>50</v>
      </c>
      <c r="AB2" s="1129" t="s">
        <v>51</v>
      </c>
      <c r="AC2" s="1129" t="s">
        <v>420</v>
      </c>
      <c r="AD2" s="1129" t="s">
        <v>53</v>
      </c>
      <c r="AE2" s="1129" t="s">
        <v>54</v>
      </c>
      <c r="AF2" s="1129" t="s">
        <v>55</v>
      </c>
      <c r="AG2" s="1129" t="s">
        <v>56</v>
      </c>
      <c r="AH2" s="1129" t="s">
        <v>57</v>
      </c>
      <c r="AI2" s="1129" t="s">
        <v>58</v>
      </c>
      <c r="AJ2" s="1129" t="s">
        <v>59</v>
      </c>
      <c r="AK2" s="436" t="s">
        <v>1523</v>
      </c>
      <c r="AL2" s="436" t="s">
        <v>74</v>
      </c>
    </row>
    <row r="3" spans="1:38">
      <c r="A3" s="858" t="s">
        <v>1524</v>
      </c>
      <c r="B3" s="858" t="s">
        <v>1525</v>
      </c>
      <c r="C3" s="433"/>
      <c r="D3" s="433"/>
      <c r="E3" s="433"/>
      <c r="F3" s="433" t="s">
        <v>689</v>
      </c>
      <c r="G3" s="437" t="s">
        <v>1526</v>
      </c>
      <c r="H3" s="262" t="s">
        <v>1527</v>
      </c>
      <c r="I3" s="234" t="s">
        <v>1528</v>
      </c>
      <c r="J3" s="433" t="s">
        <v>1529</v>
      </c>
      <c r="K3" s="1130" t="s">
        <v>1530</v>
      </c>
      <c r="L3" s="1130" t="s">
        <v>1530</v>
      </c>
      <c r="M3" s="1130" t="s">
        <v>1530</v>
      </c>
      <c r="N3" s="1130" t="s">
        <v>1530</v>
      </c>
      <c r="O3" s="1130" t="s">
        <v>1530</v>
      </c>
      <c r="P3" s="1130" t="s">
        <v>1530</v>
      </c>
      <c r="Q3" s="1130" t="s">
        <v>1530</v>
      </c>
      <c r="R3" s="1130" t="s">
        <v>1530</v>
      </c>
      <c r="S3" s="1130" t="s">
        <v>1530</v>
      </c>
      <c r="T3" s="1130" t="s">
        <v>1530</v>
      </c>
      <c r="U3" s="1130" t="s">
        <v>1530</v>
      </c>
      <c r="V3" s="1130" t="s">
        <v>1530</v>
      </c>
      <c r="W3" s="1130" t="s">
        <v>1530</v>
      </c>
      <c r="X3" s="1130" t="s">
        <v>1530</v>
      </c>
      <c r="Y3" s="1130" t="s">
        <v>1530</v>
      </c>
      <c r="Z3" s="1130" t="s">
        <v>1530</v>
      </c>
      <c r="AA3" s="1130" t="s">
        <v>1530</v>
      </c>
      <c r="AB3" s="1130" t="s">
        <v>1530</v>
      </c>
      <c r="AC3" s="1130" t="s">
        <v>1530</v>
      </c>
      <c r="AD3" s="1130" t="s">
        <v>1530</v>
      </c>
      <c r="AE3" s="1130" t="s">
        <v>1530</v>
      </c>
      <c r="AF3" s="1130" t="s">
        <v>1530</v>
      </c>
      <c r="AG3" s="1130" t="s">
        <v>1530</v>
      </c>
      <c r="AH3" s="1130" t="s">
        <v>1530</v>
      </c>
      <c r="AI3" s="1130" t="s">
        <v>1530</v>
      </c>
      <c r="AJ3" s="1130" t="s">
        <v>1530</v>
      </c>
      <c r="AK3" s="1131" t="s">
        <v>1531</v>
      </c>
      <c r="AL3" s="1131" t="s">
        <v>1532</v>
      </c>
    </row>
    <row r="4" spans="1:38" ht="13.9" thickBot="1">
      <c r="A4" s="860"/>
      <c r="B4" s="428" t="s">
        <v>1533</v>
      </c>
      <c r="C4" s="473" t="s">
        <v>1534</v>
      </c>
      <c r="D4" s="473"/>
      <c r="E4" s="473"/>
      <c r="F4" s="236"/>
      <c r="G4" s="438"/>
      <c r="H4" s="236"/>
      <c r="I4" s="236"/>
      <c r="J4" s="236"/>
      <c r="K4" s="237"/>
      <c r="L4" s="237"/>
      <c r="M4" s="237"/>
      <c r="N4" s="237"/>
      <c r="O4" s="237"/>
      <c r="P4" s="237"/>
      <c r="Q4" s="237"/>
      <c r="R4" s="237"/>
      <c r="S4" s="237"/>
      <c r="T4" s="237"/>
      <c r="U4" s="237"/>
      <c r="V4" s="237"/>
      <c r="W4" s="237"/>
      <c r="X4" s="237"/>
      <c r="Y4" s="237"/>
      <c r="Z4" s="237"/>
      <c r="AA4" s="237"/>
      <c r="AB4" s="237"/>
      <c r="AC4" s="237"/>
      <c r="AD4" s="237"/>
      <c r="AE4" s="237"/>
      <c r="AF4" s="237"/>
      <c r="AG4" s="237"/>
      <c r="AH4" s="237"/>
      <c r="AI4" s="237"/>
      <c r="AJ4" s="237"/>
      <c r="AK4" s="237"/>
      <c r="AL4" s="237"/>
    </row>
    <row r="5" spans="1:38" ht="13.9">
      <c r="A5" s="427" t="s">
        <v>1535</v>
      </c>
      <c r="B5" s="427" t="s">
        <v>1536</v>
      </c>
      <c r="C5" s="853">
        <f ca="1">OFFSET(K6,0,COUNT(L6:AG6))</f>
        <v>23</v>
      </c>
      <c r="D5" s="378" t="s">
        <v>418</v>
      </c>
      <c r="E5" s="884">
        <f ca="1">((OFFSET(K6,0,COUNT(L6:AA6)))/(OFFSET(K6,0,COUNT(L6:AA6)-1)))-1</f>
        <v>-1.7220172201722006E-2</v>
      </c>
      <c r="F5" s="235" t="s">
        <v>1537</v>
      </c>
      <c r="G5" s="439" t="s">
        <v>1538</v>
      </c>
      <c r="H5" s="342" t="s">
        <v>1539</v>
      </c>
      <c r="I5" s="247">
        <v>1.1713</v>
      </c>
      <c r="J5" s="1127">
        <v>28.962</v>
      </c>
      <c r="K5" s="425">
        <v>49829</v>
      </c>
      <c r="L5" s="425">
        <v>51173</v>
      </c>
      <c r="M5" s="425">
        <v>52330</v>
      </c>
      <c r="N5" s="425">
        <v>52419</v>
      </c>
      <c r="O5" s="425">
        <v>55057</v>
      </c>
      <c r="P5" s="425">
        <v>58566</v>
      </c>
      <c r="Q5" s="425">
        <v>58864</v>
      </c>
      <c r="R5" s="425">
        <v>60891</v>
      </c>
      <c r="S5" s="425">
        <v>63113</v>
      </c>
      <c r="T5" s="425">
        <v>63666</v>
      </c>
      <c r="U5" s="425">
        <v>63666</v>
      </c>
      <c r="V5" s="425">
        <v>64036</v>
      </c>
      <c r="W5" s="425">
        <v>65415</v>
      </c>
      <c r="X5" s="425">
        <v>69093</v>
      </c>
      <c r="Y5" s="425">
        <v>71048</v>
      </c>
      <c r="Z5" s="425">
        <v>72674</v>
      </c>
      <c r="AA5" s="425">
        <v>74272</v>
      </c>
      <c r="AB5" s="425">
        <v>77405</v>
      </c>
      <c r="AC5" s="425">
        <v>78068</v>
      </c>
      <c r="AD5" s="425">
        <v>80763</v>
      </c>
      <c r="AE5" s="425">
        <v>81822</v>
      </c>
      <c r="AF5" s="425">
        <v>83335</v>
      </c>
      <c r="AG5" s="425">
        <v>83358</v>
      </c>
      <c r="AH5" s="425">
        <v>83712</v>
      </c>
      <c r="AI5" s="425">
        <v>83778</v>
      </c>
      <c r="AJ5" s="425">
        <v>87276</v>
      </c>
      <c r="AK5" s="342">
        <f ca="1">OFFSET(K6,0,COUNT(L6:AJ6))</f>
        <v>3498</v>
      </c>
      <c r="AL5" s="1125">
        <f ca="1">AK5*I5*J5</f>
        <v>118663.32071880001</v>
      </c>
    </row>
    <row r="6" spans="1:38" ht="13.9">
      <c r="A6" s="427"/>
      <c r="B6" s="427"/>
      <c r="C6" s="241">
        <f ca="1">I5*J5*C5</f>
        <v>780.23338379999996</v>
      </c>
      <c r="D6" s="376" t="s">
        <v>74</v>
      </c>
      <c r="E6" s="235"/>
      <c r="F6" s="235"/>
      <c r="G6" s="439"/>
      <c r="H6" s="342"/>
      <c r="I6" s="247"/>
      <c r="J6" s="1127"/>
      <c r="K6" s="247"/>
      <c r="L6" s="247">
        <f t="shared" ref="L6:X6" si="0">IF(ISNUMBER(L5),L5-K5,"")</f>
        <v>1344</v>
      </c>
      <c r="M6" s="247">
        <f t="shared" si="0"/>
        <v>1157</v>
      </c>
      <c r="N6" s="247">
        <f t="shared" si="0"/>
        <v>89</v>
      </c>
      <c r="O6" s="247">
        <f t="shared" si="0"/>
        <v>2638</v>
      </c>
      <c r="P6" s="247">
        <f t="shared" si="0"/>
        <v>3509</v>
      </c>
      <c r="Q6" s="1206">
        <f t="shared" si="0"/>
        <v>298</v>
      </c>
      <c r="R6" s="247">
        <f t="shared" si="0"/>
        <v>2027</v>
      </c>
      <c r="S6" s="247">
        <f t="shared" si="0"/>
        <v>2222</v>
      </c>
      <c r="T6" s="247">
        <f t="shared" si="0"/>
        <v>553</v>
      </c>
      <c r="U6" s="247">
        <f t="shared" si="0"/>
        <v>0</v>
      </c>
      <c r="V6" s="247">
        <f t="shared" si="0"/>
        <v>370</v>
      </c>
      <c r="W6" s="247">
        <f t="shared" si="0"/>
        <v>1379</v>
      </c>
      <c r="X6" s="247">
        <f t="shared" si="0"/>
        <v>3678</v>
      </c>
      <c r="Y6" s="247">
        <f t="shared" ref="Y6" si="1">IF(ISNUMBER(Y5),Y5-X5,"")</f>
        <v>1955</v>
      </c>
      <c r="Z6" s="247">
        <f t="shared" ref="Z6" si="2">IF(ISNUMBER(Z5),Z5-Y5,"")</f>
        <v>1626</v>
      </c>
      <c r="AA6" s="247">
        <f t="shared" ref="AA6" si="3">IF(ISNUMBER(AA5),AA5-Z5,"")</f>
        <v>1598</v>
      </c>
      <c r="AB6" s="247">
        <f t="shared" ref="AB6" si="4">IF(ISNUMBER(AB5),AB5-AA5,"")</f>
        <v>3133</v>
      </c>
      <c r="AC6" s="247">
        <f t="shared" ref="AC6" si="5">IF(ISNUMBER(AC5),AC5-AB5,"")</f>
        <v>663</v>
      </c>
      <c r="AD6" s="247">
        <f t="shared" ref="AD6" si="6">IF(ISNUMBER(AD5),AD5-AC5,"")</f>
        <v>2695</v>
      </c>
      <c r="AE6" s="247">
        <f t="shared" ref="AE6" si="7">IF(ISNUMBER(AE5),AE5-AD5,"")</f>
        <v>1059</v>
      </c>
      <c r="AF6" s="247">
        <f t="shared" ref="AF6" si="8">IF(ISNUMBER(AF5),AF5-AE5,"")</f>
        <v>1513</v>
      </c>
      <c r="AG6" s="247">
        <f t="shared" ref="AG6" si="9">IF(ISNUMBER(AG5),AG5-AF5,"")</f>
        <v>23</v>
      </c>
      <c r="AH6" s="247">
        <f t="shared" ref="AH6" si="10">IF(ISNUMBER(AH5),AH5-AG5,"")</f>
        <v>354</v>
      </c>
      <c r="AI6" s="247">
        <f t="shared" ref="AI6" si="11">IF(ISNUMBER(AI5),AI5-AH5,"")</f>
        <v>66</v>
      </c>
      <c r="AJ6" s="247">
        <f t="shared" ref="AJ6" si="12">IF(ISNUMBER(AJ5),AJ5-AI5,"")</f>
        <v>3498</v>
      </c>
      <c r="AK6" s="237"/>
      <c r="AL6" s="1125"/>
    </row>
    <row r="7" spans="1:38" ht="14.45" thickBot="1">
      <c r="A7" s="427"/>
      <c r="B7" s="427"/>
      <c r="C7" s="241"/>
      <c r="D7" s="376"/>
      <c r="F7" s="235"/>
      <c r="G7" s="439"/>
      <c r="H7" s="342"/>
      <c r="I7" s="247"/>
      <c r="J7" s="1127"/>
      <c r="K7" s="247"/>
      <c r="L7" s="247">
        <f>L6*$J5*$I5</f>
        <v>45592.768166399997</v>
      </c>
      <c r="M7" s="247">
        <f t="shared" ref="M7:AE7" si="13">M6*$J5*$I5</f>
        <v>39249.131524199998</v>
      </c>
      <c r="N7" s="247">
        <f t="shared" si="13"/>
        <v>3019.1639633999998</v>
      </c>
      <c r="O7" s="247">
        <f t="shared" si="13"/>
        <v>89489.37680279999</v>
      </c>
      <c r="P7" s="247">
        <f t="shared" si="13"/>
        <v>119036.4758154</v>
      </c>
      <c r="Q7" s="247">
        <f t="shared" si="13"/>
        <v>10109.1107988</v>
      </c>
      <c r="R7" s="247">
        <f t="shared" si="13"/>
        <v>68762.307346200003</v>
      </c>
      <c r="S7" s="247">
        <f t="shared" si="13"/>
        <v>75377.329513200006</v>
      </c>
      <c r="T7" s="247">
        <f t="shared" si="13"/>
        <v>18759.524401799998</v>
      </c>
      <c r="U7" s="247">
        <f t="shared" si="13"/>
        <v>0</v>
      </c>
      <c r="V7" s="247">
        <f t="shared" si="13"/>
        <v>12551.580522</v>
      </c>
      <c r="W7" s="247">
        <f t="shared" si="13"/>
        <v>46780.079837400001</v>
      </c>
      <c r="X7" s="247">
        <f t="shared" si="13"/>
        <v>124769.49502680001</v>
      </c>
      <c r="Y7" s="247">
        <f t="shared" si="13"/>
        <v>66319.837622999999</v>
      </c>
      <c r="Z7" s="247">
        <f t="shared" si="13"/>
        <v>55159.107915599998</v>
      </c>
      <c r="AA7" s="247">
        <f t="shared" si="13"/>
        <v>54209.2585788</v>
      </c>
      <c r="AB7" s="247">
        <f t="shared" si="13"/>
        <v>106281.35614979999</v>
      </c>
      <c r="AC7" s="247">
        <f t="shared" si="13"/>
        <v>22491.0753678</v>
      </c>
      <c r="AD7" s="247">
        <f t="shared" si="13"/>
        <v>91422.998666999993</v>
      </c>
      <c r="AE7" s="247">
        <f t="shared" si="13"/>
        <v>35924.658845400001</v>
      </c>
      <c r="AF7" s="247"/>
      <c r="AG7" s="247"/>
      <c r="AH7" s="247"/>
      <c r="AI7" s="247"/>
      <c r="AJ7" s="247"/>
      <c r="AK7" s="237"/>
      <c r="AL7" s="1125"/>
    </row>
    <row r="8" spans="1:38" ht="13.9">
      <c r="A8" s="427" t="s">
        <v>1540</v>
      </c>
      <c r="B8" s="427" t="s">
        <v>1541</v>
      </c>
      <c r="C8" s="853">
        <f ca="1">OFFSET(K9,0,COUNT(L9:AG9))</f>
        <v>7</v>
      </c>
      <c r="D8" s="378" t="s">
        <v>418</v>
      </c>
      <c r="E8" s="884">
        <f ca="1">((OFFSET(K9,0,COUNT(L9:AB9)))/(OFFSET(K9,0,COUNT(L9:AB9)-1)))-1</f>
        <v>-0.65625</v>
      </c>
      <c r="F8" s="235" t="s">
        <v>1542</v>
      </c>
      <c r="G8" s="439">
        <v>9954902</v>
      </c>
      <c r="H8" s="342" t="s">
        <v>1539</v>
      </c>
      <c r="I8" s="247">
        <v>1.714</v>
      </c>
      <c r="J8" s="1127">
        <v>28.962</v>
      </c>
      <c r="K8" s="425">
        <v>2059412</v>
      </c>
      <c r="L8" s="425">
        <v>2059412</v>
      </c>
      <c r="M8" s="425">
        <v>2059415</v>
      </c>
      <c r="N8" s="425">
        <v>2059415</v>
      </c>
      <c r="O8" s="425">
        <v>2059578</v>
      </c>
      <c r="P8" s="425">
        <v>2059862</v>
      </c>
      <c r="Q8" s="425">
        <v>2060987</v>
      </c>
      <c r="R8" s="425">
        <v>2061914</v>
      </c>
      <c r="S8" s="425">
        <v>2062235</v>
      </c>
      <c r="T8" s="425">
        <v>2062754</v>
      </c>
      <c r="U8" s="425">
        <v>2062810</v>
      </c>
      <c r="V8" s="425">
        <v>2063626</v>
      </c>
      <c r="W8" s="425">
        <v>2063753</v>
      </c>
      <c r="X8" s="425">
        <v>2072497</v>
      </c>
      <c r="Y8" s="425">
        <v>2076330</v>
      </c>
      <c r="Z8" s="425">
        <v>2073670</v>
      </c>
      <c r="AA8" s="425">
        <v>2073734</v>
      </c>
      <c r="AB8" s="425">
        <v>2073756</v>
      </c>
      <c r="AC8" s="425">
        <v>2073992</v>
      </c>
      <c r="AD8" s="425">
        <v>2075574</v>
      </c>
      <c r="AE8" s="425">
        <v>2076125</v>
      </c>
      <c r="AF8" s="425">
        <v>2076580</v>
      </c>
      <c r="AG8" s="425">
        <v>2076587</v>
      </c>
      <c r="AH8" s="425">
        <v>2076605</v>
      </c>
      <c r="AI8" s="425">
        <v>2076831</v>
      </c>
      <c r="AJ8" s="425">
        <v>2076989</v>
      </c>
      <c r="AK8" s="342">
        <f ca="1">OFFSET(K9,0,COUNT(L9:AJ9))</f>
        <v>158</v>
      </c>
      <c r="AL8" s="1125">
        <f ca="1">AK8*I8*J8</f>
        <v>7843.2571440000002</v>
      </c>
    </row>
    <row r="9" spans="1:38" ht="13.9">
      <c r="B9" s="859"/>
      <c r="C9" s="241">
        <f ca="1">I8*J8*C8</f>
        <v>347.48607599999997</v>
      </c>
      <c r="D9" s="376" t="s">
        <v>74</v>
      </c>
      <c r="G9" s="441"/>
      <c r="H9" s="35"/>
      <c r="I9" s="230"/>
      <c r="J9" s="230"/>
      <c r="K9" s="247"/>
      <c r="L9" s="247">
        <f t="shared" ref="L9:X9" si="14">IF(ISNUMBER(L8),L8-K8,"")</f>
        <v>0</v>
      </c>
      <c r="M9" s="247">
        <f t="shared" si="14"/>
        <v>3</v>
      </c>
      <c r="N9" s="247">
        <f t="shared" si="14"/>
        <v>0</v>
      </c>
      <c r="O9" s="247">
        <f t="shared" si="14"/>
        <v>163</v>
      </c>
      <c r="P9" s="247">
        <f t="shared" si="14"/>
        <v>284</v>
      </c>
      <c r="Q9" s="247">
        <f t="shared" si="14"/>
        <v>1125</v>
      </c>
      <c r="R9" s="247">
        <f t="shared" si="14"/>
        <v>927</v>
      </c>
      <c r="S9" s="247">
        <f t="shared" si="14"/>
        <v>321</v>
      </c>
      <c r="T9" s="247">
        <f t="shared" si="14"/>
        <v>519</v>
      </c>
      <c r="U9" s="247">
        <f t="shared" si="14"/>
        <v>56</v>
      </c>
      <c r="V9" s="247">
        <f t="shared" si="14"/>
        <v>816</v>
      </c>
      <c r="W9" s="247">
        <f t="shared" si="14"/>
        <v>127</v>
      </c>
      <c r="X9" s="247">
        <f t="shared" si="14"/>
        <v>8744</v>
      </c>
      <c r="Y9" s="247">
        <f t="shared" ref="Y9" si="15">IF(ISNUMBER(Y8),Y8-X8,"")</f>
        <v>3833</v>
      </c>
      <c r="Z9" s="247">
        <f t="shared" ref="Z9" si="16">IF(ISNUMBER(Z8),Z8-Y8,"")</f>
        <v>-2660</v>
      </c>
      <c r="AA9" s="247">
        <f t="shared" ref="AA9" si="17">IF(ISNUMBER(AA8),AA8-Z8,"")</f>
        <v>64</v>
      </c>
      <c r="AB9" s="247">
        <f t="shared" ref="AB9" si="18">IF(ISNUMBER(AB8),AB8-AA8,"")</f>
        <v>22</v>
      </c>
      <c r="AC9" s="247">
        <f t="shared" ref="AC9" si="19">IF(ISNUMBER(AC8),AC8-AB8,"")</f>
        <v>236</v>
      </c>
      <c r="AD9" s="247">
        <f t="shared" ref="AD9" si="20">IF(ISNUMBER(AD8),AD8-AC8,"")</f>
        <v>1582</v>
      </c>
      <c r="AE9" s="247">
        <f t="shared" ref="AE9" si="21">IF(ISNUMBER(AE8),AE8-AD8,"")</f>
        <v>551</v>
      </c>
      <c r="AF9" s="247">
        <f t="shared" ref="AF9" si="22">IF(ISNUMBER(AF8),AF8-AE8,"")</f>
        <v>455</v>
      </c>
      <c r="AG9" s="247">
        <f t="shared" ref="AG9" si="23">IF(ISNUMBER(AG8),AG8-AF8,"")</f>
        <v>7</v>
      </c>
      <c r="AH9" s="247">
        <f t="shared" ref="AH9" si="24">IF(ISNUMBER(AH8),AH8-AG8,"")</f>
        <v>18</v>
      </c>
      <c r="AI9" s="247">
        <f t="shared" ref="AI9" si="25">IF(ISNUMBER(AI8),AI8-AH8,"")</f>
        <v>226</v>
      </c>
      <c r="AJ9" s="247">
        <f t="shared" ref="AJ9" si="26">IF(ISNUMBER(AJ8),AJ8-AI8,"")</f>
        <v>158</v>
      </c>
      <c r="AK9" s="237"/>
      <c r="AL9" s="1125"/>
    </row>
    <row r="10" spans="1:38" ht="13.9">
      <c r="B10" s="859"/>
      <c r="C10" s="241"/>
      <c r="D10" s="376"/>
      <c r="G10" s="441"/>
      <c r="H10" s="35"/>
      <c r="I10" s="230"/>
      <c r="J10" s="230"/>
      <c r="K10" s="247"/>
      <c r="L10" s="247">
        <f>L9*$J8*$I8</f>
        <v>0</v>
      </c>
      <c r="M10" s="247">
        <f t="shared" ref="M10:AF10" si="27">M9*$J8*$I8</f>
        <v>148.92260399999998</v>
      </c>
      <c r="N10" s="247">
        <f t="shared" si="27"/>
        <v>0</v>
      </c>
      <c r="O10" s="247">
        <f t="shared" si="27"/>
        <v>8091.4614839999995</v>
      </c>
      <c r="P10" s="247">
        <f t="shared" si="27"/>
        <v>14098.006512</v>
      </c>
      <c r="Q10" s="247">
        <f t="shared" si="27"/>
        <v>55845.976499999997</v>
      </c>
      <c r="R10" s="247">
        <f t="shared" si="27"/>
        <v>46017.084636</v>
      </c>
      <c r="S10" s="247">
        <f t="shared" si="27"/>
        <v>15934.718627999999</v>
      </c>
      <c r="T10" s="247">
        <f t="shared" si="27"/>
        <v>25763.610492</v>
      </c>
      <c r="U10" s="247">
        <f t="shared" si="27"/>
        <v>2779.8886080000002</v>
      </c>
      <c r="V10" s="247">
        <f t="shared" si="27"/>
        <v>40506.948288</v>
      </c>
      <c r="W10" s="247">
        <f t="shared" si="27"/>
        <v>6304.3902360000002</v>
      </c>
      <c r="X10" s="247">
        <f t="shared" si="27"/>
        <v>434059.74979199999</v>
      </c>
      <c r="Y10" s="247">
        <f t="shared" si="27"/>
        <v>190273.447044</v>
      </c>
      <c r="Z10" s="247">
        <f t="shared" si="27"/>
        <v>-132044.70887999999</v>
      </c>
      <c r="AA10" s="247">
        <f t="shared" si="27"/>
        <v>3177.0155519999998</v>
      </c>
      <c r="AB10" s="247">
        <f t="shared" si="27"/>
        <v>1092.0990959999999</v>
      </c>
      <c r="AC10" s="247">
        <f t="shared" si="27"/>
        <v>11715.244848</v>
      </c>
      <c r="AD10" s="247">
        <f t="shared" si="27"/>
        <v>78531.85317599999</v>
      </c>
      <c r="AE10" s="247">
        <f t="shared" si="27"/>
        <v>27352.118267999998</v>
      </c>
      <c r="AF10" s="247">
        <f t="shared" si="27"/>
        <v>22586.594939999999</v>
      </c>
      <c r="AG10" s="247"/>
      <c r="AH10" s="247"/>
      <c r="AI10" s="247"/>
      <c r="AJ10" s="247"/>
      <c r="AK10" s="237"/>
      <c r="AL10" s="1125"/>
    </row>
    <row r="11" spans="1:38" ht="13.9">
      <c r="B11" s="859"/>
      <c r="C11" s="241"/>
      <c r="D11" s="46"/>
      <c r="G11" s="442"/>
      <c r="I11" s="230"/>
      <c r="J11" s="230"/>
      <c r="K11" s="247"/>
      <c r="L11" s="247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37"/>
      <c r="AL11" s="1125"/>
    </row>
    <row r="12" spans="1:38" ht="13.9">
      <c r="B12" s="429" t="s">
        <v>1543</v>
      </c>
      <c r="C12" s="241"/>
      <c r="D12" s="46"/>
      <c r="G12" s="441"/>
      <c r="I12" s="230"/>
      <c r="J12" s="230"/>
      <c r="K12" s="247"/>
      <c r="L12" s="247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37"/>
      <c r="AL12" s="237"/>
    </row>
    <row r="13" spans="1:38" ht="13.9">
      <c r="A13" s="427" t="s">
        <v>1544</v>
      </c>
      <c r="B13" s="427" t="s">
        <v>1545</v>
      </c>
      <c r="C13" s="853">
        <f ca="1">OFFSET(K14,0,COUNT(L14:AG14))</f>
        <v>35</v>
      </c>
      <c r="D13" s="377" t="s">
        <v>418</v>
      </c>
      <c r="E13" s="884">
        <f ca="1">((OFFSET(K14,0,COUNT(L14:AB14)))/(OFFSET(K14,0,COUNT(L14:AB14)-1)))-1</f>
        <v>-0.94496855345911945</v>
      </c>
      <c r="F13" s="235" t="s">
        <v>1546</v>
      </c>
      <c r="G13" s="443">
        <v>300348</v>
      </c>
      <c r="H13" s="342" t="s">
        <v>1539</v>
      </c>
      <c r="I13" s="237">
        <v>1.169</v>
      </c>
      <c r="J13" s="235">
        <v>28.930599999999998</v>
      </c>
      <c r="K13" s="238">
        <v>19507</v>
      </c>
      <c r="L13" s="238">
        <v>19706</v>
      </c>
      <c r="M13" s="238">
        <v>19901</v>
      </c>
      <c r="N13" s="238">
        <v>20055</v>
      </c>
      <c r="O13" s="238">
        <v>20284</v>
      </c>
      <c r="P13" s="238">
        <v>20689</v>
      </c>
      <c r="Q13" s="238">
        <v>21193</v>
      </c>
      <c r="R13" s="238">
        <v>22020</v>
      </c>
      <c r="S13" s="238">
        <v>22788</v>
      </c>
      <c r="T13" s="238">
        <v>23489</v>
      </c>
      <c r="U13" s="238">
        <v>24125</v>
      </c>
      <c r="V13" s="673">
        <v>24160</v>
      </c>
      <c r="W13" s="237"/>
      <c r="X13" s="237"/>
      <c r="Y13" s="237"/>
      <c r="Z13" s="237"/>
      <c r="AA13" s="237"/>
      <c r="AB13" s="237"/>
      <c r="AC13" s="237"/>
      <c r="AD13" s="237"/>
      <c r="AE13" s="237"/>
      <c r="AF13" s="237"/>
      <c r="AG13" s="237"/>
      <c r="AH13" s="237"/>
      <c r="AI13" s="237"/>
      <c r="AJ13" s="237"/>
      <c r="AK13" s="342">
        <f ca="1">OFFSET(K14,0,COUNT(L14:AJ14))</f>
        <v>35</v>
      </c>
      <c r="AL13" s="1125">
        <f ca="1">AK13*I13*J13</f>
        <v>1183.6954989999999</v>
      </c>
    </row>
    <row r="14" spans="1:38" ht="14.45" thickBot="1">
      <c r="A14" s="427"/>
      <c r="B14" s="427"/>
      <c r="C14" s="241">
        <f ca="1">I13*J13*C13</f>
        <v>1183.6954989999999</v>
      </c>
      <c r="D14" s="379" t="s">
        <v>74</v>
      </c>
      <c r="E14" s="235"/>
      <c r="F14" s="235"/>
      <c r="G14" s="443"/>
      <c r="H14" s="342"/>
      <c r="I14" s="247"/>
      <c r="J14" s="1127"/>
      <c r="K14" s="247"/>
      <c r="L14" s="247">
        <f t="shared" ref="L14:V14" si="28">IF(ISNUMBER(L13),L13-K13,"")</f>
        <v>199</v>
      </c>
      <c r="M14" s="247">
        <f t="shared" si="28"/>
        <v>195</v>
      </c>
      <c r="N14" s="247">
        <f t="shared" si="28"/>
        <v>154</v>
      </c>
      <c r="O14" s="247">
        <f t="shared" si="28"/>
        <v>229</v>
      </c>
      <c r="P14" s="247">
        <f t="shared" si="28"/>
        <v>405</v>
      </c>
      <c r="Q14" s="247">
        <f t="shared" si="28"/>
        <v>504</v>
      </c>
      <c r="R14" s="247">
        <f t="shared" si="28"/>
        <v>827</v>
      </c>
      <c r="S14" s="247">
        <f t="shared" si="28"/>
        <v>768</v>
      </c>
      <c r="T14" s="247">
        <f t="shared" si="28"/>
        <v>701</v>
      </c>
      <c r="U14" s="247">
        <f t="shared" si="28"/>
        <v>636</v>
      </c>
      <c r="V14" s="247">
        <f t="shared" si="28"/>
        <v>35</v>
      </c>
      <c r="W14" s="247"/>
      <c r="X14" s="247"/>
      <c r="Y14" s="247" t="str">
        <f t="shared" ref="Y14" si="29">IF(ISNUMBER(Y13),Y13-X13,"")</f>
        <v/>
      </c>
      <c r="Z14" s="247" t="str">
        <f t="shared" ref="Z14" si="30">IF(ISNUMBER(Z13),Z13-Y13,"")</f>
        <v/>
      </c>
      <c r="AA14" s="247" t="str">
        <f t="shared" ref="AA14" si="31">IF(ISNUMBER(AA13),AA13-Z13,"")</f>
        <v/>
      </c>
      <c r="AB14" s="247" t="str">
        <f t="shared" ref="AB14" si="32">IF(ISNUMBER(AB13),AB13-AA13,"")</f>
        <v/>
      </c>
      <c r="AC14" s="247"/>
      <c r="AD14" s="247"/>
      <c r="AE14" s="247"/>
      <c r="AF14" s="247"/>
      <c r="AG14" s="247"/>
      <c r="AH14" s="247"/>
      <c r="AI14" s="247"/>
      <c r="AJ14" s="247"/>
      <c r="AK14" s="237"/>
      <c r="AL14" s="1125"/>
    </row>
    <row r="15" spans="1:38" ht="13.9">
      <c r="A15" s="427"/>
      <c r="B15" s="427"/>
      <c r="C15" s="241"/>
      <c r="D15" s="40"/>
      <c r="F15" s="235"/>
      <c r="G15" s="443"/>
      <c r="H15" s="342"/>
      <c r="I15" s="247"/>
      <c r="J15" s="1127"/>
      <c r="K15" s="247"/>
      <c r="L15" s="247">
        <f>L14*$J13*$I13</f>
        <v>6730.1544085999994</v>
      </c>
      <c r="M15" s="247">
        <f t="shared" ref="M15:V15" si="33">M14*$J13*$I13</f>
        <v>6594.8749229999994</v>
      </c>
      <c r="N15" s="247">
        <f t="shared" si="33"/>
        <v>5208.2601955999999</v>
      </c>
      <c r="O15" s="247">
        <f t="shared" si="33"/>
        <v>7744.7505505999998</v>
      </c>
      <c r="P15" s="247">
        <f t="shared" si="33"/>
        <v>13697.047917</v>
      </c>
      <c r="Q15" s="247">
        <f t="shared" si="33"/>
        <v>17045.215185600002</v>
      </c>
      <c r="R15" s="247">
        <f t="shared" si="33"/>
        <v>27969.033647799999</v>
      </c>
      <c r="S15" s="247">
        <f t="shared" si="33"/>
        <v>25973.661235200001</v>
      </c>
      <c r="T15" s="247">
        <f t="shared" si="33"/>
        <v>23707.729851399999</v>
      </c>
      <c r="U15" s="247">
        <f t="shared" si="33"/>
        <v>21509.4382104</v>
      </c>
      <c r="V15" s="247">
        <f t="shared" si="33"/>
        <v>1183.6954989999999</v>
      </c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37"/>
      <c r="AL15" s="1125"/>
    </row>
    <row r="16" spans="1:38" ht="13.9">
      <c r="A16" s="427"/>
      <c r="B16" s="427"/>
      <c r="C16" s="241"/>
      <c r="D16" s="40"/>
      <c r="F16" s="235"/>
      <c r="G16" s="450" t="s">
        <v>1547</v>
      </c>
      <c r="H16" s="342" t="s">
        <v>1539</v>
      </c>
      <c r="I16" s="237">
        <v>1.0697000000000001</v>
      </c>
      <c r="J16" s="235">
        <v>28.9587</v>
      </c>
      <c r="K16" s="237"/>
      <c r="L16" s="237"/>
      <c r="M16" s="237"/>
      <c r="N16" s="237"/>
      <c r="O16" s="237"/>
      <c r="P16" s="237"/>
      <c r="Q16" s="237"/>
      <c r="R16" s="237"/>
      <c r="S16" s="237"/>
      <c r="T16" s="237"/>
      <c r="U16" s="237"/>
      <c r="V16" s="237"/>
      <c r="W16" s="237"/>
      <c r="X16" s="237">
        <v>0</v>
      </c>
      <c r="Y16" s="238">
        <v>1334</v>
      </c>
      <c r="Z16" s="238">
        <v>1440</v>
      </c>
      <c r="AA16" s="238">
        <v>1629</v>
      </c>
      <c r="AB16" s="238">
        <v>2069</v>
      </c>
      <c r="AC16" s="238">
        <v>2478</v>
      </c>
      <c r="AD16" s="238">
        <v>3033</v>
      </c>
      <c r="AE16" s="238">
        <v>3689</v>
      </c>
      <c r="AF16" s="238">
        <v>4416</v>
      </c>
      <c r="AG16" s="238">
        <v>4925</v>
      </c>
      <c r="AH16" s="238">
        <v>5378</v>
      </c>
      <c r="AI16" s="238">
        <v>5793</v>
      </c>
      <c r="AJ16" s="238">
        <v>6103</v>
      </c>
      <c r="AK16" s="237">
        <f ca="1">OFFSET(Z17,0,COUNT(AA17:AJ17))</f>
        <v>310</v>
      </c>
      <c r="AL16" s="1125">
        <f ca="1">AK16*I16*J16</f>
        <v>9602.9076309000011</v>
      </c>
    </row>
    <row r="17" spans="1:38" ht="13.9">
      <c r="A17" s="427"/>
      <c r="B17" s="427"/>
      <c r="C17" s="241"/>
      <c r="D17" s="40"/>
      <c r="F17" s="235"/>
      <c r="G17" s="443"/>
      <c r="H17" s="342"/>
      <c r="I17" s="247"/>
      <c r="J17" s="1127"/>
      <c r="K17" s="247"/>
      <c r="L17" s="247"/>
      <c r="M17" s="247"/>
      <c r="N17" s="247"/>
      <c r="O17" s="247"/>
      <c r="P17" s="247"/>
      <c r="Q17" s="247"/>
      <c r="R17" s="247"/>
      <c r="S17" s="247"/>
      <c r="T17" s="247"/>
      <c r="U17" s="247"/>
      <c r="V17" s="1205">
        <v>114</v>
      </c>
      <c r="W17" s="1205">
        <v>400</v>
      </c>
      <c r="X17" s="1205">
        <v>400</v>
      </c>
      <c r="Y17" s="1205">
        <v>400</v>
      </c>
      <c r="Z17" s="247">
        <f t="shared" ref="Z17" si="34">IF(ISNUMBER(Z16),Z16-Y16,"")</f>
        <v>106</v>
      </c>
      <c r="AA17" s="247">
        <f t="shared" ref="AA17" si="35">IF(ISNUMBER(AA16),AA16-Z16,"")</f>
        <v>189</v>
      </c>
      <c r="AB17" s="247">
        <f t="shared" ref="AB17" si="36">IF(ISNUMBER(AB16),AB16-AA16,"")</f>
        <v>440</v>
      </c>
      <c r="AC17" s="247">
        <f t="shared" ref="AC17" si="37">IF(ISNUMBER(AC16),AC16-AB16,"")</f>
        <v>409</v>
      </c>
      <c r="AD17" s="247">
        <f t="shared" ref="AD17" si="38">IF(ISNUMBER(AD16),AD16-AC16,"")</f>
        <v>555</v>
      </c>
      <c r="AE17" s="247">
        <f t="shared" ref="AE17" si="39">IF(ISNUMBER(AE16),AE16-AD16,"")</f>
        <v>656</v>
      </c>
      <c r="AF17" s="247">
        <f t="shared" ref="AF17" si="40">IF(ISNUMBER(AF16),AF16-AE16,"")</f>
        <v>727</v>
      </c>
      <c r="AG17" s="247">
        <f t="shared" ref="AG17" si="41">IF(ISNUMBER(AG16),AG16-AF16,"")</f>
        <v>509</v>
      </c>
      <c r="AH17" s="247">
        <f t="shared" ref="AH17" si="42">IF(ISNUMBER(AH16),AH16-AG16,"")</f>
        <v>453</v>
      </c>
      <c r="AI17" s="247">
        <f t="shared" ref="AI17" si="43">IF(ISNUMBER(AI16),AI16-AH16,"")</f>
        <v>415</v>
      </c>
      <c r="AJ17" s="247">
        <f t="shared" ref="AJ17" si="44">IF(ISNUMBER(AJ16),AJ16-AI16,"")</f>
        <v>310</v>
      </c>
      <c r="AK17" s="237"/>
      <c r="AL17" s="1125"/>
    </row>
    <row r="18" spans="1:38" ht="14.45" thickBot="1">
      <c r="A18" s="427"/>
      <c r="B18" s="427"/>
      <c r="C18" s="241"/>
      <c r="D18" s="40"/>
      <c r="F18" s="235"/>
      <c r="G18" s="443"/>
      <c r="H18" s="342"/>
      <c r="I18" s="247"/>
      <c r="J18" s="1127"/>
      <c r="K18" s="247"/>
      <c r="L18" s="247">
        <f>L17*$J16*$I16</f>
        <v>0</v>
      </c>
      <c r="M18" s="247">
        <f t="shared" ref="M18:AC18" si="45">M17*$J16*$I16</f>
        <v>0</v>
      </c>
      <c r="N18" s="247">
        <f t="shared" si="45"/>
        <v>0</v>
      </c>
      <c r="O18" s="247">
        <f t="shared" si="45"/>
        <v>0</v>
      </c>
      <c r="P18" s="247">
        <f t="shared" si="45"/>
        <v>0</v>
      </c>
      <c r="Q18" s="247">
        <f t="shared" si="45"/>
        <v>0</v>
      </c>
      <c r="R18" s="247">
        <f t="shared" si="45"/>
        <v>0</v>
      </c>
      <c r="S18" s="247">
        <f t="shared" si="45"/>
        <v>0</v>
      </c>
      <c r="T18" s="247">
        <f t="shared" si="45"/>
        <v>0</v>
      </c>
      <c r="U18" s="247">
        <f t="shared" si="45"/>
        <v>0</v>
      </c>
      <c r="V18" s="247">
        <f t="shared" si="45"/>
        <v>3531.3918384600001</v>
      </c>
      <c r="W18" s="247">
        <f t="shared" si="45"/>
        <v>12390.848556000001</v>
      </c>
      <c r="X18" s="247">
        <f t="shared" si="45"/>
        <v>12390.848556000001</v>
      </c>
      <c r="Y18" s="247">
        <f t="shared" si="45"/>
        <v>12390.848556000001</v>
      </c>
      <c r="Z18" s="247">
        <f t="shared" si="45"/>
        <v>3283.5748673400008</v>
      </c>
      <c r="AA18" s="247">
        <f t="shared" si="45"/>
        <v>5854.6759427100005</v>
      </c>
      <c r="AB18" s="247">
        <f t="shared" si="45"/>
        <v>13629.933411600001</v>
      </c>
      <c r="AC18" s="247">
        <f t="shared" si="45"/>
        <v>12669.642648510002</v>
      </c>
      <c r="AD18" s="247"/>
      <c r="AE18" s="247"/>
      <c r="AF18" s="247"/>
      <c r="AG18" s="247"/>
      <c r="AH18" s="247"/>
      <c r="AI18" s="247"/>
      <c r="AJ18" s="247"/>
      <c r="AK18" s="237"/>
      <c r="AL18" s="1125"/>
    </row>
    <row r="19" spans="1:38" ht="13.9">
      <c r="A19" s="427" t="s">
        <v>1548</v>
      </c>
      <c r="B19" s="427" t="s">
        <v>1549</v>
      </c>
      <c r="C19" s="853">
        <f ca="1">OFFSET(K20,0,COUNT(L20:AG20))</f>
        <v>607</v>
      </c>
      <c r="D19" s="378" t="s">
        <v>418</v>
      </c>
      <c r="E19" s="884">
        <f ca="1">((OFFSET(K20,0,COUNT(L20:U20)))/(OFFSET(G20,0,COUNT(L20:U20)-1)))-1</f>
        <v>6.5637065637065728E-2</v>
      </c>
      <c r="F19" s="235" t="s">
        <v>1550</v>
      </c>
      <c r="G19" s="443" t="s">
        <v>1551</v>
      </c>
      <c r="H19" s="342" t="s">
        <v>1539</v>
      </c>
      <c r="I19" s="247">
        <v>1.2210000000000001</v>
      </c>
      <c r="J19" s="1127">
        <v>28.9587</v>
      </c>
      <c r="K19" s="238">
        <v>101030</v>
      </c>
      <c r="L19" s="238">
        <v>101494</v>
      </c>
      <c r="M19" s="238">
        <v>101886</v>
      </c>
      <c r="N19" s="238">
        <v>102405</v>
      </c>
      <c r="O19" s="238">
        <v>102906</v>
      </c>
      <c r="P19" s="238">
        <v>103424</v>
      </c>
      <c r="Q19" s="238">
        <v>103954</v>
      </c>
      <c r="R19" s="238">
        <v>104540</v>
      </c>
      <c r="S19" s="238">
        <v>105076</v>
      </c>
      <c r="T19" s="238">
        <v>105689</v>
      </c>
      <c r="U19" s="238">
        <v>106241</v>
      </c>
      <c r="V19" s="238">
        <v>106716</v>
      </c>
      <c r="W19" s="238">
        <v>107268</v>
      </c>
      <c r="X19" s="238">
        <v>107784</v>
      </c>
      <c r="Y19" s="238">
        <v>108118</v>
      </c>
      <c r="Z19" s="238">
        <v>108632</v>
      </c>
      <c r="AA19" s="238">
        <v>109155</v>
      </c>
      <c r="AB19" s="238">
        <v>109660</v>
      </c>
      <c r="AC19" s="238">
        <v>110227</v>
      </c>
      <c r="AD19" s="238">
        <v>110779</v>
      </c>
      <c r="AE19" s="238">
        <v>111365</v>
      </c>
      <c r="AF19" s="238">
        <v>111999</v>
      </c>
      <c r="AG19" s="238">
        <v>112606</v>
      </c>
      <c r="AH19" s="673">
        <v>13162</v>
      </c>
      <c r="AI19" s="238">
        <v>13719</v>
      </c>
      <c r="AJ19" s="238">
        <v>14216</v>
      </c>
      <c r="AK19" s="342">
        <f ca="1">OFFSET(K20,0,COUNT(L20:AJ20))</f>
        <v>497</v>
      </c>
      <c r="AL19" s="1125">
        <f ca="1">AK19*I19*J19</f>
        <v>17573.210631900001</v>
      </c>
    </row>
    <row r="20" spans="1:38" ht="13.9">
      <c r="A20" s="427"/>
      <c r="B20" s="427"/>
      <c r="C20" s="241">
        <f ca="1">I19*J19*C19</f>
        <v>21462.653628900003</v>
      </c>
      <c r="D20" s="376" t="s">
        <v>74</v>
      </c>
      <c r="E20" s="235"/>
      <c r="F20" s="235"/>
      <c r="G20" s="443"/>
      <c r="H20" s="342"/>
      <c r="I20" s="247"/>
      <c r="J20" s="1127"/>
      <c r="K20" s="247"/>
      <c r="L20" s="247">
        <f t="shared" ref="L20:X20" si="46">IF(ISNUMBER(L19),L19-K19,"")</f>
        <v>464</v>
      </c>
      <c r="M20" s="247">
        <f t="shared" si="46"/>
        <v>392</v>
      </c>
      <c r="N20" s="247">
        <f t="shared" si="46"/>
        <v>519</v>
      </c>
      <c r="O20" s="247">
        <f t="shared" si="46"/>
        <v>501</v>
      </c>
      <c r="P20" s="247">
        <f t="shared" si="46"/>
        <v>518</v>
      </c>
      <c r="Q20" s="247">
        <f t="shared" si="46"/>
        <v>530</v>
      </c>
      <c r="R20" s="247">
        <f t="shared" si="46"/>
        <v>586</v>
      </c>
      <c r="S20" s="247">
        <f t="shared" si="46"/>
        <v>536</v>
      </c>
      <c r="T20" s="247">
        <f t="shared" si="46"/>
        <v>613</v>
      </c>
      <c r="U20" s="247">
        <f t="shared" si="46"/>
        <v>552</v>
      </c>
      <c r="V20" s="247">
        <f t="shared" si="46"/>
        <v>475</v>
      </c>
      <c r="W20" s="247">
        <f t="shared" si="46"/>
        <v>552</v>
      </c>
      <c r="X20" s="247">
        <f t="shared" si="46"/>
        <v>516</v>
      </c>
      <c r="Y20" s="247">
        <f t="shared" ref="Y20" si="47">IF(ISNUMBER(Y19),Y19-X19,"")</f>
        <v>334</v>
      </c>
      <c r="Z20" s="247">
        <f t="shared" ref="Z20" si="48">IF(ISNUMBER(Z19),Z19-Y19,"")</f>
        <v>514</v>
      </c>
      <c r="AA20" s="247">
        <f t="shared" ref="AA20" si="49">IF(ISNUMBER(AA19),AA19-Z19,"")</f>
        <v>523</v>
      </c>
      <c r="AB20" s="247">
        <f t="shared" ref="AB20" si="50">IF(ISNUMBER(AB19),AB19-AA19,"")</f>
        <v>505</v>
      </c>
      <c r="AC20" s="247">
        <f t="shared" ref="AC20" si="51">IF(ISNUMBER(AC19),AC19-AB19,"")</f>
        <v>567</v>
      </c>
      <c r="AD20" s="247">
        <f t="shared" ref="AD20" si="52">IF(ISNUMBER(AD19),AD19-AC19,"")</f>
        <v>552</v>
      </c>
      <c r="AE20" s="247">
        <f t="shared" ref="AE20" si="53">IF(ISNUMBER(AE19),AE19-AD19,"")</f>
        <v>586</v>
      </c>
      <c r="AF20" s="247">
        <f t="shared" ref="AF20" si="54">IF(ISNUMBER(AF19),AF19-AE19,"")</f>
        <v>634</v>
      </c>
      <c r="AG20" s="247">
        <f t="shared" ref="AG20" si="55">IF(ISNUMBER(AG19),AG19-AF19,"")</f>
        <v>607</v>
      </c>
      <c r="AH20" s="1206">
        <v>550</v>
      </c>
      <c r="AI20" s="247">
        <f t="shared" ref="AI20" si="56">IF(ISNUMBER(AI19),AI19-AH19,"")</f>
        <v>557</v>
      </c>
      <c r="AJ20" s="247">
        <f t="shared" ref="AJ20" si="57">IF(ISNUMBER(AJ19),AJ19-AI19,"")</f>
        <v>497</v>
      </c>
      <c r="AK20" s="237"/>
      <c r="AL20" s="1125"/>
    </row>
    <row r="21" spans="1:38" ht="13.9">
      <c r="A21" s="427"/>
      <c r="B21" s="427"/>
      <c r="C21" s="241"/>
      <c r="D21" s="376"/>
      <c r="F21" s="235"/>
      <c r="G21" s="443"/>
      <c r="H21" s="342"/>
      <c r="I21" s="247"/>
      <c r="J21" s="1127"/>
      <c r="K21" s="247"/>
      <c r="L21" s="247">
        <f>L20*$J19*$I19</f>
        <v>16406.377732800003</v>
      </c>
      <c r="M21" s="247">
        <f t="shared" ref="M21:AC21" si="58">M20*$J19*$I19</f>
        <v>13860.560498400002</v>
      </c>
      <c r="N21" s="247">
        <f t="shared" si="58"/>
        <v>18351.099231300002</v>
      </c>
      <c r="O21" s="247">
        <f t="shared" si="58"/>
        <v>17714.644922700001</v>
      </c>
      <c r="P21" s="247">
        <f t="shared" si="58"/>
        <v>18315.740658600003</v>
      </c>
      <c r="Q21" s="247">
        <f t="shared" si="58"/>
        <v>18740.043531000003</v>
      </c>
      <c r="R21" s="247">
        <f t="shared" si="58"/>
        <v>20720.123602200001</v>
      </c>
      <c r="S21" s="247">
        <f t="shared" si="58"/>
        <v>18952.194967200001</v>
      </c>
      <c r="T21" s="247">
        <f t="shared" si="58"/>
        <v>21674.805065100005</v>
      </c>
      <c r="U21" s="247">
        <f t="shared" si="58"/>
        <v>19517.9321304</v>
      </c>
      <c r="V21" s="247">
        <f t="shared" si="58"/>
        <v>16795.3220325</v>
      </c>
      <c r="W21" s="247">
        <f t="shared" si="58"/>
        <v>19517.9321304</v>
      </c>
      <c r="X21" s="247">
        <f t="shared" si="58"/>
        <v>18245.023513200002</v>
      </c>
      <c r="Y21" s="247">
        <f t="shared" si="58"/>
        <v>11809.7632818</v>
      </c>
      <c r="Z21" s="247">
        <f t="shared" si="58"/>
        <v>18174.306367800003</v>
      </c>
      <c r="AA21" s="247">
        <f t="shared" si="58"/>
        <v>18492.533522100002</v>
      </c>
      <c r="AB21" s="247">
        <f t="shared" si="58"/>
        <v>17856.079213500001</v>
      </c>
      <c r="AC21" s="247">
        <f t="shared" si="58"/>
        <v>20048.310720900005</v>
      </c>
      <c r="AD21" s="247"/>
      <c r="AE21" s="247"/>
      <c r="AF21" s="247"/>
      <c r="AG21" s="247"/>
      <c r="AH21" s="1206"/>
      <c r="AI21" s="247"/>
      <c r="AJ21" s="247"/>
      <c r="AK21" s="237"/>
      <c r="AL21" s="1125"/>
    </row>
    <row r="22" spans="1:38" ht="13.9">
      <c r="A22" s="427" t="s">
        <v>1552</v>
      </c>
      <c r="B22" s="427" t="s">
        <v>1553</v>
      </c>
      <c r="C22" s="853">
        <f ca="1">OFFSET(K23,0,COUNT(L23:AG23))</f>
        <v>0</v>
      </c>
      <c r="D22" s="46" t="s">
        <v>418</v>
      </c>
      <c r="E22" s="884">
        <f ca="1">((OFFSET(K23,0,COUNT(L23:X23)))/(OFFSET(K23,0,COUNT(L23:X23)-1)))-1</f>
        <v>-1</v>
      </c>
      <c r="F22" s="235" t="s">
        <v>1554</v>
      </c>
      <c r="G22" s="443">
        <v>301790</v>
      </c>
      <c r="H22" s="342" t="s">
        <v>1539</v>
      </c>
      <c r="I22" s="247">
        <v>1.1706000000000001</v>
      </c>
      <c r="J22" s="1127">
        <v>28.9587</v>
      </c>
      <c r="K22" s="238">
        <v>55517</v>
      </c>
      <c r="L22" s="238">
        <v>55517</v>
      </c>
      <c r="M22" s="238">
        <v>55517</v>
      </c>
      <c r="N22" s="238">
        <v>55553</v>
      </c>
      <c r="O22" s="238">
        <v>55558</v>
      </c>
      <c r="P22" s="238">
        <v>55742</v>
      </c>
      <c r="Q22" s="238">
        <v>56175</v>
      </c>
      <c r="R22" s="238">
        <v>57150</v>
      </c>
      <c r="S22" s="238">
        <v>57876</v>
      </c>
      <c r="T22" s="238">
        <v>58146</v>
      </c>
      <c r="U22" s="238">
        <v>58784</v>
      </c>
      <c r="V22" s="238">
        <v>59293</v>
      </c>
      <c r="W22" s="238">
        <v>59507</v>
      </c>
      <c r="X22" s="238">
        <v>59507</v>
      </c>
      <c r="Y22" s="238">
        <v>59507</v>
      </c>
      <c r="Z22" s="238">
        <v>59507</v>
      </c>
      <c r="AA22" s="237"/>
      <c r="AB22" s="237"/>
      <c r="AC22" s="237"/>
      <c r="AD22" s="237"/>
      <c r="AE22" s="237"/>
      <c r="AF22" s="237"/>
      <c r="AG22" s="237"/>
      <c r="AH22" s="237"/>
      <c r="AI22" s="237"/>
      <c r="AJ22" s="237"/>
      <c r="AK22" s="342">
        <f ca="1">OFFSET(K23,0,COUNT(L23:X23))</f>
        <v>0</v>
      </c>
      <c r="AL22" s="1125">
        <f ca="1">AK22*I22*J22</f>
        <v>0</v>
      </c>
    </row>
    <row r="23" spans="1:38" ht="13.9">
      <c r="A23" s="427"/>
      <c r="B23" s="427"/>
      <c r="C23" s="241">
        <f ca="1">I22*J22*C22</f>
        <v>0</v>
      </c>
      <c r="D23" s="46" t="s">
        <v>74</v>
      </c>
      <c r="E23" s="235"/>
      <c r="F23" s="235"/>
      <c r="G23" s="443"/>
      <c r="H23" s="342"/>
      <c r="I23" s="247"/>
      <c r="J23" s="1127"/>
      <c r="K23" s="247"/>
      <c r="L23" s="247">
        <f t="shared" ref="L23:X23" si="59">IF(ISNUMBER(L22),L22-K22,"")</f>
        <v>0</v>
      </c>
      <c r="M23" s="247">
        <f t="shared" si="59"/>
        <v>0</v>
      </c>
      <c r="N23" s="247">
        <f t="shared" si="59"/>
        <v>36</v>
      </c>
      <c r="O23" s="247">
        <f t="shared" si="59"/>
        <v>5</v>
      </c>
      <c r="P23" s="247">
        <f t="shared" si="59"/>
        <v>184</v>
      </c>
      <c r="Q23" s="247">
        <f t="shared" si="59"/>
        <v>433</v>
      </c>
      <c r="R23" s="247">
        <f t="shared" si="59"/>
        <v>975</v>
      </c>
      <c r="S23" s="247">
        <f t="shared" si="59"/>
        <v>726</v>
      </c>
      <c r="T23" s="247">
        <f t="shared" si="59"/>
        <v>270</v>
      </c>
      <c r="U23" s="247">
        <f t="shared" si="59"/>
        <v>638</v>
      </c>
      <c r="V23" s="247">
        <f t="shared" si="59"/>
        <v>509</v>
      </c>
      <c r="W23" s="247">
        <f t="shared" si="59"/>
        <v>214</v>
      </c>
      <c r="X23" s="247">
        <f t="shared" si="59"/>
        <v>0</v>
      </c>
      <c r="Y23" s="247">
        <f>IF(ISNUMBER(Y22),Y22-X22,"")</f>
        <v>0</v>
      </c>
      <c r="Z23" s="247">
        <f>IF(ISNUMBER(Z22),Z22-Y22,"")</f>
        <v>0</v>
      </c>
      <c r="AA23" s="247" t="str">
        <f>IF(ISNUMBER(AA22),AA22-Z22,"")</f>
        <v/>
      </c>
      <c r="AB23" s="247" t="str">
        <f t="shared" ref="AB23" si="60">IF(ISNUMBER(AB22),AB22-AA22,"")</f>
        <v/>
      </c>
      <c r="AC23" s="247"/>
      <c r="AD23" s="247"/>
      <c r="AE23" s="247"/>
      <c r="AF23" s="247"/>
      <c r="AG23" s="247"/>
      <c r="AH23" s="247"/>
      <c r="AI23" s="247"/>
      <c r="AJ23" s="247"/>
      <c r="AK23" s="237"/>
      <c r="AL23" s="1125"/>
    </row>
    <row r="24" spans="1:38" ht="13.9">
      <c r="A24" s="427"/>
      <c r="B24" s="427"/>
      <c r="C24" s="241"/>
      <c r="D24" s="46"/>
      <c r="F24" s="235"/>
      <c r="G24" s="443"/>
      <c r="H24" s="342"/>
      <c r="I24" s="247"/>
      <c r="J24" s="1127"/>
      <c r="K24" s="247"/>
      <c r="L24" s="247">
        <f>L23*$J22*$I22</f>
        <v>0</v>
      </c>
      <c r="M24" s="247">
        <f t="shared" ref="M24:Z24" si="61">M23*$J22*$I22</f>
        <v>0</v>
      </c>
      <c r="N24" s="247">
        <f t="shared" si="61"/>
        <v>1220.3659519200003</v>
      </c>
      <c r="O24" s="247">
        <f t="shared" si="61"/>
        <v>169.4952711</v>
      </c>
      <c r="P24" s="247">
        <f t="shared" si="61"/>
        <v>6237.4259764800008</v>
      </c>
      <c r="Q24" s="247">
        <f t="shared" si="61"/>
        <v>14678.290477260001</v>
      </c>
      <c r="R24" s="247">
        <f t="shared" si="61"/>
        <v>33051.577864500003</v>
      </c>
      <c r="S24" s="247">
        <f t="shared" si="61"/>
        <v>24610.713363720002</v>
      </c>
      <c r="T24" s="247">
        <f t="shared" si="61"/>
        <v>9152.7446394000017</v>
      </c>
      <c r="U24" s="247">
        <f t="shared" si="61"/>
        <v>21627.596592360002</v>
      </c>
      <c r="V24" s="247">
        <f t="shared" si="61"/>
        <v>17254.618597980003</v>
      </c>
      <c r="W24" s="247">
        <f t="shared" si="61"/>
        <v>7254.3976030800004</v>
      </c>
      <c r="X24" s="247">
        <f t="shared" si="61"/>
        <v>0</v>
      </c>
      <c r="Y24" s="247">
        <f t="shared" si="61"/>
        <v>0</v>
      </c>
      <c r="Z24" s="247">
        <f t="shared" si="61"/>
        <v>0</v>
      </c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37"/>
      <c r="AL24" s="1125"/>
    </row>
    <row r="25" spans="1:38" ht="13.9">
      <c r="A25" s="427"/>
      <c r="B25" s="427"/>
      <c r="C25" s="241"/>
      <c r="D25" s="46"/>
      <c r="F25" s="235"/>
      <c r="G25" s="443" t="s">
        <v>1555</v>
      </c>
      <c r="H25" s="342" t="s">
        <v>1539</v>
      </c>
      <c r="I25" s="237">
        <v>1.1809000000000001</v>
      </c>
      <c r="J25" s="235">
        <v>29.048999999999999</v>
      </c>
      <c r="K25" s="237"/>
      <c r="L25" s="237"/>
      <c r="M25" s="237"/>
      <c r="N25" s="237"/>
      <c r="O25" s="237"/>
      <c r="P25" s="237"/>
      <c r="Q25" s="237"/>
      <c r="R25" s="237"/>
      <c r="S25" s="237"/>
      <c r="T25" s="237"/>
      <c r="U25" s="237"/>
      <c r="V25" s="237"/>
      <c r="W25" s="237"/>
      <c r="X25" s="237"/>
      <c r="Y25" s="237"/>
      <c r="Z25" s="342">
        <v>0</v>
      </c>
      <c r="AA25" s="1065">
        <v>26</v>
      </c>
      <c r="AB25" s="1065">
        <v>205</v>
      </c>
      <c r="AC25" s="1065">
        <v>615</v>
      </c>
      <c r="AD25" s="1065">
        <v>1432</v>
      </c>
      <c r="AE25" s="1065">
        <v>2126</v>
      </c>
      <c r="AF25" s="1065">
        <v>2812</v>
      </c>
      <c r="AG25" s="666">
        <v>3292</v>
      </c>
      <c r="AH25" s="666">
        <v>3784</v>
      </c>
      <c r="AI25" s="666">
        <v>4201</v>
      </c>
      <c r="AJ25" s="666">
        <v>4201</v>
      </c>
      <c r="AK25" s="237">
        <f ca="1">OFFSET(Z26,0,COUNT(AA26:AJ26))</f>
        <v>0</v>
      </c>
      <c r="AL25" s="1125">
        <f ca="1">AK25*I25*J25</f>
        <v>0</v>
      </c>
    </row>
    <row r="26" spans="1:38" ht="13.9">
      <c r="A26" s="427"/>
      <c r="B26" s="427"/>
      <c r="C26" s="241"/>
      <c r="D26" s="46"/>
      <c r="F26" s="235"/>
      <c r="G26" s="443"/>
      <c r="H26" s="342"/>
      <c r="I26" s="247"/>
      <c r="J26" s="1127"/>
      <c r="K26" s="247"/>
      <c r="L26" s="247"/>
      <c r="M26" s="247"/>
      <c r="N26" s="247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>
        <f>IF(ISNUMBER(Z25),Y25-Y25,"")</f>
        <v>0</v>
      </c>
      <c r="AA26" s="247">
        <f t="shared" ref="AA26:AJ26" si="62">IF(ISNUMBER(AA25),AA25-Z25,"")</f>
        <v>26</v>
      </c>
      <c r="AB26" s="247">
        <f t="shared" si="62"/>
        <v>179</v>
      </c>
      <c r="AC26" s="247">
        <f t="shared" si="62"/>
        <v>410</v>
      </c>
      <c r="AD26" s="247">
        <f t="shared" si="62"/>
        <v>817</v>
      </c>
      <c r="AE26" s="247">
        <f t="shared" si="62"/>
        <v>694</v>
      </c>
      <c r="AF26" s="247">
        <f t="shared" si="62"/>
        <v>686</v>
      </c>
      <c r="AG26" s="247">
        <f>IF(ISNUMBER(AG25),AG25-AF25,"")</f>
        <v>480</v>
      </c>
      <c r="AH26" s="247">
        <f t="shared" si="62"/>
        <v>492</v>
      </c>
      <c r="AI26" s="247">
        <f t="shared" si="62"/>
        <v>417</v>
      </c>
      <c r="AJ26" s="247">
        <f t="shared" si="62"/>
        <v>0</v>
      </c>
      <c r="AK26" s="237"/>
      <c r="AL26" s="1125"/>
    </row>
    <row r="27" spans="1:38" ht="13.9">
      <c r="A27" s="427"/>
      <c r="B27" s="427"/>
      <c r="C27" s="241"/>
      <c r="D27" s="46"/>
      <c r="F27" s="235"/>
      <c r="G27" s="443"/>
      <c r="H27" s="342"/>
      <c r="I27" s="247"/>
      <c r="J27" s="1127"/>
      <c r="K27" s="247"/>
      <c r="L27" s="247">
        <f>L26*$J25*$I25</f>
        <v>0</v>
      </c>
      <c r="M27" s="247">
        <f t="shared" ref="M27:AC27" si="63">M26*$J25*$I25</f>
        <v>0</v>
      </c>
      <c r="N27" s="247">
        <f t="shared" si="63"/>
        <v>0</v>
      </c>
      <c r="O27" s="247">
        <f t="shared" si="63"/>
        <v>0</v>
      </c>
      <c r="P27" s="247">
        <f t="shared" si="63"/>
        <v>0</v>
      </c>
      <c r="Q27" s="247">
        <f t="shared" si="63"/>
        <v>0</v>
      </c>
      <c r="R27" s="247">
        <f t="shared" si="63"/>
        <v>0</v>
      </c>
      <c r="S27" s="247">
        <f t="shared" si="63"/>
        <v>0</v>
      </c>
      <c r="T27" s="247">
        <f t="shared" si="63"/>
        <v>0</v>
      </c>
      <c r="U27" s="247">
        <f t="shared" si="63"/>
        <v>0</v>
      </c>
      <c r="V27" s="247">
        <f t="shared" si="63"/>
        <v>0</v>
      </c>
      <c r="W27" s="247">
        <f t="shared" si="63"/>
        <v>0</v>
      </c>
      <c r="X27" s="247">
        <f t="shared" si="63"/>
        <v>0</v>
      </c>
      <c r="Y27" s="247">
        <f t="shared" si="63"/>
        <v>0</v>
      </c>
      <c r="Z27" s="247">
        <f t="shared" si="63"/>
        <v>0</v>
      </c>
      <c r="AA27" s="247">
        <f t="shared" si="63"/>
        <v>891.9030666000001</v>
      </c>
      <c r="AB27" s="247">
        <f t="shared" si="63"/>
        <v>6140.4095739000004</v>
      </c>
      <c r="AC27" s="247">
        <f t="shared" si="63"/>
        <v>14064.625281000001</v>
      </c>
      <c r="AD27" s="247"/>
      <c r="AE27" s="247"/>
      <c r="AF27" s="247"/>
      <c r="AG27" s="247"/>
      <c r="AH27" s="247"/>
      <c r="AI27" s="247"/>
      <c r="AJ27" s="247"/>
      <c r="AK27" s="237"/>
      <c r="AL27" s="1125"/>
    </row>
    <row r="28" spans="1:38" ht="13.9">
      <c r="A28" s="427" t="s">
        <v>1556</v>
      </c>
      <c r="B28" s="427" t="s">
        <v>1557</v>
      </c>
      <c r="C28" s="853">
        <f ca="1">OFFSET(K29,0,COUNT(L29:AG29))</f>
        <v>-44</v>
      </c>
      <c r="D28" s="46" t="s">
        <v>418</v>
      </c>
      <c r="E28" s="884">
        <f ca="1">((OFFSET(K29,0,COUNT(L29:AB29)))/(OFFSET(K29,0,COUNT(L29:AB29)-1)))-1</f>
        <v>-1.3859649122807016</v>
      </c>
      <c r="F28" s="235" t="s">
        <v>1558</v>
      </c>
      <c r="G28" s="443">
        <v>301789</v>
      </c>
      <c r="H28" s="342" t="s">
        <v>1539</v>
      </c>
      <c r="I28" s="247">
        <v>1.3720000000000001</v>
      </c>
      <c r="J28" s="1127">
        <v>28.953700000000001</v>
      </c>
      <c r="K28" s="238">
        <v>31716</v>
      </c>
      <c r="L28" s="238">
        <v>31847</v>
      </c>
      <c r="M28" s="238">
        <v>31672</v>
      </c>
      <c r="N28" s="238">
        <v>31723</v>
      </c>
      <c r="O28" s="238">
        <v>31799</v>
      </c>
      <c r="P28" s="238">
        <v>31884</v>
      </c>
      <c r="Q28" s="238">
        <v>31989</v>
      </c>
      <c r="R28" s="238">
        <v>32132</v>
      </c>
      <c r="S28" s="238">
        <v>32220</v>
      </c>
      <c r="T28" s="238">
        <v>32349</v>
      </c>
      <c r="U28" s="238">
        <v>32476</v>
      </c>
      <c r="V28" s="238">
        <v>32584</v>
      </c>
      <c r="W28" s="238">
        <v>32702</v>
      </c>
      <c r="X28" s="238">
        <v>32816</v>
      </c>
      <c r="Y28" s="673">
        <v>32772</v>
      </c>
      <c r="Z28" s="237"/>
      <c r="AA28" s="237"/>
      <c r="AB28" s="237"/>
      <c r="AC28" s="237"/>
      <c r="AD28" s="237"/>
      <c r="AE28" s="237"/>
      <c r="AF28" s="237"/>
      <c r="AG28" s="237"/>
      <c r="AH28" s="237"/>
      <c r="AI28" s="237"/>
      <c r="AJ28" s="237"/>
      <c r="AK28" s="342">
        <f ca="1">OFFSET(K29,0,COUNT(L29:Y29))</f>
        <v>-44</v>
      </c>
      <c r="AL28" s="1125">
        <f ca="1">AK28*I28*J28</f>
        <v>-1747.8769616000002</v>
      </c>
    </row>
    <row r="29" spans="1:38" ht="13.9">
      <c r="A29" s="427"/>
      <c r="B29" s="427"/>
      <c r="C29" s="241">
        <f ca="1">I28*J28*C28</f>
        <v>-1747.8769616000004</v>
      </c>
      <c r="D29" s="46" t="s">
        <v>74</v>
      </c>
      <c r="E29" s="235"/>
      <c r="F29" s="235"/>
      <c r="G29" s="443"/>
      <c r="H29" s="342"/>
      <c r="I29" s="247"/>
      <c r="J29" s="1127"/>
      <c r="K29" s="247"/>
      <c r="L29" s="247">
        <f t="shared" ref="L29:X29" si="64">IF(ISNUMBER(L28),L28-K28,"")</f>
        <v>131</v>
      </c>
      <c r="M29" s="247">
        <f t="shared" si="64"/>
        <v>-175</v>
      </c>
      <c r="N29" s="247">
        <f t="shared" si="64"/>
        <v>51</v>
      </c>
      <c r="O29" s="247">
        <f t="shared" si="64"/>
        <v>76</v>
      </c>
      <c r="P29" s="247">
        <f t="shared" si="64"/>
        <v>85</v>
      </c>
      <c r="Q29" s="247">
        <f t="shared" si="64"/>
        <v>105</v>
      </c>
      <c r="R29" s="247">
        <f t="shared" si="64"/>
        <v>143</v>
      </c>
      <c r="S29" s="247">
        <f t="shared" si="64"/>
        <v>88</v>
      </c>
      <c r="T29" s="247">
        <f t="shared" si="64"/>
        <v>129</v>
      </c>
      <c r="U29" s="247">
        <f t="shared" si="64"/>
        <v>127</v>
      </c>
      <c r="V29" s="247">
        <f t="shared" si="64"/>
        <v>108</v>
      </c>
      <c r="W29" s="247">
        <f t="shared" si="64"/>
        <v>118</v>
      </c>
      <c r="X29" s="247">
        <f t="shared" si="64"/>
        <v>114</v>
      </c>
      <c r="Y29" s="247">
        <f t="shared" ref="Y29" si="65">IF(ISNUMBER(Y28),Y28-X28,"")</f>
        <v>-44</v>
      </c>
      <c r="Z29" s="247" t="str">
        <f t="shared" ref="Z29" si="66">IF(ISNUMBER(Z28),Z28-Y28,"")</f>
        <v/>
      </c>
      <c r="AA29" s="247" t="str">
        <f t="shared" ref="AA29" si="67">IF(ISNUMBER(AA28),AA28-Z28,"")</f>
        <v/>
      </c>
      <c r="AB29" s="247" t="str">
        <f t="shared" ref="AB29" si="68">IF(ISNUMBER(AB28),AB28-AA28,"")</f>
        <v/>
      </c>
      <c r="AC29" s="247"/>
      <c r="AD29" s="247"/>
      <c r="AE29" s="247"/>
      <c r="AF29" s="247"/>
      <c r="AG29" s="247"/>
      <c r="AH29" s="247"/>
      <c r="AI29" s="247"/>
      <c r="AJ29" s="247"/>
      <c r="AK29" s="237"/>
      <c r="AL29" s="1125"/>
    </row>
    <row r="30" spans="1:38" ht="13.9">
      <c r="A30" s="427"/>
      <c r="B30" s="427"/>
      <c r="C30" s="241"/>
      <c r="D30" s="377"/>
      <c r="F30" s="235"/>
      <c r="G30" s="443"/>
      <c r="H30" s="342"/>
      <c r="I30" s="247"/>
      <c r="J30" s="1127"/>
      <c r="K30" s="247"/>
      <c r="L30" s="247">
        <f>L29*$J28*$I28</f>
        <v>5203.9064084000011</v>
      </c>
      <c r="M30" s="247">
        <f t="shared" ref="M30:X30" si="69">M29*$J28*$I28</f>
        <v>-6951.783370000001</v>
      </c>
      <c r="N30" s="247">
        <f t="shared" si="69"/>
        <v>2025.9482964000001</v>
      </c>
      <c r="O30" s="247">
        <f t="shared" si="69"/>
        <v>3019.0602064000004</v>
      </c>
      <c r="P30" s="247">
        <f t="shared" si="69"/>
        <v>3376.5804940000003</v>
      </c>
      <c r="Q30" s="247">
        <f t="shared" si="69"/>
        <v>4171.0700220000008</v>
      </c>
      <c r="R30" s="247">
        <f t="shared" si="69"/>
        <v>5680.6001252000005</v>
      </c>
      <c r="S30" s="247">
        <f t="shared" si="69"/>
        <v>3495.7539232000004</v>
      </c>
      <c r="T30" s="247">
        <f t="shared" si="69"/>
        <v>5124.4574556000007</v>
      </c>
      <c r="U30" s="247">
        <f t="shared" si="69"/>
        <v>5045.0085028000003</v>
      </c>
      <c r="V30" s="247">
        <f t="shared" si="69"/>
        <v>4290.2434512000009</v>
      </c>
      <c r="W30" s="247">
        <f t="shared" si="69"/>
        <v>4687.4882152000009</v>
      </c>
      <c r="X30" s="247">
        <f t="shared" si="69"/>
        <v>4528.5903096000011</v>
      </c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37"/>
      <c r="AL30" s="1125"/>
    </row>
    <row r="31" spans="1:38" ht="13.9">
      <c r="A31" s="427"/>
      <c r="B31" s="427"/>
      <c r="C31" s="241"/>
      <c r="D31" s="377"/>
      <c r="F31" s="235"/>
      <c r="G31" s="443" t="s">
        <v>1559</v>
      </c>
      <c r="H31" s="342" t="s">
        <v>1539</v>
      </c>
      <c r="I31" s="237">
        <v>1.3841000000000001</v>
      </c>
      <c r="J31" s="235">
        <v>29.049600000000002</v>
      </c>
      <c r="K31" s="237"/>
      <c r="L31" s="237"/>
      <c r="M31" s="237"/>
      <c r="N31" s="237"/>
      <c r="O31" s="237"/>
      <c r="P31" s="237"/>
      <c r="Q31" s="237"/>
      <c r="R31" s="237"/>
      <c r="S31" s="237"/>
      <c r="T31" s="237"/>
      <c r="U31" s="237"/>
      <c r="V31" s="237"/>
      <c r="W31" s="237"/>
      <c r="X31" s="238">
        <v>0</v>
      </c>
      <c r="Y31" s="238">
        <v>220</v>
      </c>
      <c r="Z31" s="238">
        <v>118</v>
      </c>
      <c r="AA31" s="238">
        <v>345</v>
      </c>
      <c r="AB31" s="238">
        <v>533</v>
      </c>
      <c r="AC31" s="238">
        <v>788</v>
      </c>
      <c r="AD31" s="238">
        <v>976</v>
      </c>
      <c r="AE31" s="238">
        <v>1164</v>
      </c>
      <c r="AF31" s="238">
        <v>1394</v>
      </c>
      <c r="AG31" s="238">
        <v>1629</v>
      </c>
      <c r="AH31" s="238">
        <v>1872</v>
      </c>
      <c r="AI31" s="238">
        <v>2041</v>
      </c>
      <c r="AJ31" s="673">
        <v>2173</v>
      </c>
      <c r="AK31" s="237">
        <f ca="1">OFFSET(X32,0,COUNT(Y32:AJ32))</f>
        <v>132</v>
      </c>
      <c r="AL31" s="1125">
        <f ca="1">AK31*I31*J31</f>
        <v>5307.3967795200015</v>
      </c>
    </row>
    <row r="32" spans="1:38" ht="13.9">
      <c r="A32" s="427"/>
      <c r="B32" s="427"/>
      <c r="C32" s="241"/>
      <c r="D32" s="377"/>
      <c r="F32" s="235"/>
      <c r="G32" s="443"/>
      <c r="H32" s="342"/>
      <c r="I32" s="247"/>
      <c r="J32" s="1127"/>
      <c r="K32" s="247"/>
      <c r="L32" s="247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>
        <f t="shared" ref="X32" si="70">IF(ISNUMBER(X31),X31-W31,"")</f>
        <v>0</v>
      </c>
      <c r="Y32" s="247">
        <f t="shared" ref="Y32" si="71">IF(ISNUMBER(Y31),Y31-X31,"")</f>
        <v>220</v>
      </c>
      <c r="Z32" s="247">
        <f t="shared" ref="Z32" si="72">IF(ISNUMBER(Z31),Z31-Y31,"")</f>
        <v>-102</v>
      </c>
      <c r="AA32" s="247">
        <f t="shared" ref="AA32" si="73">IF(ISNUMBER(AA31),AA31-Z31,"")</f>
        <v>227</v>
      </c>
      <c r="AB32" s="247">
        <f t="shared" ref="AB32" si="74">IF(ISNUMBER(AB31),AB31-AA31,"")</f>
        <v>188</v>
      </c>
      <c r="AC32" s="247">
        <f t="shared" ref="AC32" si="75">IF(ISNUMBER(AC31),AC31-AB31,"")</f>
        <v>255</v>
      </c>
      <c r="AD32" s="247">
        <f t="shared" ref="AD32" si="76">IF(ISNUMBER(AD31),AD31-AC31,"")</f>
        <v>188</v>
      </c>
      <c r="AE32" s="247">
        <f t="shared" ref="AE32" si="77">IF(ISNUMBER(AE31),AE31-AD31,"")</f>
        <v>188</v>
      </c>
      <c r="AF32" s="247">
        <f t="shared" ref="AF32" si="78">IF(ISNUMBER(AF31),AF31-AE31,"")</f>
        <v>230</v>
      </c>
      <c r="AG32" s="247">
        <f t="shared" ref="AG32" si="79">IF(ISNUMBER(AG31),AG31-AF31,"")</f>
        <v>235</v>
      </c>
      <c r="AH32" s="247">
        <f t="shared" ref="AH32" si="80">IF(ISNUMBER(AH31),AH31-AG31,"")</f>
        <v>243</v>
      </c>
      <c r="AI32" s="247">
        <f t="shared" ref="AI32" si="81">IF(ISNUMBER(AI31),AI31-AH31,"")</f>
        <v>169</v>
      </c>
      <c r="AJ32" s="247">
        <f t="shared" ref="AJ32" si="82">IF(ISNUMBER(AJ31),AJ31-AI31,"")</f>
        <v>132</v>
      </c>
      <c r="AK32" s="237"/>
      <c r="AL32" s="1125"/>
    </row>
    <row r="33" spans="1:38" ht="13.9">
      <c r="A33" s="427"/>
      <c r="B33" s="427"/>
      <c r="C33" s="241"/>
      <c r="D33" s="377"/>
      <c r="F33" s="235"/>
      <c r="G33" s="443"/>
      <c r="H33" s="342"/>
      <c r="I33" s="247"/>
      <c r="J33" s="1127"/>
      <c r="K33" s="247"/>
      <c r="L33" s="247">
        <f>L32*$J31*$I31</f>
        <v>0</v>
      </c>
      <c r="M33" s="247">
        <f t="shared" ref="M33:AC33" si="83">M32*$J31*$I31</f>
        <v>0</v>
      </c>
      <c r="N33" s="247">
        <f t="shared" si="83"/>
        <v>0</v>
      </c>
      <c r="O33" s="247">
        <f t="shared" si="83"/>
        <v>0</v>
      </c>
      <c r="P33" s="247">
        <f t="shared" si="83"/>
        <v>0</v>
      </c>
      <c r="Q33" s="247">
        <f t="shared" si="83"/>
        <v>0</v>
      </c>
      <c r="R33" s="247">
        <f t="shared" si="83"/>
        <v>0</v>
      </c>
      <c r="S33" s="247">
        <f t="shared" si="83"/>
        <v>0</v>
      </c>
      <c r="T33" s="247">
        <f t="shared" si="83"/>
        <v>0</v>
      </c>
      <c r="U33" s="247">
        <f t="shared" si="83"/>
        <v>0</v>
      </c>
      <c r="V33" s="247">
        <f t="shared" si="83"/>
        <v>0</v>
      </c>
      <c r="W33" s="247">
        <f t="shared" si="83"/>
        <v>0</v>
      </c>
      <c r="X33" s="247">
        <f t="shared" si="83"/>
        <v>0</v>
      </c>
      <c r="Y33" s="247">
        <f t="shared" si="83"/>
        <v>8845.6612992000009</v>
      </c>
      <c r="Z33" s="247">
        <f t="shared" si="83"/>
        <v>-4101.1702387200003</v>
      </c>
      <c r="AA33" s="247">
        <f t="shared" si="83"/>
        <v>9127.1141587200018</v>
      </c>
      <c r="AB33" s="247">
        <f t="shared" si="83"/>
        <v>7559.0196556800011</v>
      </c>
      <c r="AC33" s="247">
        <f t="shared" si="83"/>
        <v>10252.925596800002</v>
      </c>
      <c r="AD33" s="247"/>
      <c r="AE33" s="247"/>
      <c r="AF33" s="247"/>
      <c r="AG33" s="247"/>
      <c r="AH33" s="247"/>
      <c r="AI33" s="247"/>
      <c r="AJ33" s="247"/>
      <c r="AK33" s="237"/>
      <c r="AL33" s="1125"/>
    </row>
    <row r="34" spans="1:38" ht="13.9">
      <c r="A34" s="427" t="s">
        <v>1560</v>
      </c>
      <c r="B34" s="427" t="s">
        <v>1561</v>
      </c>
      <c r="C34" s="853">
        <f ca="1">OFFSET(K35,0,COUNT(L35:AG35))</f>
        <v>188</v>
      </c>
      <c r="D34" s="377" t="s">
        <v>418</v>
      </c>
      <c r="E34" s="884">
        <f ca="1">((OFFSET(K35,0,COUNT(L35:AB35)))/(OFFSET(K35,0,COUNT(L35:AB35)-1)))-1</f>
        <v>1.2173913043478262</v>
      </c>
      <c r="F34" s="235" t="s">
        <v>1562</v>
      </c>
      <c r="G34" s="443" t="s">
        <v>1563</v>
      </c>
      <c r="H34" s="342" t="s">
        <v>1539</v>
      </c>
      <c r="I34" s="247">
        <v>1.0598000000000001</v>
      </c>
      <c r="J34" s="1127">
        <v>28.961099999999998</v>
      </c>
      <c r="K34" s="238">
        <v>17066</v>
      </c>
      <c r="L34" s="238">
        <v>17181</v>
      </c>
      <c r="M34" s="238">
        <v>17245</v>
      </c>
      <c r="N34" s="238">
        <v>17375</v>
      </c>
      <c r="O34" s="238">
        <v>17520</v>
      </c>
      <c r="P34" s="238">
        <v>17727</v>
      </c>
      <c r="Q34" s="238">
        <v>17962</v>
      </c>
      <c r="R34" s="238">
        <v>18344</v>
      </c>
      <c r="S34" s="238">
        <v>18683</v>
      </c>
      <c r="T34" s="238">
        <v>19069</v>
      </c>
      <c r="U34" s="238">
        <v>19450</v>
      </c>
      <c r="V34" s="238">
        <v>19708</v>
      </c>
      <c r="W34" s="238">
        <v>19839</v>
      </c>
      <c r="X34" s="238">
        <v>19948</v>
      </c>
      <c r="Y34" s="238">
        <v>19978</v>
      </c>
      <c r="Z34" s="238">
        <v>20018</v>
      </c>
      <c r="AA34" s="238">
        <v>20087</v>
      </c>
      <c r="AB34" s="238">
        <v>20240</v>
      </c>
      <c r="AC34" s="238">
        <v>20425</v>
      </c>
      <c r="AD34" s="238">
        <v>20668</v>
      </c>
      <c r="AE34" s="238">
        <v>20945</v>
      </c>
      <c r="AF34" s="238">
        <v>21242</v>
      </c>
      <c r="AG34" s="238">
        <v>21430</v>
      </c>
      <c r="AH34" s="238">
        <v>21618</v>
      </c>
      <c r="AI34" s="238">
        <v>21758</v>
      </c>
      <c r="AJ34" s="238">
        <v>21876</v>
      </c>
      <c r="AK34" s="342">
        <f ca="1">OFFSET(K35,0,COUNT(L35:AJ35))</f>
        <v>118</v>
      </c>
      <c r="AL34" s="1125">
        <f ca="1">AK34*I34*J34</f>
        <v>3621.7709060400002</v>
      </c>
    </row>
    <row r="35" spans="1:38" ht="14.45" thickBot="1">
      <c r="A35" s="427"/>
      <c r="B35" s="427"/>
      <c r="C35" s="241">
        <f ca="1">I34*J34*C34</f>
        <v>5770.2790706400001</v>
      </c>
      <c r="D35" s="379" t="s">
        <v>74</v>
      </c>
      <c r="E35" s="235"/>
      <c r="F35" s="235"/>
      <c r="G35" s="443"/>
      <c r="H35" s="342"/>
      <c r="I35" s="247"/>
      <c r="J35" s="1128" t="s">
        <v>1564</v>
      </c>
      <c r="K35" s="247"/>
      <c r="L35" s="247">
        <f t="shared" ref="L35:X35" si="84">IF(ISNUMBER(L34),L34-K34,"")</f>
        <v>115</v>
      </c>
      <c r="M35" s="247">
        <f t="shared" si="84"/>
        <v>64</v>
      </c>
      <c r="N35" s="247">
        <f t="shared" si="84"/>
        <v>130</v>
      </c>
      <c r="O35" s="247">
        <f t="shared" si="84"/>
        <v>145</v>
      </c>
      <c r="P35" s="247">
        <f t="shared" si="84"/>
        <v>207</v>
      </c>
      <c r="Q35" s="247">
        <f t="shared" si="84"/>
        <v>235</v>
      </c>
      <c r="R35" s="247">
        <f t="shared" si="84"/>
        <v>382</v>
      </c>
      <c r="S35" s="247">
        <f t="shared" si="84"/>
        <v>339</v>
      </c>
      <c r="T35" s="247">
        <f t="shared" si="84"/>
        <v>386</v>
      </c>
      <c r="U35" s="247">
        <f t="shared" si="84"/>
        <v>381</v>
      </c>
      <c r="V35" s="247">
        <f t="shared" si="84"/>
        <v>258</v>
      </c>
      <c r="W35" s="247">
        <f t="shared" si="84"/>
        <v>131</v>
      </c>
      <c r="X35" s="247">
        <f t="shared" si="84"/>
        <v>109</v>
      </c>
      <c r="Y35" s="247">
        <f t="shared" ref="Y35" si="85">IF(ISNUMBER(Y34),Y34-X34,"")</f>
        <v>30</v>
      </c>
      <c r="Z35" s="247">
        <f t="shared" ref="Z35" si="86">IF(ISNUMBER(Z34),Z34-Y34,"")</f>
        <v>40</v>
      </c>
      <c r="AA35" s="247">
        <f t="shared" ref="AA35" si="87">IF(ISNUMBER(AA34),AA34-Z34,"")</f>
        <v>69</v>
      </c>
      <c r="AB35" s="247">
        <f t="shared" ref="AB35" si="88">IF(ISNUMBER(AB34),AB34-AA34,"")</f>
        <v>153</v>
      </c>
      <c r="AC35" s="247">
        <f t="shared" ref="AC35" si="89">IF(ISNUMBER(AC34),AC34-AB34,"")</f>
        <v>185</v>
      </c>
      <c r="AD35" s="247">
        <f t="shared" ref="AD35" si="90">IF(ISNUMBER(AD34),AD34-AC34,"")</f>
        <v>243</v>
      </c>
      <c r="AE35" s="247">
        <f t="shared" ref="AE35" si="91">IF(ISNUMBER(AE34),AE34-AD34,"")</f>
        <v>277</v>
      </c>
      <c r="AF35" s="247">
        <f t="shared" ref="AF35" si="92">IF(ISNUMBER(AF34),AF34-AE34,"")</f>
        <v>297</v>
      </c>
      <c r="AG35" s="247">
        <f t="shared" ref="AG35" si="93">IF(ISNUMBER(AG34),AG34-AF34,"")</f>
        <v>188</v>
      </c>
      <c r="AH35" s="247">
        <f t="shared" ref="AH35" si="94">IF(ISNUMBER(AH34),AH34-AG34,"")</f>
        <v>188</v>
      </c>
      <c r="AI35" s="247">
        <f t="shared" ref="AI35" si="95">IF(ISNUMBER(AI34),AI34-AH34,"")</f>
        <v>140</v>
      </c>
      <c r="AJ35" s="247">
        <f t="shared" ref="AJ35" si="96">IF(ISNUMBER(AJ34),AJ34-AI34,"")</f>
        <v>118</v>
      </c>
      <c r="AK35" s="237"/>
      <c r="AL35" s="1125"/>
    </row>
    <row r="36" spans="1:38" ht="14.45" thickBot="1">
      <c r="A36" s="427"/>
      <c r="B36" s="427"/>
      <c r="C36" s="241"/>
      <c r="D36" s="40"/>
      <c r="F36" s="235"/>
      <c r="G36" s="443"/>
      <c r="H36" s="342"/>
      <c r="I36" s="247"/>
      <c r="J36" s="1128"/>
      <c r="K36" s="247"/>
      <c r="L36" s="247">
        <f>L35*$J34*$I34</f>
        <v>3529.6919847000004</v>
      </c>
      <c r="M36" s="247">
        <f t="shared" ref="M36:AC36" si="97">M35*$J34*$I34</f>
        <v>1964.3503219199999</v>
      </c>
      <c r="N36" s="247">
        <f t="shared" si="97"/>
        <v>3990.0865914000001</v>
      </c>
      <c r="O36" s="247">
        <f t="shared" si="97"/>
        <v>4450.4811981000003</v>
      </c>
      <c r="P36" s="247">
        <f t="shared" si="97"/>
        <v>6353.4455724600002</v>
      </c>
      <c r="Q36" s="247">
        <f t="shared" si="97"/>
        <v>7212.8488382999994</v>
      </c>
      <c r="R36" s="247">
        <f t="shared" si="97"/>
        <v>11724.715983960001</v>
      </c>
      <c r="S36" s="247">
        <f t="shared" si="97"/>
        <v>10404.91811142</v>
      </c>
      <c r="T36" s="247">
        <f t="shared" si="97"/>
        <v>11847.487879080001</v>
      </c>
      <c r="U36" s="247">
        <f t="shared" si="97"/>
        <v>11694.023010180001</v>
      </c>
      <c r="V36" s="247">
        <f t="shared" si="97"/>
        <v>7918.78723524</v>
      </c>
      <c r="W36" s="247">
        <f t="shared" si="97"/>
        <v>4020.7795651800002</v>
      </c>
      <c r="X36" s="247">
        <f t="shared" si="97"/>
        <v>3345.5341420200002</v>
      </c>
      <c r="Y36" s="247">
        <f t="shared" si="97"/>
        <v>920.78921339999999</v>
      </c>
      <c r="Z36" s="247">
        <f t="shared" si="97"/>
        <v>1227.7189512</v>
      </c>
      <c r="AA36" s="247">
        <f t="shared" si="97"/>
        <v>2117.8151908199998</v>
      </c>
      <c r="AB36" s="247">
        <f t="shared" si="97"/>
        <v>4696.0249883400002</v>
      </c>
      <c r="AC36" s="247">
        <f t="shared" si="97"/>
        <v>5678.2001493000007</v>
      </c>
      <c r="AD36" s="247"/>
      <c r="AE36" s="247"/>
      <c r="AF36" s="247"/>
      <c r="AG36" s="247"/>
      <c r="AH36" s="247"/>
      <c r="AI36" s="247"/>
      <c r="AJ36" s="247"/>
      <c r="AK36" s="237"/>
      <c r="AL36" s="1125"/>
    </row>
    <row r="37" spans="1:38" ht="13.9">
      <c r="A37" s="427" t="s">
        <v>1565</v>
      </c>
      <c r="B37" s="427" t="s">
        <v>1566</v>
      </c>
      <c r="C37" s="853">
        <f ca="1">OFFSET(K38,0,COUNT(L38:AG38))</f>
        <v>48</v>
      </c>
      <c r="D37" s="378" t="s">
        <v>418</v>
      </c>
      <c r="E37" s="884">
        <f ca="1">((OFFSET(K38,0,COUNT(L38:AB38)))/(OFFSET(K38,0,COUNT(L38:AB38)-1)))-1</f>
        <v>0.52</v>
      </c>
      <c r="F37" s="235" t="s">
        <v>1567</v>
      </c>
      <c r="G37" s="443" t="s">
        <v>1568</v>
      </c>
      <c r="H37" s="342" t="s">
        <v>1539</v>
      </c>
      <c r="I37" s="237">
        <v>1.2722</v>
      </c>
      <c r="J37" s="235">
        <v>28.961099999999998</v>
      </c>
      <c r="K37" s="238">
        <v>29360</v>
      </c>
      <c r="L37" s="238">
        <v>29373</v>
      </c>
      <c r="M37" s="238">
        <v>29383</v>
      </c>
      <c r="N37" s="238">
        <v>29403</v>
      </c>
      <c r="O37" s="238">
        <v>29427</v>
      </c>
      <c r="P37" s="238">
        <v>29492</v>
      </c>
      <c r="Q37" s="238">
        <v>29560</v>
      </c>
      <c r="R37" s="238">
        <v>29637</v>
      </c>
      <c r="S37" s="238">
        <v>29658</v>
      </c>
      <c r="T37" s="238">
        <v>29771</v>
      </c>
      <c r="U37" s="238">
        <v>29835</v>
      </c>
      <c r="V37" s="238">
        <v>29883</v>
      </c>
      <c r="W37" s="238">
        <v>29901</v>
      </c>
      <c r="X37" s="238">
        <v>29917</v>
      </c>
      <c r="Y37" s="238">
        <v>29923</v>
      </c>
      <c r="Z37" s="238">
        <v>29933</v>
      </c>
      <c r="AA37" s="238">
        <v>29958</v>
      </c>
      <c r="AB37" s="238">
        <v>29996</v>
      </c>
      <c r="AC37" s="238">
        <v>30045</v>
      </c>
      <c r="AD37" s="238">
        <v>30116</v>
      </c>
      <c r="AE37" s="238">
        <v>30180</v>
      </c>
      <c r="AF37" s="238">
        <v>30305</v>
      </c>
      <c r="AG37" s="238">
        <v>30353</v>
      </c>
      <c r="AH37" s="238">
        <v>30391</v>
      </c>
      <c r="AI37" s="238">
        <v>30419</v>
      </c>
      <c r="AJ37" s="238">
        <v>30441</v>
      </c>
      <c r="AK37" s="342">
        <f ca="1">OFFSET(K38,0,COUNT(L38:AJ38))</f>
        <v>22</v>
      </c>
      <c r="AL37" s="1125">
        <f ca="1">AK37*I37*J37</f>
        <v>810.57485123999993</v>
      </c>
    </row>
    <row r="38" spans="1:38" ht="13.9">
      <c r="A38" s="427"/>
      <c r="B38" s="427"/>
      <c r="C38" s="241">
        <f ca="1">I37*J37*C37</f>
        <v>1768.5269481599998</v>
      </c>
      <c r="D38" s="376" t="s">
        <v>74</v>
      </c>
      <c r="E38" s="235"/>
      <c r="F38" s="235"/>
      <c r="G38" s="443"/>
      <c r="H38" s="342"/>
      <c r="I38" s="247"/>
      <c r="J38" s="1127"/>
      <c r="K38" s="247"/>
      <c r="L38" s="247">
        <f t="shared" ref="L38:X38" si="98">IF(ISNUMBER(L37),L37-K37,"")</f>
        <v>13</v>
      </c>
      <c r="M38" s="247">
        <f t="shared" si="98"/>
        <v>10</v>
      </c>
      <c r="N38" s="247">
        <f t="shared" si="98"/>
        <v>20</v>
      </c>
      <c r="O38" s="247">
        <f t="shared" si="98"/>
        <v>24</v>
      </c>
      <c r="P38" s="247">
        <f t="shared" si="98"/>
        <v>65</v>
      </c>
      <c r="Q38" s="247">
        <f t="shared" si="98"/>
        <v>68</v>
      </c>
      <c r="R38" s="247">
        <f t="shared" si="98"/>
        <v>77</v>
      </c>
      <c r="S38" s="247">
        <f t="shared" si="98"/>
        <v>21</v>
      </c>
      <c r="T38" s="247">
        <f t="shared" si="98"/>
        <v>113</v>
      </c>
      <c r="U38" s="247">
        <f t="shared" si="98"/>
        <v>64</v>
      </c>
      <c r="V38" s="247">
        <f t="shared" si="98"/>
        <v>48</v>
      </c>
      <c r="W38" s="247">
        <f t="shared" si="98"/>
        <v>18</v>
      </c>
      <c r="X38" s="247">
        <f t="shared" si="98"/>
        <v>16</v>
      </c>
      <c r="Y38" s="247">
        <f t="shared" ref="Y38" si="99">IF(ISNUMBER(Y37),Y37-X37,"")</f>
        <v>6</v>
      </c>
      <c r="Z38" s="247">
        <f t="shared" ref="Z38" si="100">IF(ISNUMBER(Z37),Z37-Y37,"")</f>
        <v>10</v>
      </c>
      <c r="AA38" s="247">
        <f t="shared" ref="AA38" si="101">IF(ISNUMBER(AA37),AA37-Z37,"")</f>
        <v>25</v>
      </c>
      <c r="AB38" s="247">
        <f t="shared" ref="AB38" si="102">IF(ISNUMBER(AB37),AB37-AA37,"")</f>
        <v>38</v>
      </c>
      <c r="AC38" s="247">
        <f t="shared" ref="AC38" si="103">IF(ISNUMBER(AC37),AC37-AB37,"")</f>
        <v>49</v>
      </c>
      <c r="AD38" s="247">
        <f t="shared" ref="AD38" si="104">IF(ISNUMBER(AD37),AD37-AC37,"")</f>
        <v>71</v>
      </c>
      <c r="AE38" s="247">
        <f t="shared" ref="AE38" si="105">IF(ISNUMBER(AE37),AE37-AD37,"")</f>
        <v>64</v>
      </c>
      <c r="AF38" s="247">
        <f t="shared" ref="AF38" si="106">IF(ISNUMBER(AF37),AF37-AE37,"")</f>
        <v>125</v>
      </c>
      <c r="AG38" s="247">
        <f t="shared" ref="AG38" si="107">IF(ISNUMBER(AG37),AG37-AF37,"")</f>
        <v>48</v>
      </c>
      <c r="AH38" s="247">
        <f t="shared" ref="AH38" si="108">IF(ISNUMBER(AH37),AH37-AG37,"")</f>
        <v>38</v>
      </c>
      <c r="AI38" s="247">
        <f t="shared" ref="AI38" si="109">IF(ISNUMBER(AI37),AI37-AH37,"")</f>
        <v>28</v>
      </c>
      <c r="AJ38" s="247">
        <f t="shared" ref="AJ38" si="110">IF(ISNUMBER(AJ37),AJ37-AI37,"")</f>
        <v>22</v>
      </c>
      <c r="AK38" s="237"/>
      <c r="AL38" s="1125"/>
    </row>
    <row r="39" spans="1:38" ht="13.9">
      <c r="A39" s="427"/>
      <c r="B39" s="427"/>
      <c r="C39" s="241"/>
      <c r="D39" s="376"/>
      <c r="F39" s="235"/>
      <c r="G39" s="443"/>
      <c r="H39" s="342"/>
      <c r="I39" s="247"/>
      <c r="J39" s="1127"/>
      <c r="K39" s="247"/>
      <c r="L39" s="247">
        <f>L38*$J37*$I37</f>
        <v>478.97604845999996</v>
      </c>
      <c r="M39" s="247">
        <f t="shared" ref="M39:AC39" si="111">M38*$J37*$I37</f>
        <v>368.44311419999997</v>
      </c>
      <c r="N39" s="247">
        <f t="shared" si="111"/>
        <v>736.88622839999994</v>
      </c>
      <c r="O39" s="247">
        <f t="shared" si="111"/>
        <v>884.26347407999992</v>
      </c>
      <c r="P39" s="247">
        <f t="shared" si="111"/>
        <v>2394.8802422999997</v>
      </c>
      <c r="Q39" s="247">
        <f t="shared" si="111"/>
        <v>2505.41317656</v>
      </c>
      <c r="R39" s="247">
        <f t="shared" si="111"/>
        <v>2837.0119793399999</v>
      </c>
      <c r="S39" s="247">
        <f t="shared" si="111"/>
        <v>773.73053981999999</v>
      </c>
      <c r="T39" s="247">
        <f t="shared" si="111"/>
        <v>4163.4071904599996</v>
      </c>
      <c r="U39" s="247">
        <f t="shared" si="111"/>
        <v>2358.0359308799998</v>
      </c>
      <c r="V39" s="247">
        <f t="shared" si="111"/>
        <v>1768.5269481599998</v>
      </c>
      <c r="W39" s="247">
        <f t="shared" si="111"/>
        <v>663.19760556000006</v>
      </c>
      <c r="X39" s="247">
        <f t="shared" si="111"/>
        <v>589.50898271999995</v>
      </c>
      <c r="Y39" s="247">
        <f t="shared" si="111"/>
        <v>221.06586851999998</v>
      </c>
      <c r="Z39" s="247">
        <f t="shared" si="111"/>
        <v>368.44311419999997</v>
      </c>
      <c r="AA39" s="247">
        <f t="shared" si="111"/>
        <v>921.10778549999986</v>
      </c>
      <c r="AB39" s="247">
        <f t="shared" si="111"/>
        <v>1400.08383396</v>
      </c>
      <c r="AC39" s="247">
        <f t="shared" si="111"/>
        <v>1805.3712595799998</v>
      </c>
      <c r="AD39" s="247"/>
      <c r="AE39" s="247"/>
      <c r="AF39" s="247"/>
      <c r="AG39" s="247"/>
      <c r="AH39" s="247"/>
      <c r="AI39" s="247"/>
      <c r="AJ39" s="247"/>
      <c r="AK39" s="237"/>
      <c r="AL39" s="1125"/>
    </row>
    <row r="40" spans="1:38" ht="13.9">
      <c r="A40" s="427" t="s">
        <v>1569</v>
      </c>
      <c r="B40" s="427" t="s">
        <v>1448</v>
      </c>
      <c r="C40" s="853">
        <f ca="1">OFFSET(K41,0,COUNT(L41:AG41))</f>
        <v>99</v>
      </c>
      <c r="D40" s="46" t="s">
        <v>418</v>
      </c>
      <c r="E40" s="884">
        <f ca="1">((OFFSET(K41,0,COUNT(L41:AB41)))/(OFFSET(K41,0,COUNT(L41:AB41)-1)))-1</f>
        <v>0.16216216216216206</v>
      </c>
      <c r="F40" s="235" t="s">
        <v>1570</v>
      </c>
      <c r="G40" s="443">
        <v>20512147</v>
      </c>
      <c r="H40" s="342" t="s">
        <v>1539</v>
      </c>
      <c r="I40" s="237">
        <v>1.2216</v>
      </c>
      <c r="J40" s="235">
        <v>28.961099999999998</v>
      </c>
      <c r="K40" s="238">
        <v>170342</v>
      </c>
      <c r="L40" s="238">
        <v>171348</v>
      </c>
      <c r="M40" s="238">
        <v>173402</v>
      </c>
      <c r="N40" s="238">
        <v>173722</v>
      </c>
      <c r="O40" s="238">
        <v>173877</v>
      </c>
      <c r="P40" s="238">
        <v>177228</v>
      </c>
      <c r="Q40" s="238">
        <v>181474</v>
      </c>
      <c r="R40" s="238">
        <v>182891</v>
      </c>
      <c r="S40" s="238">
        <v>185565</v>
      </c>
      <c r="T40" s="238">
        <v>186735</v>
      </c>
      <c r="U40" s="238">
        <v>188166</v>
      </c>
      <c r="V40" s="238">
        <v>189028</v>
      </c>
      <c r="W40" s="238">
        <v>189567</v>
      </c>
      <c r="X40" s="238">
        <v>190068</v>
      </c>
      <c r="Y40" s="238">
        <v>190265</v>
      </c>
      <c r="Z40" s="238">
        <v>190361</v>
      </c>
      <c r="AA40" s="238">
        <v>190472</v>
      </c>
      <c r="AB40" s="238">
        <v>190601</v>
      </c>
      <c r="AC40" s="238">
        <v>190713</v>
      </c>
      <c r="AD40" s="238">
        <v>190829</v>
      </c>
      <c r="AE40" s="238">
        <v>190946</v>
      </c>
      <c r="AF40" s="238">
        <v>191060</v>
      </c>
      <c r="AG40" s="238">
        <v>191159</v>
      </c>
      <c r="AH40" s="238">
        <v>191235</v>
      </c>
      <c r="AI40" s="238">
        <v>191366</v>
      </c>
      <c r="AJ40" s="238">
        <v>191427</v>
      </c>
      <c r="AK40" s="342">
        <f ca="1">OFFSET(K41,0,COUNT(L41:AJ41))</f>
        <v>61</v>
      </c>
      <c r="AL40" s="1125">
        <f ca="1">AK40*I40*J40</f>
        <v>2158.1116653599997</v>
      </c>
    </row>
    <row r="41" spans="1:38" ht="13.9">
      <c r="A41" s="427"/>
      <c r="B41" s="427"/>
      <c r="C41" s="241">
        <f ca="1">I40*J40*C40</f>
        <v>3502.5090962399995</v>
      </c>
      <c r="D41" s="46" t="s">
        <v>74</v>
      </c>
      <c r="E41" s="235"/>
      <c r="F41" s="235"/>
      <c r="G41" s="443"/>
      <c r="H41" s="342"/>
      <c r="I41" s="247"/>
      <c r="J41" s="1127"/>
      <c r="K41" s="247"/>
      <c r="L41" s="247">
        <f t="shared" ref="L41:X41" si="112">IF(ISNUMBER(L40),L40-K40,"")</f>
        <v>1006</v>
      </c>
      <c r="M41" s="247">
        <f t="shared" si="112"/>
        <v>2054</v>
      </c>
      <c r="N41" s="247">
        <f t="shared" si="112"/>
        <v>320</v>
      </c>
      <c r="O41" s="247">
        <f t="shared" si="112"/>
        <v>155</v>
      </c>
      <c r="P41" s="247">
        <f t="shared" si="112"/>
        <v>3351</v>
      </c>
      <c r="Q41" s="247">
        <f t="shared" si="112"/>
        <v>4246</v>
      </c>
      <c r="R41" s="247">
        <f t="shared" si="112"/>
        <v>1417</v>
      </c>
      <c r="S41" s="247">
        <f t="shared" si="112"/>
        <v>2674</v>
      </c>
      <c r="T41" s="247">
        <f t="shared" si="112"/>
        <v>1170</v>
      </c>
      <c r="U41" s="247">
        <f t="shared" si="112"/>
        <v>1431</v>
      </c>
      <c r="V41" s="247">
        <f t="shared" si="112"/>
        <v>862</v>
      </c>
      <c r="W41" s="247">
        <f t="shared" si="112"/>
        <v>539</v>
      </c>
      <c r="X41" s="247">
        <f t="shared" si="112"/>
        <v>501</v>
      </c>
      <c r="Y41" s="247">
        <f t="shared" ref="Y41" si="113">IF(ISNUMBER(Y40),Y40-X40,"")</f>
        <v>197</v>
      </c>
      <c r="Z41" s="247">
        <f t="shared" ref="Z41" si="114">IF(ISNUMBER(Z40),Z40-Y40,"")</f>
        <v>96</v>
      </c>
      <c r="AA41" s="247">
        <f t="shared" ref="AA41" si="115">IF(ISNUMBER(AA40),AA40-Z40,"")</f>
        <v>111</v>
      </c>
      <c r="AB41" s="247">
        <f t="shared" ref="AB41" si="116">IF(ISNUMBER(AB40),AB40-AA40,"")</f>
        <v>129</v>
      </c>
      <c r="AC41" s="247">
        <f t="shared" ref="AC41" si="117">IF(ISNUMBER(AC40),AC40-AB40,"")</f>
        <v>112</v>
      </c>
      <c r="AD41" s="247">
        <f t="shared" ref="AD41" si="118">IF(ISNUMBER(AD40),AD40-AC40,"")</f>
        <v>116</v>
      </c>
      <c r="AE41" s="247">
        <f t="shared" ref="AE41" si="119">IF(ISNUMBER(AE40),AE40-AD40,"")</f>
        <v>117</v>
      </c>
      <c r="AF41" s="247">
        <f t="shared" ref="AF41" si="120">IF(ISNUMBER(AF40),AF40-AE40,"")</f>
        <v>114</v>
      </c>
      <c r="AG41" s="247">
        <f t="shared" ref="AG41" si="121">IF(ISNUMBER(AG40),AG40-AF40,"")</f>
        <v>99</v>
      </c>
      <c r="AH41" s="247">
        <f t="shared" ref="AH41" si="122">IF(ISNUMBER(AH40),AH40-AG40,"")</f>
        <v>76</v>
      </c>
      <c r="AI41" s="247">
        <f t="shared" ref="AI41" si="123">IF(ISNUMBER(AI40),AI40-AH40,"")</f>
        <v>131</v>
      </c>
      <c r="AJ41" s="247">
        <f t="shared" ref="AJ41" si="124">IF(ISNUMBER(AJ40),AJ40-AI40,"")</f>
        <v>61</v>
      </c>
      <c r="AK41" s="237"/>
      <c r="AL41" s="1125"/>
    </row>
    <row r="42" spans="1:38" ht="13.9">
      <c r="A42" s="427"/>
      <c r="B42" s="427"/>
      <c r="C42" s="241"/>
      <c r="D42" s="46"/>
      <c r="F42" s="235"/>
      <c r="G42" s="443"/>
      <c r="H42" s="342"/>
      <c r="I42" s="247"/>
      <c r="J42" s="1127"/>
      <c r="K42" s="247"/>
      <c r="L42" s="247">
        <f>L41*$J40*$I40</f>
        <v>35591.153038559998</v>
      </c>
      <c r="M42" s="247">
        <f t="shared" ref="M42:AC42" si="125">M41*$J40*$I40</f>
        <v>72668.219027040002</v>
      </c>
      <c r="N42" s="247">
        <f t="shared" si="125"/>
        <v>11321.2415232</v>
      </c>
      <c r="O42" s="247">
        <f t="shared" si="125"/>
        <v>5483.7263627999992</v>
      </c>
      <c r="P42" s="247">
        <f t="shared" si="125"/>
        <v>118554.62607576</v>
      </c>
      <c r="Q42" s="247">
        <f t="shared" si="125"/>
        <v>150218.72346096</v>
      </c>
      <c r="R42" s="247">
        <f t="shared" si="125"/>
        <v>50131.872619920003</v>
      </c>
      <c r="S42" s="247">
        <f t="shared" si="125"/>
        <v>94603.124478239988</v>
      </c>
      <c r="T42" s="247">
        <f t="shared" si="125"/>
        <v>41393.289319200005</v>
      </c>
      <c r="U42" s="247">
        <f t="shared" si="125"/>
        <v>50627.176936559998</v>
      </c>
      <c r="V42" s="247">
        <f t="shared" si="125"/>
        <v>30496.594353119999</v>
      </c>
      <c r="W42" s="247">
        <f t="shared" si="125"/>
        <v>19069.21619064</v>
      </c>
      <c r="X42" s="247">
        <f t="shared" si="125"/>
        <v>17724.818759760001</v>
      </c>
      <c r="Y42" s="247">
        <f t="shared" si="125"/>
        <v>6969.6393127199999</v>
      </c>
      <c r="Z42" s="247">
        <f t="shared" si="125"/>
        <v>3396.3724569599999</v>
      </c>
      <c r="AA42" s="247">
        <f t="shared" si="125"/>
        <v>3927.0556533600002</v>
      </c>
      <c r="AB42" s="247">
        <f t="shared" si="125"/>
        <v>4563.8754890399996</v>
      </c>
      <c r="AC42" s="247">
        <f t="shared" si="125"/>
        <v>3962.4345331200002</v>
      </c>
      <c r="AD42" s="247"/>
      <c r="AE42" s="247"/>
      <c r="AF42" s="247"/>
      <c r="AG42" s="247"/>
      <c r="AH42" s="247"/>
      <c r="AI42" s="247"/>
      <c r="AJ42" s="247"/>
      <c r="AK42" s="237"/>
      <c r="AL42" s="1125"/>
    </row>
    <row r="43" spans="1:38" ht="13.9">
      <c r="A43" s="427" t="s">
        <v>1571</v>
      </c>
      <c r="B43" s="427" t="s">
        <v>1572</v>
      </c>
      <c r="C43" s="853">
        <f ca="1">OFFSET(K44,0,COUNT(L44:AG44))</f>
        <v>118</v>
      </c>
      <c r="D43" s="46" t="s">
        <v>418</v>
      </c>
      <c r="E43" s="884">
        <f ca="1">((OFFSET(K44,0,COUNT(L44:AB44)))/(OFFSET(K44,0,COUNT(L44:AB44)-1)))-1</f>
        <v>0.88732394366197176</v>
      </c>
      <c r="F43" s="235" t="s">
        <v>1573</v>
      </c>
      <c r="G43" s="443">
        <v>303674</v>
      </c>
      <c r="H43" s="342" t="s">
        <v>1539</v>
      </c>
      <c r="I43" s="247">
        <v>1.0502</v>
      </c>
      <c r="J43" s="1127">
        <v>28.961099999999998</v>
      </c>
      <c r="K43" s="238">
        <v>19281</v>
      </c>
      <c r="L43" s="238">
        <v>19338</v>
      </c>
      <c r="M43" s="238">
        <v>19386</v>
      </c>
      <c r="N43" s="238">
        <v>19443</v>
      </c>
      <c r="O43" s="238">
        <v>19508</v>
      </c>
      <c r="P43" s="238">
        <v>19601</v>
      </c>
      <c r="Q43" s="238">
        <v>19703</v>
      </c>
      <c r="R43" s="238">
        <v>19861</v>
      </c>
      <c r="S43" s="238">
        <v>20076</v>
      </c>
      <c r="T43" s="238">
        <v>20257</v>
      </c>
      <c r="U43" s="238">
        <v>20431</v>
      </c>
      <c r="V43" s="238">
        <v>20561</v>
      </c>
      <c r="W43" s="238">
        <v>20657</v>
      </c>
      <c r="X43" s="238">
        <v>20732</v>
      </c>
      <c r="Y43" s="238">
        <v>20765</v>
      </c>
      <c r="Z43" s="238">
        <v>20803</v>
      </c>
      <c r="AA43" s="238">
        <v>20874</v>
      </c>
      <c r="AB43" s="238">
        <v>21008</v>
      </c>
      <c r="AC43" s="238">
        <v>21157</v>
      </c>
      <c r="AD43" s="238">
        <v>21314</v>
      </c>
      <c r="AE43" s="238">
        <v>21500</v>
      </c>
      <c r="AF43" s="238">
        <v>21678</v>
      </c>
      <c r="AG43" s="238">
        <v>21796</v>
      </c>
      <c r="AH43" s="238">
        <v>21931</v>
      </c>
      <c r="AI43" s="238">
        <v>22012</v>
      </c>
      <c r="AJ43" s="238">
        <v>22089</v>
      </c>
      <c r="AK43" s="342">
        <f ca="1">OFFSET(K44,0,COUNT(L44:AJ44))</f>
        <v>77</v>
      </c>
      <c r="AL43" s="1125">
        <f ca="1">AK43*I43*J43</f>
        <v>2341.9509359399999</v>
      </c>
    </row>
    <row r="44" spans="1:38" ht="13.9">
      <c r="A44" s="427"/>
      <c r="B44" s="427"/>
      <c r="C44" s="241">
        <f ca="1">I43*J43*C43</f>
        <v>3588.96377196</v>
      </c>
      <c r="D44" s="46" t="s">
        <v>74</v>
      </c>
      <c r="E44" s="235"/>
      <c r="F44" s="235"/>
      <c r="G44" s="443"/>
      <c r="H44" s="342"/>
      <c r="I44" s="247"/>
      <c r="J44" s="1127"/>
      <c r="K44" s="247"/>
      <c r="L44" s="247">
        <f t="shared" ref="L44:X44" si="126">IF(ISNUMBER(L43),L43-K43,"")</f>
        <v>57</v>
      </c>
      <c r="M44" s="247">
        <f t="shared" si="126"/>
        <v>48</v>
      </c>
      <c r="N44" s="247">
        <f t="shared" si="126"/>
        <v>57</v>
      </c>
      <c r="O44" s="247">
        <f t="shared" si="126"/>
        <v>65</v>
      </c>
      <c r="P44" s="247">
        <f t="shared" si="126"/>
        <v>93</v>
      </c>
      <c r="Q44" s="247">
        <f t="shared" si="126"/>
        <v>102</v>
      </c>
      <c r="R44" s="247">
        <f t="shared" si="126"/>
        <v>158</v>
      </c>
      <c r="S44" s="247">
        <f t="shared" si="126"/>
        <v>215</v>
      </c>
      <c r="T44" s="247">
        <f t="shared" si="126"/>
        <v>181</v>
      </c>
      <c r="U44" s="247">
        <f t="shared" si="126"/>
        <v>174</v>
      </c>
      <c r="V44" s="247">
        <f t="shared" si="126"/>
        <v>130</v>
      </c>
      <c r="W44" s="247">
        <f t="shared" si="126"/>
        <v>96</v>
      </c>
      <c r="X44" s="247">
        <f t="shared" si="126"/>
        <v>75</v>
      </c>
      <c r="Y44" s="247">
        <f t="shared" ref="Y44" si="127">IF(ISNUMBER(Y43),Y43-X43,"")</f>
        <v>33</v>
      </c>
      <c r="Z44" s="247">
        <f t="shared" ref="Z44" si="128">IF(ISNUMBER(Z43),Z43-Y43,"")</f>
        <v>38</v>
      </c>
      <c r="AA44" s="247">
        <f t="shared" ref="AA44" si="129">IF(ISNUMBER(AA43),AA43-Z43,"")</f>
        <v>71</v>
      </c>
      <c r="AB44" s="247">
        <f t="shared" ref="AB44" si="130">IF(ISNUMBER(AB43),AB43-AA43,"")</f>
        <v>134</v>
      </c>
      <c r="AC44" s="247">
        <f t="shared" ref="AC44" si="131">IF(ISNUMBER(AC43),AC43-AB43,"")</f>
        <v>149</v>
      </c>
      <c r="AD44" s="247">
        <f t="shared" ref="AD44" si="132">IF(ISNUMBER(AD43),AD43-AC43,"")</f>
        <v>157</v>
      </c>
      <c r="AE44" s="247">
        <f t="shared" ref="AE44" si="133">IF(ISNUMBER(AE43),AE43-AD43,"")</f>
        <v>186</v>
      </c>
      <c r="AF44" s="247">
        <f t="shared" ref="AF44" si="134">IF(ISNUMBER(AF43),AF43-AE43,"")</f>
        <v>178</v>
      </c>
      <c r="AG44" s="247">
        <f t="shared" ref="AG44" si="135">IF(ISNUMBER(AG43),AG43-AF43,"")</f>
        <v>118</v>
      </c>
      <c r="AH44" s="247">
        <f t="shared" ref="AH44" si="136">IF(ISNUMBER(AH43),AH43-AG43,"")</f>
        <v>135</v>
      </c>
      <c r="AI44" s="247">
        <f t="shared" ref="AI44" si="137">IF(ISNUMBER(AI43),AI43-AH43,"")</f>
        <v>81</v>
      </c>
      <c r="AJ44" s="247">
        <f t="shared" ref="AJ44" si="138">IF(ISNUMBER(AJ43),AJ43-AI43,"")</f>
        <v>77</v>
      </c>
      <c r="AK44" s="237"/>
      <c r="AL44" s="1125"/>
    </row>
    <row r="45" spans="1:38" ht="13.9">
      <c r="A45" s="427"/>
      <c r="B45" s="427"/>
      <c r="C45" s="241"/>
      <c r="D45" s="377"/>
      <c r="F45" s="235"/>
      <c r="G45" s="443"/>
      <c r="H45" s="342"/>
      <c r="I45" s="247"/>
      <c r="J45" s="1127"/>
      <c r="K45" s="247"/>
      <c r="L45" s="247">
        <f>L44*$J43*$I43</f>
        <v>1733.6519915399999</v>
      </c>
      <c r="M45" s="247">
        <f t="shared" ref="M45:AC45" si="139">M44*$J43*$I43</f>
        <v>1459.9174665599999</v>
      </c>
      <c r="N45" s="247">
        <f t="shared" si="139"/>
        <v>1733.6519915399999</v>
      </c>
      <c r="O45" s="247">
        <f t="shared" si="139"/>
        <v>1976.9715692999998</v>
      </c>
      <c r="P45" s="247">
        <f t="shared" si="139"/>
        <v>2828.5900914599997</v>
      </c>
      <c r="Q45" s="247">
        <f t="shared" si="139"/>
        <v>3102.3246164399998</v>
      </c>
      <c r="R45" s="247">
        <f t="shared" si="139"/>
        <v>4805.5616607599995</v>
      </c>
      <c r="S45" s="247">
        <f t="shared" si="139"/>
        <v>6539.2136522999999</v>
      </c>
      <c r="T45" s="247">
        <f t="shared" si="139"/>
        <v>5505.10544682</v>
      </c>
      <c r="U45" s="247">
        <f t="shared" si="139"/>
        <v>5292.2008162799993</v>
      </c>
      <c r="V45" s="247">
        <f t="shared" si="139"/>
        <v>3953.9431385999997</v>
      </c>
      <c r="W45" s="247">
        <f t="shared" si="139"/>
        <v>2919.8349331199997</v>
      </c>
      <c r="X45" s="247">
        <f t="shared" si="139"/>
        <v>2281.1210415</v>
      </c>
      <c r="Y45" s="247">
        <f t="shared" si="139"/>
        <v>1003.69325826</v>
      </c>
      <c r="Z45" s="247">
        <f t="shared" si="139"/>
        <v>1155.7679943600001</v>
      </c>
      <c r="AA45" s="247">
        <f t="shared" si="139"/>
        <v>2159.4612526199999</v>
      </c>
      <c r="AB45" s="247">
        <f t="shared" si="139"/>
        <v>4075.6029274799998</v>
      </c>
      <c r="AC45" s="247">
        <f t="shared" si="139"/>
        <v>4531.8271357799995</v>
      </c>
      <c r="AD45" s="247"/>
      <c r="AE45" s="247"/>
      <c r="AF45" s="247"/>
      <c r="AG45" s="247"/>
      <c r="AH45" s="247"/>
      <c r="AI45" s="247"/>
      <c r="AJ45" s="247"/>
      <c r="AK45" s="237"/>
      <c r="AL45" s="1125"/>
    </row>
    <row r="46" spans="1:38" ht="13.9">
      <c r="A46" s="427" t="s">
        <v>1574</v>
      </c>
      <c r="B46" s="427" t="s">
        <v>1575</v>
      </c>
      <c r="C46" s="853">
        <f ca="1">OFFSET(K47,0,COUNT(L47:AG47))</f>
        <v>3822</v>
      </c>
      <c r="D46" s="377" t="s">
        <v>418</v>
      </c>
      <c r="E46" s="884">
        <f ca="1">((OFFSET(K47,0,COUNT(L47:AB47)))/(OFFSET(K47,0,COUNT(L47:AB47)-1)))-1</f>
        <v>-1.4920844327176781</v>
      </c>
      <c r="F46" s="235" t="s">
        <v>1576</v>
      </c>
      <c r="G46" s="443" t="s">
        <v>1577</v>
      </c>
      <c r="H46" s="342" t="s">
        <v>1578</v>
      </c>
      <c r="I46" s="247">
        <v>1.1707000000000001</v>
      </c>
      <c r="J46" s="1127">
        <v>28.958500000000001</v>
      </c>
      <c r="K46" s="238">
        <v>89854</v>
      </c>
      <c r="L46" s="238">
        <v>92780</v>
      </c>
      <c r="M46" s="238">
        <v>96646</v>
      </c>
      <c r="N46" s="238">
        <v>100198</v>
      </c>
      <c r="O46" s="238">
        <v>103124</v>
      </c>
      <c r="P46" s="238">
        <v>106572</v>
      </c>
      <c r="Q46" s="238">
        <v>91990</v>
      </c>
      <c r="R46" s="238">
        <v>92290</v>
      </c>
      <c r="S46" s="238">
        <v>100040</v>
      </c>
      <c r="T46" s="238">
        <v>103070</v>
      </c>
      <c r="U46" s="238">
        <v>107900</v>
      </c>
      <c r="V46" s="238">
        <v>109096</v>
      </c>
      <c r="W46" s="238">
        <v>110209</v>
      </c>
      <c r="X46" s="673">
        <v>111446</v>
      </c>
      <c r="Y46" s="673">
        <v>107739</v>
      </c>
      <c r="Z46" s="238">
        <v>109085</v>
      </c>
      <c r="AA46" s="238">
        <v>108327</v>
      </c>
      <c r="AB46" s="238">
        <v>108700</v>
      </c>
      <c r="AC46" s="238">
        <v>109061</v>
      </c>
      <c r="AD46" s="238">
        <v>109367</v>
      </c>
      <c r="AE46" s="238">
        <v>109673</v>
      </c>
      <c r="AF46" s="238">
        <v>121964</v>
      </c>
      <c r="AG46" s="238">
        <v>125786</v>
      </c>
      <c r="AH46" s="673">
        <v>26588</v>
      </c>
      <c r="AI46" s="238">
        <v>30686</v>
      </c>
      <c r="AJ46" s="238">
        <v>30997</v>
      </c>
      <c r="AK46" s="342">
        <f ca="1">OFFSET(K47,0,COUNT(L47:AJ47))</f>
        <v>311</v>
      </c>
      <c r="AL46" s="1125">
        <f ca="1">AK46*I46*J46</f>
        <v>10543.433660450002</v>
      </c>
    </row>
    <row r="47" spans="1:38" ht="14.45" thickBot="1">
      <c r="A47" s="427"/>
      <c r="B47" s="427"/>
      <c r="C47" s="241">
        <f ca="1">I46*J46*C46</f>
        <v>129572.35836090002</v>
      </c>
      <c r="D47" s="379" t="s">
        <v>74</v>
      </c>
      <c r="E47" s="235"/>
      <c r="F47" s="235"/>
      <c r="G47" s="443"/>
      <c r="H47" s="342"/>
      <c r="I47" s="247"/>
      <c r="J47" s="1127"/>
      <c r="K47" s="247"/>
      <c r="L47" s="247">
        <f t="shared" ref="L47:X47" si="140">IF(ISNUMBER(L46),L46-K46,"")</f>
        <v>2926</v>
      </c>
      <c r="M47" s="247">
        <f t="shared" si="140"/>
        <v>3866</v>
      </c>
      <c r="N47" s="247">
        <f t="shared" si="140"/>
        <v>3552</v>
      </c>
      <c r="O47" s="247">
        <f t="shared" si="140"/>
        <v>2926</v>
      </c>
      <c r="P47" s="247">
        <f t="shared" si="140"/>
        <v>3448</v>
      </c>
      <c r="Q47" s="1206">
        <f t="shared" si="140"/>
        <v>-14582</v>
      </c>
      <c r="R47" s="247">
        <f t="shared" si="140"/>
        <v>300</v>
      </c>
      <c r="S47" s="247">
        <f t="shared" si="140"/>
        <v>7750</v>
      </c>
      <c r="T47" s="247">
        <f t="shared" si="140"/>
        <v>3030</v>
      </c>
      <c r="U47" s="247">
        <f t="shared" si="140"/>
        <v>4830</v>
      </c>
      <c r="V47" s="247">
        <f t="shared" si="140"/>
        <v>1196</v>
      </c>
      <c r="W47" s="247">
        <f t="shared" si="140"/>
        <v>1113</v>
      </c>
      <c r="X47" s="247">
        <f t="shared" si="140"/>
        <v>1237</v>
      </c>
      <c r="Y47" s="247">
        <f t="shared" ref="Y47" si="141">IF(ISNUMBER(Y46),Y46-X46,"")</f>
        <v>-3707</v>
      </c>
      <c r="Z47" s="247">
        <f t="shared" ref="Z47" si="142">IF(ISNUMBER(Z46),Z46-Y46,"")</f>
        <v>1346</v>
      </c>
      <c r="AA47" s="247">
        <f t="shared" ref="AA47" si="143">IF(ISNUMBER(AA46),AA46-Z46,"")</f>
        <v>-758</v>
      </c>
      <c r="AB47" s="247">
        <f t="shared" ref="AB47" si="144">IF(ISNUMBER(AB46),AB46-AA46,"")</f>
        <v>373</v>
      </c>
      <c r="AC47" s="247">
        <f t="shared" ref="AC47" si="145">IF(ISNUMBER(AC46),AC46-AB46,"")</f>
        <v>361</v>
      </c>
      <c r="AD47" s="247">
        <f t="shared" ref="AD47" si="146">IF(ISNUMBER(AD46),AD46-AC46,"")</f>
        <v>306</v>
      </c>
      <c r="AE47" s="247">
        <f t="shared" ref="AE47" si="147">IF(ISNUMBER(AE46),AE46-AD46,"")</f>
        <v>306</v>
      </c>
      <c r="AF47" s="1206">
        <f t="shared" ref="AF47" si="148">IF(ISNUMBER(AF46),AF46-AE46,"")</f>
        <v>12291</v>
      </c>
      <c r="AG47" s="247">
        <v>3822</v>
      </c>
      <c r="AH47" s="1206">
        <v>3000</v>
      </c>
      <c r="AI47" s="247">
        <f t="shared" ref="AI47" si="149">IF(ISNUMBER(AI46),AI46-AH46,"")</f>
        <v>4098</v>
      </c>
      <c r="AJ47" s="247">
        <f t="shared" ref="AJ47" si="150">IF(ISNUMBER(AJ46),AJ46-AI46,"")</f>
        <v>311</v>
      </c>
      <c r="AK47" s="237"/>
      <c r="AL47" s="1125"/>
    </row>
    <row r="48" spans="1:38" ht="14.45" thickBot="1">
      <c r="A48" s="427"/>
      <c r="B48" s="427"/>
      <c r="C48" s="241"/>
      <c r="D48" s="40"/>
      <c r="F48" s="235"/>
      <c r="G48" s="443"/>
      <c r="H48" s="342"/>
      <c r="I48" s="247"/>
      <c r="J48" s="1127"/>
      <c r="K48" s="247"/>
      <c r="L48" s="247">
        <f>L47*$J46*$I46</f>
        <v>99196.420869699999</v>
      </c>
      <c r="M48" s="247">
        <f t="shared" ref="M48:AC48" si="151">M47*$J46*$I46</f>
        <v>131064.03386270002</v>
      </c>
      <c r="N48" s="247">
        <f t="shared" si="151"/>
        <v>120418.89505440001</v>
      </c>
      <c r="O48" s="247">
        <f t="shared" si="151"/>
        <v>99196.420869699999</v>
      </c>
      <c r="P48" s="247">
        <f t="shared" si="151"/>
        <v>116893.1165956</v>
      </c>
      <c r="Q48" s="247">
        <f t="shared" si="151"/>
        <v>-494354.82198290003</v>
      </c>
      <c r="R48" s="247">
        <f t="shared" si="151"/>
        <v>10170.514785000001</v>
      </c>
      <c r="S48" s="247">
        <f t="shared" si="151"/>
        <v>262738.29861250002</v>
      </c>
      <c r="T48" s="247">
        <f t="shared" si="151"/>
        <v>102722.19932850001</v>
      </c>
      <c r="U48" s="247">
        <f t="shared" si="151"/>
        <v>163745.2880385</v>
      </c>
      <c r="V48" s="247">
        <f t="shared" si="151"/>
        <v>40546.452276200005</v>
      </c>
      <c r="W48" s="247">
        <f t="shared" si="151"/>
        <v>37732.609852350004</v>
      </c>
      <c r="X48" s="247">
        <f t="shared" si="151"/>
        <v>41936.422630150002</v>
      </c>
      <c r="Y48" s="247">
        <f t="shared" si="151"/>
        <v>-125673.66102665002</v>
      </c>
      <c r="Z48" s="247">
        <f t="shared" si="151"/>
        <v>45631.709668700008</v>
      </c>
      <c r="AA48" s="247">
        <f t="shared" si="151"/>
        <v>-25697.500690100005</v>
      </c>
      <c r="AB48" s="247">
        <f t="shared" si="151"/>
        <v>12645.340049350001</v>
      </c>
      <c r="AC48" s="247">
        <f t="shared" si="151"/>
        <v>12238.51945795</v>
      </c>
      <c r="AD48" s="247"/>
      <c r="AE48" s="247"/>
      <c r="AF48" s="1206"/>
      <c r="AG48" s="247"/>
      <c r="AH48" s="1206"/>
      <c r="AI48" s="247"/>
      <c r="AJ48" s="247"/>
      <c r="AK48" s="237"/>
      <c r="AL48" s="1125"/>
    </row>
    <row r="49" spans="1:38" ht="13.9">
      <c r="A49" s="427" t="s">
        <v>1579</v>
      </c>
      <c r="B49" s="427" t="s">
        <v>1580</v>
      </c>
      <c r="C49" s="853">
        <f ca="1">OFFSET(K50,0,COUNT(L50:AG50))</f>
        <v>0</v>
      </c>
      <c r="D49" s="378" t="s">
        <v>418</v>
      </c>
      <c r="E49" s="884" t="e">
        <f ca="1">((OFFSET(K50,0,COUNT(L50:X50)))/(OFFSET(K50,0,COUNT(L50:X50)-1)))-1</f>
        <v>#DIV/0!</v>
      </c>
      <c r="F49" s="235" t="s">
        <v>1581</v>
      </c>
      <c r="G49" s="443" t="s">
        <v>1582</v>
      </c>
      <c r="H49" s="237"/>
      <c r="I49" s="247">
        <v>1.1806000000000001</v>
      </c>
      <c r="J49" s="1127">
        <v>28.8673</v>
      </c>
      <c r="K49" s="238">
        <v>62805</v>
      </c>
      <c r="L49" s="238">
        <v>62805</v>
      </c>
      <c r="M49" s="238">
        <v>62805</v>
      </c>
      <c r="N49" s="238">
        <v>62805</v>
      </c>
      <c r="O49" s="238">
        <v>62805</v>
      </c>
      <c r="P49" s="238">
        <v>62805</v>
      </c>
      <c r="Q49" s="238">
        <v>62805</v>
      </c>
      <c r="R49" s="238">
        <v>62805</v>
      </c>
      <c r="S49" s="238">
        <v>62805</v>
      </c>
      <c r="T49" s="238">
        <v>62805</v>
      </c>
      <c r="U49" s="238">
        <v>62805</v>
      </c>
      <c r="V49" s="238"/>
      <c r="W49" s="238"/>
      <c r="X49" s="238"/>
      <c r="Y49" s="238"/>
      <c r="Z49" s="238"/>
      <c r="AA49" s="238"/>
      <c r="AB49" s="238"/>
      <c r="AC49" s="238"/>
      <c r="AD49" s="238"/>
      <c r="AE49" s="238"/>
      <c r="AF49" s="238"/>
      <c r="AG49" s="238"/>
      <c r="AH49" s="238"/>
      <c r="AI49" s="238"/>
      <c r="AJ49" s="238"/>
      <c r="AK49" s="342">
        <f ca="1">OFFSET(K50,0,COUNT(L50:X50))</f>
        <v>0</v>
      </c>
      <c r="AL49" s="1125">
        <f ca="1">AK49*I49*J49</f>
        <v>0</v>
      </c>
    </row>
    <row r="50" spans="1:38" ht="13.9">
      <c r="A50" s="427"/>
      <c r="B50" s="427"/>
      <c r="C50" s="241">
        <f ca="1">I49*J49*C49</f>
        <v>0</v>
      </c>
      <c r="D50" s="376" t="s">
        <v>74</v>
      </c>
      <c r="E50" s="235"/>
      <c r="F50" s="235"/>
      <c r="G50" s="443"/>
      <c r="H50" s="237"/>
      <c r="I50" s="247"/>
      <c r="J50" s="1127"/>
      <c r="K50" s="247"/>
      <c r="L50" s="247">
        <f t="shared" ref="L50:U50" si="152">IF(ISNUMBER(L49),L49-K49,"")</f>
        <v>0</v>
      </c>
      <c r="M50" s="247">
        <f t="shared" si="152"/>
        <v>0</v>
      </c>
      <c r="N50" s="247">
        <f t="shared" si="152"/>
        <v>0</v>
      </c>
      <c r="O50" s="247">
        <f t="shared" si="152"/>
        <v>0</v>
      </c>
      <c r="P50" s="247">
        <f t="shared" si="152"/>
        <v>0</v>
      </c>
      <c r="Q50" s="247">
        <f t="shared" si="152"/>
        <v>0</v>
      </c>
      <c r="R50" s="247">
        <f t="shared" si="152"/>
        <v>0</v>
      </c>
      <c r="S50" s="247">
        <f t="shared" si="152"/>
        <v>0</v>
      </c>
      <c r="T50" s="247">
        <f t="shared" si="152"/>
        <v>0</v>
      </c>
      <c r="U50" s="247">
        <f t="shared" si="152"/>
        <v>0</v>
      </c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37"/>
      <c r="AL50" s="1125"/>
    </row>
    <row r="51" spans="1:38" ht="13.9">
      <c r="A51" s="427" t="s">
        <v>1583</v>
      </c>
      <c r="B51" s="427" t="s">
        <v>1584</v>
      </c>
      <c r="C51" s="853">
        <f ca="1">OFFSET(K52,0,COUNT(L52:AG52))</f>
        <v>2042</v>
      </c>
      <c r="D51" s="46" t="s">
        <v>418</v>
      </c>
      <c r="E51" s="884">
        <f ca="1">((OFFSET(K52,0,COUNT(L52:AB52)))/(OFFSET(K52,0,COUNT(L52:AB52)-1)))-1</f>
        <v>1.2896825396825351E-2</v>
      </c>
      <c r="F51" s="235" t="s">
        <v>1585</v>
      </c>
      <c r="G51" s="443" t="s">
        <v>1586</v>
      </c>
      <c r="H51" s="342" t="s">
        <v>1539</v>
      </c>
      <c r="I51" s="247">
        <v>1.1595</v>
      </c>
      <c r="J51" s="1127">
        <v>28.9894</v>
      </c>
      <c r="K51" s="238">
        <v>84664</v>
      </c>
      <c r="L51" s="238">
        <v>86599</v>
      </c>
      <c r="M51" s="238">
        <v>90312</v>
      </c>
      <c r="N51" s="238">
        <v>92931</v>
      </c>
      <c r="O51" s="238">
        <v>95763</v>
      </c>
      <c r="P51" s="238">
        <v>98043</v>
      </c>
      <c r="Q51" s="238">
        <v>100616</v>
      </c>
      <c r="R51" s="238">
        <v>102785</v>
      </c>
      <c r="S51" s="238">
        <v>104422</v>
      </c>
      <c r="T51" s="238">
        <v>106047</v>
      </c>
      <c r="U51" s="238">
        <v>107398</v>
      </c>
      <c r="V51" s="238">
        <v>108865</v>
      </c>
      <c r="W51" s="238">
        <v>110882</v>
      </c>
      <c r="X51" s="238">
        <v>112898</v>
      </c>
      <c r="Y51" s="673">
        <v>114940</v>
      </c>
      <c r="Z51" s="237"/>
      <c r="AA51" s="237"/>
      <c r="AB51" s="237"/>
      <c r="AC51" s="237"/>
      <c r="AD51" s="237"/>
      <c r="AE51" s="237"/>
      <c r="AF51" s="237"/>
      <c r="AG51" s="237"/>
      <c r="AH51" s="237"/>
      <c r="AI51" s="237"/>
      <c r="AJ51" s="237"/>
      <c r="AK51" s="342">
        <f ca="1">OFFSET(K52,0,COUNT(L52:Y52))</f>
        <v>2042</v>
      </c>
      <c r="AL51" s="1125">
        <f ca="1">AK51*I51*J51</f>
        <v>68638.173390600001</v>
      </c>
    </row>
    <row r="52" spans="1:38" ht="13.9">
      <c r="A52" s="861"/>
      <c r="B52" s="426"/>
      <c r="C52" s="241">
        <f ca="1">I51*J51*C51</f>
        <v>68638.173390600001</v>
      </c>
      <c r="D52" s="46" t="s">
        <v>74</v>
      </c>
      <c r="F52" s="232"/>
      <c r="G52" s="444"/>
      <c r="H52" s="251"/>
      <c r="I52" s="247"/>
      <c r="J52" s="1127"/>
      <c r="K52" s="247"/>
      <c r="L52" s="247">
        <f t="shared" ref="L52:X58" si="153">IF(ISNUMBER(L51),L51-K51,"")</f>
        <v>1935</v>
      </c>
      <c r="M52" s="247">
        <f t="shared" si="153"/>
        <v>3713</v>
      </c>
      <c r="N52" s="247">
        <f t="shared" si="153"/>
        <v>2619</v>
      </c>
      <c r="O52" s="247">
        <f t="shared" si="153"/>
        <v>2832</v>
      </c>
      <c r="P52" s="247">
        <f t="shared" si="153"/>
        <v>2280</v>
      </c>
      <c r="Q52" s="247">
        <f t="shared" si="153"/>
        <v>2573</v>
      </c>
      <c r="R52" s="247">
        <f t="shared" si="153"/>
        <v>2169</v>
      </c>
      <c r="S52" s="247">
        <f t="shared" si="153"/>
        <v>1637</v>
      </c>
      <c r="T52" s="247">
        <f t="shared" si="153"/>
        <v>1625</v>
      </c>
      <c r="U52" s="247">
        <f t="shared" si="153"/>
        <v>1351</v>
      </c>
      <c r="V52" s="247">
        <f t="shared" si="153"/>
        <v>1467</v>
      </c>
      <c r="W52" s="247">
        <f t="shared" si="153"/>
        <v>2017</v>
      </c>
      <c r="X52" s="247">
        <f t="shared" si="153"/>
        <v>2016</v>
      </c>
      <c r="Y52" s="247">
        <f t="shared" ref="Y52" si="154">IF(ISNUMBER(Y51),Y51-X51,"")</f>
        <v>2042</v>
      </c>
      <c r="Z52" s="247" t="str">
        <f t="shared" ref="Z52" si="155">IF(ISNUMBER(Z51),Z51-Y51,"")</f>
        <v/>
      </c>
      <c r="AA52" s="247" t="str">
        <f t="shared" ref="AA52" si="156">IF(ISNUMBER(AA51),AA51-Z51,"")</f>
        <v/>
      </c>
      <c r="AB52" s="247" t="str">
        <f t="shared" ref="AB52" si="157">IF(ISNUMBER(AB51),AB51-AA51,"")</f>
        <v/>
      </c>
      <c r="AC52" s="247"/>
      <c r="AD52" s="247"/>
      <c r="AE52" s="247"/>
      <c r="AF52" s="247"/>
      <c r="AG52" s="247"/>
      <c r="AH52" s="247"/>
      <c r="AI52" s="247"/>
      <c r="AJ52" s="247"/>
      <c r="AK52" s="237"/>
      <c r="AL52" s="1125"/>
    </row>
    <row r="53" spans="1:38" ht="13.9">
      <c r="A53" s="861"/>
      <c r="B53" s="426"/>
      <c r="C53" s="241"/>
      <c r="D53" s="376"/>
      <c r="F53" s="232"/>
      <c r="G53" s="444"/>
      <c r="H53" s="251"/>
      <c r="I53" s="247"/>
      <c r="J53" s="1127"/>
      <c r="K53" s="247"/>
      <c r="L53" s="247">
        <f>L52*$J51*$I51</f>
        <v>65041.5599955</v>
      </c>
      <c r="M53" s="247">
        <f t="shared" ref="M53:Y53" si="158">M52*$J51*$I51</f>
        <v>124805.8461309</v>
      </c>
      <c r="N53" s="247">
        <f t="shared" si="158"/>
        <v>88032.995156699995</v>
      </c>
      <c r="O53" s="247">
        <f t="shared" si="158"/>
        <v>95192.608737600007</v>
      </c>
      <c r="P53" s="247">
        <f t="shared" si="158"/>
        <v>76638.117203999995</v>
      </c>
      <c r="Q53" s="247">
        <f t="shared" si="158"/>
        <v>86486.787528900008</v>
      </c>
      <c r="R53" s="247">
        <f t="shared" si="158"/>
        <v>72907.050971699995</v>
      </c>
      <c r="S53" s="247">
        <f t="shared" si="158"/>
        <v>55024.823624099998</v>
      </c>
      <c r="T53" s="247">
        <f t="shared" si="158"/>
        <v>54621.465112500002</v>
      </c>
      <c r="U53" s="247">
        <f t="shared" si="158"/>
        <v>45411.445764299999</v>
      </c>
      <c r="V53" s="247">
        <f t="shared" si="158"/>
        <v>49310.578043100002</v>
      </c>
      <c r="W53" s="247">
        <f t="shared" si="158"/>
        <v>67797.843158100004</v>
      </c>
      <c r="X53" s="247">
        <f t="shared" si="158"/>
        <v>67764.229948799999</v>
      </c>
      <c r="Y53" s="247">
        <f t="shared" si="158"/>
        <v>68638.173390600001</v>
      </c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37"/>
      <c r="AL53" s="1125"/>
    </row>
    <row r="54" spans="1:38" ht="13.9">
      <c r="A54" s="861"/>
      <c r="B54" s="426"/>
      <c r="C54" s="241"/>
      <c r="D54" s="376"/>
      <c r="F54" s="232"/>
      <c r="G54" s="444" t="s">
        <v>1587</v>
      </c>
      <c r="H54" s="251" t="s">
        <v>1539</v>
      </c>
      <c r="I54" s="237">
        <v>1.1816</v>
      </c>
      <c r="J54" s="235">
        <v>28.961099999999998</v>
      </c>
      <c r="K54" s="237"/>
      <c r="L54" s="237"/>
      <c r="M54" s="237"/>
      <c r="N54" s="237"/>
      <c r="O54" s="237"/>
      <c r="P54" s="237"/>
      <c r="Q54" s="237"/>
      <c r="R54" s="237"/>
      <c r="S54" s="237"/>
      <c r="T54" s="237"/>
      <c r="U54" s="237"/>
      <c r="V54" s="237"/>
      <c r="W54" s="237"/>
      <c r="X54" s="238">
        <v>1507</v>
      </c>
      <c r="Y54" s="238">
        <v>2707</v>
      </c>
      <c r="Z54" s="238">
        <v>4178</v>
      </c>
      <c r="AA54" s="238">
        <v>6406</v>
      </c>
      <c r="AB54" s="238">
        <v>9006</v>
      </c>
      <c r="AC54" s="238">
        <v>11121</v>
      </c>
      <c r="AD54" s="238">
        <v>13309</v>
      </c>
      <c r="AE54" s="238">
        <v>14772</v>
      </c>
      <c r="AF54" s="238">
        <v>16571</v>
      </c>
      <c r="AG54" s="238">
        <v>18017</v>
      </c>
      <c r="AH54" s="238">
        <v>19486</v>
      </c>
      <c r="AI54" s="238">
        <v>21439</v>
      </c>
      <c r="AJ54" s="238">
        <v>23275</v>
      </c>
      <c r="AK54" s="237">
        <f ca="1">OFFSET(X55,0,COUNT(Y55:AJ55))</f>
        <v>1836</v>
      </c>
      <c r="AL54" s="1125">
        <f ca="1">AK54*I54*J54</f>
        <v>62828.720055359991</v>
      </c>
    </row>
    <row r="55" spans="1:38" ht="13.9">
      <c r="A55" s="861"/>
      <c r="B55" s="426"/>
      <c r="C55" s="241"/>
      <c r="D55" s="376"/>
      <c r="F55" s="232"/>
      <c r="G55" s="444"/>
      <c r="H55" s="251"/>
      <c r="I55" s="247"/>
      <c r="J55" s="1127"/>
      <c r="K55" s="247"/>
      <c r="L55" s="247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>
        <f t="shared" ref="X55" si="159">IF(ISNUMBER(X54),X54-W54,"")</f>
        <v>1507</v>
      </c>
      <c r="Y55" s="247">
        <f t="shared" ref="Y55" si="160">IF(ISNUMBER(Y54),Y54-X54,"")</f>
        <v>1200</v>
      </c>
      <c r="Z55" s="247">
        <f t="shared" ref="Z55" si="161">IF(ISNUMBER(Z54),Z54-Y54,"")</f>
        <v>1471</v>
      </c>
      <c r="AA55" s="247">
        <f t="shared" ref="AA55" si="162">IF(ISNUMBER(AA54),AA54-Z54,"")</f>
        <v>2228</v>
      </c>
      <c r="AB55" s="247">
        <f t="shared" ref="AB55" si="163">IF(ISNUMBER(AB54),AB54-AA54,"")</f>
        <v>2600</v>
      </c>
      <c r="AC55" s="247">
        <f t="shared" ref="AC55" si="164">IF(ISNUMBER(AC54),AC54-AB54,"")</f>
        <v>2115</v>
      </c>
      <c r="AD55" s="247">
        <f t="shared" ref="AD55" si="165">IF(ISNUMBER(AD54),AD54-AC54,"")</f>
        <v>2188</v>
      </c>
      <c r="AE55" s="247">
        <f t="shared" ref="AE55" si="166">IF(ISNUMBER(AE54),AE54-AD54,"")</f>
        <v>1463</v>
      </c>
      <c r="AF55" s="247">
        <f t="shared" ref="AF55" si="167">IF(ISNUMBER(AF54),AF54-AE54,"")</f>
        <v>1799</v>
      </c>
      <c r="AG55" s="247">
        <f t="shared" ref="AG55" si="168">IF(ISNUMBER(AG54),AG54-AF54,"")</f>
        <v>1446</v>
      </c>
      <c r="AH55" s="247">
        <f t="shared" ref="AH55" si="169">IF(ISNUMBER(AH54),AH54-AG54,"")</f>
        <v>1469</v>
      </c>
      <c r="AI55" s="247">
        <f t="shared" ref="AI55" si="170">IF(ISNUMBER(AI54),AI54-AH54,"")</f>
        <v>1953</v>
      </c>
      <c r="AJ55" s="247">
        <f t="shared" ref="AJ55" si="171">IF(ISNUMBER(AJ54),AJ54-AI54,"")</f>
        <v>1836</v>
      </c>
      <c r="AK55" s="237"/>
      <c r="AL55" s="1125"/>
    </row>
    <row r="56" spans="1:38" ht="14.45" thickBot="1">
      <c r="A56" s="861"/>
      <c r="B56" s="426"/>
      <c r="C56" s="241"/>
      <c r="D56" s="376"/>
      <c r="F56" s="232"/>
      <c r="G56" s="444"/>
      <c r="H56" s="251"/>
      <c r="I56" s="247"/>
      <c r="J56" s="1127"/>
      <c r="K56" s="247"/>
      <c r="L56" s="247">
        <f>L55*$J54*$I54</f>
        <v>0</v>
      </c>
      <c r="M56" s="247">
        <f t="shared" ref="M56:AC56" si="172">M55*$J54*$I54</f>
        <v>0</v>
      </c>
      <c r="N56" s="247">
        <f t="shared" si="172"/>
        <v>0</v>
      </c>
      <c r="O56" s="247">
        <f t="shared" si="172"/>
        <v>0</v>
      </c>
      <c r="P56" s="247">
        <f t="shared" si="172"/>
        <v>0</v>
      </c>
      <c r="Q56" s="247">
        <f t="shared" si="172"/>
        <v>0</v>
      </c>
      <c r="R56" s="247">
        <f t="shared" si="172"/>
        <v>0</v>
      </c>
      <c r="S56" s="247">
        <f t="shared" si="172"/>
        <v>0</v>
      </c>
      <c r="T56" s="247">
        <f t="shared" si="172"/>
        <v>0</v>
      </c>
      <c r="U56" s="247">
        <f t="shared" si="172"/>
        <v>0</v>
      </c>
      <c r="V56" s="247">
        <f t="shared" si="172"/>
        <v>0</v>
      </c>
      <c r="W56" s="247">
        <f t="shared" si="172"/>
        <v>0</v>
      </c>
      <c r="X56" s="247">
        <f t="shared" si="172"/>
        <v>51570.196690319994</v>
      </c>
      <c r="Y56" s="247">
        <f t="shared" si="172"/>
        <v>41064.522912</v>
      </c>
      <c r="Z56" s="247">
        <f t="shared" si="172"/>
        <v>50338.261002959996</v>
      </c>
      <c r="AA56" s="247">
        <f t="shared" si="172"/>
        <v>76243.130873279995</v>
      </c>
      <c r="AB56" s="247">
        <f t="shared" si="172"/>
        <v>88973.132975999994</v>
      </c>
      <c r="AC56" s="247">
        <f t="shared" si="172"/>
        <v>72376.221632399989</v>
      </c>
      <c r="AD56" s="247"/>
      <c r="AE56" s="247"/>
      <c r="AF56" s="247"/>
      <c r="AG56" s="247"/>
      <c r="AH56" s="247"/>
      <c r="AI56" s="247"/>
      <c r="AJ56" s="247"/>
      <c r="AK56" s="237"/>
      <c r="AL56" s="1125"/>
    </row>
    <row r="57" spans="1:38" ht="13.9">
      <c r="A57" s="861"/>
      <c r="B57" s="426" t="s">
        <v>616</v>
      </c>
      <c r="C57" s="853">
        <f ca="1">OFFSET(K58,0,COUNT(L58:AG58))</f>
        <v>1</v>
      </c>
      <c r="D57" s="378" t="s">
        <v>418</v>
      </c>
      <c r="E57" s="884">
        <f ca="1">((OFFSET(K58,0,COUNT(L58:AB58)))/(OFFSET(K58,0,COUNT(L58:AB58)-1)))-1</f>
        <v>0.1963746223564955</v>
      </c>
      <c r="F57" s="251" t="s">
        <v>1588</v>
      </c>
      <c r="G57" s="449" t="s">
        <v>1589</v>
      </c>
      <c r="H57" s="251" t="s">
        <v>1539</v>
      </c>
      <c r="I57" s="247">
        <v>1.3696999999999999</v>
      </c>
      <c r="J57" s="1127">
        <v>29.097200000000001</v>
      </c>
      <c r="K57" s="238">
        <v>0</v>
      </c>
      <c r="L57" s="238">
        <v>0</v>
      </c>
      <c r="M57" s="238">
        <v>0</v>
      </c>
      <c r="N57" s="238">
        <v>0</v>
      </c>
      <c r="O57" s="238">
        <v>0</v>
      </c>
      <c r="P57" s="238">
        <v>0</v>
      </c>
      <c r="Q57" s="238">
        <v>0</v>
      </c>
      <c r="R57" s="238">
        <v>0</v>
      </c>
      <c r="S57" s="238">
        <v>15</v>
      </c>
      <c r="T57" s="238">
        <v>16</v>
      </c>
      <c r="U57" s="238">
        <v>25</v>
      </c>
      <c r="V57" s="238">
        <v>40</v>
      </c>
      <c r="W57" s="238">
        <v>41</v>
      </c>
      <c r="X57" s="238">
        <v>56</v>
      </c>
      <c r="Y57" s="238">
        <v>58</v>
      </c>
      <c r="Z57" s="238">
        <v>334</v>
      </c>
      <c r="AA57" s="238">
        <v>996</v>
      </c>
      <c r="AB57" s="238">
        <v>1788</v>
      </c>
      <c r="AC57" s="238">
        <v>1985</v>
      </c>
      <c r="AD57" s="238">
        <v>2176</v>
      </c>
      <c r="AE57" s="238">
        <v>2265</v>
      </c>
      <c r="AF57" s="238">
        <v>2376</v>
      </c>
      <c r="AG57" s="238">
        <v>2377</v>
      </c>
      <c r="AH57" s="238">
        <v>2392</v>
      </c>
      <c r="AI57" s="238">
        <v>2762</v>
      </c>
      <c r="AJ57" s="238">
        <v>3206</v>
      </c>
      <c r="AK57" s="237">
        <f ca="1">OFFSET(Q58,0,COUNT(R58:AJ58))</f>
        <v>444</v>
      </c>
      <c r="AL57" s="1125">
        <f ca="1">AK57*I57*J57</f>
        <v>17695.369068960001</v>
      </c>
    </row>
    <row r="58" spans="1:38" ht="13.9">
      <c r="A58" s="861"/>
      <c r="B58" s="426"/>
      <c r="C58" s="241">
        <f ca="1">I57*J57*C57</f>
        <v>39.854434839999996</v>
      </c>
      <c r="D58" s="376" t="s">
        <v>74</v>
      </c>
      <c r="F58" s="232"/>
      <c r="G58" s="444"/>
      <c r="H58" s="251"/>
      <c r="I58" s="247"/>
      <c r="J58" s="1127"/>
      <c r="K58" s="247"/>
      <c r="L58" s="247">
        <f t="shared" ref="L58" si="173">IF(ISNUMBER(L57),L57-K57,"")</f>
        <v>0</v>
      </c>
      <c r="M58" s="247">
        <f t="shared" ref="M58" si="174">IF(ISNUMBER(M57),M57-L57,"")</f>
        <v>0</v>
      </c>
      <c r="N58" s="247">
        <f t="shared" ref="N58" si="175">IF(ISNUMBER(N57),N57-M57,"")</f>
        <v>0</v>
      </c>
      <c r="O58" s="247">
        <f t="shared" ref="O58" si="176">IF(ISNUMBER(O57),O57-N57,"")</f>
        <v>0</v>
      </c>
      <c r="P58" s="247">
        <f t="shared" ref="P58" si="177">IF(ISNUMBER(P57),P57-O57,"")</f>
        <v>0</v>
      </c>
      <c r="Q58" s="247">
        <f t="shared" ref="Q58" si="178">IF(ISNUMBER(Q57),Q57-P57,"")</f>
        <v>0</v>
      </c>
      <c r="R58" s="247">
        <f t="shared" ref="R58:W58" si="179">IF(ISNUMBER(R57),R57-Q57,"")</f>
        <v>0</v>
      </c>
      <c r="S58" s="247">
        <f t="shared" si="179"/>
        <v>15</v>
      </c>
      <c r="T58" s="247">
        <f t="shared" si="179"/>
        <v>1</v>
      </c>
      <c r="U58" s="247">
        <f t="shared" si="179"/>
        <v>9</v>
      </c>
      <c r="V58" s="247">
        <f t="shared" si="179"/>
        <v>15</v>
      </c>
      <c r="W58" s="247">
        <f t="shared" si="179"/>
        <v>1</v>
      </c>
      <c r="X58" s="247">
        <f t="shared" si="153"/>
        <v>15</v>
      </c>
      <c r="Y58" s="247">
        <f t="shared" ref="Y58" si="180">IF(ISNUMBER(Y57),Y57-X57,"")</f>
        <v>2</v>
      </c>
      <c r="Z58" s="247">
        <f t="shared" ref="Z58" si="181">IF(ISNUMBER(Z57),Z57-Y57,"")</f>
        <v>276</v>
      </c>
      <c r="AA58" s="247">
        <f t="shared" ref="AA58" si="182">IF(ISNUMBER(AA57),AA57-Z57,"")</f>
        <v>662</v>
      </c>
      <c r="AB58" s="247">
        <f t="shared" ref="AB58" si="183">IF(ISNUMBER(AB57),AB57-AA57,"")</f>
        <v>792</v>
      </c>
      <c r="AC58" s="247">
        <f t="shared" ref="AC58" si="184">IF(ISNUMBER(AC57),AC57-AB57,"")</f>
        <v>197</v>
      </c>
      <c r="AD58" s="247">
        <f t="shared" ref="AD58" si="185">IF(ISNUMBER(AD57),AD57-AC57,"")</f>
        <v>191</v>
      </c>
      <c r="AE58" s="247">
        <f t="shared" ref="AE58" si="186">IF(ISNUMBER(AE57),AE57-AD57,"")</f>
        <v>89</v>
      </c>
      <c r="AF58" s="247">
        <f t="shared" ref="AF58" si="187">IF(ISNUMBER(AF57),AF57-AE57,"")</f>
        <v>111</v>
      </c>
      <c r="AG58" s="247">
        <f t="shared" ref="AG58" si="188">IF(ISNUMBER(AG57),AG57-AF57,"")</f>
        <v>1</v>
      </c>
      <c r="AH58" s="247">
        <f t="shared" ref="AH58" si="189">IF(ISNUMBER(AH57),AH57-AG57,"")</f>
        <v>15</v>
      </c>
      <c r="AI58" s="247">
        <f t="shared" ref="AI58" si="190">IF(ISNUMBER(AI57),AI57-AH57,"")</f>
        <v>370</v>
      </c>
      <c r="AJ58" s="247">
        <f t="shared" ref="AJ58" si="191">IF(ISNUMBER(AJ57),AJ57-AI57,"")</f>
        <v>444</v>
      </c>
      <c r="AK58" s="237"/>
      <c r="AL58" s="1125"/>
    </row>
    <row r="59" spans="1:38" ht="13.9">
      <c r="A59" s="861"/>
      <c r="B59" s="426"/>
      <c r="C59" s="241"/>
      <c r="D59" s="40"/>
      <c r="F59" s="232"/>
      <c r="G59" s="444"/>
      <c r="H59" s="251"/>
      <c r="I59" s="230"/>
      <c r="J59" s="230"/>
      <c r="K59" s="248"/>
      <c r="L59" s="247">
        <f>L58*$J57*$I57</f>
        <v>0</v>
      </c>
      <c r="M59" s="247">
        <f t="shared" ref="M59:AC59" si="192">M58*$J57*$I57</f>
        <v>0</v>
      </c>
      <c r="N59" s="247">
        <f t="shared" si="192"/>
        <v>0</v>
      </c>
      <c r="O59" s="247">
        <f t="shared" si="192"/>
        <v>0</v>
      </c>
      <c r="P59" s="247">
        <f t="shared" si="192"/>
        <v>0</v>
      </c>
      <c r="Q59" s="247">
        <f t="shared" si="192"/>
        <v>0</v>
      </c>
      <c r="R59" s="247">
        <f t="shared" si="192"/>
        <v>0</v>
      </c>
      <c r="S59" s="247">
        <f t="shared" si="192"/>
        <v>597.81652259999998</v>
      </c>
      <c r="T59" s="247">
        <f t="shared" si="192"/>
        <v>39.854434839999996</v>
      </c>
      <c r="U59" s="247">
        <f t="shared" si="192"/>
        <v>358.68991355999998</v>
      </c>
      <c r="V59" s="247">
        <f t="shared" si="192"/>
        <v>597.81652259999998</v>
      </c>
      <c r="W59" s="247">
        <f t="shared" si="192"/>
        <v>39.854434839999996</v>
      </c>
      <c r="X59" s="247">
        <f t="shared" si="192"/>
        <v>597.81652259999998</v>
      </c>
      <c r="Y59" s="247">
        <f t="shared" si="192"/>
        <v>79.708869679999992</v>
      </c>
      <c r="Z59" s="247">
        <f t="shared" si="192"/>
        <v>10999.82401584</v>
      </c>
      <c r="AA59" s="247">
        <f t="shared" si="192"/>
        <v>26383.635864080003</v>
      </c>
      <c r="AB59" s="247">
        <f t="shared" si="192"/>
        <v>31564.712393279999</v>
      </c>
      <c r="AC59" s="247">
        <f t="shared" si="192"/>
        <v>7851.3236634799996</v>
      </c>
      <c r="AD59" s="248"/>
      <c r="AE59" s="248"/>
      <c r="AF59" s="248"/>
      <c r="AG59" s="248"/>
      <c r="AH59" s="248"/>
      <c r="AI59" s="248"/>
      <c r="AJ59" s="248"/>
      <c r="AK59" s="232"/>
      <c r="AL59" s="1227"/>
    </row>
    <row r="60" spans="1:38" ht="13.9">
      <c r="A60" s="861"/>
      <c r="B60" s="426"/>
      <c r="C60" s="241"/>
      <c r="D60" s="377"/>
      <c r="F60" s="232"/>
      <c r="G60" s="444"/>
      <c r="H60" s="232"/>
      <c r="I60" s="230"/>
      <c r="J60" s="230"/>
      <c r="K60" s="248"/>
      <c r="L60" s="248"/>
      <c r="M60" s="248"/>
      <c r="N60" s="248"/>
      <c r="O60" s="248"/>
      <c r="P60" s="248"/>
      <c r="Q60" s="248"/>
      <c r="R60" s="248"/>
      <c r="S60" s="248"/>
      <c r="T60" s="248"/>
      <c r="U60" s="248"/>
      <c r="V60" s="248"/>
      <c r="W60" s="248"/>
      <c r="X60" s="248"/>
      <c r="Y60" s="248"/>
      <c r="Z60" s="248"/>
      <c r="AA60" s="248"/>
      <c r="AB60" s="248"/>
      <c r="AC60" s="248"/>
      <c r="AD60" s="248"/>
      <c r="AE60" s="248"/>
      <c r="AF60" s="248"/>
      <c r="AG60" s="248"/>
      <c r="AH60" s="248"/>
      <c r="AI60" s="248"/>
      <c r="AJ60" s="248"/>
      <c r="AK60" s="232"/>
      <c r="AL60" s="445"/>
    </row>
    <row r="61" spans="1:38" ht="14.45" thickBot="1">
      <c r="A61" s="851"/>
      <c r="B61" s="426" t="s">
        <v>1590</v>
      </c>
      <c r="C61" s="854"/>
      <c r="D61" s="379"/>
      <c r="E61" s="473"/>
      <c r="F61" s="231"/>
      <c r="G61" s="446"/>
      <c r="H61" s="231"/>
      <c r="I61" s="249"/>
      <c r="J61" s="249"/>
      <c r="K61" s="249"/>
      <c r="L61" s="249"/>
      <c r="M61" s="249"/>
      <c r="N61" s="249"/>
      <c r="O61" s="249"/>
      <c r="P61" s="249"/>
      <c r="Q61" s="249"/>
      <c r="R61" s="249"/>
      <c r="S61" s="249"/>
      <c r="T61" s="249"/>
      <c r="U61" s="249"/>
      <c r="V61" s="249"/>
      <c r="W61" s="249"/>
      <c r="X61" s="249"/>
      <c r="Y61" s="249"/>
      <c r="Z61" s="249"/>
      <c r="AA61" s="249"/>
      <c r="AB61" s="249"/>
      <c r="AC61" s="249"/>
      <c r="AD61" s="249"/>
      <c r="AE61" s="249"/>
      <c r="AF61" s="249"/>
      <c r="AG61" s="249"/>
      <c r="AH61" s="249"/>
      <c r="AI61" s="249"/>
      <c r="AJ61" s="249"/>
      <c r="AK61" s="231"/>
      <c r="AL61" s="447"/>
    </row>
    <row r="62" spans="1:38" ht="13.9">
      <c r="A62" s="427" t="s">
        <v>1591</v>
      </c>
      <c r="B62" s="427" t="s">
        <v>1592</v>
      </c>
      <c r="C62" s="853">
        <f ca="1">OFFSET(K63,0,COUNT(L63:AG63))</f>
        <v>0</v>
      </c>
      <c r="D62" s="378" t="s">
        <v>418</v>
      </c>
      <c r="E62" s="884" t="e">
        <f ca="1">((OFFSET(K63,0,COUNT(L63:AB63)))/(OFFSET(K63,0,COUNT(L63:AB63)-1)))-1</f>
        <v>#DIV/0!</v>
      </c>
      <c r="F62" s="235" t="s">
        <v>1593</v>
      </c>
      <c r="G62" s="448" t="s">
        <v>1594</v>
      </c>
      <c r="H62" s="342" t="s">
        <v>1539</v>
      </c>
      <c r="I62" s="247">
        <v>1.1726000000000001</v>
      </c>
      <c r="J62" s="247">
        <v>28.961099999999998</v>
      </c>
      <c r="K62" s="238">
        <v>5370</v>
      </c>
      <c r="L62" s="238">
        <v>5370</v>
      </c>
      <c r="M62" s="238">
        <v>5370</v>
      </c>
      <c r="N62" s="238">
        <v>5370</v>
      </c>
      <c r="O62" s="238">
        <v>5370</v>
      </c>
      <c r="P62" s="238">
        <v>5370</v>
      </c>
      <c r="Q62" s="238">
        <v>5370</v>
      </c>
      <c r="R62" s="238">
        <v>5370</v>
      </c>
      <c r="S62" s="238">
        <v>5370</v>
      </c>
      <c r="T62" s="238">
        <v>5370</v>
      </c>
      <c r="U62" s="238">
        <v>5370</v>
      </c>
      <c r="V62" s="238">
        <v>5434</v>
      </c>
      <c r="W62" s="238">
        <v>5513</v>
      </c>
      <c r="X62" s="238">
        <v>6334</v>
      </c>
      <c r="Y62" s="238">
        <v>6414</v>
      </c>
      <c r="Z62" s="238">
        <v>6414</v>
      </c>
      <c r="AA62" s="238">
        <v>6414</v>
      </c>
      <c r="AB62" s="238">
        <v>6414</v>
      </c>
      <c r="AC62" s="238">
        <v>6510</v>
      </c>
      <c r="AD62" s="238">
        <v>6545</v>
      </c>
      <c r="AE62" s="238">
        <v>6553</v>
      </c>
      <c r="AF62" s="238">
        <v>6553</v>
      </c>
      <c r="AG62" s="238">
        <v>6553</v>
      </c>
      <c r="AH62" s="238">
        <v>6553</v>
      </c>
      <c r="AI62" s="238">
        <v>6657</v>
      </c>
      <c r="AJ62" s="238">
        <v>6657</v>
      </c>
      <c r="AK62" s="342">
        <f ca="1">OFFSET(K63,0,COUNT(L63:X63))</f>
        <v>821</v>
      </c>
      <c r="AL62" s="1125">
        <f ca="1">AK62*I62*J62</f>
        <v>27880.984191060001</v>
      </c>
    </row>
    <row r="63" spans="1:38" ht="13.9">
      <c r="A63" s="427"/>
      <c r="B63" s="427"/>
      <c r="C63" s="241">
        <f ca="1">I62*J62*C62</f>
        <v>0</v>
      </c>
      <c r="D63" s="376" t="s">
        <v>74</v>
      </c>
      <c r="E63" s="235"/>
      <c r="F63" s="235"/>
      <c r="G63" s="448"/>
      <c r="H63" s="342"/>
      <c r="I63" s="247"/>
      <c r="J63" s="247"/>
      <c r="K63" s="247"/>
      <c r="L63" s="247">
        <f t="shared" ref="L63:X63" si="193">IF(ISNUMBER(L62),L62-K62,"")</f>
        <v>0</v>
      </c>
      <c r="M63" s="247">
        <f t="shared" si="193"/>
        <v>0</v>
      </c>
      <c r="N63" s="247">
        <f t="shared" si="193"/>
        <v>0</v>
      </c>
      <c r="O63" s="247">
        <f t="shared" si="193"/>
        <v>0</v>
      </c>
      <c r="P63" s="247">
        <f t="shared" si="193"/>
        <v>0</v>
      </c>
      <c r="Q63" s="247">
        <f t="shared" si="193"/>
        <v>0</v>
      </c>
      <c r="R63" s="247">
        <f t="shared" si="193"/>
        <v>0</v>
      </c>
      <c r="S63" s="247">
        <f t="shared" si="193"/>
        <v>0</v>
      </c>
      <c r="T63" s="247">
        <f t="shared" si="193"/>
        <v>0</v>
      </c>
      <c r="U63" s="247">
        <f t="shared" si="193"/>
        <v>0</v>
      </c>
      <c r="V63" s="247">
        <f t="shared" si="193"/>
        <v>64</v>
      </c>
      <c r="W63" s="247">
        <f>IF(ISNUMBER(W62),W62-V62,"")</f>
        <v>79</v>
      </c>
      <c r="X63" s="247">
        <f t="shared" si="193"/>
        <v>821</v>
      </c>
      <c r="Y63" s="247">
        <f t="shared" ref="Y63" si="194">IF(ISNUMBER(Y62),Y62-X62,"")</f>
        <v>80</v>
      </c>
      <c r="Z63" s="247">
        <f t="shared" ref="Z63" si="195">IF(ISNUMBER(Z62),Z62-Y62,"")</f>
        <v>0</v>
      </c>
      <c r="AA63" s="247">
        <f t="shared" ref="AA63" si="196">IF(ISNUMBER(AA62),AA62-Z62,"")</f>
        <v>0</v>
      </c>
      <c r="AB63" s="247">
        <f t="shared" ref="AB63" si="197">IF(ISNUMBER(AB62),AB62-AA62,"")</f>
        <v>0</v>
      </c>
      <c r="AC63" s="247">
        <f t="shared" ref="AC63" si="198">IF(ISNUMBER(AC62),AC62-AB62,"")</f>
        <v>96</v>
      </c>
      <c r="AD63" s="247">
        <f t="shared" ref="AD63" si="199">IF(ISNUMBER(AD62),AD62-AC62,"")</f>
        <v>35</v>
      </c>
      <c r="AE63" s="247">
        <f t="shared" ref="AE63" si="200">IF(ISNUMBER(AE62),AE62-AD62,"")</f>
        <v>8</v>
      </c>
      <c r="AF63" s="247">
        <f t="shared" ref="AF63" si="201">IF(ISNUMBER(AF62),AF62-AE62,"")</f>
        <v>0</v>
      </c>
      <c r="AG63" s="247">
        <f t="shared" ref="AG63" si="202">IF(ISNUMBER(AG62),AG62-AF62,"")</f>
        <v>0</v>
      </c>
      <c r="AH63" s="247">
        <f t="shared" ref="AH63" si="203">IF(ISNUMBER(AH62),AH62-AG62,"")</f>
        <v>0</v>
      </c>
      <c r="AI63" s="247">
        <f t="shared" ref="AI63" si="204">IF(ISNUMBER(AI62),AI62-AH62,"")</f>
        <v>104</v>
      </c>
      <c r="AJ63" s="247">
        <f t="shared" ref="AJ63" si="205">IF(ISNUMBER(AJ62),AJ62-AI62,"")</f>
        <v>0</v>
      </c>
      <c r="AK63" s="237"/>
      <c r="AL63" s="1125"/>
    </row>
    <row r="64" spans="1:38" ht="13.9">
      <c r="A64" s="427"/>
      <c r="B64" s="427"/>
      <c r="C64" s="241"/>
      <c r="D64" s="376"/>
      <c r="F64" s="235"/>
      <c r="G64" s="448"/>
      <c r="H64" s="342"/>
      <c r="I64" s="247"/>
      <c r="J64" s="247"/>
      <c r="K64" s="247"/>
      <c r="L64" s="247">
        <f>L63*$J62*$I62</f>
        <v>0</v>
      </c>
      <c r="M64" s="247">
        <f t="shared" ref="M64:AC64" si="206">M63*$J62*$I62</f>
        <v>0</v>
      </c>
      <c r="N64" s="247">
        <f t="shared" si="206"/>
        <v>0</v>
      </c>
      <c r="O64" s="247">
        <f t="shared" si="206"/>
        <v>0</v>
      </c>
      <c r="P64" s="247">
        <f t="shared" si="206"/>
        <v>0</v>
      </c>
      <c r="Q64" s="247">
        <f t="shared" si="206"/>
        <v>0</v>
      </c>
      <c r="R64" s="247">
        <f t="shared" si="206"/>
        <v>0</v>
      </c>
      <c r="S64" s="247">
        <f t="shared" si="206"/>
        <v>0</v>
      </c>
      <c r="T64" s="247">
        <f t="shared" si="206"/>
        <v>0</v>
      </c>
      <c r="U64" s="247">
        <f t="shared" si="206"/>
        <v>0</v>
      </c>
      <c r="V64" s="247">
        <f t="shared" si="206"/>
        <v>2173.4262950400002</v>
      </c>
      <c r="W64" s="247">
        <f t="shared" si="206"/>
        <v>2682.8230829399999</v>
      </c>
      <c r="X64" s="247">
        <f t="shared" si="206"/>
        <v>27880.984191060001</v>
      </c>
      <c r="Y64" s="247">
        <f t="shared" si="206"/>
        <v>2716.7828688</v>
      </c>
      <c r="Z64" s="247">
        <f t="shared" si="206"/>
        <v>0</v>
      </c>
      <c r="AA64" s="247">
        <f t="shared" si="206"/>
        <v>0</v>
      </c>
      <c r="AB64" s="247">
        <f t="shared" si="206"/>
        <v>0</v>
      </c>
      <c r="AC64" s="247">
        <f t="shared" si="206"/>
        <v>3260.1394425600001</v>
      </c>
      <c r="AD64" s="247"/>
      <c r="AE64" s="247"/>
      <c r="AF64" s="247"/>
      <c r="AG64" s="247"/>
      <c r="AH64" s="247"/>
      <c r="AI64" s="247"/>
      <c r="AJ64" s="247"/>
      <c r="AK64" s="237"/>
      <c r="AL64" s="1125"/>
    </row>
    <row r="65" spans="1:38" ht="13.9">
      <c r="A65" s="427" t="s">
        <v>1595</v>
      </c>
      <c r="B65" s="427" t="s">
        <v>1596</v>
      </c>
      <c r="C65" s="853">
        <f ca="1">OFFSET(K66,0,COUNT(L66:AG66))</f>
        <v>25</v>
      </c>
      <c r="D65" s="46" t="s">
        <v>418</v>
      </c>
      <c r="E65" s="884">
        <f ca="1">((OFFSET(K66,0,COUNT(L66:AB66)))/(OFFSET(K66,0,COUNT(L66:AB66)-1)))-1</f>
        <v>0.14285714285714279</v>
      </c>
      <c r="F65" s="235" t="s">
        <v>1597</v>
      </c>
      <c r="G65" s="448">
        <v>15153</v>
      </c>
      <c r="H65" s="342" t="s">
        <v>1539</v>
      </c>
      <c r="I65" s="247">
        <v>1.0516000000000001</v>
      </c>
      <c r="J65" s="247">
        <v>28.961099999999998</v>
      </c>
      <c r="K65" s="238">
        <v>1944</v>
      </c>
      <c r="L65" s="238">
        <v>1945</v>
      </c>
      <c r="M65" s="238">
        <v>1945</v>
      </c>
      <c r="N65" s="238">
        <v>1958</v>
      </c>
      <c r="O65" s="238">
        <v>2004</v>
      </c>
      <c r="P65" s="238">
        <v>2041</v>
      </c>
      <c r="Q65" s="238">
        <v>2090</v>
      </c>
      <c r="R65" s="238">
        <v>2135</v>
      </c>
      <c r="S65" s="238">
        <v>2171</v>
      </c>
      <c r="T65" s="238">
        <v>2220</v>
      </c>
      <c r="U65" s="238">
        <v>2265</v>
      </c>
      <c r="V65" s="238">
        <v>2313</v>
      </c>
      <c r="W65" s="238">
        <v>2344</v>
      </c>
      <c r="X65" s="238">
        <v>2346</v>
      </c>
      <c r="Y65" s="238">
        <v>2350</v>
      </c>
      <c r="Z65" s="238">
        <v>2363</v>
      </c>
      <c r="AA65" s="238">
        <v>2384</v>
      </c>
      <c r="AB65" s="238">
        <v>2408</v>
      </c>
      <c r="AC65" s="238">
        <v>2439</v>
      </c>
      <c r="AD65" s="238">
        <v>2472</v>
      </c>
      <c r="AE65" s="238">
        <v>2497</v>
      </c>
      <c r="AF65" s="238">
        <v>2527</v>
      </c>
      <c r="AG65" s="238">
        <v>2552</v>
      </c>
      <c r="AH65" s="238">
        <v>2581</v>
      </c>
      <c r="AI65" s="238">
        <v>2600</v>
      </c>
      <c r="AJ65" s="238">
        <v>2600</v>
      </c>
      <c r="AK65" s="342">
        <f ca="1">OFFSET(K66,0,COUNT(L66:X66))</f>
        <v>2</v>
      </c>
      <c r="AL65" s="1125">
        <f ca="1">AK65*I65*J65</f>
        <v>60.910985520000004</v>
      </c>
    </row>
    <row r="66" spans="1:38" ht="13.9">
      <c r="A66" s="427"/>
      <c r="B66" s="427"/>
      <c r="C66" s="241">
        <f ca="1">I65*J65*C65</f>
        <v>761.38731900000005</v>
      </c>
      <c r="D66" s="46" t="s">
        <v>74</v>
      </c>
      <c r="E66" s="235"/>
      <c r="F66" s="235"/>
      <c r="G66" s="448"/>
      <c r="H66" s="342"/>
      <c r="I66" s="247"/>
      <c r="J66" s="247"/>
      <c r="K66" s="247"/>
      <c r="L66" s="247">
        <f t="shared" ref="L66:X66" si="207">IF(ISNUMBER(L65),L65-K65,"")</f>
        <v>1</v>
      </c>
      <c r="M66" s="247">
        <f t="shared" si="207"/>
        <v>0</v>
      </c>
      <c r="N66" s="247">
        <f t="shared" si="207"/>
        <v>13</v>
      </c>
      <c r="O66" s="247">
        <f t="shared" si="207"/>
        <v>46</v>
      </c>
      <c r="P66" s="247">
        <f t="shared" si="207"/>
        <v>37</v>
      </c>
      <c r="Q66" s="247">
        <f t="shared" si="207"/>
        <v>49</v>
      </c>
      <c r="R66" s="247">
        <f t="shared" si="207"/>
        <v>45</v>
      </c>
      <c r="S66" s="247">
        <f t="shared" si="207"/>
        <v>36</v>
      </c>
      <c r="T66" s="247">
        <f t="shared" si="207"/>
        <v>49</v>
      </c>
      <c r="U66" s="247">
        <f t="shared" si="207"/>
        <v>45</v>
      </c>
      <c r="V66" s="247">
        <f t="shared" si="207"/>
        <v>48</v>
      </c>
      <c r="W66" s="247">
        <f t="shared" si="207"/>
        <v>31</v>
      </c>
      <c r="X66" s="247">
        <f t="shared" si="207"/>
        <v>2</v>
      </c>
      <c r="Y66" s="247">
        <f t="shared" ref="Y66" si="208">IF(ISNUMBER(Y65),Y65-X65,"")</f>
        <v>4</v>
      </c>
      <c r="Z66" s="247">
        <f t="shared" ref="Z66" si="209">IF(ISNUMBER(Z65),Z65-Y65,"")</f>
        <v>13</v>
      </c>
      <c r="AA66" s="247">
        <f t="shared" ref="AA66" si="210">IF(ISNUMBER(AA65),AA65-Z65,"")</f>
        <v>21</v>
      </c>
      <c r="AB66" s="247">
        <f t="shared" ref="AB66" si="211">IF(ISNUMBER(AB65),AB65-AA65,"")</f>
        <v>24</v>
      </c>
      <c r="AC66" s="247">
        <f t="shared" ref="AC66" si="212">IF(ISNUMBER(AC65),AC65-AB65,"")</f>
        <v>31</v>
      </c>
      <c r="AD66" s="247">
        <f t="shared" ref="AD66" si="213">IF(ISNUMBER(AD65),AD65-AC65,"")</f>
        <v>33</v>
      </c>
      <c r="AE66" s="247">
        <f t="shared" ref="AE66" si="214">IF(ISNUMBER(AE65),AE65-AD65,"")</f>
        <v>25</v>
      </c>
      <c r="AF66" s="247">
        <f t="shared" ref="AF66" si="215">IF(ISNUMBER(AF65),AF65-AE65,"")</f>
        <v>30</v>
      </c>
      <c r="AG66" s="247">
        <f t="shared" ref="AG66" si="216">IF(ISNUMBER(AG65),AG65-AF65,"")</f>
        <v>25</v>
      </c>
      <c r="AH66" s="247">
        <f t="shared" ref="AH66" si="217">IF(ISNUMBER(AH65),AH65-AG65,"")</f>
        <v>29</v>
      </c>
      <c r="AI66" s="247">
        <f t="shared" ref="AI66" si="218">IF(ISNUMBER(AI65),AI65-AH65,"")</f>
        <v>19</v>
      </c>
      <c r="AJ66" s="247">
        <f t="shared" ref="AJ66" si="219">IF(ISNUMBER(AJ65),AJ65-AI65,"")</f>
        <v>0</v>
      </c>
      <c r="AK66" s="237"/>
      <c r="AL66" s="1125"/>
    </row>
    <row r="67" spans="1:38" ht="13.9">
      <c r="A67" s="427"/>
      <c r="B67" s="427"/>
      <c r="C67" s="241"/>
      <c r="D67" s="46"/>
      <c r="F67" s="235"/>
      <c r="G67" s="448"/>
      <c r="H67" s="342"/>
      <c r="I67" s="247"/>
      <c r="J67" s="247"/>
      <c r="K67" s="247"/>
      <c r="L67" s="247">
        <f>L66*$J65*$I65</f>
        <v>30.455492760000002</v>
      </c>
      <c r="M67" s="247">
        <f t="shared" ref="M67:AC67" si="220">M66*$J65*$I65</f>
        <v>0</v>
      </c>
      <c r="N67" s="247">
        <f t="shared" si="220"/>
        <v>395.92140588000001</v>
      </c>
      <c r="O67" s="247">
        <f t="shared" si="220"/>
        <v>1400.95266696</v>
      </c>
      <c r="P67" s="247">
        <f t="shared" si="220"/>
        <v>1126.85323212</v>
      </c>
      <c r="Q67" s="247">
        <f t="shared" si="220"/>
        <v>1492.3191452399999</v>
      </c>
      <c r="R67" s="247">
        <f t="shared" si="220"/>
        <v>1370.4971742</v>
      </c>
      <c r="S67" s="247">
        <f t="shared" si="220"/>
        <v>1096.3977393600001</v>
      </c>
      <c r="T67" s="247">
        <f t="shared" si="220"/>
        <v>1492.3191452399999</v>
      </c>
      <c r="U67" s="247">
        <f t="shared" si="220"/>
        <v>1370.4971742</v>
      </c>
      <c r="V67" s="247">
        <f t="shared" si="220"/>
        <v>1461.8636524799999</v>
      </c>
      <c r="W67" s="247">
        <f t="shared" si="220"/>
        <v>944.12027555999998</v>
      </c>
      <c r="X67" s="247">
        <f t="shared" si="220"/>
        <v>60.910985520000004</v>
      </c>
      <c r="Y67" s="247">
        <f t="shared" si="220"/>
        <v>121.82197104000001</v>
      </c>
      <c r="Z67" s="247">
        <f t="shared" si="220"/>
        <v>395.92140588000001</v>
      </c>
      <c r="AA67" s="247">
        <f t="shared" si="220"/>
        <v>639.56534796000005</v>
      </c>
      <c r="AB67" s="247">
        <f t="shared" si="220"/>
        <v>730.93182623999996</v>
      </c>
      <c r="AC67" s="247">
        <f t="shared" si="220"/>
        <v>944.12027555999998</v>
      </c>
      <c r="AD67" s="247"/>
      <c r="AE67" s="247"/>
      <c r="AF67" s="247"/>
      <c r="AG67" s="247"/>
      <c r="AH67" s="247"/>
      <c r="AI67" s="247"/>
      <c r="AJ67" s="247"/>
      <c r="AK67" s="237"/>
      <c r="AL67" s="1125"/>
    </row>
    <row r="68" spans="1:38" ht="13.9">
      <c r="A68" s="427"/>
      <c r="B68" s="427" t="s">
        <v>1598</v>
      </c>
      <c r="C68" s="853">
        <f ca="1">OFFSET(K69,0,COUNT(L69:AG69))</f>
        <v>274</v>
      </c>
      <c r="D68" s="46" t="s">
        <v>418</v>
      </c>
      <c r="E68" s="884">
        <f ca="1">((OFFSET(K69,0,COUNT(L69:AB69)))/(OFFSET(K69,0,COUNT(L69:AB69)-1)))-1</f>
        <v>0.12288135593220328</v>
      </c>
      <c r="F68" s="235" t="s">
        <v>1599</v>
      </c>
      <c r="G68" s="1090" t="s">
        <v>1600</v>
      </c>
      <c r="H68" s="342" t="s">
        <v>1539</v>
      </c>
      <c r="I68" s="237">
        <v>1.0496000000000001</v>
      </c>
      <c r="J68" s="237">
        <v>28.961099999999998</v>
      </c>
      <c r="K68" s="237">
        <v>0</v>
      </c>
      <c r="L68" s="237">
        <v>0</v>
      </c>
      <c r="M68" s="237">
        <v>0</v>
      </c>
      <c r="N68" s="237">
        <v>0</v>
      </c>
      <c r="O68" s="237">
        <v>0</v>
      </c>
      <c r="P68" s="237">
        <v>0</v>
      </c>
      <c r="Q68" s="238">
        <v>0</v>
      </c>
      <c r="R68" s="238">
        <v>381</v>
      </c>
      <c r="S68" s="238">
        <v>607</v>
      </c>
      <c r="T68" s="238">
        <v>870</v>
      </c>
      <c r="U68" s="238">
        <v>1141</v>
      </c>
      <c r="V68" s="238">
        <v>1419</v>
      </c>
      <c r="W68" s="238">
        <v>1637</v>
      </c>
      <c r="X68" s="238">
        <v>1727</v>
      </c>
      <c r="Y68" s="238">
        <v>1825</v>
      </c>
      <c r="Z68" s="238">
        <v>2019</v>
      </c>
      <c r="AA68" s="238">
        <v>2255</v>
      </c>
      <c r="AB68" s="238">
        <v>2520</v>
      </c>
      <c r="AC68" s="238">
        <v>2799</v>
      </c>
      <c r="AD68" s="238">
        <v>3099</v>
      </c>
      <c r="AE68" s="238">
        <v>3376</v>
      </c>
      <c r="AF68" s="238">
        <v>3687</v>
      </c>
      <c r="AG68" s="238">
        <v>3961</v>
      </c>
      <c r="AH68" s="238">
        <v>4256</v>
      </c>
      <c r="AI68" s="238">
        <v>4491</v>
      </c>
      <c r="AJ68" s="238">
        <v>4587</v>
      </c>
      <c r="AK68" s="342"/>
      <c r="AL68" s="1125"/>
    </row>
    <row r="69" spans="1:38">
      <c r="A69" s="427"/>
      <c r="B69" s="427"/>
      <c r="C69" s="241">
        <f ca="1">I68*J68*C68</f>
        <v>8328.93433344</v>
      </c>
      <c r="D69" s="235"/>
      <c r="E69" s="235"/>
      <c r="F69" s="235"/>
      <c r="G69" s="448">
        <v>300341</v>
      </c>
      <c r="H69" s="342"/>
      <c r="I69" s="247"/>
      <c r="J69" s="247"/>
      <c r="K69" s="247"/>
      <c r="L69" s="247">
        <f t="shared" ref="L69" si="221">IF(ISNUMBER(L68),L68-K68,"")</f>
        <v>0</v>
      </c>
      <c r="M69" s="247">
        <f t="shared" ref="M69" si="222">IF(ISNUMBER(M68),M68-L68,"")</f>
        <v>0</v>
      </c>
      <c r="N69" s="247">
        <f t="shared" ref="N69" si="223">IF(ISNUMBER(N68),N68-M68,"")</f>
        <v>0</v>
      </c>
      <c r="O69" s="247">
        <f t="shared" ref="O69" si="224">IF(ISNUMBER(O68),O68-N68,"")</f>
        <v>0</v>
      </c>
      <c r="P69" s="247">
        <f t="shared" ref="P69" si="225">IF(ISNUMBER(P68),P68-O68,"")</f>
        <v>0</v>
      </c>
      <c r="Q69" s="247">
        <f t="shared" ref="Q69" si="226">IF(ISNUMBER(Q68),Q68-P68,"")</f>
        <v>0</v>
      </c>
      <c r="R69" s="247">
        <f t="shared" ref="R69" si="227">IF(ISNUMBER(R68),R68-Q68,"")</f>
        <v>381</v>
      </c>
      <c r="S69" s="247">
        <f t="shared" ref="S69" si="228">IF(ISNUMBER(S68),S68-R68,"")</f>
        <v>226</v>
      </c>
      <c r="T69" s="247">
        <f t="shared" ref="T69" si="229">IF(ISNUMBER(T68),T68-S68,"")</f>
        <v>263</v>
      </c>
      <c r="U69" s="247">
        <f t="shared" ref="U69" si="230">IF(ISNUMBER(U68),U68-T68,"")</f>
        <v>271</v>
      </c>
      <c r="V69" s="247">
        <f t="shared" ref="V69" si="231">IF(ISNUMBER(V68),V68-U68,"")</f>
        <v>278</v>
      </c>
      <c r="W69" s="247">
        <f t="shared" ref="W69" si="232">IF(ISNUMBER(W68),W68-V68,"")</f>
        <v>218</v>
      </c>
      <c r="X69" s="247">
        <f t="shared" ref="X69" si="233">IF(ISNUMBER(X68),X68-W68,"")</f>
        <v>90</v>
      </c>
      <c r="Y69" s="247">
        <f t="shared" ref="Y69" si="234">IF(ISNUMBER(Y68),Y68-X68,"")</f>
        <v>98</v>
      </c>
      <c r="Z69" s="247">
        <f t="shared" ref="Z69" si="235">IF(ISNUMBER(Z68),Z68-Y68,"")</f>
        <v>194</v>
      </c>
      <c r="AA69" s="247">
        <f t="shared" ref="AA69" si="236">IF(ISNUMBER(AA68),AA68-Z68,"")</f>
        <v>236</v>
      </c>
      <c r="AB69" s="247">
        <f t="shared" ref="AB69" si="237">IF(ISNUMBER(AB68),AB68-AA68,"")</f>
        <v>265</v>
      </c>
      <c r="AC69" s="247">
        <f t="shared" ref="AC69" si="238">IF(ISNUMBER(AC68),AC68-AB68,"")</f>
        <v>279</v>
      </c>
      <c r="AD69" s="247">
        <f t="shared" ref="AD69" si="239">IF(ISNUMBER(AD68),AD68-AC68,"")</f>
        <v>300</v>
      </c>
      <c r="AE69" s="247">
        <f t="shared" ref="AE69" si="240">IF(ISNUMBER(AE68),AE68-AD68,"")</f>
        <v>277</v>
      </c>
      <c r="AF69" s="247">
        <f t="shared" ref="AF69" si="241">IF(ISNUMBER(AF68),AF68-AE68,"")</f>
        <v>311</v>
      </c>
      <c r="AG69" s="247">
        <f t="shared" ref="AG69" si="242">IF(ISNUMBER(AG68),AG68-AF68,"")</f>
        <v>274</v>
      </c>
      <c r="AH69" s="247">
        <f>IF(ISNUMBER(AH68),AH68-AG68,"")</f>
        <v>295</v>
      </c>
      <c r="AI69" s="247">
        <f>IF(ISNUMBER(AI68),AI68-AH68,"")</f>
        <v>235</v>
      </c>
      <c r="AJ69" s="247">
        <f>IF(ISNUMBER(AJ68),AJ68-AI68,"")</f>
        <v>96</v>
      </c>
      <c r="AK69" s="237"/>
      <c r="AL69" s="1125"/>
    </row>
    <row r="70" spans="1:38" ht="13.9" thickBot="1">
      <c r="A70" s="427"/>
      <c r="B70" s="427"/>
      <c r="C70" s="241"/>
      <c r="F70" s="235"/>
      <c r="G70" s="448"/>
      <c r="H70" s="342"/>
      <c r="I70" s="247"/>
      <c r="J70" s="247"/>
      <c r="K70" s="247"/>
      <c r="L70" s="247">
        <f>L69*$J68*$I68</f>
        <v>0</v>
      </c>
      <c r="M70" s="247">
        <f t="shared" ref="M70:AC70" si="243">M69*$J68*$I68</f>
        <v>0</v>
      </c>
      <c r="N70" s="247">
        <f t="shared" si="243"/>
        <v>0</v>
      </c>
      <c r="O70" s="247">
        <f t="shared" si="243"/>
        <v>0</v>
      </c>
      <c r="P70" s="247">
        <f t="shared" si="243"/>
        <v>0</v>
      </c>
      <c r="Q70" s="247">
        <f t="shared" si="243"/>
        <v>0</v>
      </c>
      <c r="R70" s="247">
        <f t="shared" si="243"/>
        <v>11581.474383360001</v>
      </c>
      <c r="S70" s="247">
        <f t="shared" si="243"/>
        <v>6869.8509465600009</v>
      </c>
      <c r="T70" s="247">
        <f t="shared" si="243"/>
        <v>7994.5610572800006</v>
      </c>
      <c r="U70" s="247">
        <f t="shared" si="243"/>
        <v>8237.7416217600003</v>
      </c>
      <c r="V70" s="247">
        <f t="shared" si="243"/>
        <v>8450.5246156800004</v>
      </c>
      <c r="W70" s="247">
        <f t="shared" si="243"/>
        <v>6626.6703820800003</v>
      </c>
      <c r="X70" s="247">
        <f t="shared" si="243"/>
        <v>2735.7813504000001</v>
      </c>
      <c r="Y70" s="247">
        <f t="shared" si="243"/>
        <v>2978.9619148799998</v>
      </c>
      <c r="Z70" s="247">
        <f t="shared" si="243"/>
        <v>5897.1286886400003</v>
      </c>
      <c r="AA70" s="247">
        <f t="shared" si="243"/>
        <v>7173.8266521600008</v>
      </c>
      <c r="AB70" s="247">
        <f t="shared" si="243"/>
        <v>8055.3561984000007</v>
      </c>
      <c r="AC70" s="247">
        <f t="shared" si="243"/>
        <v>8480.9221862400009</v>
      </c>
      <c r="AD70" s="247"/>
      <c r="AE70" s="247"/>
      <c r="AF70" s="247"/>
      <c r="AG70" s="247"/>
      <c r="AH70" s="247"/>
      <c r="AI70" s="247"/>
      <c r="AJ70" s="247"/>
      <c r="AK70" s="237"/>
      <c r="AL70" s="1125"/>
    </row>
    <row r="71" spans="1:38" ht="13.9">
      <c r="A71" s="427" t="s">
        <v>1601</v>
      </c>
      <c r="B71" s="427" t="s">
        <v>1602</v>
      </c>
      <c r="C71" s="853">
        <f ca="1">OFFSET(K72,0,COUNT(L72:AG72))</f>
        <v>428</v>
      </c>
      <c r="D71" s="378" t="s">
        <v>418</v>
      </c>
      <c r="E71" s="884">
        <f ca="1">((OFFSET(K72,0,COUNT(L72:AB72)))/(OFFSET(K72,0,COUNT(L72:AB72)-1)))-1</f>
        <v>0.11589403973509937</v>
      </c>
      <c r="F71" s="235" t="s">
        <v>1603</v>
      </c>
      <c r="G71" s="448" t="s">
        <v>1604</v>
      </c>
      <c r="H71" s="342" t="s">
        <v>1539</v>
      </c>
      <c r="I71" s="247">
        <v>1.7030000000000001</v>
      </c>
      <c r="J71" s="247">
        <v>28.961400000000001</v>
      </c>
      <c r="K71" s="238">
        <v>87271</v>
      </c>
      <c r="L71" s="238">
        <v>87413</v>
      </c>
      <c r="M71" s="238">
        <v>87480</v>
      </c>
      <c r="N71" s="238">
        <v>87645</v>
      </c>
      <c r="O71" s="238">
        <v>87956</v>
      </c>
      <c r="P71" s="238">
        <v>88368</v>
      </c>
      <c r="Q71" s="238">
        <v>88788</v>
      </c>
      <c r="R71" s="238">
        <v>89308</v>
      </c>
      <c r="S71" s="238">
        <v>89655</v>
      </c>
      <c r="T71" s="238">
        <v>89655</v>
      </c>
      <c r="U71" s="238">
        <v>90537</v>
      </c>
      <c r="V71" s="238">
        <v>90987</v>
      </c>
      <c r="W71" s="238">
        <v>91332</v>
      </c>
      <c r="X71" s="238">
        <v>91501</v>
      </c>
      <c r="Y71" s="238">
        <v>91676</v>
      </c>
      <c r="Z71" s="238">
        <v>91846</v>
      </c>
      <c r="AA71" s="238">
        <v>92148</v>
      </c>
      <c r="AB71" s="238">
        <v>92485</v>
      </c>
      <c r="AC71" s="238">
        <v>92951</v>
      </c>
      <c r="AD71" s="238">
        <v>93424</v>
      </c>
      <c r="AE71" s="238">
        <v>93792</v>
      </c>
      <c r="AF71" s="238">
        <v>94396</v>
      </c>
      <c r="AG71" s="238">
        <v>94824</v>
      </c>
      <c r="AH71" s="238">
        <v>95285</v>
      </c>
      <c r="AI71" s="238">
        <v>95640</v>
      </c>
      <c r="AJ71" s="238">
        <v>95802</v>
      </c>
      <c r="AK71" s="342">
        <f ca="1">OFFSET(K72,0,COUNT(L72:X72))</f>
        <v>169</v>
      </c>
      <c r="AL71" s="1125">
        <f ca="1">AK71*I71*J71</f>
        <v>8335.2936497999999</v>
      </c>
    </row>
    <row r="72" spans="1:38" ht="13.9">
      <c r="A72" s="427"/>
      <c r="B72" s="427"/>
      <c r="C72" s="241">
        <f ca="1">I71*J71*C71</f>
        <v>21109.501077600002</v>
      </c>
      <c r="D72" s="376" t="s">
        <v>74</v>
      </c>
      <c r="E72" s="235"/>
      <c r="F72" s="235"/>
      <c r="G72" s="448"/>
      <c r="H72" s="342"/>
      <c r="I72" s="247"/>
      <c r="J72" s="247"/>
      <c r="K72" s="247"/>
      <c r="L72" s="247">
        <f t="shared" ref="L72:X72" si="244">IF(ISNUMBER(L71),L71-K71,"")</f>
        <v>142</v>
      </c>
      <c r="M72" s="247">
        <f t="shared" si="244"/>
        <v>67</v>
      </c>
      <c r="N72" s="247">
        <f t="shared" si="244"/>
        <v>165</v>
      </c>
      <c r="O72" s="247">
        <f t="shared" si="244"/>
        <v>311</v>
      </c>
      <c r="P72" s="247">
        <f t="shared" si="244"/>
        <v>412</v>
      </c>
      <c r="Q72" s="247">
        <f t="shared" si="244"/>
        <v>420</v>
      </c>
      <c r="R72" s="247">
        <f t="shared" si="244"/>
        <v>520</v>
      </c>
      <c r="S72" s="247">
        <f t="shared" si="244"/>
        <v>347</v>
      </c>
      <c r="T72" s="247">
        <f t="shared" si="244"/>
        <v>0</v>
      </c>
      <c r="U72" s="247">
        <f t="shared" si="244"/>
        <v>882</v>
      </c>
      <c r="V72" s="247">
        <f t="shared" si="244"/>
        <v>450</v>
      </c>
      <c r="W72" s="247">
        <f t="shared" si="244"/>
        <v>345</v>
      </c>
      <c r="X72" s="247">
        <f t="shared" si="244"/>
        <v>169</v>
      </c>
      <c r="Y72" s="247">
        <f t="shared" ref="Y72" si="245">IF(ISNUMBER(Y71),Y71-X71,"")</f>
        <v>175</v>
      </c>
      <c r="Z72" s="247">
        <f t="shared" ref="Z72" si="246">IF(ISNUMBER(Z71),Z71-Y71,"")</f>
        <v>170</v>
      </c>
      <c r="AA72" s="247">
        <f t="shared" ref="AA72" si="247">IF(ISNUMBER(AA71),AA71-Z71,"")</f>
        <v>302</v>
      </c>
      <c r="AB72" s="247">
        <f t="shared" ref="AB72" si="248">IF(ISNUMBER(AB71),AB71-AA71,"")</f>
        <v>337</v>
      </c>
      <c r="AC72" s="247">
        <f t="shared" ref="AC72" si="249">IF(ISNUMBER(AC71),AC71-AB71,"")</f>
        <v>466</v>
      </c>
      <c r="AD72" s="247">
        <f t="shared" ref="AD72" si="250">IF(ISNUMBER(AD71),AD71-AC71,"")</f>
        <v>473</v>
      </c>
      <c r="AE72" s="247">
        <f t="shared" ref="AE72" si="251">IF(ISNUMBER(AE71),AE71-AD71,"")</f>
        <v>368</v>
      </c>
      <c r="AF72" s="247">
        <f t="shared" ref="AF72" si="252">IF(ISNUMBER(AF71),AF71-AE71,"")</f>
        <v>604</v>
      </c>
      <c r="AG72" s="247">
        <f t="shared" ref="AG72" si="253">IF(ISNUMBER(AG71),AG71-AF71,"")</f>
        <v>428</v>
      </c>
      <c r="AH72" s="247">
        <f t="shared" ref="AH72" si="254">IF(ISNUMBER(AH71),AH71-AG71,"")</f>
        <v>461</v>
      </c>
      <c r="AI72" s="247">
        <f t="shared" ref="AI72" si="255">IF(ISNUMBER(AI71),AI71-AH71,"")</f>
        <v>355</v>
      </c>
      <c r="AJ72" s="247">
        <f t="shared" ref="AJ72" si="256">IF(ISNUMBER(AJ71),AJ71-AI71,"")</f>
        <v>162</v>
      </c>
      <c r="AK72" s="237"/>
      <c r="AL72" s="1125"/>
    </row>
    <row r="73" spans="1:38" ht="13.9">
      <c r="A73" s="427"/>
      <c r="B73" s="427"/>
      <c r="C73" s="241"/>
      <c r="D73" s="376"/>
      <c r="F73" s="235"/>
      <c r="G73" s="448"/>
      <c r="H73" s="342"/>
      <c r="I73" s="247"/>
      <c r="J73" s="247"/>
      <c r="K73" s="247"/>
      <c r="L73" s="247">
        <f>L72*$J71*$I71</f>
        <v>7003.6195164000001</v>
      </c>
      <c r="M73" s="247">
        <f t="shared" ref="M73:AC73" si="257">M72*$J71*$I71</f>
        <v>3304.5247014000001</v>
      </c>
      <c r="N73" s="247">
        <f t="shared" si="257"/>
        <v>8138.0085930000005</v>
      </c>
      <c r="O73" s="247">
        <f t="shared" si="257"/>
        <v>15338.9131662</v>
      </c>
      <c r="P73" s="247">
        <f t="shared" si="257"/>
        <v>20320.360850400004</v>
      </c>
      <c r="Q73" s="247">
        <f t="shared" si="257"/>
        <v>20714.930964000003</v>
      </c>
      <c r="R73" s="247">
        <f t="shared" si="257"/>
        <v>25647.057384</v>
      </c>
      <c r="S73" s="247">
        <f t="shared" si="257"/>
        <v>17114.478677400002</v>
      </c>
      <c r="T73" s="247">
        <f t="shared" si="257"/>
        <v>0</v>
      </c>
      <c r="U73" s="247">
        <f t="shared" si="257"/>
        <v>43501.3550244</v>
      </c>
      <c r="V73" s="247">
        <f t="shared" si="257"/>
        <v>22194.568890000002</v>
      </c>
      <c r="W73" s="247">
        <f t="shared" si="257"/>
        <v>17015.836149000002</v>
      </c>
      <c r="X73" s="247">
        <f t="shared" si="257"/>
        <v>8335.2936497999999</v>
      </c>
      <c r="Y73" s="247">
        <f t="shared" si="257"/>
        <v>8631.2212350000009</v>
      </c>
      <c r="Z73" s="247">
        <f t="shared" si="257"/>
        <v>8384.6149139999998</v>
      </c>
      <c r="AA73" s="247">
        <f t="shared" si="257"/>
        <v>14895.021788400001</v>
      </c>
      <c r="AB73" s="247">
        <f t="shared" si="257"/>
        <v>16621.2660354</v>
      </c>
      <c r="AC73" s="247">
        <f t="shared" si="257"/>
        <v>22983.709117200004</v>
      </c>
      <c r="AD73" s="247"/>
      <c r="AE73" s="247"/>
      <c r="AF73" s="247"/>
      <c r="AG73" s="247"/>
      <c r="AH73" s="247"/>
      <c r="AI73" s="247"/>
      <c r="AJ73" s="247"/>
      <c r="AK73" s="237"/>
      <c r="AL73" s="1125"/>
    </row>
    <row r="74" spans="1:38" ht="13.9">
      <c r="A74" s="427" t="s">
        <v>1605</v>
      </c>
      <c r="B74" s="427" t="s">
        <v>1606</v>
      </c>
      <c r="C74" s="853">
        <f ca="1">OFFSET(K75,0,COUNT(L75:AG75))</f>
        <v>115</v>
      </c>
      <c r="D74" s="46" t="s">
        <v>418</v>
      </c>
      <c r="E74" s="884">
        <f ca="1">((OFFSET(K75,0,COUNT(L75:X75)))/(OFFSET(K75,0,COUNT(L75:X75)-1)))-1</f>
        <v>6.9375</v>
      </c>
      <c r="F74" s="235" t="s">
        <v>1607</v>
      </c>
      <c r="G74" s="448" t="s">
        <v>1608</v>
      </c>
      <c r="H74" s="342" t="s">
        <v>1539</v>
      </c>
      <c r="I74" s="247">
        <v>1.0603</v>
      </c>
      <c r="J74" s="247">
        <v>28.961099999999998</v>
      </c>
      <c r="K74" s="238">
        <v>9134</v>
      </c>
      <c r="L74" s="238">
        <v>9140</v>
      </c>
      <c r="M74" s="238">
        <v>9217</v>
      </c>
      <c r="N74" s="238">
        <v>9302</v>
      </c>
      <c r="O74" s="238">
        <v>9429</v>
      </c>
      <c r="P74" s="238">
        <v>9535</v>
      </c>
      <c r="Q74" s="238">
        <v>9644</v>
      </c>
      <c r="R74" s="238">
        <v>9777</v>
      </c>
      <c r="S74" s="238">
        <v>9885</v>
      </c>
      <c r="T74" s="238">
        <v>10009</v>
      </c>
      <c r="U74" s="238">
        <v>10116</v>
      </c>
      <c r="V74" s="238">
        <v>10241</v>
      </c>
      <c r="W74" s="238">
        <v>10369</v>
      </c>
      <c r="X74" s="238">
        <v>11385</v>
      </c>
      <c r="Y74" s="238">
        <v>11541</v>
      </c>
      <c r="Z74" s="238">
        <v>11618</v>
      </c>
      <c r="AA74" s="238">
        <v>11729</v>
      </c>
      <c r="AB74" s="238">
        <v>11845</v>
      </c>
      <c r="AC74" s="238">
        <v>11997</v>
      </c>
      <c r="AD74" s="238">
        <v>12145</v>
      </c>
      <c r="AE74" s="238">
        <v>12283</v>
      </c>
      <c r="AF74" s="238">
        <v>12421</v>
      </c>
      <c r="AG74" s="238">
        <v>12536</v>
      </c>
      <c r="AH74" s="238">
        <v>12668</v>
      </c>
      <c r="AI74" s="238">
        <v>12931</v>
      </c>
      <c r="AJ74" s="238">
        <v>13413</v>
      </c>
      <c r="AK74" s="342">
        <f ca="1">OFFSET(K75,0,COUNT(L75:X75))</f>
        <v>1016</v>
      </c>
      <c r="AL74" s="1125">
        <f ca="1">AK74*I74*J74</f>
        <v>31198.773599279997</v>
      </c>
    </row>
    <row r="75" spans="1:38" ht="13.9">
      <c r="A75" s="861"/>
      <c r="B75" s="859"/>
      <c r="C75" s="241">
        <f ca="1">I74*J74*C74</f>
        <v>3531.3572479499999</v>
      </c>
      <c r="D75" s="46" t="s">
        <v>74</v>
      </c>
      <c r="E75" s="232"/>
      <c r="F75" s="232"/>
      <c r="G75" s="444"/>
      <c r="H75" s="342"/>
      <c r="I75" s="247"/>
      <c r="J75" s="247"/>
      <c r="K75" s="247"/>
      <c r="L75" s="247">
        <f t="shared" ref="L75:X75" si="258">IF(ISNUMBER(L74),L74-K74,"")</f>
        <v>6</v>
      </c>
      <c r="M75" s="247">
        <f t="shared" si="258"/>
        <v>77</v>
      </c>
      <c r="N75" s="247">
        <f t="shared" si="258"/>
        <v>85</v>
      </c>
      <c r="O75" s="247">
        <f t="shared" si="258"/>
        <v>127</v>
      </c>
      <c r="P75" s="247">
        <f t="shared" si="258"/>
        <v>106</v>
      </c>
      <c r="Q75" s="247">
        <f t="shared" si="258"/>
        <v>109</v>
      </c>
      <c r="R75" s="247">
        <f t="shared" si="258"/>
        <v>133</v>
      </c>
      <c r="S75" s="247">
        <f t="shared" si="258"/>
        <v>108</v>
      </c>
      <c r="T75" s="247">
        <f t="shared" si="258"/>
        <v>124</v>
      </c>
      <c r="U75" s="247">
        <f t="shared" si="258"/>
        <v>107</v>
      </c>
      <c r="V75" s="247">
        <f t="shared" si="258"/>
        <v>125</v>
      </c>
      <c r="W75" s="247">
        <f t="shared" si="258"/>
        <v>128</v>
      </c>
      <c r="X75" s="247">
        <f t="shared" si="258"/>
        <v>1016</v>
      </c>
      <c r="Y75" s="247">
        <f t="shared" ref="Y75" si="259">IF(ISNUMBER(Y74),Y74-X74,"")</f>
        <v>156</v>
      </c>
      <c r="Z75" s="247">
        <f t="shared" ref="Z75" si="260">IF(ISNUMBER(Z74),Z74-Y74,"")</f>
        <v>77</v>
      </c>
      <c r="AA75" s="247">
        <f t="shared" ref="AA75" si="261">IF(ISNUMBER(AA74),AA74-Z74,"")</f>
        <v>111</v>
      </c>
      <c r="AB75" s="247">
        <f t="shared" ref="AB75" si="262">IF(ISNUMBER(AB74),AB74-AA74,"")</f>
        <v>116</v>
      </c>
      <c r="AC75" s="247">
        <f t="shared" ref="AC75" si="263">IF(ISNUMBER(AC74),AC74-AB74,"")</f>
        <v>152</v>
      </c>
      <c r="AD75" s="247">
        <f t="shared" ref="AD75" si="264">IF(ISNUMBER(AD74),AD74-AC74,"")</f>
        <v>148</v>
      </c>
      <c r="AE75" s="247">
        <f t="shared" ref="AE75" si="265">IF(ISNUMBER(AE74),AE74-AD74,"")</f>
        <v>138</v>
      </c>
      <c r="AF75" s="247">
        <f t="shared" ref="AF75" si="266">IF(ISNUMBER(AF74),AF74-AE74,"")</f>
        <v>138</v>
      </c>
      <c r="AG75" s="247">
        <f t="shared" ref="AG75" si="267">IF(ISNUMBER(AG74),AG74-AF74,"")</f>
        <v>115</v>
      </c>
      <c r="AH75" s="247">
        <f t="shared" ref="AH75" si="268">IF(ISNUMBER(AH74),AH74-AG74,"")</f>
        <v>132</v>
      </c>
      <c r="AI75" s="247">
        <f t="shared" ref="AI75" si="269">IF(ISNUMBER(AI74),AI74-AH74,"")</f>
        <v>263</v>
      </c>
      <c r="AJ75" s="247">
        <f t="shared" ref="AJ75" si="270">IF(ISNUMBER(AJ74),AJ74-AI74,"")</f>
        <v>482</v>
      </c>
      <c r="AK75" s="237"/>
      <c r="AL75" s="1125"/>
    </row>
    <row r="76" spans="1:38" ht="14.45" thickBot="1">
      <c r="A76" s="861"/>
      <c r="B76" s="859"/>
      <c r="C76" s="241"/>
      <c r="D76" s="376"/>
      <c r="F76" s="232"/>
      <c r="G76" s="444"/>
      <c r="H76" s="342"/>
      <c r="I76" s="247"/>
      <c r="J76" s="247"/>
      <c r="K76" s="247"/>
      <c r="L76" s="247">
        <f>L75*$J74*$I74</f>
        <v>184.24472598</v>
      </c>
      <c r="M76" s="247">
        <f t="shared" ref="M76:AC76" si="271">M75*$J74*$I74</f>
        <v>2364.4739834100001</v>
      </c>
      <c r="N76" s="247">
        <f t="shared" si="271"/>
        <v>2610.1336180499998</v>
      </c>
      <c r="O76" s="247">
        <f t="shared" si="271"/>
        <v>3899.8466999099996</v>
      </c>
      <c r="P76" s="247">
        <f t="shared" si="271"/>
        <v>3254.9901589799997</v>
      </c>
      <c r="Q76" s="247">
        <f t="shared" si="271"/>
        <v>3347.1125219700002</v>
      </c>
      <c r="R76" s="247">
        <f t="shared" si="271"/>
        <v>4084.0914258899998</v>
      </c>
      <c r="S76" s="247">
        <f t="shared" si="271"/>
        <v>3316.4050676400002</v>
      </c>
      <c r="T76" s="247">
        <f t="shared" si="271"/>
        <v>3807.72433692</v>
      </c>
      <c r="U76" s="247">
        <f t="shared" si="271"/>
        <v>3285.6976133100002</v>
      </c>
      <c r="V76" s="247">
        <f t="shared" si="271"/>
        <v>3838.4317912500001</v>
      </c>
      <c r="W76" s="247">
        <f t="shared" si="271"/>
        <v>3930.5541542399997</v>
      </c>
      <c r="X76" s="247">
        <f t="shared" si="271"/>
        <v>31198.773599279997</v>
      </c>
      <c r="Y76" s="247">
        <f t="shared" si="271"/>
        <v>4790.3628754800002</v>
      </c>
      <c r="Z76" s="247">
        <f t="shared" si="271"/>
        <v>2364.4739834100001</v>
      </c>
      <c r="AA76" s="247">
        <f t="shared" si="271"/>
        <v>3408.5274306300003</v>
      </c>
      <c r="AB76" s="247">
        <f t="shared" si="271"/>
        <v>3562.0647022799999</v>
      </c>
      <c r="AC76" s="247">
        <f t="shared" si="271"/>
        <v>4667.5330581600001</v>
      </c>
      <c r="AD76" s="247"/>
      <c r="AE76" s="247"/>
      <c r="AF76" s="247"/>
      <c r="AG76" s="247"/>
      <c r="AH76" s="247"/>
      <c r="AI76" s="247"/>
      <c r="AJ76" s="247"/>
      <c r="AK76" s="237"/>
      <c r="AL76" s="1125"/>
    </row>
    <row r="77" spans="1:38" ht="13.9">
      <c r="A77" s="861" t="s">
        <v>1609</v>
      </c>
      <c r="B77" s="859" t="s">
        <v>1610</v>
      </c>
      <c r="C77" s="853">
        <f ca="1">OFFSET(K78,0,COUNT(L78:AG78))</f>
        <v>805</v>
      </c>
      <c r="D77" s="378" t="s">
        <v>418</v>
      </c>
      <c r="E77" s="884">
        <f ca="1">((OFFSET(K78,0,COUNT(L78:AB78)))/(OFFSET(K78,0,COUNT(L78:AB78)-1)))-1</f>
        <v>-2.0618556701030966E-2</v>
      </c>
      <c r="F77" s="232" t="s">
        <v>1611</v>
      </c>
      <c r="G77" s="444" t="s">
        <v>1612</v>
      </c>
      <c r="H77" s="342" t="s">
        <v>1539</v>
      </c>
      <c r="I77" s="247">
        <v>1.5317000000000001</v>
      </c>
      <c r="J77" s="247">
        <v>28.951599999999999</v>
      </c>
      <c r="K77" s="238">
        <v>38132</v>
      </c>
      <c r="L77" s="238">
        <v>38190</v>
      </c>
      <c r="M77" s="238">
        <v>38256</v>
      </c>
      <c r="N77" s="238">
        <v>38361</v>
      </c>
      <c r="O77" s="238">
        <v>38555</v>
      </c>
      <c r="P77" s="238">
        <v>38725</v>
      </c>
      <c r="Q77" s="238">
        <v>38999</v>
      </c>
      <c r="R77" s="238">
        <v>39215</v>
      </c>
      <c r="S77" s="238">
        <v>39450</v>
      </c>
      <c r="T77" s="238">
        <v>39737</v>
      </c>
      <c r="U77" s="238">
        <v>39999</v>
      </c>
      <c r="V77" s="238">
        <v>40259</v>
      </c>
      <c r="W77" s="238">
        <v>40383</v>
      </c>
      <c r="X77" s="238">
        <v>40462</v>
      </c>
      <c r="Y77" s="238">
        <v>40537</v>
      </c>
      <c r="Z77" s="238">
        <v>40645</v>
      </c>
      <c r="AA77" s="238">
        <v>40839</v>
      </c>
      <c r="AB77" s="238">
        <v>41029</v>
      </c>
      <c r="AC77" s="238">
        <v>41253</v>
      </c>
      <c r="AD77" s="238">
        <v>41473</v>
      </c>
      <c r="AE77" s="238">
        <v>41473</v>
      </c>
      <c r="AF77" s="238">
        <v>41473</v>
      </c>
      <c r="AG77" s="238">
        <v>42278</v>
      </c>
      <c r="AH77" s="238">
        <v>42574</v>
      </c>
      <c r="AI77" s="238">
        <v>42708</v>
      </c>
      <c r="AJ77" s="673">
        <v>42741</v>
      </c>
      <c r="AK77" s="342">
        <f ca="1">OFFSET(K78,0,COUNT(L78:X78))</f>
        <v>79</v>
      </c>
      <c r="AL77" s="1125">
        <f ca="1">AK77*I77*J77</f>
        <v>3503.2680918799997</v>
      </c>
    </row>
    <row r="78" spans="1:38" ht="13.9">
      <c r="A78" s="861"/>
      <c r="B78" s="859"/>
      <c r="C78" s="241">
        <f ca="1">I77*J77*C77</f>
        <v>35697.858404599996</v>
      </c>
      <c r="D78" s="376" t="s">
        <v>74</v>
      </c>
      <c r="E78" s="232"/>
      <c r="F78" s="232"/>
      <c r="G78" s="444"/>
      <c r="H78" s="342"/>
      <c r="I78" s="247"/>
      <c r="J78" s="247"/>
      <c r="K78" s="247"/>
      <c r="L78" s="247">
        <f t="shared" ref="L78:X78" si="272">IF(ISNUMBER(L77),L77-K77,"")</f>
        <v>58</v>
      </c>
      <c r="M78" s="247">
        <f t="shared" si="272"/>
        <v>66</v>
      </c>
      <c r="N78" s="247">
        <f t="shared" si="272"/>
        <v>105</v>
      </c>
      <c r="O78" s="247">
        <f t="shared" si="272"/>
        <v>194</v>
      </c>
      <c r="P78" s="247">
        <f t="shared" si="272"/>
        <v>170</v>
      </c>
      <c r="Q78" s="247">
        <f t="shared" si="272"/>
        <v>274</v>
      </c>
      <c r="R78" s="247">
        <f t="shared" si="272"/>
        <v>216</v>
      </c>
      <c r="S78" s="247">
        <f t="shared" si="272"/>
        <v>235</v>
      </c>
      <c r="T78" s="247">
        <f t="shared" si="272"/>
        <v>287</v>
      </c>
      <c r="U78" s="247">
        <f t="shared" si="272"/>
        <v>262</v>
      </c>
      <c r="V78" s="247">
        <f t="shared" si="272"/>
        <v>260</v>
      </c>
      <c r="W78" s="247">
        <f t="shared" si="272"/>
        <v>124</v>
      </c>
      <c r="X78" s="247">
        <f t="shared" si="272"/>
        <v>79</v>
      </c>
      <c r="Y78" s="247">
        <f t="shared" ref="Y78" si="273">IF(ISNUMBER(Y77),Y77-X77,"")</f>
        <v>75</v>
      </c>
      <c r="Z78" s="247">
        <f t="shared" ref="Z78" si="274">IF(ISNUMBER(Z77),Z77-Y77,"")</f>
        <v>108</v>
      </c>
      <c r="AA78" s="247">
        <f t="shared" ref="AA78" si="275">IF(ISNUMBER(AA77),AA77-Z77,"")</f>
        <v>194</v>
      </c>
      <c r="AB78" s="247">
        <f t="shared" ref="AB78" si="276">IF(ISNUMBER(AB77),AB77-AA77,"")</f>
        <v>190</v>
      </c>
      <c r="AC78" s="247">
        <f t="shared" ref="AC78" si="277">IF(ISNUMBER(AC77),AC77-AB77,"")</f>
        <v>224</v>
      </c>
      <c r="AD78" s="247">
        <f>IF(ISNUMBER(AD77),AD77-AC77,"")</f>
        <v>220</v>
      </c>
      <c r="AE78" s="247">
        <f t="shared" ref="AE78" si="278">IF(ISNUMBER(AE77),AE77-AD77,"")</f>
        <v>0</v>
      </c>
      <c r="AF78" s="247">
        <f t="shared" ref="AF78" si="279">IF(ISNUMBER(AF77),AF77-AE77,"")</f>
        <v>0</v>
      </c>
      <c r="AG78" s="247">
        <f t="shared" ref="AG78" si="280">IF(ISNUMBER(AG77),AG77-AF77,"")</f>
        <v>805</v>
      </c>
      <c r="AH78" s="247">
        <f t="shared" ref="AH78" si="281">IF(ISNUMBER(AH77),AH77-AG77,"")</f>
        <v>296</v>
      </c>
      <c r="AI78" s="247">
        <f t="shared" ref="AI78" si="282">IF(ISNUMBER(AI77),AI77-AH77,"")</f>
        <v>134</v>
      </c>
      <c r="AJ78" s="247">
        <f t="shared" ref="AJ78" si="283">IF(ISNUMBER(AJ77),AJ77-AI77,"")</f>
        <v>33</v>
      </c>
      <c r="AK78" s="237"/>
      <c r="AL78" s="1125"/>
    </row>
    <row r="79" spans="1:38" ht="14.45" thickBot="1">
      <c r="A79" s="861"/>
      <c r="B79" s="859"/>
      <c r="C79" s="241"/>
      <c r="D79" s="376"/>
      <c r="F79" s="232"/>
      <c r="G79" s="444"/>
      <c r="H79" s="342"/>
      <c r="I79" s="247"/>
      <c r="J79" s="247"/>
      <c r="K79" s="247"/>
      <c r="L79" s="247">
        <f>L78*$J77*$I77</f>
        <v>2572.0196117600003</v>
      </c>
      <c r="M79" s="247">
        <f t="shared" ref="M79:AC79" si="284">M78*$J77*$I77</f>
        <v>2926.78093752</v>
      </c>
      <c r="N79" s="247">
        <f t="shared" si="284"/>
        <v>4656.2424006000001</v>
      </c>
      <c r="O79" s="247">
        <f t="shared" si="284"/>
        <v>8602.9621496799991</v>
      </c>
      <c r="P79" s="247">
        <f t="shared" si="284"/>
        <v>7538.6781724000002</v>
      </c>
      <c r="Q79" s="247">
        <f t="shared" si="284"/>
        <v>12150.575407280001</v>
      </c>
      <c r="R79" s="247">
        <f t="shared" si="284"/>
        <v>9578.5557955200002</v>
      </c>
      <c r="S79" s="247">
        <f t="shared" si="284"/>
        <v>10421.1139442</v>
      </c>
      <c r="T79" s="247">
        <f t="shared" si="284"/>
        <v>12727.062561639999</v>
      </c>
      <c r="U79" s="247">
        <f t="shared" si="284"/>
        <v>11618.433418640001</v>
      </c>
      <c r="V79" s="247">
        <f t="shared" si="284"/>
        <v>11529.7430872</v>
      </c>
      <c r="W79" s="247">
        <f t="shared" si="284"/>
        <v>5498.8005492800003</v>
      </c>
      <c r="X79" s="247">
        <f t="shared" si="284"/>
        <v>3503.2680918799997</v>
      </c>
      <c r="Y79" s="247">
        <f t="shared" si="284"/>
        <v>3325.8874289999999</v>
      </c>
      <c r="Z79" s="247">
        <f t="shared" si="284"/>
        <v>4789.2778977600001</v>
      </c>
      <c r="AA79" s="247">
        <f t="shared" si="284"/>
        <v>8602.9621496799991</v>
      </c>
      <c r="AB79" s="247">
        <f t="shared" si="284"/>
        <v>8425.5814867999998</v>
      </c>
      <c r="AC79" s="247">
        <f t="shared" si="284"/>
        <v>9933.3171212800007</v>
      </c>
      <c r="AD79" s="247"/>
      <c r="AE79" s="247"/>
      <c r="AF79" s="247"/>
      <c r="AG79" s="247"/>
      <c r="AH79" s="247"/>
      <c r="AI79" s="247"/>
      <c r="AJ79" s="247"/>
      <c r="AK79" s="237"/>
      <c r="AL79" s="1125"/>
    </row>
    <row r="80" spans="1:38" ht="13.9">
      <c r="A80" s="861" t="s">
        <v>1613</v>
      </c>
      <c r="B80" s="859" t="s">
        <v>1614</v>
      </c>
      <c r="C80" s="853">
        <f ca="1">OFFSET(K81,0,COUNT(L81:AG81))</f>
        <v>288</v>
      </c>
      <c r="D80" s="378" t="s">
        <v>418</v>
      </c>
      <c r="E80" s="884">
        <f ca="1">((OFFSET(K81,0,COUNT(L81:AB81)))/(OFFSET(K81,0,COUNT(L81:AB81)-1)))-1</f>
        <v>0.18918918918918926</v>
      </c>
      <c r="F80" s="232" t="s">
        <v>1615</v>
      </c>
      <c r="G80" s="444" t="s">
        <v>1616</v>
      </c>
      <c r="H80" s="342" t="s">
        <v>1578</v>
      </c>
      <c r="I80" s="247">
        <v>1.0470999999999999</v>
      </c>
      <c r="J80" s="247">
        <v>29.097200000000001</v>
      </c>
      <c r="K80" s="238">
        <v>37144</v>
      </c>
      <c r="L80" s="238">
        <v>37264</v>
      </c>
      <c r="M80" s="238">
        <v>37368</v>
      </c>
      <c r="N80" s="238">
        <v>37638</v>
      </c>
      <c r="O80" s="238">
        <v>38032</v>
      </c>
      <c r="P80" s="238">
        <v>38368</v>
      </c>
      <c r="Q80" s="238">
        <v>38849</v>
      </c>
      <c r="R80" s="238">
        <v>39257</v>
      </c>
      <c r="S80" s="238">
        <v>39573</v>
      </c>
      <c r="T80" s="238">
        <v>39913</v>
      </c>
      <c r="U80" s="238">
        <v>40211</v>
      </c>
      <c r="V80" s="238">
        <v>40513</v>
      </c>
      <c r="W80" s="238">
        <v>40707</v>
      </c>
      <c r="X80" s="238">
        <v>40823</v>
      </c>
      <c r="Y80" s="1065">
        <v>40537</v>
      </c>
      <c r="Z80" s="238">
        <v>41523</v>
      </c>
      <c r="AA80" s="238">
        <v>41782</v>
      </c>
      <c r="AB80" s="238">
        <v>42090</v>
      </c>
      <c r="AC80" s="238">
        <v>42396</v>
      </c>
      <c r="AD80" s="238">
        <v>42396</v>
      </c>
      <c r="AE80" s="238">
        <v>42703</v>
      </c>
      <c r="AF80" s="238">
        <v>43033</v>
      </c>
      <c r="AG80" s="238">
        <v>43321</v>
      </c>
      <c r="AH80" s="238">
        <v>43653</v>
      </c>
      <c r="AI80" s="238">
        <v>43830</v>
      </c>
      <c r="AJ80" s="673">
        <v>43988</v>
      </c>
      <c r="AK80" s="342">
        <f ca="1">OFFSET(K81,0,COUNT(L81:X81))</f>
        <v>116</v>
      </c>
      <c r="AL80" s="1125">
        <f ca="1">AK80*I80*J80</f>
        <v>3534.2506619199999</v>
      </c>
    </row>
    <row r="81" spans="1:38" ht="13.9">
      <c r="A81" s="861"/>
      <c r="B81" s="859"/>
      <c r="C81" s="241">
        <f ca="1">I80*J80*C80</f>
        <v>8774.6912985599993</v>
      </c>
      <c r="D81" s="376" t="s">
        <v>74</v>
      </c>
      <c r="E81" s="232"/>
      <c r="F81" s="232"/>
      <c r="G81" s="444"/>
      <c r="H81" s="342"/>
      <c r="I81" s="247"/>
      <c r="J81" s="247"/>
      <c r="K81" s="247"/>
      <c r="L81" s="247">
        <f t="shared" ref="L81:X81" si="285">IF(ISNUMBER(L80),L80-K80,"")</f>
        <v>120</v>
      </c>
      <c r="M81" s="247">
        <f t="shared" si="285"/>
        <v>104</v>
      </c>
      <c r="N81" s="247">
        <f t="shared" si="285"/>
        <v>270</v>
      </c>
      <c r="O81" s="247">
        <f t="shared" si="285"/>
        <v>394</v>
      </c>
      <c r="P81" s="247">
        <f t="shared" si="285"/>
        <v>336</v>
      </c>
      <c r="Q81" s="247">
        <f t="shared" si="285"/>
        <v>481</v>
      </c>
      <c r="R81" s="247">
        <f t="shared" si="285"/>
        <v>408</v>
      </c>
      <c r="S81" s="247">
        <f t="shared" si="285"/>
        <v>316</v>
      </c>
      <c r="T81" s="247">
        <f t="shared" si="285"/>
        <v>340</v>
      </c>
      <c r="U81" s="247">
        <f t="shared" si="285"/>
        <v>298</v>
      </c>
      <c r="V81" s="247">
        <f t="shared" si="285"/>
        <v>302</v>
      </c>
      <c r="W81" s="247">
        <f t="shared" si="285"/>
        <v>194</v>
      </c>
      <c r="X81" s="247">
        <f t="shared" si="285"/>
        <v>116</v>
      </c>
      <c r="Y81" s="247">
        <f t="shared" ref="Y81" si="286">IF(ISNUMBER(Y80),Y80-X80,"")</f>
        <v>-286</v>
      </c>
      <c r="Z81" s="247">
        <f t="shared" ref="Z81" si="287">IF(ISNUMBER(Z80),Z80-Y80,"")</f>
        <v>986</v>
      </c>
      <c r="AA81" s="247">
        <f t="shared" ref="AA81" si="288">IF(ISNUMBER(AA80),AA80-Z80,"")</f>
        <v>259</v>
      </c>
      <c r="AB81" s="247">
        <f t="shared" ref="AB81" si="289">IF(ISNUMBER(AB80),AB80-AA80,"")</f>
        <v>308</v>
      </c>
      <c r="AC81" s="247">
        <f t="shared" ref="AC81" si="290">IF(ISNUMBER(AC80),AC80-AB80,"")</f>
        <v>306</v>
      </c>
      <c r="AD81" s="247">
        <f t="shared" ref="AD81" si="291">IF(ISNUMBER(AD80),AD80-AC80,"")</f>
        <v>0</v>
      </c>
      <c r="AE81" s="247">
        <f t="shared" ref="AE81" si="292">IF(ISNUMBER(AE80),AE80-AD80,"")</f>
        <v>307</v>
      </c>
      <c r="AF81" s="247">
        <f t="shared" ref="AF81" si="293">IF(ISNUMBER(AF80),AF80-AE80,"")</f>
        <v>330</v>
      </c>
      <c r="AG81" s="247">
        <f t="shared" ref="AG81" si="294">IF(ISNUMBER(AG80),AG80-AF80,"")</f>
        <v>288</v>
      </c>
      <c r="AH81" s="247">
        <f t="shared" ref="AH81" si="295">IF(ISNUMBER(AH80),AH80-AG80,"")</f>
        <v>332</v>
      </c>
      <c r="AI81" s="247">
        <f t="shared" ref="AI81" si="296">IF(ISNUMBER(AI80),AI80-AH80,"")</f>
        <v>177</v>
      </c>
      <c r="AJ81" s="247">
        <f t="shared" ref="AJ81" si="297">IF(ISNUMBER(AJ80),AJ80-AI80,"")</f>
        <v>158</v>
      </c>
      <c r="AK81" s="237"/>
      <c r="AL81" s="1125"/>
    </row>
    <row r="82" spans="1:38" ht="13.9">
      <c r="A82" s="861"/>
      <c r="B82" s="859"/>
      <c r="C82" s="241"/>
      <c r="D82" s="376"/>
      <c r="F82" s="232"/>
      <c r="G82" s="444"/>
      <c r="H82" s="342"/>
      <c r="I82" s="247"/>
      <c r="J82" s="247"/>
      <c r="K82" s="247"/>
      <c r="L82" s="247">
        <f>L81*$J80*$I80</f>
        <v>3656.1213744000001</v>
      </c>
      <c r="M82" s="247">
        <f t="shared" ref="M82:AC82" si="298">M81*$J80*$I80</f>
        <v>3168.6385244799999</v>
      </c>
      <c r="N82" s="247">
        <f t="shared" si="298"/>
        <v>8226.2730924000007</v>
      </c>
      <c r="O82" s="247">
        <f t="shared" si="298"/>
        <v>12004.265179279999</v>
      </c>
      <c r="P82" s="247">
        <f t="shared" si="298"/>
        <v>10237.139848319999</v>
      </c>
      <c r="Q82" s="247">
        <f t="shared" si="298"/>
        <v>14654.95317572</v>
      </c>
      <c r="R82" s="247">
        <f t="shared" si="298"/>
        <v>12430.812672959999</v>
      </c>
      <c r="S82" s="247">
        <f t="shared" si="298"/>
        <v>9627.7862859199995</v>
      </c>
      <c r="T82" s="247">
        <f t="shared" si="298"/>
        <v>10359.010560799999</v>
      </c>
      <c r="U82" s="247">
        <f t="shared" si="298"/>
        <v>9079.3680797599991</v>
      </c>
      <c r="V82" s="247">
        <f t="shared" si="298"/>
        <v>9201.2387922399994</v>
      </c>
      <c r="W82" s="247">
        <f t="shared" si="298"/>
        <v>5910.7295552799997</v>
      </c>
      <c r="X82" s="247">
        <f t="shared" si="298"/>
        <v>3534.2506619199999</v>
      </c>
      <c r="Y82" s="247">
        <f t="shared" si="298"/>
        <v>-8713.7559423199982</v>
      </c>
      <c r="Z82" s="247">
        <f t="shared" si="298"/>
        <v>30041.130626319999</v>
      </c>
      <c r="AA82" s="247">
        <f t="shared" si="298"/>
        <v>7891.1286330799994</v>
      </c>
      <c r="AB82" s="247">
        <f t="shared" si="298"/>
        <v>9384.0448609600007</v>
      </c>
      <c r="AC82" s="247">
        <f t="shared" si="298"/>
        <v>9323.1095047199997</v>
      </c>
      <c r="AD82" s="247"/>
      <c r="AE82" s="247"/>
      <c r="AF82" s="247"/>
      <c r="AG82" s="247"/>
      <c r="AH82" s="247"/>
      <c r="AI82" s="247"/>
      <c r="AJ82" s="247"/>
      <c r="AK82" s="237"/>
      <c r="AL82" s="1125"/>
    </row>
    <row r="83" spans="1:38" ht="13.9">
      <c r="A83" s="861"/>
      <c r="B83" s="859" t="s">
        <v>1617</v>
      </c>
      <c r="C83" s="853">
        <f ca="1">OFFSET(K84,0,COUNT(L84:AG84))</f>
        <v>2</v>
      </c>
      <c r="D83" s="46" t="s">
        <v>418</v>
      </c>
      <c r="E83" s="884" t="e">
        <f ca="1">((OFFSET(K84,0,COUNT(L84:AB84)))/(OFFSET(K84,0,COUNT(L84:AB84)-1)))-1</f>
        <v>#DIV/0!</v>
      </c>
      <c r="F83" s="251" t="s">
        <v>1618</v>
      </c>
      <c r="G83" s="449" t="s">
        <v>1619</v>
      </c>
      <c r="H83" s="237" t="s">
        <v>1539</v>
      </c>
      <c r="I83" s="247">
        <v>1.0603</v>
      </c>
      <c r="J83" s="247">
        <v>28.987100000000002</v>
      </c>
      <c r="K83" s="238">
        <v>1042</v>
      </c>
      <c r="L83" s="238">
        <v>1042</v>
      </c>
      <c r="M83" s="238">
        <v>1042</v>
      </c>
      <c r="N83" s="238">
        <v>1042</v>
      </c>
      <c r="O83" s="238">
        <v>1042</v>
      </c>
      <c r="P83" s="238">
        <v>1044</v>
      </c>
      <c r="Q83" s="238">
        <v>1061</v>
      </c>
      <c r="R83" s="238">
        <v>1074</v>
      </c>
      <c r="S83" s="238">
        <v>1075</v>
      </c>
      <c r="T83" s="238">
        <v>1081</v>
      </c>
      <c r="U83" s="238">
        <v>1086</v>
      </c>
      <c r="V83" s="238">
        <v>1095</v>
      </c>
      <c r="W83" s="238">
        <v>1096</v>
      </c>
      <c r="X83" s="238">
        <v>1096</v>
      </c>
      <c r="Y83" s="238">
        <v>1096</v>
      </c>
      <c r="Z83" s="238">
        <v>1096</v>
      </c>
      <c r="AA83" s="238">
        <v>1096</v>
      </c>
      <c r="AB83" s="238">
        <v>1102</v>
      </c>
      <c r="AC83" s="238">
        <v>1110</v>
      </c>
      <c r="AD83" s="238">
        <v>1149</v>
      </c>
      <c r="AE83" s="238">
        <v>1170</v>
      </c>
      <c r="AF83" s="238">
        <v>1186</v>
      </c>
      <c r="AG83" s="673">
        <v>1188</v>
      </c>
      <c r="AH83" s="238">
        <v>1189</v>
      </c>
      <c r="AI83" s="238">
        <v>1189</v>
      </c>
      <c r="AJ83" s="238">
        <v>1189</v>
      </c>
      <c r="AK83" s="342">
        <f ca="1">OFFSET(K84,0,COUNT(L84:X84))</f>
        <v>0</v>
      </c>
      <c r="AL83" s="1125">
        <f ca="1">AK83*I83*J83</f>
        <v>0</v>
      </c>
    </row>
    <row r="84" spans="1:38" ht="13.9">
      <c r="A84" s="861"/>
      <c r="B84" s="859"/>
      <c r="C84" s="241">
        <f ca="1">I83*J83*C83</f>
        <v>61.470044260000002</v>
      </c>
      <c r="D84" s="46" t="s">
        <v>74</v>
      </c>
      <c r="E84" s="251"/>
      <c r="F84" s="251"/>
      <c r="G84" s="449"/>
      <c r="H84" s="232"/>
      <c r="I84" s="248"/>
      <c r="J84" s="248"/>
      <c r="K84" s="247"/>
      <c r="L84" s="247">
        <f t="shared" ref="L84:X84" si="299">IF(ISNUMBER(L83),L83-K83,"")</f>
        <v>0</v>
      </c>
      <c r="M84" s="247">
        <f t="shared" si="299"/>
        <v>0</v>
      </c>
      <c r="N84" s="247">
        <f t="shared" si="299"/>
        <v>0</v>
      </c>
      <c r="O84" s="247">
        <f t="shared" si="299"/>
        <v>0</v>
      </c>
      <c r="P84" s="247">
        <f t="shared" si="299"/>
        <v>2</v>
      </c>
      <c r="Q84" s="247">
        <f t="shared" si="299"/>
        <v>17</v>
      </c>
      <c r="R84" s="247">
        <f t="shared" si="299"/>
        <v>13</v>
      </c>
      <c r="S84" s="247">
        <f t="shared" si="299"/>
        <v>1</v>
      </c>
      <c r="T84" s="247">
        <f t="shared" si="299"/>
        <v>6</v>
      </c>
      <c r="U84" s="247">
        <f t="shared" si="299"/>
        <v>5</v>
      </c>
      <c r="V84" s="247">
        <f t="shared" si="299"/>
        <v>9</v>
      </c>
      <c r="W84" s="247">
        <f t="shared" si="299"/>
        <v>1</v>
      </c>
      <c r="X84" s="247">
        <f t="shared" si="299"/>
        <v>0</v>
      </c>
      <c r="Y84" s="247">
        <f t="shared" ref="Y84" si="300">IF(ISNUMBER(Y83),Y83-X83,"")</f>
        <v>0</v>
      </c>
      <c r="Z84" s="247">
        <f t="shared" ref="Z84" si="301">IF(ISNUMBER(Z83),Z83-Y83,"")</f>
        <v>0</v>
      </c>
      <c r="AA84" s="247">
        <f t="shared" ref="AA84" si="302">IF(ISNUMBER(AA83),AA83-Z83,"")</f>
        <v>0</v>
      </c>
      <c r="AB84" s="247">
        <f t="shared" ref="AB84" si="303">IF(ISNUMBER(AB83),AB83-AA83,"")</f>
        <v>6</v>
      </c>
      <c r="AC84" s="247">
        <f t="shared" ref="AC84" si="304">IF(ISNUMBER(AC83),AC83-AB83,"")</f>
        <v>8</v>
      </c>
      <c r="AD84" s="247">
        <f t="shared" ref="AD84" si="305">IF(ISNUMBER(AD83),AD83-AC83,"")</f>
        <v>39</v>
      </c>
      <c r="AE84" s="247">
        <f t="shared" ref="AE84" si="306">IF(ISNUMBER(AE83),AE83-AD83,"")</f>
        <v>21</v>
      </c>
      <c r="AF84" s="247">
        <f t="shared" ref="AF84" si="307">IF(ISNUMBER(AF83),AF83-AE83,"")</f>
        <v>16</v>
      </c>
      <c r="AG84" s="247">
        <f t="shared" ref="AG84" si="308">IF(ISNUMBER(AG83),AG83-AF83,"")</f>
        <v>2</v>
      </c>
      <c r="AH84" s="247">
        <f t="shared" ref="AH84" si="309">IF(ISNUMBER(AH83),AH83-AG83,"")</f>
        <v>1</v>
      </c>
      <c r="AI84" s="247">
        <f t="shared" ref="AI84" si="310">IF(ISNUMBER(AI83),AI83-AH83,"")</f>
        <v>0</v>
      </c>
      <c r="AJ84" s="247">
        <f t="shared" ref="AJ84" si="311">IF(ISNUMBER(AJ83),AJ83-AI83,"")</f>
        <v>0</v>
      </c>
      <c r="AK84" s="237"/>
      <c r="AL84" s="1125"/>
    </row>
    <row r="85" spans="1:38" ht="13.9">
      <c r="A85" s="861"/>
      <c r="B85" s="859"/>
      <c r="C85" s="241"/>
      <c r="D85" s="40"/>
      <c r="E85" s="251"/>
      <c r="F85" s="251"/>
      <c r="G85" s="449"/>
      <c r="H85" s="232"/>
      <c r="I85" s="248"/>
      <c r="J85" s="248"/>
      <c r="K85" s="248"/>
      <c r="L85" s="247">
        <f>L84*$J83*$I83</f>
        <v>0</v>
      </c>
      <c r="M85" s="247">
        <f t="shared" ref="M85:AD85" si="312">M84*$J83*$I83</f>
        <v>0</v>
      </c>
      <c r="N85" s="247">
        <f t="shared" si="312"/>
        <v>0</v>
      </c>
      <c r="O85" s="247">
        <f t="shared" si="312"/>
        <v>0</v>
      </c>
      <c r="P85" s="247">
        <f t="shared" si="312"/>
        <v>61.470044260000002</v>
      </c>
      <c r="Q85" s="247">
        <f t="shared" si="312"/>
        <v>522.49537621000002</v>
      </c>
      <c r="R85" s="247">
        <f t="shared" si="312"/>
        <v>399.55528769000006</v>
      </c>
      <c r="S85" s="247">
        <f t="shared" si="312"/>
        <v>30.735022130000001</v>
      </c>
      <c r="T85" s="247">
        <f t="shared" si="312"/>
        <v>184.41013278000003</v>
      </c>
      <c r="U85" s="247">
        <f t="shared" si="312"/>
        <v>153.67511065000002</v>
      </c>
      <c r="V85" s="247">
        <f t="shared" si="312"/>
        <v>276.61519917000004</v>
      </c>
      <c r="W85" s="247">
        <f t="shared" si="312"/>
        <v>30.735022130000001</v>
      </c>
      <c r="X85" s="247">
        <f t="shared" si="312"/>
        <v>0</v>
      </c>
      <c r="Y85" s="247">
        <f t="shared" si="312"/>
        <v>0</v>
      </c>
      <c r="Z85" s="247">
        <f t="shared" si="312"/>
        <v>0</v>
      </c>
      <c r="AA85" s="247">
        <f t="shared" si="312"/>
        <v>0</v>
      </c>
      <c r="AB85" s="247">
        <f t="shared" si="312"/>
        <v>184.41013278000003</v>
      </c>
      <c r="AC85" s="247">
        <f t="shared" si="312"/>
        <v>245.88017704000001</v>
      </c>
      <c r="AD85" s="247">
        <f t="shared" si="312"/>
        <v>1198.6658630700001</v>
      </c>
      <c r="AE85" s="248"/>
      <c r="AF85" s="248"/>
      <c r="AG85" s="248"/>
      <c r="AH85" s="248"/>
      <c r="AI85" s="248"/>
      <c r="AJ85" s="248"/>
      <c r="AK85" s="232"/>
      <c r="AL85" s="1227"/>
    </row>
    <row r="86" spans="1:38">
      <c r="A86" s="861"/>
      <c r="B86" s="859"/>
      <c r="C86" s="855"/>
      <c r="D86" s="232"/>
      <c r="E86" s="232"/>
      <c r="F86" s="232"/>
      <c r="G86" s="444"/>
      <c r="H86" s="232"/>
      <c r="I86" s="248"/>
      <c r="J86" s="248"/>
      <c r="K86" s="248"/>
      <c r="L86" s="248"/>
      <c r="M86" s="248"/>
      <c r="N86" s="248"/>
      <c r="O86" s="248"/>
      <c r="P86" s="248"/>
      <c r="Q86" s="248"/>
      <c r="R86" s="248"/>
      <c r="S86" s="248"/>
      <c r="T86" s="248"/>
      <c r="U86" s="248"/>
      <c r="V86" s="248"/>
      <c r="W86" s="248"/>
      <c r="X86" s="248"/>
      <c r="Y86" s="248"/>
      <c r="Z86" s="248"/>
      <c r="AA86" s="248"/>
      <c r="AB86" s="248"/>
      <c r="AC86" s="248"/>
      <c r="AD86" s="248"/>
      <c r="AE86" s="248"/>
      <c r="AF86" s="248"/>
      <c r="AG86" s="248"/>
      <c r="AH86" s="248"/>
      <c r="AI86" s="248"/>
      <c r="AJ86" s="248"/>
      <c r="AK86" s="232"/>
      <c r="AL86" s="445"/>
    </row>
    <row r="87" spans="1:38" ht="13.9" thickBot="1">
      <c r="A87" s="851"/>
      <c r="B87" s="429" t="s">
        <v>1620</v>
      </c>
      <c r="C87" s="856"/>
      <c r="D87" s="851"/>
      <c r="E87" s="851"/>
      <c r="F87" s="231"/>
      <c r="G87" s="446"/>
      <c r="H87" s="231"/>
      <c r="I87" s="249"/>
      <c r="J87" s="249"/>
      <c r="K87" s="231"/>
      <c r="L87" s="231"/>
      <c r="M87" s="231"/>
      <c r="N87" s="231"/>
      <c r="O87" s="231"/>
      <c r="P87" s="231"/>
      <c r="Q87" s="231"/>
      <c r="R87" s="231"/>
      <c r="S87" s="231"/>
      <c r="T87" s="231"/>
      <c r="U87" s="231"/>
      <c r="V87" s="231"/>
      <c r="W87" s="231"/>
      <c r="X87" s="231"/>
      <c r="Y87" s="231"/>
      <c r="Z87" s="231"/>
      <c r="AA87" s="231"/>
      <c r="AB87" s="231"/>
      <c r="AC87" s="231"/>
      <c r="AD87" s="231"/>
      <c r="AE87" s="231"/>
      <c r="AF87" s="231"/>
      <c r="AG87" s="231"/>
      <c r="AH87" s="231"/>
      <c r="AI87" s="231"/>
      <c r="AJ87" s="231"/>
      <c r="AK87" s="231"/>
      <c r="AL87" s="447"/>
    </row>
    <row r="88" spans="1:38" ht="13.9">
      <c r="A88" s="427" t="s">
        <v>1621</v>
      </c>
      <c r="B88" s="427" t="s">
        <v>1622</v>
      </c>
      <c r="C88" s="853">
        <f ca="1">OFFSET(K89,0,COUNT(L89:AG89))</f>
        <v>0</v>
      </c>
      <c r="D88" s="378" t="s">
        <v>418</v>
      </c>
      <c r="E88" s="884">
        <f ca="1">((OFFSET(K89,0,COUNT(L89:AB89)))/(OFFSET(K89,0,COUNT(L89:AB89)-1)))-1</f>
        <v>-1</v>
      </c>
      <c r="F88" s="235" t="s">
        <v>1623</v>
      </c>
      <c r="G88" s="443" t="s">
        <v>1624</v>
      </c>
      <c r="H88" s="342" t="s">
        <v>1539</v>
      </c>
      <c r="I88" s="509">
        <v>1.0625</v>
      </c>
      <c r="J88" s="247">
        <v>29.047999999999998</v>
      </c>
      <c r="K88" s="423">
        <v>222</v>
      </c>
      <c r="L88" s="423">
        <v>223</v>
      </c>
      <c r="M88" s="423">
        <v>223</v>
      </c>
      <c r="N88" s="423">
        <v>223</v>
      </c>
      <c r="O88" s="423">
        <v>223</v>
      </c>
      <c r="P88" s="423">
        <v>223</v>
      </c>
      <c r="Q88" s="423">
        <v>226</v>
      </c>
      <c r="R88" s="423">
        <v>227</v>
      </c>
      <c r="S88" s="423">
        <v>227</v>
      </c>
      <c r="T88" s="423">
        <v>228</v>
      </c>
      <c r="U88" s="423">
        <v>228</v>
      </c>
      <c r="V88" s="423">
        <v>229</v>
      </c>
      <c r="W88" s="423">
        <v>229</v>
      </c>
      <c r="X88" s="423">
        <v>230</v>
      </c>
      <c r="Y88" s="423">
        <v>231</v>
      </c>
      <c r="Z88" s="423">
        <v>231</v>
      </c>
      <c r="AA88" s="237"/>
      <c r="AB88" s="237"/>
      <c r="AC88" s="237"/>
      <c r="AD88" s="237"/>
      <c r="AE88" s="237"/>
      <c r="AF88" s="237"/>
      <c r="AG88" s="237"/>
      <c r="AH88" s="237"/>
      <c r="AI88" s="237"/>
      <c r="AJ88" s="237"/>
      <c r="AK88" s="237">
        <f ca="1">OFFSET(K89,0,COUNT(L89:Z89))</f>
        <v>0</v>
      </c>
      <c r="AL88" s="440">
        <f ca="1">AK88*I88*J88</f>
        <v>0</v>
      </c>
    </row>
    <row r="89" spans="1:38" ht="13.9">
      <c r="A89" s="427"/>
      <c r="B89" s="427"/>
      <c r="C89" s="241">
        <f ca="1">I88*J88*C88</f>
        <v>0</v>
      </c>
      <c r="D89" s="376" t="s">
        <v>74</v>
      </c>
      <c r="E89" s="235"/>
      <c r="F89" s="235"/>
      <c r="I89" s="247"/>
      <c r="J89" s="247"/>
      <c r="K89" s="247"/>
      <c r="L89" s="247">
        <f t="shared" ref="L89:AB89" si="313">IF(ISNUMBER(L88),L88-K88,"")</f>
        <v>1</v>
      </c>
      <c r="M89" s="247">
        <f t="shared" si="313"/>
        <v>0</v>
      </c>
      <c r="N89" s="247">
        <f t="shared" si="313"/>
        <v>0</v>
      </c>
      <c r="O89" s="247">
        <f t="shared" si="313"/>
        <v>0</v>
      </c>
      <c r="P89" s="247">
        <f t="shared" si="313"/>
        <v>0</v>
      </c>
      <c r="Q89" s="247">
        <f t="shared" si="313"/>
        <v>3</v>
      </c>
      <c r="R89" s="247">
        <f t="shared" si="313"/>
        <v>1</v>
      </c>
      <c r="S89" s="247">
        <f t="shared" si="313"/>
        <v>0</v>
      </c>
      <c r="T89" s="247">
        <f t="shared" si="313"/>
        <v>1</v>
      </c>
      <c r="U89" s="247">
        <f t="shared" si="313"/>
        <v>0</v>
      </c>
      <c r="V89" s="247">
        <f t="shared" si="313"/>
        <v>1</v>
      </c>
      <c r="W89" s="247">
        <f t="shared" si="313"/>
        <v>0</v>
      </c>
      <c r="X89" s="247">
        <f t="shared" si="313"/>
        <v>1</v>
      </c>
      <c r="Y89" s="247">
        <f t="shared" si="313"/>
        <v>1</v>
      </c>
      <c r="Z89" s="247">
        <f t="shared" si="313"/>
        <v>0</v>
      </c>
      <c r="AA89" s="247" t="str">
        <f t="shared" si="313"/>
        <v/>
      </c>
      <c r="AB89" s="247" t="str">
        <f t="shared" si="313"/>
        <v/>
      </c>
      <c r="AC89" s="247"/>
      <c r="AD89" s="247"/>
      <c r="AE89" s="247"/>
      <c r="AF89" s="247"/>
      <c r="AG89" s="247"/>
      <c r="AH89" s="247"/>
      <c r="AI89" s="247"/>
      <c r="AJ89" s="247"/>
      <c r="AK89" s="237"/>
      <c r="AL89" s="440"/>
    </row>
    <row r="90" spans="1:38" ht="13.9">
      <c r="A90" s="427"/>
      <c r="B90" s="427"/>
      <c r="C90" s="241"/>
      <c r="D90" s="376"/>
      <c r="F90" s="235"/>
      <c r="I90" s="247"/>
      <c r="J90" s="247"/>
      <c r="K90" s="247"/>
      <c r="L90" s="247">
        <f>L89*$J88*$I88</f>
        <v>30.863499999999998</v>
      </c>
      <c r="M90" s="247">
        <f t="shared" ref="M90:Y90" si="314">M89*$J88*$I88</f>
        <v>0</v>
      </c>
      <c r="N90" s="247">
        <f t="shared" si="314"/>
        <v>0</v>
      </c>
      <c r="O90" s="247">
        <f t="shared" si="314"/>
        <v>0</v>
      </c>
      <c r="P90" s="247">
        <f t="shared" si="314"/>
        <v>0</v>
      </c>
      <c r="Q90" s="247">
        <f t="shared" si="314"/>
        <v>92.590499999999992</v>
      </c>
      <c r="R90" s="247">
        <f t="shared" si="314"/>
        <v>30.863499999999998</v>
      </c>
      <c r="S90" s="247">
        <f t="shared" si="314"/>
        <v>0</v>
      </c>
      <c r="T90" s="247">
        <f t="shared" si="314"/>
        <v>30.863499999999998</v>
      </c>
      <c r="U90" s="247">
        <f t="shared" si="314"/>
        <v>0</v>
      </c>
      <c r="V90" s="247">
        <f t="shared" si="314"/>
        <v>30.863499999999998</v>
      </c>
      <c r="W90" s="247">
        <f t="shared" si="314"/>
        <v>0</v>
      </c>
      <c r="X90" s="247">
        <f t="shared" si="314"/>
        <v>30.863499999999998</v>
      </c>
      <c r="Y90" s="247">
        <f t="shared" si="314"/>
        <v>30.863499999999998</v>
      </c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37"/>
      <c r="AL90" s="440"/>
    </row>
    <row r="91" spans="1:38" ht="13.9">
      <c r="A91" s="427"/>
      <c r="B91" s="427"/>
      <c r="C91" s="241"/>
      <c r="D91" s="376"/>
      <c r="F91" s="235"/>
      <c r="G91" s="443" t="s">
        <v>1625</v>
      </c>
      <c r="H91" s="342" t="s">
        <v>1539</v>
      </c>
      <c r="I91" s="237">
        <v>1.0513999999999999</v>
      </c>
      <c r="J91" s="237">
        <v>28.945399999999999</v>
      </c>
      <c r="K91" s="237"/>
      <c r="L91" s="237"/>
      <c r="M91" s="237"/>
      <c r="N91" s="237"/>
      <c r="O91" s="237"/>
      <c r="P91" s="237"/>
      <c r="Q91" s="237"/>
      <c r="R91" s="237"/>
      <c r="S91" s="237"/>
      <c r="T91" s="237"/>
      <c r="U91" s="237"/>
      <c r="V91" s="237"/>
      <c r="W91" s="237"/>
      <c r="X91" s="237"/>
      <c r="Y91" s="423">
        <v>0</v>
      </c>
      <c r="Z91" s="423">
        <v>540</v>
      </c>
      <c r="AA91" s="423">
        <v>1040</v>
      </c>
      <c r="AB91" s="423">
        <v>0</v>
      </c>
      <c r="AC91" s="423">
        <v>0</v>
      </c>
      <c r="AD91" s="423">
        <v>0</v>
      </c>
      <c r="AE91" s="423">
        <v>0</v>
      </c>
      <c r="AF91" s="423">
        <v>0</v>
      </c>
      <c r="AG91" s="423">
        <v>0</v>
      </c>
      <c r="AH91" s="1057">
        <v>0</v>
      </c>
      <c r="AI91" s="1057">
        <v>0</v>
      </c>
      <c r="AJ91" s="1057">
        <v>0</v>
      </c>
      <c r="AK91" s="237"/>
      <c r="AL91" s="440"/>
    </row>
    <row r="92" spans="1:38" ht="13.9">
      <c r="A92" s="427"/>
      <c r="B92" s="427"/>
      <c r="C92" s="241"/>
      <c r="D92" s="376"/>
      <c r="F92" s="235"/>
      <c r="G92" s="443"/>
      <c r="H92" s="342"/>
      <c r="I92" s="247"/>
      <c r="J92" s="247"/>
      <c r="K92" s="247"/>
      <c r="L92" s="247"/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>
        <f t="shared" ref="Y92" si="315">IF(ISNUMBER(Y91),Y91-X91,"")</f>
        <v>0</v>
      </c>
      <c r="Z92" s="247">
        <f t="shared" ref="Z92" si="316">IF(ISNUMBER(Z91),Z91-Y91,"")</f>
        <v>540</v>
      </c>
      <c r="AA92" s="247">
        <f t="shared" ref="AA92" si="317">IF(ISNUMBER(AA91),AA91-Z91,"")</f>
        <v>500</v>
      </c>
      <c r="AB92" s="247">
        <f t="shared" ref="AB92" si="318">IF(ISNUMBER(AB91),AB91-AA91,"")</f>
        <v>-1040</v>
      </c>
      <c r="AC92" s="247">
        <f t="shared" ref="AC92" si="319">IF(ISNUMBER(AC91),AC91-AB91,"")</f>
        <v>0</v>
      </c>
      <c r="AD92" s="247">
        <f t="shared" ref="AD92" si="320">IF(ISNUMBER(AD91),AD91-AC91,"")</f>
        <v>0</v>
      </c>
      <c r="AE92" s="247">
        <f t="shared" ref="AE92" si="321">IF(ISNUMBER(AE91),AE91-AD91,"")</f>
        <v>0</v>
      </c>
      <c r="AF92" s="247">
        <f t="shared" ref="AF92" si="322">IF(ISNUMBER(AF91),AF91-AE91,"")</f>
        <v>0</v>
      </c>
      <c r="AG92" s="247">
        <f t="shared" ref="AG92" si="323">IF(ISNUMBER(AG91),AG91-AF91,"")</f>
        <v>0</v>
      </c>
      <c r="AH92" s="247">
        <f t="shared" ref="AH92" si="324">IF(ISNUMBER(AH91),AH91-AG91,"")</f>
        <v>0</v>
      </c>
      <c r="AI92" s="247">
        <f t="shared" ref="AI92" si="325">IF(ISNUMBER(AI91),AI91-AH91,"")</f>
        <v>0</v>
      </c>
      <c r="AJ92" s="247">
        <f t="shared" ref="AJ92" si="326">IF(ISNUMBER(AJ91),AJ91-AI91,"")</f>
        <v>0</v>
      </c>
      <c r="AK92" s="237"/>
      <c r="AL92" s="440"/>
    </row>
    <row r="93" spans="1:38" ht="13.9">
      <c r="A93" s="427"/>
      <c r="B93" s="427"/>
      <c r="C93" s="241"/>
      <c r="D93" s="376"/>
      <c r="F93" s="235"/>
      <c r="G93" s="443"/>
      <c r="H93" s="342"/>
      <c r="I93" s="247"/>
      <c r="J93" s="247"/>
      <c r="K93" s="247"/>
      <c r="L93" s="247">
        <f>L92*$J91*$I91</f>
        <v>0</v>
      </c>
      <c r="M93" s="247">
        <f t="shared" ref="M93:AF93" si="327">M92*$J91*$I91</f>
        <v>0</v>
      </c>
      <c r="N93" s="247">
        <f t="shared" si="327"/>
        <v>0</v>
      </c>
      <c r="O93" s="247">
        <f t="shared" si="327"/>
        <v>0</v>
      </c>
      <c r="P93" s="247">
        <f t="shared" si="327"/>
        <v>0</v>
      </c>
      <c r="Q93" s="247">
        <f t="shared" si="327"/>
        <v>0</v>
      </c>
      <c r="R93" s="247">
        <f t="shared" si="327"/>
        <v>0</v>
      </c>
      <c r="S93" s="247">
        <f t="shared" si="327"/>
        <v>0</v>
      </c>
      <c r="T93" s="247">
        <f t="shared" si="327"/>
        <v>0</v>
      </c>
      <c r="U93" s="247">
        <f t="shared" si="327"/>
        <v>0</v>
      </c>
      <c r="V93" s="247">
        <f t="shared" si="327"/>
        <v>0</v>
      </c>
      <c r="W93" s="247">
        <f t="shared" si="327"/>
        <v>0</v>
      </c>
      <c r="X93" s="247">
        <f t="shared" si="327"/>
        <v>0</v>
      </c>
      <c r="Y93" s="247">
        <f t="shared" si="327"/>
        <v>0</v>
      </c>
      <c r="Z93" s="247">
        <f t="shared" si="327"/>
        <v>16433.924522399997</v>
      </c>
      <c r="AA93" s="247">
        <f t="shared" si="327"/>
        <v>15216.596779999998</v>
      </c>
      <c r="AB93" s="247">
        <f t="shared" si="327"/>
        <v>-31650.521302399997</v>
      </c>
      <c r="AC93" s="247">
        <f t="shared" si="327"/>
        <v>0</v>
      </c>
      <c r="AD93" s="247">
        <f t="shared" si="327"/>
        <v>0</v>
      </c>
      <c r="AE93" s="247">
        <f t="shared" si="327"/>
        <v>0</v>
      </c>
      <c r="AF93" s="247">
        <f t="shared" si="327"/>
        <v>0</v>
      </c>
      <c r="AG93" s="247"/>
      <c r="AH93" s="247"/>
      <c r="AI93" s="247"/>
      <c r="AJ93" s="247"/>
      <c r="AK93" s="237"/>
      <c r="AL93" s="440"/>
    </row>
    <row r="94" spans="1:38" ht="13.9">
      <c r="A94" s="427"/>
      <c r="B94" s="427" t="s">
        <v>1626</v>
      </c>
      <c r="C94" s="853">
        <f ca="1">OFFSET(K95,0,COUNT(L95:AG95))</f>
        <v>76</v>
      </c>
      <c r="D94" s="46" t="s">
        <v>418</v>
      </c>
      <c r="E94" s="884">
        <f ca="1">((OFFSET(K95,0,COUNT(L95:AB95)))/(OFFSET(K95,0,COUNT(L95:AB95)-1)))-1</f>
        <v>4.741935483870968</v>
      </c>
      <c r="F94" s="235" t="s">
        <v>1627</v>
      </c>
      <c r="G94" s="443" t="s">
        <v>1628</v>
      </c>
      <c r="H94" s="342" t="s">
        <v>1539</v>
      </c>
      <c r="I94" s="247">
        <v>1.1693</v>
      </c>
      <c r="J94" s="247">
        <v>28.9528</v>
      </c>
      <c r="K94" s="423">
        <v>16442</v>
      </c>
      <c r="L94" s="423">
        <v>16442</v>
      </c>
      <c r="M94" s="423">
        <v>16442</v>
      </c>
      <c r="N94" s="424">
        <v>16464</v>
      </c>
      <c r="O94" s="423">
        <v>16509</v>
      </c>
      <c r="P94" s="423">
        <v>16509</v>
      </c>
      <c r="Q94" s="423">
        <v>17069</v>
      </c>
      <c r="R94" s="423">
        <v>18309</v>
      </c>
      <c r="S94" s="423">
        <v>16671</v>
      </c>
      <c r="T94" s="423">
        <v>19121</v>
      </c>
      <c r="U94" s="423">
        <v>21348</v>
      </c>
      <c r="V94" s="423">
        <v>21898</v>
      </c>
      <c r="W94" s="423">
        <v>21898</v>
      </c>
      <c r="X94" s="1057">
        <v>19288</v>
      </c>
      <c r="Y94" s="1057">
        <v>19278</v>
      </c>
      <c r="Z94" s="423">
        <v>19308</v>
      </c>
      <c r="AA94" s="423">
        <v>19339</v>
      </c>
      <c r="AB94" s="423">
        <v>19517</v>
      </c>
      <c r="AC94" s="423">
        <v>19581</v>
      </c>
      <c r="AD94" s="423">
        <v>19639</v>
      </c>
      <c r="AE94" s="423">
        <v>19757</v>
      </c>
      <c r="AF94" s="423">
        <v>19835</v>
      </c>
      <c r="AG94" s="423">
        <v>19911</v>
      </c>
      <c r="AH94" s="423">
        <v>19997</v>
      </c>
      <c r="AI94" s="423">
        <v>20083</v>
      </c>
      <c r="AJ94" s="1057">
        <v>20152</v>
      </c>
      <c r="AK94" s="342">
        <f ca="1">OFFSET(K95,0,COUNT(L95:AJ95))</f>
        <v>69</v>
      </c>
      <c r="AL94" s="440">
        <f ca="1">AK94*I94*J94</f>
        <v>2335.9611237600002</v>
      </c>
    </row>
    <row r="95" spans="1:38" ht="13.9">
      <c r="A95" s="427"/>
      <c r="B95" s="427"/>
      <c r="C95" s="241">
        <f ca="1">I94*(J94*C94)</f>
        <v>2572.9426870400002</v>
      </c>
      <c r="D95" s="46" t="s">
        <v>74</v>
      </c>
      <c r="E95" s="235"/>
      <c r="F95" s="235"/>
      <c r="G95" s="443"/>
      <c r="H95" s="342"/>
      <c r="I95" s="247"/>
      <c r="J95" s="247"/>
      <c r="K95" s="247"/>
      <c r="L95" s="247">
        <f t="shared" ref="L95:X95" si="328">IF(ISNUMBER(L94),L94-K94,"")</f>
        <v>0</v>
      </c>
      <c r="M95" s="247">
        <f t="shared" si="328"/>
        <v>0</v>
      </c>
      <c r="N95" s="247">
        <f t="shared" si="328"/>
        <v>22</v>
      </c>
      <c r="O95" s="247">
        <f t="shared" si="328"/>
        <v>45</v>
      </c>
      <c r="P95" s="247">
        <f t="shared" si="328"/>
        <v>0</v>
      </c>
      <c r="Q95" s="247">
        <f t="shared" si="328"/>
        <v>560</v>
      </c>
      <c r="R95" s="247">
        <f t="shared" si="328"/>
        <v>1240</v>
      </c>
      <c r="S95" s="247">
        <f t="shared" si="328"/>
        <v>-1638</v>
      </c>
      <c r="T95" s="247">
        <f t="shared" si="328"/>
        <v>2450</v>
      </c>
      <c r="U95" s="247">
        <f t="shared" si="328"/>
        <v>2227</v>
      </c>
      <c r="V95" s="247">
        <f t="shared" si="328"/>
        <v>550</v>
      </c>
      <c r="W95" s="247">
        <f t="shared" si="328"/>
        <v>0</v>
      </c>
      <c r="X95" s="247">
        <f t="shared" si="328"/>
        <v>-2610</v>
      </c>
      <c r="Y95" s="247">
        <f t="shared" ref="Y95" si="329">IF(ISNUMBER(Y94),Y94-X94,"")</f>
        <v>-10</v>
      </c>
      <c r="Z95" s="247">
        <f t="shared" ref="Z95" si="330">IF(ISNUMBER(Z94),Z94-Y94,"")</f>
        <v>30</v>
      </c>
      <c r="AA95" s="247">
        <f t="shared" ref="AA95" si="331">IF(ISNUMBER(AA94),AA94-Z94,"")</f>
        <v>31</v>
      </c>
      <c r="AB95" s="247">
        <f t="shared" ref="AB95" si="332">IF(ISNUMBER(AB94),AB94-AA94,"")</f>
        <v>178</v>
      </c>
      <c r="AC95" s="247">
        <f t="shared" ref="AC95" si="333">IF(ISNUMBER(AC94),AC94-AB94,"")</f>
        <v>64</v>
      </c>
      <c r="AD95" s="247">
        <f t="shared" ref="AD95" si="334">IF(ISNUMBER(AD94),AD94-AC94,"")</f>
        <v>58</v>
      </c>
      <c r="AE95" s="247">
        <f t="shared" ref="AE95" si="335">IF(ISNUMBER(AE94),AE94-AD94,"")</f>
        <v>118</v>
      </c>
      <c r="AF95" s="247">
        <f t="shared" ref="AF95" si="336">IF(ISNUMBER(AF94),AF94-AE94,"")</f>
        <v>78</v>
      </c>
      <c r="AG95" s="247">
        <f t="shared" ref="AG95" si="337">IF(ISNUMBER(AG94),AG94-AF94,"")</f>
        <v>76</v>
      </c>
      <c r="AH95" s="247">
        <f t="shared" ref="AH95" si="338">IF(ISNUMBER(AH94),AH94-AG94,"")</f>
        <v>86</v>
      </c>
      <c r="AI95" s="247">
        <f t="shared" ref="AI95" si="339">IF(ISNUMBER(AI94),AI94-AH94,"")</f>
        <v>86</v>
      </c>
      <c r="AJ95" s="247">
        <f t="shared" ref="AJ95" si="340">IF(ISNUMBER(AJ94),AJ94-AI94,"")</f>
        <v>69</v>
      </c>
      <c r="AK95" s="237"/>
      <c r="AL95" s="440"/>
    </row>
    <row r="96" spans="1:38" ht="14.45" thickBot="1">
      <c r="A96" s="427"/>
      <c r="B96" s="427"/>
      <c r="C96" s="241"/>
      <c r="D96" s="376"/>
      <c r="F96" s="235"/>
      <c r="G96" s="443"/>
      <c r="H96" s="342"/>
      <c r="I96" s="247"/>
      <c r="J96" s="247"/>
      <c r="K96" s="247"/>
      <c r="L96" s="247">
        <f>L95*$J94*$I94</f>
        <v>0</v>
      </c>
      <c r="M96" s="247">
        <f t="shared" ref="M96:AI96" si="341">M95*$J94*$I94</f>
        <v>0</v>
      </c>
      <c r="N96" s="247">
        <f t="shared" si="341"/>
        <v>744.79919887999995</v>
      </c>
      <c r="O96" s="247">
        <f t="shared" si="341"/>
        <v>1523.4529067999999</v>
      </c>
      <c r="P96" s="247">
        <f t="shared" si="341"/>
        <v>0</v>
      </c>
      <c r="Q96" s="247">
        <f t="shared" si="341"/>
        <v>18958.5250624</v>
      </c>
      <c r="R96" s="247">
        <f t="shared" si="341"/>
        <v>41979.591209600003</v>
      </c>
      <c r="S96" s="247">
        <f t="shared" si="341"/>
        <v>-55453.68580752</v>
      </c>
      <c r="T96" s="247">
        <f t="shared" si="341"/>
        <v>82943.547147999998</v>
      </c>
      <c r="U96" s="247">
        <f t="shared" si="341"/>
        <v>75393.991632079997</v>
      </c>
      <c r="V96" s="247">
        <f t="shared" si="341"/>
        <v>18619.979971999997</v>
      </c>
      <c r="W96" s="247">
        <f t="shared" si="341"/>
        <v>0</v>
      </c>
      <c r="X96" s="247">
        <f t="shared" si="341"/>
        <v>-88360.268594400011</v>
      </c>
      <c r="Y96" s="247">
        <f t="shared" si="341"/>
        <v>-338.54509040000005</v>
      </c>
      <c r="Z96" s="247">
        <f t="shared" si="341"/>
        <v>1015.6352711999999</v>
      </c>
      <c r="AA96" s="247">
        <f t="shared" si="341"/>
        <v>1049.4897802400001</v>
      </c>
      <c r="AB96" s="247">
        <f t="shared" si="341"/>
        <v>6026.1026091200001</v>
      </c>
      <c r="AC96" s="247">
        <f t="shared" si="341"/>
        <v>2166.6885785600002</v>
      </c>
      <c r="AD96" s="247">
        <f t="shared" si="341"/>
        <v>1963.56152432</v>
      </c>
      <c r="AE96" s="247">
        <f t="shared" si="341"/>
        <v>3994.8320667200001</v>
      </c>
      <c r="AF96" s="247">
        <f t="shared" si="341"/>
        <v>2640.6517051200003</v>
      </c>
      <c r="AG96" s="247">
        <f t="shared" si="341"/>
        <v>2572.9426870400002</v>
      </c>
      <c r="AH96" s="247">
        <f t="shared" si="341"/>
        <v>2911.4877774399997</v>
      </c>
      <c r="AI96" s="247">
        <f t="shared" si="341"/>
        <v>2911.4877774399997</v>
      </c>
      <c r="AJ96" s="247"/>
      <c r="AK96" s="237"/>
      <c r="AL96" s="440"/>
    </row>
    <row r="97" spans="1:39" ht="13.9">
      <c r="A97" s="427" t="s">
        <v>1629</v>
      </c>
      <c r="B97" s="427" t="s">
        <v>1630</v>
      </c>
      <c r="C97" s="853">
        <f ca="1">OFFSET(K98,0,COUNT(L98:AG98))</f>
        <v>236</v>
      </c>
      <c r="D97" s="378" t="s">
        <v>418</v>
      </c>
      <c r="E97" s="884">
        <f ca="1">((OFFSET(K98,0,COUNT(L98:X98)))/(OFFSET(K98,0,COUNT(L98:X98)-1)))-1</f>
        <v>-0.11555555555555552</v>
      </c>
      <c r="F97" s="235" t="s">
        <v>1631</v>
      </c>
      <c r="G97" s="443">
        <v>3037556</v>
      </c>
      <c r="H97" s="342" t="s">
        <v>1539</v>
      </c>
      <c r="I97" s="247">
        <v>1.0497000000000001</v>
      </c>
      <c r="J97" s="247">
        <v>28.961099999999998</v>
      </c>
      <c r="K97" s="423">
        <v>24768</v>
      </c>
      <c r="L97" s="423">
        <v>24956</v>
      </c>
      <c r="M97" s="423">
        <v>25223</v>
      </c>
      <c r="N97" s="423">
        <v>25403</v>
      </c>
      <c r="O97" s="423">
        <v>25587</v>
      </c>
      <c r="P97" s="423">
        <v>25796</v>
      </c>
      <c r="Q97" s="423">
        <v>25996</v>
      </c>
      <c r="R97" s="423">
        <v>26266</v>
      </c>
      <c r="S97" s="423">
        <v>26384</v>
      </c>
      <c r="T97" s="423">
        <v>26636</v>
      </c>
      <c r="U97" s="423">
        <v>26897</v>
      </c>
      <c r="V97" s="423">
        <v>27139</v>
      </c>
      <c r="W97" s="423">
        <v>27364</v>
      </c>
      <c r="X97" s="423">
        <v>27563</v>
      </c>
      <c r="Y97" s="423">
        <v>27763</v>
      </c>
      <c r="Z97" s="423">
        <v>27765</v>
      </c>
      <c r="AA97" s="423">
        <v>27765</v>
      </c>
      <c r="AB97" s="423">
        <v>27765</v>
      </c>
      <c r="AC97" s="423">
        <v>27875</v>
      </c>
      <c r="AD97" s="423">
        <v>28152</v>
      </c>
      <c r="AE97" s="423">
        <v>28152</v>
      </c>
      <c r="AF97" s="423">
        <v>28716</v>
      </c>
      <c r="AG97" s="423">
        <v>28952</v>
      </c>
      <c r="AH97" s="423">
        <v>29191</v>
      </c>
      <c r="AI97" s="423">
        <v>29448</v>
      </c>
      <c r="AJ97" s="423">
        <v>29636</v>
      </c>
      <c r="AK97" s="342">
        <f ca="1">OFFSET(K98,0,COUNT(L98:AJ98))</f>
        <v>188</v>
      </c>
      <c r="AL97" s="440">
        <f ca="1">AK97*I97*J97</f>
        <v>5715.28773396</v>
      </c>
    </row>
    <row r="98" spans="1:39" ht="13.9">
      <c r="A98" s="427"/>
      <c r="B98" s="427"/>
      <c r="C98" s="241">
        <f ca="1">I97*J97*C97</f>
        <v>7174.5101341199997</v>
      </c>
      <c r="D98" s="376" t="s">
        <v>74</v>
      </c>
      <c r="E98" s="235"/>
      <c r="F98" s="235"/>
      <c r="G98" s="443"/>
      <c r="H98" s="342"/>
      <c r="I98" s="247"/>
      <c r="J98" s="247"/>
      <c r="K98" s="247"/>
      <c r="L98" s="247">
        <f t="shared" ref="L98:X98" si="342">IF(ISNUMBER(L97),L97-K97,"")</f>
        <v>188</v>
      </c>
      <c r="M98" s="247">
        <f t="shared" si="342"/>
        <v>267</v>
      </c>
      <c r="N98" s="247">
        <f t="shared" si="342"/>
        <v>180</v>
      </c>
      <c r="O98" s="247">
        <f t="shared" si="342"/>
        <v>184</v>
      </c>
      <c r="P98" s="247">
        <f t="shared" si="342"/>
        <v>209</v>
      </c>
      <c r="Q98" s="247">
        <f t="shared" si="342"/>
        <v>200</v>
      </c>
      <c r="R98" s="247">
        <f t="shared" si="342"/>
        <v>270</v>
      </c>
      <c r="S98" s="247">
        <f t="shared" si="342"/>
        <v>118</v>
      </c>
      <c r="T98" s="247">
        <f t="shared" si="342"/>
        <v>252</v>
      </c>
      <c r="U98" s="247">
        <f t="shared" si="342"/>
        <v>261</v>
      </c>
      <c r="V98" s="247">
        <f t="shared" si="342"/>
        <v>242</v>
      </c>
      <c r="W98" s="247">
        <f t="shared" si="342"/>
        <v>225</v>
      </c>
      <c r="X98" s="247">
        <f t="shared" si="342"/>
        <v>199</v>
      </c>
      <c r="Y98" s="247">
        <f t="shared" ref="Y98" si="343">IF(ISNUMBER(Y97),Y97-X97,"")</f>
        <v>200</v>
      </c>
      <c r="Z98" s="247">
        <f t="shared" ref="Z98" si="344">IF(ISNUMBER(Z97),Z97-Y97,"")</f>
        <v>2</v>
      </c>
      <c r="AA98" s="247">
        <f t="shared" ref="AA98" si="345">IF(ISNUMBER(AA97),AA97-Z97,"")</f>
        <v>0</v>
      </c>
      <c r="AB98" s="247">
        <f t="shared" ref="AB98" si="346">IF(ISNUMBER(AB97),AB97-AA97,"")</f>
        <v>0</v>
      </c>
      <c r="AC98" s="247">
        <f t="shared" ref="AC98" si="347">IF(ISNUMBER(AC97),AC97-AB97,"")</f>
        <v>110</v>
      </c>
      <c r="AD98" s="247">
        <f t="shared" ref="AD98" si="348">IF(ISNUMBER(AD97),AD97-AC97,"")</f>
        <v>277</v>
      </c>
      <c r="AE98" s="247">
        <f t="shared" ref="AE98" si="349">IF(ISNUMBER(AE97),AE97-AD97,"")</f>
        <v>0</v>
      </c>
      <c r="AF98" s="247">
        <f t="shared" ref="AF98" si="350">IF(ISNUMBER(AF97),AF97-AE97,"")</f>
        <v>564</v>
      </c>
      <c r="AG98" s="247">
        <f t="shared" ref="AG98" si="351">IF(ISNUMBER(AG97),AG97-AF97,"")</f>
        <v>236</v>
      </c>
      <c r="AH98" s="247">
        <f t="shared" ref="AH98" si="352">IF(ISNUMBER(AH97),AH97-AG97,"")</f>
        <v>239</v>
      </c>
      <c r="AI98" s="247">
        <f t="shared" ref="AI98" si="353">IF(ISNUMBER(AI97),AI97-AH97,"")</f>
        <v>257</v>
      </c>
      <c r="AJ98" s="247">
        <f t="shared" ref="AJ98" si="354">IF(ISNUMBER(AJ97),AJ97-AI97,"")</f>
        <v>188</v>
      </c>
      <c r="AK98" s="237"/>
      <c r="AL98" s="440"/>
    </row>
    <row r="99" spans="1:39" ht="13.9">
      <c r="A99" s="427"/>
      <c r="B99" s="427"/>
      <c r="C99" s="241"/>
      <c r="D99" s="376"/>
      <c r="F99" s="235"/>
      <c r="G99" s="443"/>
      <c r="H99" s="342"/>
      <c r="I99" s="247"/>
      <c r="J99" s="247"/>
      <c r="K99" s="247"/>
      <c r="L99" s="247">
        <f>L98*$J97*$I97</f>
        <v>5715.28773396</v>
      </c>
      <c r="M99" s="247">
        <f t="shared" ref="M99:AI99" si="355">M98*$J97*$I97</f>
        <v>8116.9246008900009</v>
      </c>
      <c r="N99" s="247">
        <f t="shared" si="355"/>
        <v>5472.0840005999999</v>
      </c>
      <c r="O99" s="247">
        <f t="shared" si="355"/>
        <v>5593.6858672799999</v>
      </c>
      <c r="P99" s="247">
        <f t="shared" si="355"/>
        <v>6353.6975340300005</v>
      </c>
      <c r="Q99" s="247">
        <f t="shared" si="355"/>
        <v>6080.0933340000001</v>
      </c>
      <c r="R99" s="247">
        <f t="shared" si="355"/>
        <v>8208.1260008999998</v>
      </c>
      <c r="S99" s="247">
        <f t="shared" si="355"/>
        <v>3587.2550670600003</v>
      </c>
      <c r="T99" s="247">
        <f t="shared" si="355"/>
        <v>7660.91760084</v>
      </c>
      <c r="U99" s="247">
        <f t="shared" si="355"/>
        <v>7934.5218008700003</v>
      </c>
      <c r="V99" s="247">
        <f t="shared" si="355"/>
        <v>7356.9129341400003</v>
      </c>
      <c r="W99" s="247">
        <f t="shared" si="355"/>
        <v>6840.1050007499998</v>
      </c>
      <c r="X99" s="247">
        <f t="shared" si="355"/>
        <v>6049.6928673299999</v>
      </c>
      <c r="Y99" s="247">
        <f t="shared" si="355"/>
        <v>6080.0933340000001</v>
      </c>
      <c r="Z99" s="247">
        <f t="shared" si="355"/>
        <v>60.80093334</v>
      </c>
      <c r="AA99" s="247">
        <f t="shared" si="355"/>
        <v>0</v>
      </c>
      <c r="AB99" s="247">
        <f t="shared" si="355"/>
        <v>0</v>
      </c>
      <c r="AC99" s="247">
        <f t="shared" si="355"/>
        <v>3344.0513337000002</v>
      </c>
      <c r="AD99" s="247">
        <f t="shared" si="355"/>
        <v>8420.9292675899997</v>
      </c>
      <c r="AE99" s="247">
        <f t="shared" si="355"/>
        <v>0</v>
      </c>
      <c r="AF99" s="247">
        <f t="shared" si="355"/>
        <v>17145.863201879998</v>
      </c>
      <c r="AG99" s="247">
        <f t="shared" si="355"/>
        <v>7174.5101341200007</v>
      </c>
      <c r="AH99" s="247">
        <f t="shared" si="355"/>
        <v>7265.7115341299996</v>
      </c>
      <c r="AI99" s="247">
        <f t="shared" si="355"/>
        <v>7812.9199341900003</v>
      </c>
      <c r="AJ99" s="247"/>
      <c r="AK99" s="237"/>
      <c r="AL99" s="440"/>
    </row>
    <row r="100" spans="1:39" ht="13.9">
      <c r="A100" s="427" t="s">
        <v>1632</v>
      </c>
      <c r="B100" s="427" t="s">
        <v>1633</v>
      </c>
      <c r="C100" s="853">
        <f ca="1">OFFSET(K101,0,COUNT(L101:AG101))</f>
        <v>2392</v>
      </c>
      <c r="D100" s="46" t="s">
        <v>418</v>
      </c>
      <c r="E100" s="884">
        <f ca="1">((OFFSET(K101,0,COUNT(L101:AB101)))/(OFFSET(K101,0,COUNT(L101:AB101)-1)))-1</f>
        <v>0.50426687354538391</v>
      </c>
      <c r="F100" s="235" t="s">
        <v>1634</v>
      </c>
      <c r="G100" s="443" t="s">
        <v>1635</v>
      </c>
      <c r="H100" s="342" t="s">
        <v>1539</v>
      </c>
      <c r="I100" s="247">
        <v>1.1707000000000001</v>
      </c>
      <c r="J100" s="247">
        <v>28.961099999999998</v>
      </c>
      <c r="K100" s="423">
        <v>105235</v>
      </c>
      <c r="L100" s="423">
        <v>106328</v>
      </c>
      <c r="M100" s="423">
        <v>107567</v>
      </c>
      <c r="N100" s="423">
        <v>108615</v>
      </c>
      <c r="O100" s="423">
        <v>109750</v>
      </c>
      <c r="P100" s="423">
        <v>111269</v>
      </c>
      <c r="Q100" s="423">
        <v>113002</v>
      </c>
      <c r="R100" s="423">
        <v>115927</v>
      </c>
      <c r="S100" s="423">
        <v>118769</v>
      </c>
      <c r="T100" s="423">
        <v>121298</v>
      </c>
      <c r="U100" s="423">
        <v>123834</v>
      </c>
      <c r="V100" s="423">
        <v>126150</v>
      </c>
      <c r="W100" s="423">
        <v>127972</v>
      </c>
      <c r="X100" s="423">
        <v>129592</v>
      </c>
      <c r="Y100" s="1064">
        <v>130954</v>
      </c>
      <c r="Z100" s="423">
        <v>132043</v>
      </c>
      <c r="AA100" s="423">
        <v>133332</v>
      </c>
      <c r="AB100" s="423">
        <v>135271</v>
      </c>
      <c r="AC100" s="423">
        <v>37385</v>
      </c>
      <c r="AD100" s="423">
        <v>40022</v>
      </c>
      <c r="AE100" s="423">
        <v>43324</v>
      </c>
      <c r="AF100" s="423">
        <v>46607</v>
      </c>
      <c r="AG100" s="423">
        <v>48999</v>
      </c>
      <c r="AH100" s="423">
        <v>51200</v>
      </c>
      <c r="AI100" s="423">
        <v>53135</v>
      </c>
      <c r="AJ100" s="423">
        <v>54719</v>
      </c>
      <c r="AK100" s="342">
        <f ca="1">OFFSET(K101,0,COUNT(L101:AJ101))</f>
        <v>1584</v>
      </c>
      <c r="AL100" s="440">
        <f ca="1">AK100*I100*J100</f>
        <v>53705.13947568</v>
      </c>
    </row>
    <row r="101" spans="1:39" ht="13.9">
      <c r="A101" s="427"/>
      <c r="B101" s="427"/>
      <c r="C101" s="241">
        <f ca="1">I100*J100*C100</f>
        <v>81100.185369839994</v>
      </c>
      <c r="D101" s="46" t="s">
        <v>74</v>
      </c>
      <c r="E101" s="398"/>
      <c r="F101" s="398"/>
      <c r="G101" s="450"/>
      <c r="H101" s="342"/>
      <c r="I101" s="422"/>
      <c r="J101" s="422"/>
      <c r="K101" s="247"/>
      <c r="L101" s="247">
        <f t="shared" ref="L101:X101" si="356">IF(ISNUMBER(L100),L100-K100,"")</f>
        <v>1093</v>
      </c>
      <c r="M101" s="247">
        <f t="shared" si="356"/>
        <v>1239</v>
      </c>
      <c r="N101" s="247">
        <f t="shared" si="356"/>
        <v>1048</v>
      </c>
      <c r="O101" s="247">
        <f t="shared" si="356"/>
        <v>1135</v>
      </c>
      <c r="P101" s="247">
        <f t="shared" si="356"/>
        <v>1519</v>
      </c>
      <c r="Q101" s="247">
        <f t="shared" si="356"/>
        <v>1733</v>
      </c>
      <c r="R101" s="247">
        <f t="shared" si="356"/>
        <v>2925</v>
      </c>
      <c r="S101" s="247">
        <f t="shared" si="356"/>
        <v>2842</v>
      </c>
      <c r="T101" s="247">
        <f t="shared" si="356"/>
        <v>2529</v>
      </c>
      <c r="U101" s="247">
        <f t="shared" si="356"/>
        <v>2536</v>
      </c>
      <c r="V101" s="247">
        <f t="shared" si="356"/>
        <v>2316</v>
      </c>
      <c r="W101" s="247">
        <f t="shared" si="356"/>
        <v>1822</v>
      </c>
      <c r="X101" s="247">
        <f t="shared" si="356"/>
        <v>1620</v>
      </c>
      <c r="Y101" s="247">
        <f t="shared" ref="Y101" si="357">IF(ISNUMBER(Y100),Y100-X100,"")</f>
        <v>1362</v>
      </c>
      <c r="Z101" s="247">
        <f t="shared" ref="Z101" si="358">IF(ISNUMBER(Z100),Z100-Y100,"")</f>
        <v>1089</v>
      </c>
      <c r="AA101" s="247">
        <f t="shared" ref="AA101" si="359">IF(ISNUMBER(AA100),AA100-Z100,"")</f>
        <v>1289</v>
      </c>
      <c r="AB101" s="247">
        <f t="shared" ref="AB101" si="360">IF(ISNUMBER(AB100),AB100-AA100,"")</f>
        <v>1939</v>
      </c>
      <c r="AC101" s="1205">
        <v>2000</v>
      </c>
      <c r="AD101" s="247">
        <f t="shared" ref="AD101" si="361">IF(ISNUMBER(AD100),AD100-AC100,"")</f>
        <v>2637</v>
      </c>
      <c r="AE101" s="247">
        <f t="shared" ref="AE101" si="362">IF(ISNUMBER(AE100),AE100-AD100,"")</f>
        <v>3302</v>
      </c>
      <c r="AF101" s="247">
        <f t="shared" ref="AF101" si="363">IF(ISNUMBER(AF100),AF100-AE100,"")</f>
        <v>3283</v>
      </c>
      <c r="AG101" s="247">
        <f t="shared" ref="AG101" si="364">IF(ISNUMBER(AG100),AG100-AF100,"")</f>
        <v>2392</v>
      </c>
      <c r="AH101" s="247">
        <f t="shared" ref="AH101" si="365">IF(ISNUMBER(AH100),AH100-AG100,"")</f>
        <v>2201</v>
      </c>
      <c r="AI101" s="247">
        <f t="shared" ref="AI101" si="366">IF(ISNUMBER(AI100),AI100-AH100,"")</f>
        <v>1935</v>
      </c>
      <c r="AJ101" s="247">
        <f t="shared" ref="AJ101" si="367">IF(ISNUMBER(AJ100),AJ100-AI100,"")</f>
        <v>1584</v>
      </c>
      <c r="AK101" s="342"/>
      <c r="AL101" s="451"/>
    </row>
    <row r="102" spans="1:39" ht="14.45" thickBot="1">
      <c r="A102" s="427"/>
      <c r="B102" s="427"/>
      <c r="C102" s="241"/>
      <c r="D102" s="376"/>
      <c r="E102" s="35"/>
      <c r="F102" s="398"/>
      <c r="G102" s="450"/>
      <c r="H102" s="342"/>
      <c r="I102" s="422"/>
      <c r="J102" s="422"/>
      <c r="K102" s="247"/>
      <c r="L102" s="247">
        <f>L101*$J100*$I100</f>
        <v>37057.902428610003</v>
      </c>
      <c r="M102" s="247">
        <f t="shared" ref="M102:AH102" si="368">M101*$J100*$I100</f>
        <v>42007.997355029998</v>
      </c>
      <c r="N102" s="247">
        <f t="shared" si="368"/>
        <v>35532.18823896</v>
      </c>
      <c r="O102" s="247">
        <f t="shared" si="368"/>
        <v>38481.90233895</v>
      </c>
      <c r="P102" s="247">
        <f t="shared" si="368"/>
        <v>51501.330090629999</v>
      </c>
      <c r="Q102" s="247">
        <f t="shared" si="368"/>
        <v>58756.948681410002</v>
      </c>
      <c r="R102" s="247">
        <f t="shared" si="368"/>
        <v>99171.422327250009</v>
      </c>
      <c r="S102" s="247">
        <f t="shared" si="368"/>
        <v>96357.327266339998</v>
      </c>
      <c r="T102" s="247">
        <f t="shared" si="368"/>
        <v>85745.137458330006</v>
      </c>
      <c r="U102" s="247">
        <f t="shared" si="368"/>
        <v>85982.470776720002</v>
      </c>
      <c r="V102" s="247">
        <f t="shared" si="368"/>
        <v>78523.423627319993</v>
      </c>
      <c r="W102" s="247">
        <f t="shared" si="368"/>
        <v>61774.472300940004</v>
      </c>
      <c r="X102" s="247">
        <f t="shared" si="368"/>
        <v>54925.710827399998</v>
      </c>
      <c r="Y102" s="247">
        <f t="shared" si="368"/>
        <v>46178.282806740004</v>
      </c>
      <c r="Z102" s="247">
        <f t="shared" si="368"/>
        <v>36922.283389529999</v>
      </c>
      <c r="AA102" s="247">
        <f t="shared" si="368"/>
        <v>43703.235343529996</v>
      </c>
      <c r="AB102" s="247">
        <f t="shared" si="368"/>
        <v>65741.329194029997</v>
      </c>
      <c r="AC102" s="247">
        <f t="shared" si="368"/>
        <v>67809.519539999994</v>
      </c>
      <c r="AD102" s="247">
        <f t="shared" si="368"/>
        <v>89406.851513490008</v>
      </c>
      <c r="AE102" s="247">
        <f t="shared" si="368"/>
        <v>111953.51676053999</v>
      </c>
      <c r="AF102" s="247">
        <f t="shared" si="368"/>
        <v>111309.32632491</v>
      </c>
      <c r="AG102" s="247">
        <f t="shared" si="368"/>
        <v>81100.185369839994</v>
      </c>
      <c r="AH102" s="247">
        <f t="shared" si="368"/>
        <v>74624.376253770009</v>
      </c>
      <c r="AI102" s="247"/>
      <c r="AJ102" s="247"/>
      <c r="AK102" s="342"/>
      <c r="AL102" s="451"/>
    </row>
    <row r="103" spans="1:39" ht="13.9">
      <c r="A103" s="427" t="s">
        <v>1636</v>
      </c>
      <c r="B103" s="427" t="s">
        <v>1637</v>
      </c>
      <c r="C103" s="853">
        <f ca="1">OFFSET(K104,0,COUNT(L104:AG104))</f>
        <v>8053</v>
      </c>
      <c r="D103" s="378" t="s">
        <v>418</v>
      </c>
      <c r="E103" s="884">
        <f ca="1">((OFFSET(K104,0,COUNT(L104:X104)))/(OFFSET(K104,0,COUNT(L104:X104)-1)))-1</f>
        <v>0.1727212681638044</v>
      </c>
      <c r="F103" s="398" t="s">
        <v>1638</v>
      </c>
      <c r="G103" s="450" t="s">
        <v>1639</v>
      </c>
      <c r="H103" s="342" t="s">
        <v>1539</v>
      </c>
      <c r="I103" s="422">
        <v>1.27</v>
      </c>
      <c r="J103" s="422">
        <v>28.9528</v>
      </c>
      <c r="K103" s="424">
        <v>107553</v>
      </c>
      <c r="L103" s="424">
        <v>109252</v>
      </c>
      <c r="M103" s="424">
        <v>116119</v>
      </c>
      <c r="N103" s="424">
        <v>122986</v>
      </c>
      <c r="O103" s="424">
        <v>136743</v>
      </c>
      <c r="P103" s="424">
        <v>143792</v>
      </c>
      <c r="Q103" s="424">
        <v>152711</v>
      </c>
      <c r="R103" s="424">
        <v>162899</v>
      </c>
      <c r="S103" s="424">
        <v>173146</v>
      </c>
      <c r="T103" s="424">
        <v>184008</v>
      </c>
      <c r="U103" s="424">
        <v>193077</v>
      </c>
      <c r="V103" s="424">
        <v>202840</v>
      </c>
      <c r="W103" s="424">
        <v>208896</v>
      </c>
      <c r="X103" s="424">
        <v>215998</v>
      </c>
      <c r="Y103" s="424">
        <v>222940</v>
      </c>
      <c r="Z103" s="424">
        <v>228840</v>
      </c>
      <c r="AA103" s="424">
        <v>235070</v>
      </c>
      <c r="AB103" s="424">
        <v>242328</v>
      </c>
      <c r="AC103" s="424">
        <v>249742</v>
      </c>
      <c r="AD103" s="424">
        <v>257637</v>
      </c>
      <c r="AE103" s="424">
        <v>267906</v>
      </c>
      <c r="AF103" s="424">
        <v>277668</v>
      </c>
      <c r="AG103" s="424">
        <v>285721</v>
      </c>
      <c r="AH103" s="424">
        <v>294211</v>
      </c>
      <c r="AI103" s="424">
        <v>301667</v>
      </c>
      <c r="AJ103" s="424">
        <v>308674</v>
      </c>
      <c r="AK103" s="342">
        <f ca="1">OFFSET(K104,0,COUNT(L104:AJ104))</f>
        <v>7007</v>
      </c>
      <c r="AL103" s="451">
        <f ca="1">AK103*I103*J103</f>
        <v>257647.78239199999</v>
      </c>
    </row>
    <row r="104" spans="1:39" ht="13.9">
      <c r="A104" s="427"/>
      <c r="B104" s="427"/>
      <c r="C104" s="241">
        <f ca="1">I103*J103*C103</f>
        <v>296109.26096800005</v>
      </c>
      <c r="D104" s="376" t="s">
        <v>74</v>
      </c>
      <c r="E104" s="398"/>
      <c r="F104" s="398"/>
      <c r="G104" s="450"/>
      <c r="H104" s="342"/>
      <c r="I104" s="422"/>
      <c r="J104" s="422"/>
      <c r="K104" s="247"/>
      <c r="L104" s="247">
        <f t="shared" ref="L104:X104" si="369">IF(ISNUMBER(L103),L103-K103,"")</f>
        <v>1699</v>
      </c>
      <c r="M104" s="247">
        <f t="shared" si="369"/>
        <v>6867</v>
      </c>
      <c r="N104" s="247">
        <f t="shared" si="369"/>
        <v>6867</v>
      </c>
      <c r="O104" s="247">
        <f t="shared" si="369"/>
        <v>13757</v>
      </c>
      <c r="P104" s="247">
        <f t="shared" si="369"/>
        <v>7049</v>
      </c>
      <c r="Q104" s="247">
        <f t="shared" si="369"/>
        <v>8919</v>
      </c>
      <c r="R104" s="247">
        <f>IF(ISNUMBER(R103),R103-Q103,"")</f>
        <v>10188</v>
      </c>
      <c r="S104" s="247">
        <f t="shared" si="369"/>
        <v>10247</v>
      </c>
      <c r="T104" s="247">
        <f>IF(ISNUMBER(T103),T103-S103,"")</f>
        <v>10862</v>
      </c>
      <c r="U104" s="247">
        <f t="shared" si="369"/>
        <v>9069</v>
      </c>
      <c r="V104" s="247">
        <f t="shared" si="369"/>
        <v>9763</v>
      </c>
      <c r="W104" s="247">
        <f t="shared" si="369"/>
        <v>6056</v>
      </c>
      <c r="X104" s="247">
        <f t="shared" si="369"/>
        <v>7102</v>
      </c>
      <c r="Y104" s="247">
        <f t="shared" ref="Y104" si="370">IF(ISNUMBER(Y103),Y103-X103,"")</f>
        <v>6942</v>
      </c>
      <c r="Z104" s="247">
        <f t="shared" ref="Z104" si="371">IF(ISNUMBER(Z103),Z103-Y103,"")</f>
        <v>5900</v>
      </c>
      <c r="AA104" s="247">
        <f t="shared" ref="AA104" si="372">IF(ISNUMBER(AA103),AA103-Z103,"")</f>
        <v>6230</v>
      </c>
      <c r="AB104" s="247">
        <f t="shared" ref="AB104" si="373">IF(ISNUMBER(AB103),AB103-AA103,"")</f>
        <v>7258</v>
      </c>
      <c r="AC104" s="247">
        <f t="shared" ref="AC104" si="374">IF(ISNUMBER(AC103),AC103-AB103,"")</f>
        <v>7414</v>
      </c>
      <c r="AD104" s="247">
        <f t="shared" ref="AD104" si="375">IF(ISNUMBER(AD103),AD103-AC103,"")</f>
        <v>7895</v>
      </c>
      <c r="AE104" s="247">
        <f t="shared" ref="AE104" si="376">IF(ISNUMBER(AE103),AE103-AD103,"")</f>
        <v>10269</v>
      </c>
      <c r="AF104" s="247">
        <f t="shared" ref="AF104" si="377">IF(ISNUMBER(AF103),AF103-AE103,"")</f>
        <v>9762</v>
      </c>
      <c r="AG104" s="247">
        <f t="shared" ref="AG104" si="378">IF(ISNUMBER(AG103),AG103-AF103,"")</f>
        <v>8053</v>
      </c>
      <c r="AH104" s="247">
        <f>IF(ISNUMBER(AH103),AH103-AG103,"")</f>
        <v>8490</v>
      </c>
      <c r="AI104" s="247">
        <f t="shared" ref="AI104" si="379">IF(ISNUMBER(AI103),AI103-AH103,"")</f>
        <v>7456</v>
      </c>
      <c r="AJ104" s="247">
        <f t="shared" ref="AJ104" si="380">IF(ISNUMBER(AJ103),AJ103-AI103,"")</f>
        <v>7007</v>
      </c>
      <c r="AK104" s="342"/>
      <c r="AL104" s="451"/>
    </row>
    <row r="105" spans="1:39" ht="14.45" thickBot="1">
      <c r="C105" s="241"/>
      <c r="D105" s="376"/>
      <c r="E105" s="35"/>
      <c r="F105" s="398"/>
      <c r="G105" s="450"/>
      <c r="H105" s="342"/>
      <c r="I105" s="422"/>
      <c r="J105" s="422"/>
      <c r="K105" s="247"/>
      <c r="L105" s="247">
        <f>L104*$J103*$I103</f>
        <v>62472.325144000002</v>
      </c>
      <c r="M105" s="247">
        <f t="shared" ref="M105:AI105" si="381">M104*$J103*$I103</f>
        <v>252499.974552</v>
      </c>
      <c r="N105" s="247">
        <f t="shared" si="381"/>
        <v>252499.974552</v>
      </c>
      <c r="O105" s="247">
        <f t="shared" si="381"/>
        <v>505845.66039200005</v>
      </c>
      <c r="P105" s="247">
        <f t="shared" si="381"/>
        <v>259192.124744</v>
      </c>
      <c r="Q105" s="247">
        <f t="shared" si="381"/>
        <v>327952.129464</v>
      </c>
      <c r="R105" s="247">
        <f t="shared" si="381"/>
        <v>374613.33052800002</v>
      </c>
      <c r="S105" s="247">
        <f t="shared" si="381"/>
        <v>376782.76383199997</v>
      </c>
      <c r="T105" s="247">
        <f t="shared" si="381"/>
        <v>399396.34827199997</v>
      </c>
      <c r="U105" s="247">
        <f t="shared" si="381"/>
        <v>333467.63786399999</v>
      </c>
      <c r="V105" s="247">
        <f t="shared" si="381"/>
        <v>358986.056728</v>
      </c>
      <c r="W105" s="247">
        <f t="shared" si="381"/>
        <v>222679.45913599999</v>
      </c>
      <c r="X105" s="247">
        <f t="shared" si="381"/>
        <v>261140.93771200001</v>
      </c>
      <c r="Y105" s="247">
        <f t="shared" si="381"/>
        <v>255257.728752</v>
      </c>
      <c r="Z105" s="247">
        <f t="shared" si="381"/>
        <v>216943.33039999998</v>
      </c>
      <c r="AA105" s="247">
        <f t="shared" si="381"/>
        <v>229077.44887999998</v>
      </c>
      <c r="AB105" s="247">
        <f t="shared" si="381"/>
        <v>266877.06644800003</v>
      </c>
      <c r="AC105" s="247">
        <f t="shared" si="381"/>
        <v>272613.19518400001</v>
      </c>
      <c r="AD105" s="247">
        <f t="shared" si="381"/>
        <v>290299.59211999999</v>
      </c>
      <c r="AE105" s="247">
        <f t="shared" si="381"/>
        <v>377591.70506400004</v>
      </c>
      <c r="AF105" s="247">
        <f t="shared" si="381"/>
        <v>358949.28667199996</v>
      </c>
      <c r="AG105" s="247">
        <f t="shared" si="381"/>
        <v>296109.26096799999</v>
      </c>
      <c r="AH105" s="247">
        <f t="shared" si="381"/>
        <v>312177.77544</v>
      </c>
      <c r="AI105" s="247">
        <f t="shared" si="381"/>
        <v>274157.53753600002</v>
      </c>
      <c r="AJ105" s="247"/>
      <c r="AK105" s="342"/>
      <c r="AL105" s="451"/>
    </row>
    <row r="106" spans="1:39" ht="13.9">
      <c r="C106" s="853">
        <f ca="1">OFFSET(K107,0,COUNT(L107:AG107))</f>
        <v>0</v>
      </c>
      <c r="D106" s="378" t="s">
        <v>418</v>
      </c>
      <c r="E106" s="884" t="e">
        <f ca="1">((OFFSET(K107,0,COUNT(L107:AB107)))/(OFFSET(K107,0,COUNT(L107:AB107)-1)))-1</f>
        <v>#DIV/0!</v>
      </c>
      <c r="F106" s="398"/>
      <c r="G106" s="420"/>
      <c r="H106" s="342" t="s">
        <v>1578</v>
      </c>
      <c r="I106" s="509">
        <v>1.0009999999999999</v>
      </c>
      <c r="J106" s="509">
        <v>28.958400000000001</v>
      </c>
      <c r="K106" s="424">
        <v>18723</v>
      </c>
      <c r="L106" s="424">
        <v>18723</v>
      </c>
      <c r="M106" s="424">
        <v>18723</v>
      </c>
      <c r="N106" s="424">
        <v>18723</v>
      </c>
      <c r="O106" s="424">
        <v>18723</v>
      </c>
      <c r="P106" s="424">
        <v>18723</v>
      </c>
      <c r="Q106" s="424">
        <v>18723</v>
      </c>
      <c r="R106" s="424">
        <v>18723</v>
      </c>
      <c r="S106" s="424">
        <v>18723</v>
      </c>
      <c r="T106" s="424">
        <v>18723</v>
      </c>
      <c r="U106" s="424">
        <v>18723</v>
      </c>
      <c r="V106" s="424">
        <v>18723</v>
      </c>
      <c r="W106" s="424">
        <v>18723</v>
      </c>
      <c r="X106" s="424">
        <v>18723</v>
      </c>
      <c r="Y106" s="424">
        <v>18723</v>
      </c>
      <c r="Z106" s="424">
        <v>18723</v>
      </c>
      <c r="AA106" s="424">
        <v>18723</v>
      </c>
      <c r="AB106" s="424">
        <v>18723</v>
      </c>
      <c r="AC106" s="424">
        <v>18723</v>
      </c>
      <c r="AD106" s="424">
        <v>18723</v>
      </c>
      <c r="AE106" s="424">
        <v>18723</v>
      </c>
      <c r="AF106" s="424">
        <v>18723</v>
      </c>
      <c r="AG106" s="424">
        <v>18723</v>
      </c>
      <c r="AH106" s="424">
        <v>18723</v>
      </c>
      <c r="AI106" s="424">
        <v>18723</v>
      </c>
      <c r="AJ106" s="424">
        <v>18723</v>
      </c>
      <c r="AK106" s="342">
        <f ca="1">OFFSET(K107,0,COUNT(L107:AJ107))</f>
        <v>0</v>
      </c>
      <c r="AL106" s="451">
        <f ca="1">AK106*I106*J106</f>
        <v>0</v>
      </c>
    </row>
    <row r="107" spans="1:39" ht="13.9">
      <c r="A107" s="427"/>
      <c r="B107" s="427"/>
      <c r="C107" s="241">
        <f ca="1">I106*J106*C106</f>
        <v>0</v>
      </c>
      <c r="D107" s="376" t="s">
        <v>74</v>
      </c>
      <c r="E107" s="398"/>
      <c r="F107" s="398"/>
      <c r="G107" s="420"/>
      <c r="H107" s="342"/>
      <c r="I107" s="509"/>
      <c r="J107" s="509"/>
      <c r="K107" s="247">
        <f>IF(ISNUMBER(K106),K106-G106,"")</f>
        <v>18723</v>
      </c>
      <c r="L107" s="247">
        <f t="shared" ref="L107:X107" si="382">IF(ISNUMBER(L106),L106-K106,"")</f>
        <v>0</v>
      </c>
      <c r="M107" s="247">
        <f t="shared" si="382"/>
        <v>0</v>
      </c>
      <c r="N107" s="247">
        <f t="shared" si="382"/>
        <v>0</v>
      </c>
      <c r="O107" s="247">
        <f t="shared" si="382"/>
        <v>0</v>
      </c>
      <c r="P107" s="247">
        <f t="shared" si="382"/>
        <v>0</v>
      </c>
      <c r="Q107" s="247">
        <f t="shared" si="382"/>
        <v>0</v>
      </c>
      <c r="R107" s="247">
        <f t="shared" si="382"/>
        <v>0</v>
      </c>
      <c r="S107" s="247">
        <f t="shared" si="382"/>
        <v>0</v>
      </c>
      <c r="T107" s="247">
        <f t="shared" si="382"/>
        <v>0</v>
      </c>
      <c r="U107" s="247">
        <f t="shared" si="382"/>
        <v>0</v>
      </c>
      <c r="V107" s="247">
        <f t="shared" si="382"/>
        <v>0</v>
      </c>
      <c r="W107" s="247">
        <f t="shared" si="382"/>
        <v>0</v>
      </c>
      <c r="X107" s="247">
        <f t="shared" si="382"/>
        <v>0</v>
      </c>
      <c r="Y107" s="247">
        <f t="shared" ref="Y107" si="383">IF(ISNUMBER(Y106),Y106-X106,"")</f>
        <v>0</v>
      </c>
      <c r="Z107" s="247">
        <f t="shared" ref="Z107" si="384">IF(ISNUMBER(Z106),Z106-Y106,"")</f>
        <v>0</v>
      </c>
      <c r="AA107" s="247">
        <f t="shared" ref="AA107" si="385">IF(ISNUMBER(AA106),AA106-Z106,"")</f>
        <v>0</v>
      </c>
      <c r="AB107" s="247">
        <f t="shared" ref="AB107" si="386">IF(ISNUMBER(AB106),AB106-AA106,"")</f>
        <v>0</v>
      </c>
      <c r="AC107" s="247">
        <f t="shared" ref="AC107" si="387">IF(ISNUMBER(AC106),AC106-AB106,"")</f>
        <v>0</v>
      </c>
      <c r="AD107" s="247">
        <f t="shared" ref="AD107" si="388">IF(ISNUMBER(AD106),AD106-AC106,"")</f>
        <v>0</v>
      </c>
      <c r="AE107" s="247">
        <f t="shared" ref="AE107" si="389">IF(ISNUMBER(AE106),AE106-AD106,"")</f>
        <v>0</v>
      </c>
      <c r="AF107" s="247">
        <f t="shared" ref="AF107" si="390">IF(ISNUMBER(AF106),AF106-AE106,"")</f>
        <v>0</v>
      </c>
      <c r="AG107" s="247">
        <f t="shared" ref="AG107" si="391">IF(ISNUMBER(AG106),AG106-AF106,"")</f>
        <v>0</v>
      </c>
      <c r="AH107" s="247">
        <f t="shared" ref="AH107" si="392">IF(ISNUMBER(AH106),AH106-AG106,"")</f>
        <v>0</v>
      </c>
      <c r="AI107" s="247">
        <f t="shared" ref="AI107" si="393">IF(ISNUMBER(AI106),AI106-AH106,"")</f>
        <v>0</v>
      </c>
      <c r="AJ107" s="247">
        <f t="shared" ref="AJ107" si="394">IF(ISNUMBER(AJ106),AJ106-AI106,"")</f>
        <v>0</v>
      </c>
      <c r="AK107" s="342"/>
      <c r="AL107" s="451"/>
    </row>
    <row r="108" spans="1:39" ht="14.45" thickBot="1">
      <c r="A108" s="427"/>
      <c r="B108" s="427"/>
      <c r="C108" s="241"/>
      <c r="D108" s="376"/>
      <c r="E108" s="35"/>
      <c r="F108" s="398"/>
      <c r="G108" s="420"/>
      <c r="H108" s="342"/>
      <c r="I108" s="509"/>
      <c r="J108" s="509"/>
      <c r="K108" s="247"/>
      <c r="L108" s="247">
        <f>L107*$J106*$I106</f>
        <v>0</v>
      </c>
      <c r="M108" s="247">
        <f t="shared" ref="M108:AH108" si="395">M107*$J106*$I106</f>
        <v>0</v>
      </c>
      <c r="N108" s="247">
        <f t="shared" si="395"/>
        <v>0</v>
      </c>
      <c r="O108" s="247">
        <f t="shared" si="395"/>
        <v>0</v>
      </c>
      <c r="P108" s="247">
        <f t="shared" si="395"/>
        <v>0</v>
      </c>
      <c r="Q108" s="247">
        <f t="shared" si="395"/>
        <v>0</v>
      </c>
      <c r="R108" s="247">
        <f t="shared" si="395"/>
        <v>0</v>
      </c>
      <c r="S108" s="247">
        <f t="shared" si="395"/>
        <v>0</v>
      </c>
      <c r="T108" s="247">
        <f t="shared" si="395"/>
        <v>0</v>
      </c>
      <c r="U108" s="247">
        <f t="shared" si="395"/>
        <v>0</v>
      </c>
      <c r="V108" s="247">
        <f t="shared" si="395"/>
        <v>0</v>
      </c>
      <c r="W108" s="247">
        <f t="shared" si="395"/>
        <v>0</v>
      </c>
      <c r="X108" s="247">
        <f t="shared" si="395"/>
        <v>0</v>
      </c>
      <c r="Y108" s="247">
        <f t="shared" si="395"/>
        <v>0</v>
      </c>
      <c r="Z108" s="247">
        <f t="shared" si="395"/>
        <v>0</v>
      </c>
      <c r="AA108" s="247">
        <f t="shared" si="395"/>
        <v>0</v>
      </c>
      <c r="AB108" s="247">
        <f t="shared" si="395"/>
        <v>0</v>
      </c>
      <c r="AC108" s="247">
        <f t="shared" si="395"/>
        <v>0</v>
      </c>
      <c r="AD108" s="247">
        <f t="shared" si="395"/>
        <v>0</v>
      </c>
      <c r="AE108" s="247">
        <f t="shared" si="395"/>
        <v>0</v>
      </c>
      <c r="AF108" s="247">
        <f t="shared" si="395"/>
        <v>0</v>
      </c>
      <c r="AG108" s="247">
        <f t="shared" si="395"/>
        <v>0</v>
      </c>
      <c r="AH108" s="247">
        <f t="shared" si="395"/>
        <v>0</v>
      </c>
      <c r="AI108" s="247"/>
      <c r="AJ108" s="247"/>
      <c r="AK108" s="342"/>
      <c r="AL108" s="451"/>
    </row>
    <row r="109" spans="1:39" ht="13.9">
      <c r="A109" s="427" t="s">
        <v>1640</v>
      </c>
      <c r="B109" s="427" t="s">
        <v>1641</v>
      </c>
      <c r="C109" s="853">
        <f ca="1">OFFSET(K110,0,COUNT(L110:AG110))</f>
        <v>12.200000000000728</v>
      </c>
      <c r="D109" s="378" t="s">
        <v>418</v>
      </c>
      <c r="E109" s="884">
        <f ca="1">((OFFSET(K110,0,COUNT(L110:AB110)))/(OFFSET(K110,0,COUNT(L110:AB110)-1)))-1</f>
        <v>-0.56280193236707399</v>
      </c>
      <c r="F109" s="398"/>
      <c r="G109" s="420"/>
      <c r="H109" s="342" t="s">
        <v>1539</v>
      </c>
      <c r="I109" s="507">
        <v>1.1513</v>
      </c>
      <c r="J109" s="509">
        <v>28.7972</v>
      </c>
      <c r="K109" s="424">
        <v>16408.8</v>
      </c>
      <c r="L109" s="424">
        <v>16408.900000000001</v>
      </c>
      <c r="M109" s="424">
        <v>16450</v>
      </c>
      <c r="N109" s="424">
        <v>16476</v>
      </c>
      <c r="O109" s="424">
        <f>N109+N110</f>
        <v>16502</v>
      </c>
      <c r="P109" s="424">
        <v>16596</v>
      </c>
      <c r="Q109" s="424">
        <v>16605</v>
      </c>
      <c r="R109" s="424">
        <v>16658</v>
      </c>
      <c r="S109" s="342">
        <v>19088</v>
      </c>
      <c r="T109" s="424">
        <v>19090</v>
      </c>
      <c r="U109" s="424">
        <v>19096</v>
      </c>
      <c r="V109" s="424">
        <v>19129.900000000001</v>
      </c>
      <c r="W109" s="424">
        <v>19130.5</v>
      </c>
      <c r="X109" s="424">
        <v>19222.3</v>
      </c>
      <c r="Y109" s="424">
        <v>19338.3</v>
      </c>
      <c r="Z109" s="424">
        <v>19424.400000000001</v>
      </c>
      <c r="AA109" s="424">
        <v>19465.8</v>
      </c>
      <c r="AB109" s="424">
        <v>19483.900000000001</v>
      </c>
      <c r="AC109" s="424">
        <v>19502.2</v>
      </c>
      <c r="AD109" s="424">
        <v>19714.900000000001</v>
      </c>
      <c r="AE109" s="424">
        <v>19723.099999999999</v>
      </c>
      <c r="AF109" s="424">
        <v>19787.3</v>
      </c>
      <c r="AG109" s="424">
        <v>19799.5</v>
      </c>
      <c r="AH109" s="424">
        <v>20170.400000000001</v>
      </c>
      <c r="AI109" s="424">
        <v>20170.900000000001</v>
      </c>
      <c r="AJ109" s="424">
        <v>20178.400000000001</v>
      </c>
      <c r="AK109" s="342">
        <f ca="1">OFFSET(K110,0,COUNT(L110:AJ110))</f>
        <v>7.5</v>
      </c>
      <c r="AL109" s="451">
        <f ca="1">AK109*I109*J109</f>
        <v>248.65662270000001</v>
      </c>
      <c r="AM109">
        <v>20198</v>
      </c>
    </row>
    <row r="110" spans="1:39" ht="13.9">
      <c r="B110" s="1132"/>
      <c r="C110" s="241">
        <f ca="1">I109*J109*C109</f>
        <v>404.48143959202412</v>
      </c>
      <c r="D110" s="40" t="s">
        <v>74</v>
      </c>
      <c r="E110" s="239"/>
      <c r="F110" s="239"/>
      <c r="G110" s="1133"/>
      <c r="H110" s="1134"/>
      <c r="I110" s="1134"/>
      <c r="J110" s="1134"/>
      <c r="K110" s="1135"/>
      <c r="L110" s="1135">
        <f t="shared" ref="L110:X110" si="396">IF(ISNUMBER(L109),L109-K109,"")</f>
        <v>0.10000000000218279</v>
      </c>
      <c r="M110" s="1135">
        <f t="shared" si="396"/>
        <v>41.099999999998545</v>
      </c>
      <c r="N110" s="1135">
        <f t="shared" si="396"/>
        <v>26</v>
      </c>
      <c r="O110" s="1135">
        <f t="shared" si="396"/>
        <v>26</v>
      </c>
      <c r="P110" s="1135">
        <f t="shared" si="396"/>
        <v>94</v>
      </c>
      <c r="Q110" s="1135">
        <f t="shared" si="396"/>
        <v>9</v>
      </c>
      <c r="R110" s="1135">
        <f t="shared" si="396"/>
        <v>53</v>
      </c>
      <c r="S110" s="1135">
        <f t="shared" si="396"/>
        <v>2430</v>
      </c>
      <c r="T110" s="1135">
        <f t="shared" si="396"/>
        <v>2</v>
      </c>
      <c r="U110" s="1135">
        <f t="shared" si="396"/>
        <v>6</v>
      </c>
      <c r="V110" s="1135">
        <f t="shared" si="396"/>
        <v>33.900000000001455</v>
      </c>
      <c r="W110" s="1135">
        <f t="shared" si="396"/>
        <v>0.59999999999854481</v>
      </c>
      <c r="X110" s="1135">
        <f t="shared" si="396"/>
        <v>91.799999999999272</v>
      </c>
      <c r="Y110" s="1135">
        <f t="shared" ref="Y110" si="397">IF(ISNUMBER(Y109),Y109-X109,"")</f>
        <v>116</v>
      </c>
      <c r="Z110" s="1135">
        <f t="shared" ref="Z110" si="398">IF(ISNUMBER(Z109),Z109-Y109,"")</f>
        <v>86.100000000002183</v>
      </c>
      <c r="AA110" s="1135">
        <f t="shared" ref="AA110" si="399">IF(ISNUMBER(AA109),AA109-Z109,"")</f>
        <v>41.399999999997817</v>
      </c>
      <c r="AB110" s="1135">
        <f t="shared" ref="AB110:AD110" si="400">IF(ISNUMBER(AB109),AB109-AA109,"")</f>
        <v>18.100000000002183</v>
      </c>
      <c r="AC110" s="1135">
        <f t="shared" si="400"/>
        <v>18.299999999999272</v>
      </c>
      <c r="AD110" s="1135">
        <f t="shared" si="400"/>
        <v>212.70000000000073</v>
      </c>
      <c r="AE110" s="1135">
        <f t="shared" ref="AE110" si="401">IF(ISNUMBER(AE109),AE109-AD109,"")</f>
        <v>8.1999999999970896</v>
      </c>
      <c r="AF110" s="1135">
        <f t="shared" ref="AF110" si="402">IF(ISNUMBER(AF109),AF109-AE109,"")</f>
        <v>64.200000000000728</v>
      </c>
      <c r="AG110" s="1135">
        <f t="shared" ref="AG110" si="403">IF(ISNUMBER(AG109),AG109-AF109,"")</f>
        <v>12.200000000000728</v>
      </c>
      <c r="AH110" s="1135">
        <f t="shared" ref="AH110" si="404">IF(ISNUMBER(AH109),AH109-AG109,"")</f>
        <v>370.90000000000146</v>
      </c>
      <c r="AI110" s="1135">
        <f t="shared" ref="AI110" si="405">IF(ISNUMBER(AI109),AI109-AH109,"")</f>
        <v>0.5</v>
      </c>
      <c r="AJ110" s="1135">
        <f t="shared" ref="AJ110" si="406">IF(ISNUMBER(AJ109),AJ109-AI109,"")</f>
        <v>7.5</v>
      </c>
      <c r="AK110" s="1134"/>
      <c r="AL110" s="1136"/>
    </row>
    <row r="111" spans="1:39">
      <c r="A111" s="427" t="s">
        <v>1642</v>
      </c>
      <c r="B111" s="427"/>
      <c r="C111" s="1138"/>
      <c r="D111" s="237"/>
      <c r="E111" s="237"/>
      <c r="F111" s="237"/>
      <c r="G111" s="237"/>
      <c r="H111" s="237"/>
      <c r="I111" s="237"/>
      <c r="J111" s="237"/>
      <c r="K111" s="237"/>
      <c r="L111" s="247">
        <f>L110*$J109*$I109</f>
        <v>3.3154216360723683</v>
      </c>
      <c r="M111" s="247">
        <f t="shared" ref="M111:AG111" si="407">M110*$J109*$I109</f>
        <v>1362.6382923959518</v>
      </c>
      <c r="N111" s="247">
        <f t="shared" si="407"/>
        <v>862.00962536000009</v>
      </c>
      <c r="O111" s="247">
        <f t="shared" si="407"/>
        <v>862.00962536000009</v>
      </c>
      <c r="P111" s="247">
        <f t="shared" si="407"/>
        <v>3116.4963378399998</v>
      </c>
      <c r="Q111" s="247">
        <f t="shared" si="407"/>
        <v>298.38794724000002</v>
      </c>
      <c r="R111" s="247">
        <f t="shared" si="407"/>
        <v>1757.1734670800001</v>
      </c>
      <c r="S111" s="247">
        <f t="shared" si="407"/>
        <v>80564.745754799995</v>
      </c>
      <c r="T111" s="247">
        <f t="shared" si="407"/>
        <v>66.308432719999999</v>
      </c>
      <c r="U111" s="247">
        <f t="shared" si="407"/>
        <v>198.92529815999998</v>
      </c>
      <c r="V111" s="247">
        <f t="shared" si="407"/>
        <v>1123.9279346040482</v>
      </c>
      <c r="W111" s="247">
        <f t="shared" si="407"/>
        <v>19.892529815951754</v>
      </c>
      <c r="X111" s="247">
        <f t="shared" si="407"/>
        <v>3043.557061847976</v>
      </c>
      <c r="Y111" s="247">
        <f t="shared" si="407"/>
        <v>3845.8890977599999</v>
      </c>
      <c r="Z111" s="247">
        <f t="shared" si="407"/>
        <v>2854.5780285960723</v>
      </c>
      <c r="AA111" s="247">
        <f t="shared" si="407"/>
        <v>1372.5845573039278</v>
      </c>
      <c r="AB111" s="247">
        <f t="shared" si="407"/>
        <v>600.09131611607245</v>
      </c>
      <c r="AC111" s="247">
        <f t="shared" si="407"/>
        <v>606.72215938797581</v>
      </c>
      <c r="AD111" s="247">
        <f t="shared" si="407"/>
        <v>7051.9018197720243</v>
      </c>
      <c r="AE111" s="247">
        <f t="shared" si="407"/>
        <v>271.86457415190353</v>
      </c>
      <c r="AF111" s="247">
        <f t="shared" si="407"/>
        <v>2128.5006903120243</v>
      </c>
      <c r="AG111" s="247">
        <f t="shared" si="407"/>
        <v>404.48143959202412</v>
      </c>
      <c r="AH111" s="237"/>
      <c r="AI111" s="237"/>
      <c r="AJ111" s="237"/>
      <c r="AK111" s="237"/>
      <c r="AL111" s="237"/>
    </row>
    <row r="112" spans="1:39" ht="13.9">
      <c r="A112" s="427"/>
      <c r="B112" s="427" t="s">
        <v>1643</v>
      </c>
      <c r="C112" s="1139">
        <f ca="1">OFFSET(L113,0,COUNT(M113:AG113))</f>
        <v>40</v>
      </c>
      <c r="D112" s="1140" t="s">
        <v>418</v>
      </c>
      <c r="E112" s="1141">
        <f ca="1">((OFFSET(K113,0,COUNT(L113:AB113)))/(OFFSET(K113,0,COUNT(L113:AB113)-1)))-1</f>
        <v>1.4666666666666668</v>
      </c>
      <c r="F112" s="237" t="s">
        <v>1644</v>
      </c>
      <c r="G112" s="237">
        <v>308645</v>
      </c>
      <c r="H112" s="342" t="s">
        <v>1578</v>
      </c>
      <c r="I112" s="237">
        <v>1.0363</v>
      </c>
      <c r="J112" s="237">
        <v>11.046799999999999</v>
      </c>
      <c r="K112" s="423"/>
      <c r="L112" s="423">
        <f t="shared" ref="L112:P112" si="408">M112-30</f>
        <v>8764</v>
      </c>
      <c r="M112" s="423">
        <f t="shared" si="408"/>
        <v>8794</v>
      </c>
      <c r="N112" s="423">
        <f t="shared" si="408"/>
        <v>8824</v>
      </c>
      <c r="O112" s="423">
        <f t="shared" si="408"/>
        <v>8854</v>
      </c>
      <c r="P112" s="423">
        <f t="shared" si="408"/>
        <v>8884</v>
      </c>
      <c r="Q112" s="423">
        <f>R112-30</f>
        <v>8914</v>
      </c>
      <c r="R112" s="423">
        <v>8944</v>
      </c>
      <c r="S112" s="423">
        <v>8967</v>
      </c>
      <c r="T112" s="423">
        <v>9027</v>
      </c>
      <c r="U112" s="423">
        <v>9069</v>
      </c>
      <c r="V112" s="423">
        <v>9105</v>
      </c>
      <c r="W112" s="423">
        <v>9149</v>
      </c>
      <c r="X112" s="423">
        <v>9151</v>
      </c>
      <c r="Y112" s="423">
        <v>9177</v>
      </c>
      <c r="Z112" s="423">
        <v>9182</v>
      </c>
      <c r="AA112" s="423">
        <v>9197</v>
      </c>
      <c r="AB112" s="423">
        <v>9234</v>
      </c>
      <c r="AC112" s="423">
        <v>9260</v>
      </c>
      <c r="AD112" s="423">
        <v>9298</v>
      </c>
      <c r="AE112" s="423">
        <v>9333</v>
      </c>
      <c r="AF112" s="423">
        <v>9386</v>
      </c>
      <c r="AG112" s="423">
        <v>9426</v>
      </c>
      <c r="AH112" s="423">
        <v>9433</v>
      </c>
      <c r="AI112" s="1057">
        <v>9455</v>
      </c>
      <c r="AJ112" s="423">
        <v>9461</v>
      </c>
      <c r="AK112" s="342">
        <f ca="1">OFFSET(K113,0,COUNT(L113:AJ113))</f>
        <v>6</v>
      </c>
      <c r="AL112" s="430">
        <f ca="1">AK112*I112*J112</f>
        <v>68.686793039999998</v>
      </c>
    </row>
    <row r="113" spans="1:39" ht="13.9">
      <c r="A113" s="427"/>
      <c r="B113" s="427"/>
      <c r="C113" s="1138">
        <f ca="1">I112*J112*C112</f>
        <v>457.91195359999995</v>
      </c>
      <c r="D113" s="1140" t="s">
        <v>74</v>
      </c>
      <c r="E113" s="237"/>
      <c r="F113" s="237"/>
      <c r="G113" s="237"/>
      <c r="H113" s="237"/>
      <c r="I113" s="237"/>
      <c r="J113" s="237"/>
      <c r="K113" s="237"/>
      <c r="L113" s="237">
        <v>0</v>
      </c>
      <c r="M113" s="237">
        <f t="shared" ref="M113:U113" si="409">M112-L112</f>
        <v>30</v>
      </c>
      <c r="N113" s="237">
        <f t="shared" si="409"/>
        <v>30</v>
      </c>
      <c r="O113" s="237">
        <f t="shared" si="409"/>
        <v>30</v>
      </c>
      <c r="P113" s="237">
        <f t="shared" si="409"/>
        <v>30</v>
      </c>
      <c r="Q113" s="237">
        <f t="shared" si="409"/>
        <v>30</v>
      </c>
      <c r="R113" s="237">
        <f t="shared" si="409"/>
        <v>30</v>
      </c>
      <c r="S113" s="237">
        <f t="shared" si="409"/>
        <v>23</v>
      </c>
      <c r="T113" s="237">
        <f t="shared" si="409"/>
        <v>60</v>
      </c>
      <c r="U113" s="237">
        <f t="shared" si="409"/>
        <v>42</v>
      </c>
      <c r="V113" s="237">
        <f>V112-U112</f>
        <v>36</v>
      </c>
      <c r="W113" s="237">
        <f>W112-V112</f>
        <v>44</v>
      </c>
      <c r="X113" s="237">
        <f t="shared" ref="X113:Y113" si="410">X112-W112</f>
        <v>2</v>
      </c>
      <c r="Y113" s="237">
        <f t="shared" si="410"/>
        <v>26</v>
      </c>
      <c r="Z113" s="237">
        <f>IF(ISNUMBER(Z112),Z112-Y112," ")</f>
        <v>5</v>
      </c>
      <c r="AA113" s="237">
        <f t="shared" ref="AA113:AB113" si="411">IF(ISNUMBER(AA112),AA112-Z112," ")</f>
        <v>15</v>
      </c>
      <c r="AB113" s="237">
        <f t="shared" si="411"/>
        <v>37</v>
      </c>
      <c r="AC113" s="237">
        <f t="shared" ref="AC113" si="412">IF(ISNUMBER(AC112),AC112-AB112," ")</f>
        <v>26</v>
      </c>
      <c r="AD113" s="237">
        <f t="shared" ref="AD113" si="413">IF(ISNUMBER(AD112),AD112-AC112," ")</f>
        <v>38</v>
      </c>
      <c r="AE113" s="237">
        <f t="shared" ref="AE113" si="414">IF(ISNUMBER(AE112),AE112-AD112," ")</f>
        <v>35</v>
      </c>
      <c r="AF113" s="237">
        <f t="shared" ref="AF113" si="415">IF(ISNUMBER(AF112),AF112-AE112," ")</f>
        <v>53</v>
      </c>
      <c r="AG113" s="237">
        <f t="shared" ref="AG113" si="416">IF(ISNUMBER(AG112),AG112-AF112," ")</f>
        <v>40</v>
      </c>
      <c r="AH113" s="237">
        <f t="shared" ref="AH113" si="417">IF(ISNUMBER(AH112),AH112-AG112," ")</f>
        <v>7</v>
      </c>
      <c r="AI113" s="237">
        <f t="shared" ref="AI113" si="418">IF(ISNUMBER(AI112),AI112-AH112," ")</f>
        <v>22</v>
      </c>
      <c r="AJ113" s="237">
        <f t="shared" ref="AJ113" si="419">IF(ISNUMBER(AJ112),AJ112-AI112," ")</f>
        <v>6</v>
      </c>
      <c r="AK113" s="237"/>
      <c r="AL113" s="237"/>
    </row>
    <row r="114" spans="1:39" ht="13.9">
      <c r="C114" s="241"/>
      <c r="D114" s="40"/>
      <c r="L114" s="247">
        <f>L113*$J112*$I112</f>
        <v>0</v>
      </c>
      <c r="M114" s="247">
        <f t="shared" ref="M114:AF114" si="420">M113*$J112*$I112</f>
        <v>343.43396519999999</v>
      </c>
      <c r="N114" s="247">
        <f t="shared" si="420"/>
        <v>343.43396519999999</v>
      </c>
      <c r="O114" s="247">
        <f t="shared" si="420"/>
        <v>343.43396519999999</v>
      </c>
      <c r="P114" s="247">
        <f t="shared" si="420"/>
        <v>343.43396519999999</v>
      </c>
      <c r="Q114" s="247">
        <f t="shared" si="420"/>
        <v>343.43396519999999</v>
      </c>
      <c r="R114" s="247">
        <f t="shared" si="420"/>
        <v>343.43396519999999</v>
      </c>
      <c r="S114" s="247">
        <f t="shared" si="420"/>
        <v>263.29937331999997</v>
      </c>
      <c r="T114" s="247">
        <f t="shared" si="420"/>
        <v>686.86793039999998</v>
      </c>
      <c r="U114" s="247">
        <f t="shared" si="420"/>
        <v>480.80755127999998</v>
      </c>
      <c r="V114" s="247">
        <f t="shared" si="420"/>
        <v>412.12075823999999</v>
      </c>
      <c r="W114" s="247">
        <f t="shared" si="420"/>
        <v>503.70314895999996</v>
      </c>
      <c r="X114" s="247">
        <f t="shared" si="420"/>
        <v>22.895597679999998</v>
      </c>
      <c r="Y114" s="247">
        <f t="shared" si="420"/>
        <v>297.64276983999997</v>
      </c>
      <c r="Z114" s="247">
        <f t="shared" si="420"/>
        <v>57.238994199999993</v>
      </c>
      <c r="AA114" s="247">
        <f t="shared" si="420"/>
        <v>171.71698259999999</v>
      </c>
      <c r="AB114" s="247">
        <f t="shared" si="420"/>
        <v>423.56855707999995</v>
      </c>
      <c r="AC114" s="247">
        <f t="shared" si="420"/>
        <v>297.64276983999997</v>
      </c>
      <c r="AD114" s="247">
        <f t="shared" si="420"/>
        <v>435.01635591999997</v>
      </c>
      <c r="AE114" s="247">
        <f t="shared" si="420"/>
        <v>400.67295939999997</v>
      </c>
      <c r="AF114" s="247">
        <f t="shared" si="420"/>
        <v>606.73333851999996</v>
      </c>
      <c r="AL114" s="489"/>
    </row>
    <row r="115" spans="1:39">
      <c r="L115">
        <f t="shared" ref="L115:AC115" si="421">IF(ISNUMBER(L104),(L6+L9+L17+L20+L26+L32+L35+L38+L41+L44+L47+L55+L58+L63+L66+L69+L72+L75+L78+L81+L92+L84+L95+L98+L101+L104+L107+L110+L113)," ")</f>
        <v>9232.1000000000022</v>
      </c>
      <c r="M115">
        <f t="shared" si="421"/>
        <v>16352.099999999999</v>
      </c>
      <c r="N115">
        <f t="shared" si="421"/>
        <v>13498</v>
      </c>
      <c r="O115">
        <f t="shared" si="421"/>
        <v>22866</v>
      </c>
      <c r="P115">
        <f t="shared" si="421"/>
        <v>21439</v>
      </c>
      <c r="Q115">
        <f t="shared" si="421"/>
        <v>4823</v>
      </c>
      <c r="R115">
        <f t="shared" si="421"/>
        <v>22296</v>
      </c>
      <c r="S115">
        <f t="shared" si="421"/>
        <v>29384</v>
      </c>
      <c r="T115">
        <f t="shared" si="421"/>
        <v>23790</v>
      </c>
      <c r="U115">
        <f t="shared" si="421"/>
        <v>23508</v>
      </c>
      <c r="V115">
        <f t="shared" si="421"/>
        <v>18760.900000000001</v>
      </c>
      <c r="W115">
        <f t="shared" si="421"/>
        <v>13623.599999999999</v>
      </c>
      <c r="X115">
        <f t="shared" si="421"/>
        <v>25495.8</v>
      </c>
      <c r="Y115">
        <f t="shared" si="421"/>
        <v>13441</v>
      </c>
      <c r="Z115">
        <f t="shared" si="421"/>
        <v>11961.100000000002</v>
      </c>
      <c r="AA115">
        <f t="shared" si="421"/>
        <v>14264.399999999998</v>
      </c>
      <c r="AB115">
        <f t="shared" si="421"/>
        <v>18322.100000000002</v>
      </c>
      <c r="AC115">
        <f t="shared" si="421"/>
        <v>16902.3</v>
      </c>
      <c r="AD115">
        <f>IF(ISNUMBER(AD104),(AD6+AD9+AD17+AD20+AD26+AD32+AD35+AD38+AD41+AD44+AD47+AD55+AD58+AD63+AD66+AD69+AD72+AD75+AD78+AD81+AD92+AD84+AD95+AD98+AD101+AD104+AD107+AD110+AD113)," ")</f>
        <v>22026.7</v>
      </c>
      <c r="AE115">
        <f t="shared" ref="AE115:AJ115" si="422">IF(ISNUMBER(AE104),(AE6+AE9+AE17+AE20+AE26+AE32+AE35+AE38+AE41+AE44+AE47+AE55+AE58+AE63+AE66+AE69+AE72+AE75+AE78+AE81+AE92+AE84+AE95+AE98+AE101+AE104+AE107+AE110+AE113)," ")</f>
        <v>21112.199999999997</v>
      </c>
      <c r="AF115">
        <f t="shared" si="422"/>
        <v>34393.199999999997</v>
      </c>
      <c r="AG115">
        <f t="shared" si="422"/>
        <v>20329.2</v>
      </c>
      <c r="AH115">
        <f t="shared" si="422"/>
        <v>19970.900000000001</v>
      </c>
      <c r="AI115">
        <f t="shared" si="422"/>
        <v>19694.5</v>
      </c>
      <c r="AJ115">
        <f t="shared" si="422"/>
        <v>17256.5</v>
      </c>
      <c r="AL115" s="1137">
        <f ca="1">SUM(AL5:AL110)</f>
        <v>721230.32450403005</v>
      </c>
    </row>
    <row r="116" spans="1:39" s="473" customFormat="1" ht="13.9" thickBot="1">
      <c r="A116" s="473" t="s">
        <v>1645</v>
      </c>
      <c r="B116" s="473" t="s">
        <v>1646</v>
      </c>
      <c r="C116" s="852">
        <f ca="1">C6+C9+C14+C20+C23+C29+C35+C38+C41+C44+C47+C50+C52+C58+C63+C66+C69+C72+C75+C78+C81+C84+C89+C95+C98+C101+C104+C107+C110</f>
        <v>700533.43702344212</v>
      </c>
      <c r="K116" s="473" t="str">
        <f>IF(ISNUMBER(K6),(K6+K9+K14+K20+K23+K29+K35+K38+K41+K44+K47+K50+K52+K58+K63+K66+#REF!+K69+K72+K75+K78+K81+K89+K84+K95+K98+K101+K104+K107+K110+#REF!)," ")</f>
        <v xml:space="preserve"> </v>
      </c>
      <c r="L116" s="473">
        <f t="shared" ref="L116:V116" si="423">IF(ISNUMBER(L115),(L115*1.15*28.9)," ")</f>
        <v>306828.84350000002</v>
      </c>
      <c r="M116" s="473">
        <f t="shared" si="423"/>
        <v>543462.04349999991</v>
      </c>
      <c r="N116" s="473">
        <f t="shared" si="423"/>
        <v>448606.02999999997</v>
      </c>
      <c r="O116" s="473">
        <f t="shared" si="423"/>
        <v>759951.50999999989</v>
      </c>
      <c r="P116" s="473">
        <f t="shared" si="423"/>
        <v>712525.16499999992</v>
      </c>
      <c r="Q116" s="473">
        <f t="shared" si="423"/>
        <v>160292.405</v>
      </c>
      <c r="R116" s="473">
        <f t="shared" si="423"/>
        <v>741007.55999999994</v>
      </c>
      <c r="S116" s="473">
        <f t="shared" si="423"/>
        <v>976577.23999999987</v>
      </c>
      <c r="T116" s="473">
        <f t="shared" si="423"/>
        <v>790660.64999999991</v>
      </c>
      <c r="U116" s="473">
        <f t="shared" si="423"/>
        <v>781288.37999999989</v>
      </c>
      <c r="V116" s="473">
        <f t="shared" si="423"/>
        <v>623518.51150000002</v>
      </c>
      <c r="W116" s="473">
        <f>IF(ISNUMBER(W115),(W115*1.15*28.9)," ")</f>
        <v>452780.3459999999</v>
      </c>
      <c r="X116" s="473">
        <f t="shared" ref="X116:AJ116" si="424">IF(ISNUMBER(X115),(X115*1.15*28.9)," ")</f>
        <v>847352.91299999994</v>
      </c>
      <c r="Y116" s="473">
        <f t="shared" si="424"/>
        <v>446711.63499999995</v>
      </c>
      <c r="Z116" s="473">
        <f t="shared" si="424"/>
        <v>397527.15850000002</v>
      </c>
      <c r="AA116" s="473">
        <f t="shared" si="424"/>
        <v>474077.33399999992</v>
      </c>
      <c r="AB116" s="473">
        <f t="shared" si="424"/>
        <v>608934.99349999998</v>
      </c>
      <c r="AC116" s="473">
        <f t="shared" si="424"/>
        <v>561747.94049999991</v>
      </c>
      <c r="AD116" s="473">
        <f t="shared" si="424"/>
        <v>732057.37449999992</v>
      </c>
      <c r="AE116" s="473">
        <f t="shared" si="424"/>
        <v>701663.96699999983</v>
      </c>
      <c r="AF116" s="473">
        <f>IF(ISNUMBER(AF115),(AF115*1.15*28.9)," ")</f>
        <v>1143058.0019999996</v>
      </c>
      <c r="AG116" s="473">
        <f t="shared" si="424"/>
        <v>675640.96199999994</v>
      </c>
      <c r="AH116" s="473">
        <f t="shared" si="424"/>
        <v>663732.8615</v>
      </c>
      <c r="AI116" s="473">
        <f t="shared" si="424"/>
        <v>654546.7074999999</v>
      </c>
      <c r="AJ116" s="473">
        <f t="shared" si="424"/>
        <v>573519.77749999997</v>
      </c>
    </row>
    <row r="117" spans="1:39" s="35" customFormat="1" ht="16.149999999999999" thickBot="1">
      <c r="A117" s="862"/>
      <c r="B117" s="862"/>
      <c r="C117" s="863"/>
      <c r="D117" s="863"/>
      <c r="E117" s="863"/>
      <c r="F117" s="33"/>
      <c r="G117" s="42"/>
      <c r="K117" s="864" t="s">
        <v>1522</v>
      </c>
      <c r="L117" s="864" t="s">
        <v>1464</v>
      </c>
      <c r="M117" s="865" t="s">
        <v>1465</v>
      </c>
      <c r="N117" s="864" t="s">
        <v>1466</v>
      </c>
      <c r="O117" s="864" t="s">
        <v>1467</v>
      </c>
      <c r="P117" s="864" t="s">
        <v>406</v>
      </c>
      <c r="Q117" s="864" t="s">
        <v>1468</v>
      </c>
      <c r="R117" s="866" t="s">
        <v>1469</v>
      </c>
      <c r="S117" s="864" t="s">
        <v>1470</v>
      </c>
      <c r="T117" s="864" t="s">
        <v>1471</v>
      </c>
      <c r="U117" s="864" t="s">
        <v>1472</v>
      </c>
      <c r="V117" s="864" t="s">
        <v>1473</v>
      </c>
      <c r="W117" s="864" t="s">
        <v>1474</v>
      </c>
      <c r="X117" s="864" t="s">
        <v>414</v>
      </c>
      <c r="Y117" s="865" t="s">
        <v>48</v>
      </c>
      <c r="Z117" s="1208" t="s">
        <v>49</v>
      </c>
      <c r="AA117" s="1209" t="s">
        <v>50</v>
      </c>
      <c r="AB117" s="1209" t="s">
        <v>51</v>
      </c>
      <c r="AC117" s="1210" t="s">
        <v>420</v>
      </c>
      <c r="AD117" s="1210" t="s">
        <v>53</v>
      </c>
      <c r="AE117" s="1211" t="s">
        <v>54</v>
      </c>
      <c r="AF117" s="1212" t="s">
        <v>55</v>
      </c>
      <c r="AG117" s="1211" t="s">
        <v>56</v>
      </c>
      <c r="AH117" s="1211" t="s">
        <v>57</v>
      </c>
      <c r="AI117" s="1211" t="s">
        <v>58</v>
      </c>
      <c r="AJ117" s="1211" t="s">
        <v>453</v>
      </c>
      <c r="AK117" s="1211" t="s">
        <v>60</v>
      </c>
      <c r="AL117" s="1213"/>
    </row>
    <row r="118" spans="1:39" s="35" customFormat="1" ht="15.6">
      <c r="A118" s="867" t="s">
        <v>1647</v>
      </c>
      <c r="B118" s="868" t="s">
        <v>1648</v>
      </c>
      <c r="C118" s="380">
        <f ca="1">'(Not in Use) Gas Meter Data'!AK19</f>
        <v>497</v>
      </c>
      <c r="D118" s="869" t="s">
        <v>418</v>
      </c>
      <c r="E118" s="884"/>
      <c r="F118" s="870" t="s">
        <v>1551</v>
      </c>
      <c r="G118" s="871">
        <f>'(Not in Use) Gas Meter Data'!J19</f>
        <v>28.9587</v>
      </c>
      <c r="H118" s="872"/>
      <c r="I118" s="873"/>
      <c r="J118" s="874" t="s">
        <v>1649</v>
      </c>
      <c r="K118" s="872"/>
      <c r="L118" s="872"/>
      <c r="M118" s="872"/>
      <c r="N118" s="872"/>
      <c r="O118" s="872"/>
      <c r="P118" s="872"/>
      <c r="Q118" s="872"/>
      <c r="R118" s="875"/>
      <c r="S118" s="872"/>
      <c r="T118" s="872"/>
      <c r="U118" s="872"/>
      <c r="V118" s="872"/>
      <c r="W118" s="872"/>
    </row>
    <row r="119" spans="1:39" s="35" customFormat="1" ht="15.6">
      <c r="A119" s="876"/>
      <c r="B119" s="862"/>
      <c r="C119" s="41">
        <f ca="1">C118*G118*G119</f>
        <v>17573.210631900001</v>
      </c>
      <c r="D119" s="42" t="s">
        <v>74</v>
      </c>
      <c r="E119" s="877"/>
      <c r="F119" s="878"/>
      <c r="G119" s="879">
        <f>'(Not in Use) Gas Meter Data'!I19</f>
        <v>1.2210000000000001</v>
      </c>
      <c r="H119" s="880"/>
      <c r="I119" s="881"/>
      <c r="J119" s="882" t="s">
        <v>1649</v>
      </c>
      <c r="K119" s="880"/>
      <c r="L119" s="880"/>
      <c r="M119" s="880"/>
      <c r="N119" s="880"/>
      <c r="O119" s="880"/>
      <c r="P119" s="880"/>
      <c r="Q119" s="880"/>
      <c r="R119" s="883"/>
      <c r="S119" s="880"/>
      <c r="T119" s="880"/>
      <c r="U119" s="880"/>
      <c r="V119" s="880"/>
      <c r="W119" s="880"/>
    </row>
    <row r="120" spans="1:39" s="35" customFormat="1" ht="15.6">
      <c r="A120" s="876" t="s">
        <v>1650</v>
      </c>
      <c r="B120" s="862" t="s">
        <v>1651</v>
      </c>
      <c r="C120" s="78">
        <f ca="1">OFFSET(K121,0,COUNT(L121:BF121))</f>
        <v>419</v>
      </c>
      <c r="D120" s="804" t="s">
        <v>418</v>
      </c>
      <c r="E120" s="884">
        <f ca="1">((OFFSET(K121,0,COUNT(L121:X121)))/(OFFSET(G121,0,COUNT(L121:X121)-1)))-1</f>
        <v>-0.38605442176870752</v>
      </c>
      <c r="F120" s="878" t="s">
        <v>1652</v>
      </c>
      <c r="G120" s="885">
        <v>1</v>
      </c>
      <c r="H120" s="886"/>
      <c r="I120" s="887"/>
      <c r="J120" s="882" t="s">
        <v>1653</v>
      </c>
      <c r="K120" s="886">
        <v>85909</v>
      </c>
      <c r="L120" s="886">
        <v>86227</v>
      </c>
      <c r="M120" s="888">
        <f>L120+L121</f>
        <v>86545</v>
      </c>
      <c r="N120" s="886">
        <v>87017</v>
      </c>
      <c r="O120" s="886">
        <v>87589</v>
      </c>
      <c r="P120" s="886">
        <v>88089</v>
      </c>
      <c r="Q120" s="886">
        <v>88565</v>
      </c>
      <c r="R120" s="889">
        <v>89053</v>
      </c>
      <c r="S120" s="886">
        <v>89641</v>
      </c>
      <c r="T120" s="886">
        <v>90181</v>
      </c>
      <c r="U120" s="886">
        <v>90671</v>
      </c>
      <c r="V120" s="886">
        <v>91150</v>
      </c>
      <c r="W120" s="886">
        <v>91662</v>
      </c>
      <c r="X120" s="886">
        <v>92023</v>
      </c>
      <c r="Y120" s="886">
        <v>92421</v>
      </c>
      <c r="Z120" s="886">
        <v>92861</v>
      </c>
      <c r="AA120" s="886">
        <v>93420.3</v>
      </c>
      <c r="AB120" s="886">
        <v>93852</v>
      </c>
      <c r="AC120" s="886">
        <v>94448</v>
      </c>
      <c r="AD120" s="886">
        <v>94923</v>
      </c>
      <c r="AE120" s="886">
        <v>95475</v>
      </c>
      <c r="AF120" s="886">
        <v>96059</v>
      </c>
      <c r="AG120" s="886">
        <v>96627</v>
      </c>
      <c r="AH120" s="886">
        <v>97132.6</v>
      </c>
      <c r="AI120" s="886">
        <v>97632</v>
      </c>
      <c r="AJ120" s="886">
        <v>98051</v>
      </c>
    </row>
    <row r="121" spans="1:39" s="35" customFormat="1" ht="15.6">
      <c r="A121" s="876"/>
      <c r="B121" s="862"/>
      <c r="C121" s="41">
        <f ca="1">C120*I19*J19</f>
        <v>14815.241961300002</v>
      </c>
      <c r="D121" s="804" t="s">
        <v>74</v>
      </c>
      <c r="F121" s="878"/>
      <c r="G121" s="885"/>
      <c r="H121" s="422" t="str">
        <f>IF(ISNUMBER(H120),(H120-W120),"")</f>
        <v/>
      </c>
      <c r="I121" s="881"/>
      <c r="J121" s="882"/>
      <c r="K121" s="422"/>
      <c r="L121" s="422">
        <f t="shared" ref="L121:W121" si="425">IF(ISNUMBER(L120),(L120-K120),"")</f>
        <v>318</v>
      </c>
      <c r="M121" s="422">
        <f t="shared" si="425"/>
        <v>318</v>
      </c>
      <c r="N121" s="422">
        <f t="shared" si="425"/>
        <v>472</v>
      </c>
      <c r="O121" s="422">
        <f t="shared" si="425"/>
        <v>572</v>
      </c>
      <c r="P121" s="422">
        <f t="shared" si="425"/>
        <v>500</v>
      </c>
      <c r="Q121" s="422">
        <f t="shared" si="425"/>
        <v>476</v>
      </c>
      <c r="R121" s="666">
        <f t="shared" si="425"/>
        <v>488</v>
      </c>
      <c r="S121" s="422">
        <f t="shared" si="425"/>
        <v>588</v>
      </c>
      <c r="T121" s="422">
        <f t="shared" si="425"/>
        <v>540</v>
      </c>
      <c r="U121" s="422">
        <f t="shared" si="425"/>
        <v>490</v>
      </c>
      <c r="V121" s="422">
        <f t="shared" si="425"/>
        <v>479</v>
      </c>
      <c r="W121" s="422">
        <f t="shared" si="425"/>
        <v>512</v>
      </c>
      <c r="X121" s="422">
        <f t="shared" ref="X121" si="426">IF(ISNUMBER(X120),(X120-W120),"")</f>
        <v>361</v>
      </c>
      <c r="Y121" s="422">
        <f t="shared" ref="Y121" si="427">IF(ISNUMBER(Y120),(Y120-X120),"")</f>
        <v>398</v>
      </c>
      <c r="Z121" s="422">
        <f t="shared" ref="Z121" si="428">IF(ISNUMBER(Z120),(Z120-Y120),"")</f>
        <v>440</v>
      </c>
      <c r="AA121" s="422">
        <f t="shared" ref="AA121:AB121" si="429">IF(ISNUMBER(AA120),(AA120-Z120),"")</f>
        <v>559.30000000000291</v>
      </c>
      <c r="AB121" s="422">
        <f t="shared" si="429"/>
        <v>431.69999999999709</v>
      </c>
      <c r="AC121" s="422">
        <f t="shared" ref="AC121" si="430">IF(ISNUMBER(AC120),(AC120-AB120),"")</f>
        <v>596</v>
      </c>
      <c r="AD121" s="422">
        <f t="shared" ref="AD121" si="431">IF(ISNUMBER(AD120),(AD120-AC120),"")</f>
        <v>475</v>
      </c>
      <c r="AE121" s="422">
        <f t="shared" ref="AE121" si="432">IF(ISNUMBER(AE120),(AE120-AD120),"")</f>
        <v>552</v>
      </c>
      <c r="AF121" s="422">
        <f t="shared" ref="AF121" si="433">IF(ISNUMBER(AF120),(AF120-AE120),"")</f>
        <v>584</v>
      </c>
      <c r="AG121" s="422">
        <f t="shared" ref="AG121" si="434">IF(ISNUMBER(AG120),(AG120-AF120),"")</f>
        <v>568</v>
      </c>
      <c r="AH121" s="422">
        <f t="shared" ref="AH121" si="435">IF(ISNUMBER(AH120),(AH120-AG120),"")</f>
        <v>505.60000000000582</v>
      </c>
      <c r="AI121" s="422">
        <f t="shared" ref="AI121" si="436">IF(ISNUMBER(AI120),(AI120-AH120),"")</f>
        <v>499.39999999999418</v>
      </c>
      <c r="AJ121" s="422">
        <f t="shared" ref="AJ121" si="437">IF(ISNUMBER(AJ120),(AJ120-AI120),"")</f>
        <v>419</v>
      </c>
      <c r="AK121" s="422" t="str">
        <f t="shared" ref="AK121" si="438">IF(ISNUMBER(AK120),(AK120-AJ120),"")</f>
        <v/>
      </c>
      <c r="AL121" s="422" t="str">
        <f t="shared" ref="AL121" si="439">IF(ISNUMBER(AL120),(AL120-AK120),"")</f>
        <v/>
      </c>
    </row>
    <row r="122" spans="1:39" s="35" customFormat="1" ht="15.6">
      <c r="A122" s="876" t="s">
        <v>1654</v>
      </c>
      <c r="B122" s="862" t="s">
        <v>1655</v>
      </c>
      <c r="C122" s="78">
        <f ca="1">OFFSET(K123,0,COUNT(L123:BF123))</f>
        <v>3.3400000000001455</v>
      </c>
      <c r="D122" s="804" t="s">
        <v>418</v>
      </c>
      <c r="E122" s="884">
        <f ca="1">((OFFSET(K123,0,COUNT(L123:X123)))/(OFFSET(G123,0,COUNT(L123:X123)-1)))-1</f>
        <v>-0.75</v>
      </c>
      <c r="F122" s="890" t="s">
        <v>1656</v>
      </c>
      <c r="G122" s="885">
        <v>1</v>
      </c>
      <c r="H122" s="891"/>
      <c r="I122" s="881"/>
      <c r="J122" s="882" t="s">
        <v>1653</v>
      </c>
      <c r="K122" s="892">
        <v>1793</v>
      </c>
      <c r="L122" s="891">
        <v>1795</v>
      </c>
      <c r="M122" s="892">
        <v>1796</v>
      </c>
      <c r="N122" s="892">
        <v>1796</v>
      </c>
      <c r="O122" s="892">
        <v>1798</v>
      </c>
      <c r="P122" s="892">
        <v>1800</v>
      </c>
      <c r="Q122" s="892">
        <v>1802</v>
      </c>
      <c r="R122" s="893">
        <v>1803</v>
      </c>
      <c r="S122" s="892">
        <v>1807</v>
      </c>
      <c r="T122" s="892">
        <v>1809</v>
      </c>
      <c r="U122" s="892">
        <v>1812</v>
      </c>
      <c r="V122" s="892">
        <v>1813</v>
      </c>
      <c r="W122" s="892">
        <v>1816</v>
      </c>
      <c r="X122" s="892">
        <v>1817</v>
      </c>
      <c r="Y122" s="892">
        <v>1818</v>
      </c>
      <c r="Z122" s="886">
        <v>1819.4</v>
      </c>
      <c r="AA122" s="886">
        <v>1820.59</v>
      </c>
      <c r="AB122" s="886">
        <v>1821.53</v>
      </c>
      <c r="AC122" s="886">
        <v>1823.29</v>
      </c>
      <c r="AD122" s="888">
        <f>AC122+1.2</f>
        <v>1824.49</v>
      </c>
      <c r="AE122" s="886">
        <v>1825</v>
      </c>
      <c r="AF122" s="886">
        <v>1827</v>
      </c>
      <c r="AG122" s="886">
        <v>1828.2</v>
      </c>
      <c r="AH122" s="886">
        <v>1829.11</v>
      </c>
      <c r="AI122" s="886">
        <v>1831.56</v>
      </c>
      <c r="AJ122" s="886">
        <v>1834.9</v>
      </c>
    </row>
    <row r="123" spans="1:39" s="35" customFormat="1" ht="15.6">
      <c r="A123" s="876"/>
      <c r="B123" s="862"/>
      <c r="C123" s="41">
        <f ca="1">C122*G118*G119</f>
        <v>118.09763281800515</v>
      </c>
      <c r="D123" s="804" t="s">
        <v>74</v>
      </c>
      <c r="E123" s="884">
        <f ca="1">((OFFSET(K124,0,COUNT(L124:U124)))/(OFFSET(G124,0,COUNT(L124:U124)-1)))-1</f>
        <v>1.3947847180109108E-2</v>
      </c>
      <c r="F123" s="878"/>
      <c r="G123" s="885"/>
      <c r="H123" s="422" t="str">
        <f>IF(ISNUMBER(H122),(H122-W122),"")</f>
        <v/>
      </c>
      <c r="I123" s="894"/>
      <c r="J123" s="882"/>
      <c r="K123" s="422"/>
      <c r="L123" s="422">
        <f t="shared" ref="L123:W123" si="440">IF(ISNUMBER(L122),(L122-K122),"")</f>
        <v>2</v>
      </c>
      <c r="M123" s="422">
        <f t="shared" si="440"/>
        <v>1</v>
      </c>
      <c r="N123" s="422">
        <f t="shared" si="440"/>
        <v>0</v>
      </c>
      <c r="O123" s="422">
        <f t="shared" si="440"/>
        <v>2</v>
      </c>
      <c r="P123" s="422">
        <f t="shared" si="440"/>
        <v>2</v>
      </c>
      <c r="Q123" s="422">
        <f t="shared" si="440"/>
        <v>2</v>
      </c>
      <c r="R123" s="666">
        <f t="shared" si="440"/>
        <v>1</v>
      </c>
      <c r="S123" s="422">
        <f t="shared" si="440"/>
        <v>4</v>
      </c>
      <c r="T123" s="422">
        <f t="shared" si="440"/>
        <v>2</v>
      </c>
      <c r="U123" s="422">
        <f t="shared" si="440"/>
        <v>3</v>
      </c>
      <c r="V123" s="422">
        <f t="shared" si="440"/>
        <v>1</v>
      </c>
      <c r="W123" s="422">
        <f t="shared" si="440"/>
        <v>3</v>
      </c>
      <c r="X123" s="422">
        <f t="shared" ref="X123" si="441">IF(ISNUMBER(X122),(X122-W122),"")</f>
        <v>1</v>
      </c>
      <c r="Y123" s="422">
        <f t="shared" ref="Y123" si="442">IF(ISNUMBER(Y122),(Y122-X122),"")</f>
        <v>1</v>
      </c>
      <c r="Z123" s="422">
        <f t="shared" ref="Z123" si="443">IF(ISNUMBER(Z122),(Z122-Y122),"")</f>
        <v>1.4000000000000909</v>
      </c>
      <c r="AA123" s="422">
        <f t="shared" ref="AA123" si="444">IF(ISNUMBER(AA122),(AA122-Z122),"")</f>
        <v>1.1899999999998272</v>
      </c>
      <c r="AB123" s="422">
        <f t="shared" ref="AB123" si="445">IF(ISNUMBER(AB122),(AB122-AA122),"")</f>
        <v>0.94000000000005457</v>
      </c>
      <c r="AC123" s="422">
        <f t="shared" ref="AC123" si="446">IF(ISNUMBER(AC122),(AC122-AB122),"")</f>
        <v>1.7599999999999909</v>
      </c>
      <c r="AD123" s="422">
        <f t="shared" ref="AD123" si="447">IF(ISNUMBER(AD122),(AD122-AC122),"")</f>
        <v>1.2000000000000455</v>
      </c>
      <c r="AE123" s="422">
        <f t="shared" ref="AE123" si="448">IF(ISNUMBER(AE122),(AE122-AD122),"")</f>
        <v>0.50999999999999091</v>
      </c>
      <c r="AF123" s="422">
        <f t="shared" ref="AF123" si="449">IF(ISNUMBER(AF122),(AF122-AE122),"")</f>
        <v>2</v>
      </c>
      <c r="AG123" s="422">
        <f t="shared" ref="AG123" si="450">IF(ISNUMBER(AG122),(AG122-AF122),"")</f>
        <v>1.2000000000000455</v>
      </c>
      <c r="AH123" s="422">
        <f t="shared" ref="AH123" si="451">IF(ISNUMBER(AH122),(AH122-AG122),"")</f>
        <v>0.90999999999985448</v>
      </c>
      <c r="AI123" s="422">
        <f t="shared" ref="AI123" si="452">IF(ISNUMBER(AI122),(AI122-AH122),"")</f>
        <v>2.4500000000000455</v>
      </c>
      <c r="AJ123" s="422">
        <f t="shared" ref="AJ123" si="453">IF(ISNUMBER(AJ122),(AJ122-AI122),"")</f>
        <v>3.3400000000001455</v>
      </c>
      <c r="AK123" s="422" t="str">
        <f t="shared" ref="AK123" si="454">IF(ISNUMBER(AK122),(AK122-AJ122),"")</f>
        <v/>
      </c>
      <c r="AL123" s="422" t="str">
        <f t="shared" ref="AL123" si="455">IF(ISNUMBER(AL122),(AL122-AK122),"")</f>
        <v/>
      </c>
    </row>
    <row r="124" spans="1:39" s="35" customFormat="1" ht="15.6">
      <c r="A124" s="876" t="s">
        <v>1657</v>
      </c>
      <c r="B124" s="862" t="s">
        <v>1658</v>
      </c>
      <c r="C124" s="78">
        <f ca="1">OFFSET(K125,0,COUNT(L125:BF125))</f>
        <v>24</v>
      </c>
      <c r="D124" s="895" t="s">
        <v>418</v>
      </c>
      <c r="E124" s="884">
        <f ca="1">((OFFSET(K125,0,COUNT(L125:X125)))/(OFFSET(G125,0,COUNT(L125:X125)-1)))-1</f>
        <v>-0.69491525423728806</v>
      </c>
      <c r="F124" s="878" t="s">
        <v>1659</v>
      </c>
      <c r="G124" s="885">
        <v>1</v>
      </c>
      <c r="H124" s="896"/>
      <c r="I124" s="894"/>
      <c r="J124" s="882" t="s">
        <v>1653</v>
      </c>
      <c r="K124" s="896">
        <v>16403</v>
      </c>
      <c r="L124" s="896">
        <v>16421</v>
      </c>
      <c r="M124" s="896">
        <v>16431</v>
      </c>
      <c r="N124" s="896">
        <v>16447</v>
      </c>
      <c r="O124" s="896">
        <v>16470</v>
      </c>
      <c r="P124" s="896">
        <v>16490</v>
      </c>
      <c r="Q124" s="896">
        <v>16533</v>
      </c>
      <c r="R124" s="897">
        <v>16568</v>
      </c>
      <c r="S124" s="896">
        <v>16627</v>
      </c>
      <c r="T124" s="896">
        <v>16677</v>
      </c>
      <c r="U124" s="896">
        <v>16720</v>
      </c>
      <c r="V124" s="896">
        <v>16772</v>
      </c>
      <c r="W124" s="896">
        <v>16815</v>
      </c>
      <c r="X124" s="896">
        <v>16833</v>
      </c>
      <c r="Y124" s="896">
        <v>16839</v>
      </c>
      <c r="Z124" s="886">
        <v>16857</v>
      </c>
      <c r="AA124" s="886">
        <v>16885</v>
      </c>
      <c r="AB124" s="886">
        <v>16910</v>
      </c>
      <c r="AC124" s="886">
        <v>16952</v>
      </c>
      <c r="AD124" s="886">
        <v>17001</v>
      </c>
      <c r="AE124" s="886">
        <v>17050</v>
      </c>
      <c r="AF124" s="886">
        <v>17114</v>
      </c>
      <c r="AG124" s="886">
        <v>17156</v>
      </c>
      <c r="AH124" s="886">
        <v>17195</v>
      </c>
      <c r="AI124" s="886">
        <v>17234</v>
      </c>
      <c r="AJ124" s="886">
        <v>17258</v>
      </c>
    </row>
    <row r="125" spans="1:39" s="35" customFormat="1" ht="16.149999999999999" thickBot="1">
      <c r="A125" s="898"/>
      <c r="B125" s="899"/>
      <c r="C125" s="381">
        <f ca="1">C124*G119*G118</f>
        <v>848.60574480000002</v>
      </c>
      <c r="D125" s="900" t="s">
        <v>74</v>
      </c>
      <c r="F125" s="901"/>
      <c r="G125" s="902"/>
      <c r="H125" s="422" t="str">
        <f>IF(ISNUMBER(H124),(H124-W124),"")</f>
        <v/>
      </c>
      <c r="I125" s="903"/>
      <c r="J125" s="904"/>
      <c r="K125" s="422"/>
      <c r="L125" s="422">
        <f t="shared" ref="L125:W125" si="456">IF(ISNUMBER(L124),(L124-K124),"")</f>
        <v>18</v>
      </c>
      <c r="M125" s="422">
        <f t="shared" si="456"/>
        <v>10</v>
      </c>
      <c r="N125" s="422">
        <f t="shared" si="456"/>
        <v>16</v>
      </c>
      <c r="O125" s="422">
        <f t="shared" si="456"/>
        <v>23</v>
      </c>
      <c r="P125" s="422">
        <f t="shared" si="456"/>
        <v>20</v>
      </c>
      <c r="Q125" s="422">
        <f t="shared" si="456"/>
        <v>43</v>
      </c>
      <c r="R125" s="666">
        <f t="shared" si="456"/>
        <v>35</v>
      </c>
      <c r="S125" s="422">
        <f t="shared" si="456"/>
        <v>59</v>
      </c>
      <c r="T125" s="422">
        <f t="shared" si="456"/>
        <v>50</v>
      </c>
      <c r="U125" s="422">
        <f t="shared" si="456"/>
        <v>43</v>
      </c>
      <c r="V125" s="422">
        <f t="shared" si="456"/>
        <v>52</v>
      </c>
      <c r="W125" s="422">
        <f t="shared" si="456"/>
        <v>43</v>
      </c>
      <c r="X125" s="422">
        <f t="shared" ref="X125" si="457">IF(ISNUMBER(X124),(X124-W124),"")</f>
        <v>18</v>
      </c>
      <c r="Y125" s="422">
        <f t="shared" ref="Y125" si="458">IF(ISNUMBER(Y124),(Y124-X124),"")</f>
        <v>6</v>
      </c>
      <c r="Z125" s="422">
        <f t="shared" ref="Z125" si="459">IF(ISNUMBER(Z124),(Z124-Y124),"")</f>
        <v>18</v>
      </c>
      <c r="AA125" s="422">
        <f t="shared" ref="AA125" si="460">IF(ISNUMBER(AA124),(AA124-Z124),"")</f>
        <v>28</v>
      </c>
      <c r="AB125" s="422">
        <f t="shared" ref="AB125" si="461">IF(ISNUMBER(AB124),(AB124-AA124),"")</f>
        <v>25</v>
      </c>
      <c r="AC125" s="422">
        <f t="shared" ref="AC125" si="462">IF(ISNUMBER(AC124),(AC124-AB124),"")</f>
        <v>42</v>
      </c>
      <c r="AD125" s="422">
        <f t="shared" ref="AD125" si="463">IF(ISNUMBER(AD124),(AD124-AC124),"")</f>
        <v>49</v>
      </c>
      <c r="AE125" s="422">
        <f t="shared" ref="AE125" si="464">IF(ISNUMBER(AE124),(AE124-AD124),"")</f>
        <v>49</v>
      </c>
      <c r="AF125" s="422">
        <f t="shared" ref="AF125" si="465">IF(ISNUMBER(AF124),(AF124-AE124),"")</f>
        <v>64</v>
      </c>
      <c r="AG125" s="422">
        <f t="shared" ref="AG125" si="466">IF(ISNUMBER(AG124),(AG124-AF124),"")</f>
        <v>42</v>
      </c>
      <c r="AH125" s="422">
        <f t="shared" ref="AH125" si="467">IF(ISNUMBER(AH124),(AH124-AG124),"")</f>
        <v>39</v>
      </c>
      <c r="AI125" s="422">
        <f t="shared" ref="AI125" si="468">IF(ISNUMBER(AI124),(AI124-AH124),"")</f>
        <v>39</v>
      </c>
      <c r="AJ125" s="422">
        <f t="shared" ref="AJ125" si="469">IF(ISNUMBER(AJ124),(AJ124-AI124),"")</f>
        <v>24</v>
      </c>
      <c r="AK125" s="422" t="str">
        <f t="shared" ref="AK125" si="470">IF(ISNUMBER(AK124),(AK124-AJ124),"")</f>
        <v/>
      </c>
      <c r="AL125" s="422" t="str">
        <f t="shared" ref="AL125" si="471">IF(ISNUMBER(AL124),(AL124-AK124),"")</f>
        <v/>
      </c>
    </row>
    <row r="126" spans="1:39" s="35" customFormat="1" ht="15.6">
      <c r="A126" s="876" t="s">
        <v>1660</v>
      </c>
      <c r="B126" s="862" t="s">
        <v>1661</v>
      </c>
      <c r="C126" s="78">
        <f ca="1">OFFSET(K127,0,COUNT(L127:BF127))</f>
        <v>87</v>
      </c>
      <c r="D126" s="32" t="s">
        <v>418</v>
      </c>
      <c r="E126" s="884">
        <f ca="1">((OFFSET(K127,0,COUNT(L127:X127)))/(OFFSET(G127,0,COUNT(L127:X127)-1)))-1</f>
        <v>-0.22023809523809523</v>
      </c>
      <c r="F126" s="878" t="s">
        <v>1662</v>
      </c>
      <c r="G126" s="885">
        <v>1</v>
      </c>
      <c r="H126" s="896"/>
      <c r="I126" s="894"/>
      <c r="J126" s="882" t="s">
        <v>1653</v>
      </c>
      <c r="K126" s="896">
        <v>17873</v>
      </c>
      <c r="L126" s="896">
        <v>18003</v>
      </c>
      <c r="M126" s="896">
        <v>18093</v>
      </c>
      <c r="N126" s="896">
        <v>18219</v>
      </c>
      <c r="O126" s="896">
        <v>18387</v>
      </c>
      <c r="P126" s="896">
        <v>18530</v>
      </c>
      <c r="Q126" s="896">
        <v>18661</v>
      </c>
      <c r="R126" s="897">
        <v>18808</v>
      </c>
      <c r="S126" s="896">
        <v>18976</v>
      </c>
      <c r="T126" s="896">
        <v>19148</v>
      </c>
      <c r="U126" s="908">
        <v>19295</v>
      </c>
      <c r="V126" s="896">
        <v>19421</v>
      </c>
      <c r="W126" s="896">
        <v>19561</v>
      </c>
      <c r="X126" s="964">
        <v>19692</v>
      </c>
      <c r="Y126" s="964">
        <v>19803</v>
      </c>
      <c r="Z126" s="886">
        <v>19928</v>
      </c>
      <c r="AA126" s="886">
        <v>20080</v>
      </c>
      <c r="AB126" s="886">
        <v>20234</v>
      </c>
      <c r="AC126" s="886">
        <v>20385</v>
      </c>
      <c r="AD126" s="886">
        <v>20535</v>
      </c>
      <c r="AE126" s="886">
        <v>20665</v>
      </c>
      <c r="AF126" s="886">
        <v>20802</v>
      </c>
      <c r="AG126" s="886">
        <v>20909</v>
      </c>
      <c r="AH126" s="886">
        <v>21015</v>
      </c>
      <c r="AI126" s="886">
        <v>21088</v>
      </c>
      <c r="AJ126" s="886">
        <v>21175</v>
      </c>
    </row>
    <row r="127" spans="1:39" s="35" customFormat="1" ht="15.6">
      <c r="A127" s="876"/>
      <c r="B127" s="862"/>
      <c r="C127" s="41">
        <f ca="1">C126*J40</f>
        <v>2519.6156999999998</v>
      </c>
      <c r="D127" s="32" t="s">
        <v>74</v>
      </c>
      <c r="E127" s="884"/>
      <c r="F127" s="878"/>
      <c r="G127" s="885"/>
      <c r="H127" s="422" t="str">
        <f>IF(ISNUMBER(H126),(H126-W126),"")</f>
        <v/>
      </c>
      <c r="I127" s="200"/>
      <c r="J127" s="882"/>
      <c r="K127" s="422"/>
      <c r="L127" s="422">
        <f t="shared" ref="L127:W127" si="472">IF(ISNUMBER(L126),(L126-K126),"")</f>
        <v>130</v>
      </c>
      <c r="M127" s="422">
        <f t="shared" si="472"/>
        <v>90</v>
      </c>
      <c r="N127" s="422">
        <f t="shared" si="472"/>
        <v>126</v>
      </c>
      <c r="O127" s="422">
        <f t="shared" si="472"/>
        <v>168</v>
      </c>
      <c r="P127" s="422">
        <f t="shared" si="472"/>
        <v>143</v>
      </c>
      <c r="Q127" s="422">
        <f t="shared" si="472"/>
        <v>131</v>
      </c>
      <c r="R127" s="666">
        <f t="shared" si="472"/>
        <v>147</v>
      </c>
      <c r="S127" s="422">
        <f t="shared" si="472"/>
        <v>168</v>
      </c>
      <c r="T127" s="422">
        <f t="shared" si="472"/>
        <v>172</v>
      </c>
      <c r="U127" s="422">
        <f t="shared" si="472"/>
        <v>147</v>
      </c>
      <c r="V127" s="422">
        <f t="shared" si="472"/>
        <v>126</v>
      </c>
      <c r="W127" s="422">
        <f t="shared" si="472"/>
        <v>140</v>
      </c>
      <c r="X127" s="422">
        <f t="shared" ref="X127" si="473">IF(ISNUMBER(X126),(X126-W126),"")</f>
        <v>131</v>
      </c>
      <c r="Y127" s="422">
        <f t="shared" ref="Y127" si="474">IF(ISNUMBER(Y126),(Y126-X126),"")</f>
        <v>111</v>
      </c>
      <c r="Z127" s="422">
        <f t="shared" ref="Z127" si="475">IF(ISNUMBER(Z126),(Z126-Y126),"")</f>
        <v>125</v>
      </c>
      <c r="AA127" s="422">
        <f t="shared" ref="AA127" si="476">IF(ISNUMBER(AA126),(AA126-Z126),"")</f>
        <v>152</v>
      </c>
      <c r="AB127" s="422">
        <f t="shared" ref="AB127" si="477">IF(ISNUMBER(AB126),(AB126-AA126),"")</f>
        <v>154</v>
      </c>
      <c r="AC127" s="422">
        <f t="shared" ref="AC127:AE127" si="478">IF(ISNUMBER(AC126),(AC126-AB126),"")</f>
        <v>151</v>
      </c>
      <c r="AD127" s="422">
        <f t="shared" si="478"/>
        <v>150</v>
      </c>
      <c r="AE127" s="422">
        <f t="shared" si="478"/>
        <v>130</v>
      </c>
      <c r="AF127" s="422">
        <f t="shared" ref="AF127" si="479">IF(ISNUMBER(AF126),(AF126-AE126),"")</f>
        <v>137</v>
      </c>
      <c r="AG127" s="422">
        <f t="shared" ref="AG127" si="480">IF(ISNUMBER(AG126),(AG126-AF126),"")</f>
        <v>107</v>
      </c>
      <c r="AH127" s="422">
        <f t="shared" ref="AH127" si="481">IF(ISNUMBER(AH126),(AH126-AG126),"")</f>
        <v>106</v>
      </c>
      <c r="AI127" s="422">
        <f t="shared" ref="AI127" si="482">IF(ISNUMBER(AI126),(AI126-AH126),"")</f>
        <v>73</v>
      </c>
      <c r="AJ127" s="422">
        <f t="shared" ref="AJ127" si="483">IF(ISNUMBER(AJ126),(AJ126-AI126),"")</f>
        <v>87</v>
      </c>
      <c r="AK127" s="422" t="str">
        <f t="shared" ref="AK127" si="484">IF(ISNUMBER(AK126),(AK126-AJ126),"")</f>
        <v/>
      </c>
      <c r="AL127" s="422" t="str">
        <f t="shared" ref="AL127" si="485">IF(ISNUMBER(AL126),(AL126-AK126),"")</f>
        <v/>
      </c>
    </row>
    <row r="128" spans="1:39" s="35" customFormat="1" ht="15.6">
      <c r="A128" s="876" t="s">
        <v>1663</v>
      </c>
      <c r="B128" s="862" t="s">
        <v>1664</v>
      </c>
      <c r="C128" s="41">
        <f ca="1">OFFSET(K128,0,COUNT(L128:AG128))</f>
        <v>-8</v>
      </c>
      <c r="D128" s="32" t="s">
        <v>418</v>
      </c>
      <c r="E128" s="906"/>
      <c r="F128" s="878"/>
      <c r="G128" s="885"/>
      <c r="H128" s="907"/>
      <c r="I128" s="894"/>
      <c r="J128" s="882" t="s">
        <v>1665</v>
      </c>
      <c r="K128" s="907"/>
      <c r="L128" s="907">
        <f t="shared" ref="L128:AJ128" si="486">IF(ISNUMBER(L40),L41-L127, " ")</f>
        <v>876</v>
      </c>
      <c r="M128" s="907">
        <f t="shared" si="486"/>
        <v>1964</v>
      </c>
      <c r="N128" s="907">
        <f t="shared" si="486"/>
        <v>194</v>
      </c>
      <c r="O128" s="907">
        <f t="shared" si="486"/>
        <v>-13</v>
      </c>
      <c r="P128" s="907">
        <f t="shared" si="486"/>
        <v>3208</v>
      </c>
      <c r="Q128" s="907">
        <f t="shared" si="486"/>
        <v>4115</v>
      </c>
      <c r="R128" s="907">
        <f t="shared" si="486"/>
        <v>1270</v>
      </c>
      <c r="S128" s="907">
        <f t="shared" si="486"/>
        <v>2506</v>
      </c>
      <c r="T128" s="907">
        <f t="shared" si="486"/>
        <v>998</v>
      </c>
      <c r="U128" s="907">
        <f t="shared" si="486"/>
        <v>1284</v>
      </c>
      <c r="V128" s="907">
        <f t="shared" si="486"/>
        <v>736</v>
      </c>
      <c r="W128" s="907">
        <f t="shared" si="486"/>
        <v>399</v>
      </c>
      <c r="X128" s="907">
        <f t="shared" si="486"/>
        <v>370</v>
      </c>
      <c r="Y128" s="907">
        <f t="shared" si="486"/>
        <v>86</v>
      </c>
      <c r="Z128" s="1207">
        <f t="shared" si="486"/>
        <v>-29</v>
      </c>
      <c r="AA128" s="1207">
        <f t="shared" si="486"/>
        <v>-41</v>
      </c>
      <c r="AB128" s="1207">
        <f t="shared" si="486"/>
        <v>-25</v>
      </c>
      <c r="AC128" s="1207">
        <f t="shared" si="486"/>
        <v>-39</v>
      </c>
      <c r="AD128" s="1207">
        <f t="shared" si="486"/>
        <v>-34</v>
      </c>
      <c r="AE128" s="1207">
        <f t="shared" si="486"/>
        <v>-13</v>
      </c>
      <c r="AF128" s="1207">
        <f t="shared" si="486"/>
        <v>-23</v>
      </c>
      <c r="AG128" s="1207">
        <f t="shared" si="486"/>
        <v>-8</v>
      </c>
      <c r="AH128" s="907">
        <f t="shared" si="486"/>
        <v>-30</v>
      </c>
      <c r="AI128" s="907">
        <f t="shared" si="486"/>
        <v>58</v>
      </c>
      <c r="AJ128" s="907">
        <f t="shared" si="486"/>
        <v>-26</v>
      </c>
      <c r="AK128" s="907" t="str">
        <f>IF(ISNUMBER(AM40),AM41-AK127, " ")</f>
        <v xml:space="preserve"> </v>
      </c>
      <c r="AL128" s="907" t="str">
        <f>IF(ISNUMBER(AN40),AN41-AL127, " ")</f>
        <v xml:space="preserve"> </v>
      </c>
      <c r="AM128" s="907" t="str">
        <f>IF(ISNUMBER(AM40),AM41-AM127, " ")</f>
        <v xml:space="preserve"> </v>
      </c>
    </row>
    <row r="129" spans="1:38" s="35" customFormat="1" ht="16.149999999999999" thickBot="1">
      <c r="A129" s="898"/>
      <c r="B129" s="899"/>
      <c r="C129" s="381">
        <f ca="1">C128*J40*I40</f>
        <v>-283.03103807999997</v>
      </c>
      <c r="D129" s="909" t="s">
        <v>74</v>
      </c>
      <c r="E129" s="910"/>
      <c r="F129" s="901"/>
      <c r="G129" s="902"/>
      <c r="H129" s="911"/>
      <c r="I129" s="903"/>
      <c r="J129" s="904"/>
      <c r="K129" s="911"/>
      <c r="L129" s="911"/>
      <c r="M129" s="911"/>
      <c r="N129" s="911"/>
      <c r="O129" s="911"/>
      <c r="P129" s="911"/>
      <c r="Q129" s="911"/>
      <c r="R129" s="912"/>
      <c r="S129" s="911"/>
      <c r="T129" s="911"/>
      <c r="U129" s="911"/>
      <c r="V129" s="911"/>
      <c r="W129" s="911"/>
    </row>
    <row r="130" spans="1:38" s="35" customFormat="1" ht="15.6">
      <c r="A130" s="867" t="s">
        <v>1666</v>
      </c>
      <c r="B130" s="868" t="s">
        <v>1667</v>
      </c>
      <c r="C130" s="382">
        <f ca="1">'(Not in Use) Gas Meter Data'!AK100</f>
        <v>1584</v>
      </c>
      <c r="D130" s="913" t="s">
        <v>418</v>
      </c>
      <c r="E130" s="884">
        <f ca="1">((OFFSET(K131,0,COUNT(L131:X131)))/(OFFSET(G131,0,COUNT(L131:X131)-1)))-1</f>
        <v>-0.44299471885678787</v>
      </c>
      <c r="F130" s="870" t="s">
        <v>1668</v>
      </c>
      <c r="G130" s="871">
        <f>'(Not in Use) Gas Meter Data'!J100</f>
        <v>28.961099999999998</v>
      </c>
      <c r="H130" s="914"/>
      <c r="I130" s="873"/>
      <c r="J130" s="874" t="s">
        <v>1649</v>
      </c>
      <c r="K130" s="915">
        <v>5500</v>
      </c>
      <c r="L130" s="914">
        <v>7052</v>
      </c>
      <c r="M130" s="914">
        <v>7771</v>
      </c>
      <c r="N130" s="914">
        <v>8757</v>
      </c>
      <c r="O130" s="914">
        <v>9902</v>
      </c>
      <c r="P130" s="914">
        <v>11483</v>
      </c>
      <c r="Q130" s="914">
        <v>13539</v>
      </c>
      <c r="R130" s="916">
        <f>Q130+2800</f>
        <v>16339</v>
      </c>
      <c r="S130" s="917">
        <v>19558</v>
      </c>
      <c r="T130" s="914">
        <v>22006</v>
      </c>
      <c r="U130" s="914">
        <v>24714</v>
      </c>
      <c r="V130" s="914">
        <v>26943</v>
      </c>
      <c r="W130" s="914">
        <v>28565</v>
      </c>
      <c r="X130" s="886">
        <v>30358</v>
      </c>
      <c r="Y130" s="886">
        <v>31212</v>
      </c>
      <c r="Z130" s="886">
        <v>32313</v>
      </c>
      <c r="AA130" s="886">
        <v>33994</v>
      </c>
      <c r="AB130" s="35">
        <v>35754</v>
      </c>
      <c r="AC130" s="886">
        <v>38034</v>
      </c>
      <c r="AD130" s="888">
        <f>AC130+2800</f>
        <v>40834</v>
      </c>
      <c r="AE130" s="886">
        <v>44204</v>
      </c>
      <c r="AF130" s="886">
        <v>47489</v>
      </c>
      <c r="AG130" s="886">
        <v>49721</v>
      </c>
      <c r="AH130" s="35">
        <v>51953</v>
      </c>
      <c r="AI130" s="35">
        <v>53749</v>
      </c>
      <c r="AJ130" s="887">
        <f>AI130+800</f>
        <v>54549</v>
      </c>
    </row>
    <row r="131" spans="1:38" s="35" customFormat="1" ht="16.149999999999999" thickBot="1">
      <c r="A131" s="898"/>
      <c r="B131" s="899"/>
      <c r="C131" s="381">
        <f ca="1">C130*G130*G131</f>
        <v>53705.13947568</v>
      </c>
      <c r="D131" s="900" t="s">
        <v>74</v>
      </c>
      <c r="E131" s="884">
        <f ca="1">((OFFSET(K132,0,COUNT(L132:U132)))/(OFFSET(G132,0,COUNT(L132:U132)-1)))-1</f>
        <v>3.4464064436183328E-2</v>
      </c>
      <c r="F131" s="901"/>
      <c r="G131" s="879">
        <f>'(Not in Use) Gas Meter Data'!I100</f>
        <v>1.1707000000000001</v>
      </c>
      <c r="H131" s="422" t="str">
        <f>IF(ISNUMBER(H130),(H130-W130),"")</f>
        <v/>
      </c>
      <c r="I131" s="903"/>
      <c r="J131" s="904" t="s">
        <v>1649</v>
      </c>
      <c r="K131" s="422"/>
      <c r="L131" s="422">
        <f t="shared" ref="L131:Y131" si="487">IF(ISNUMBER(L130),(L130-K130),"")</f>
        <v>1552</v>
      </c>
      <c r="M131" s="422">
        <f t="shared" si="487"/>
        <v>719</v>
      </c>
      <c r="N131" s="422">
        <f t="shared" si="487"/>
        <v>986</v>
      </c>
      <c r="O131" s="422">
        <f t="shared" si="487"/>
        <v>1145</v>
      </c>
      <c r="P131" s="422">
        <f t="shared" si="487"/>
        <v>1581</v>
      </c>
      <c r="Q131" s="422">
        <f t="shared" si="487"/>
        <v>2056</v>
      </c>
      <c r="R131" s="666">
        <f t="shared" si="487"/>
        <v>2800</v>
      </c>
      <c r="S131" s="422">
        <f t="shared" si="487"/>
        <v>3219</v>
      </c>
      <c r="T131" s="422">
        <f t="shared" si="487"/>
        <v>2448</v>
      </c>
      <c r="U131" s="422">
        <f t="shared" si="487"/>
        <v>2708</v>
      </c>
      <c r="V131" s="422">
        <f t="shared" si="487"/>
        <v>2229</v>
      </c>
      <c r="W131" s="422">
        <f t="shared" si="487"/>
        <v>1622</v>
      </c>
      <c r="X131" s="422">
        <f t="shared" si="487"/>
        <v>1793</v>
      </c>
      <c r="Y131" s="422">
        <f t="shared" si="487"/>
        <v>854</v>
      </c>
      <c r="Z131" s="422">
        <f t="shared" ref="Z131" si="488">IF(ISNUMBER(Z130),(Z130-Y130),"")</f>
        <v>1101</v>
      </c>
      <c r="AA131" s="422">
        <f t="shared" ref="AA131" si="489">IF(ISNUMBER(AA130),(AA130-Z130),"")</f>
        <v>1681</v>
      </c>
      <c r="AB131" s="422">
        <f t="shared" ref="AB131" si="490">IF(ISNUMBER(AB130),(AB130-AA130),"")</f>
        <v>1760</v>
      </c>
      <c r="AC131" s="422">
        <f t="shared" ref="AC131" si="491">IF(ISNUMBER(AC130),(AC130-AB130),"")</f>
        <v>2280</v>
      </c>
      <c r="AD131" s="422">
        <f t="shared" ref="AD131" si="492">IF(ISNUMBER(AD130),(AD130-AC130),"")</f>
        <v>2800</v>
      </c>
      <c r="AE131" s="422">
        <f t="shared" ref="AE131" si="493">IF(ISNUMBER(AE130),(AE130-AD130),"")</f>
        <v>3370</v>
      </c>
      <c r="AF131" s="422">
        <f t="shared" ref="AF131" si="494">IF(ISNUMBER(AF130),(AF130-AE130),"")</f>
        <v>3285</v>
      </c>
      <c r="AG131" s="422">
        <f t="shared" ref="AG131" si="495">IF(ISNUMBER(AG130),(AG130-AF130),"")</f>
        <v>2232</v>
      </c>
      <c r="AH131" s="422">
        <f t="shared" ref="AH131" si="496">IF(ISNUMBER(AH130),(AH130-AG130),"")</f>
        <v>2232</v>
      </c>
      <c r="AI131" s="422">
        <f t="shared" ref="AI131" si="497">IF(ISNUMBER(AI130),(AI130-AH130),"")</f>
        <v>1796</v>
      </c>
      <c r="AJ131" s="422">
        <f t="shared" ref="AJ131" si="498">IF(ISNUMBER(AJ130),(AJ130-AI130),"")</f>
        <v>800</v>
      </c>
      <c r="AK131" s="422" t="str">
        <f t="shared" ref="AK131" si="499">IF(ISNUMBER(AK130),(AK130-AJ130),"")</f>
        <v/>
      </c>
      <c r="AL131" s="422" t="str">
        <f t="shared" ref="AL131" si="500">IF(ISNUMBER(AL130),(AL130-AK130),"")</f>
        <v/>
      </c>
    </row>
    <row r="132" spans="1:38" s="35" customFormat="1" ht="15.6">
      <c r="A132" s="867" t="s">
        <v>1669</v>
      </c>
      <c r="B132" s="868" t="s">
        <v>1670</v>
      </c>
      <c r="C132" s="382">
        <f ca="1">'(Not in Use) Gas Meter Data'!AK97</f>
        <v>188</v>
      </c>
      <c r="D132" s="913" t="s">
        <v>418</v>
      </c>
      <c r="E132" s="884">
        <f ca="1">((OFFSET(K133,0,COUNT(L133:X133)))/(OFFSET(G133,0,COUNT(L133:X133)-1)))-1</f>
        <v>0.18048780487804872</v>
      </c>
      <c r="F132" s="870" t="s">
        <v>1671</v>
      </c>
      <c r="G132" s="871">
        <f>'(Not in Use) Gas Meter Data'!J97</f>
        <v>28.961099999999998</v>
      </c>
      <c r="H132" s="914"/>
      <c r="I132" s="873"/>
      <c r="J132" s="874" t="s">
        <v>1649</v>
      </c>
      <c r="K132" s="915">
        <v>24800</v>
      </c>
      <c r="L132" s="914">
        <v>25121</v>
      </c>
      <c r="M132" s="914">
        <v>25258</v>
      </c>
      <c r="N132" s="914">
        <v>25427</v>
      </c>
      <c r="O132" s="914">
        <v>25609</v>
      </c>
      <c r="P132" s="914">
        <v>25824</v>
      </c>
      <c r="Q132" s="914">
        <v>26053</v>
      </c>
      <c r="R132" s="916">
        <f>Q132+200</f>
        <v>26253</v>
      </c>
      <c r="S132" s="914">
        <v>26458</v>
      </c>
      <c r="T132" s="914">
        <v>26713</v>
      </c>
      <c r="U132" s="915">
        <v>26714</v>
      </c>
      <c r="V132" s="914">
        <v>27229</v>
      </c>
      <c r="W132" s="914">
        <v>27435</v>
      </c>
      <c r="X132" s="886">
        <v>27677</v>
      </c>
      <c r="Y132" s="886">
        <v>27765</v>
      </c>
      <c r="Z132" s="886">
        <v>27765</v>
      </c>
      <c r="AA132" s="886">
        <v>27765</v>
      </c>
      <c r="AB132" s="35">
        <v>27765</v>
      </c>
      <c r="AC132" s="35">
        <v>27950</v>
      </c>
      <c r="AD132" s="887">
        <f>AC132+240</f>
        <v>28190</v>
      </c>
      <c r="AE132" s="35">
        <v>28530</v>
      </c>
      <c r="AF132" s="35">
        <v>28779</v>
      </c>
      <c r="AG132" s="35">
        <v>29028</v>
      </c>
      <c r="AH132" s="35">
        <v>29291</v>
      </c>
      <c r="AI132" s="35">
        <v>29531</v>
      </c>
      <c r="AJ132" s="887">
        <f>AI132+80</f>
        <v>29611</v>
      </c>
    </row>
    <row r="133" spans="1:38" s="35" customFormat="1" ht="16.149999999999999" thickBot="1">
      <c r="A133" s="898"/>
      <c r="B133" s="899"/>
      <c r="C133" s="381">
        <f ca="1">C132*G132*G133</f>
        <v>5715.28773396</v>
      </c>
      <c r="D133" s="900" t="s">
        <v>74</v>
      </c>
      <c r="E133" s="884"/>
      <c r="F133" s="901"/>
      <c r="G133" s="879">
        <f>'(Not in Use) Gas Meter Data'!I97</f>
        <v>1.0497000000000001</v>
      </c>
      <c r="H133" s="422" t="str">
        <f>IF(ISNUMBER(H132),(H132-W132),"")</f>
        <v/>
      </c>
      <c r="I133" s="903" t="s">
        <v>1672</v>
      </c>
      <c r="J133" s="904" t="s">
        <v>1649</v>
      </c>
      <c r="K133" s="422"/>
      <c r="L133" s="422">
        <f t="shared" ref="L133:Y133" si="501">IF(ISNUMBER(L132),(L132-K132),"")</f>
        <v>321</v>
      </c>
      <c r="M133" s="422">
        <f t="shared" si="501"/>
        <v>137</v>
      </c>
      <c r="N133" s="422">
        <f t="shared" si="501"/>
        <v>169</v>
      </c>
      <c r="O133" s="422">
        <f t="shared" si="501"/>
        <v>182</v>
      </c>
      <c r="P133" s="422">
        <f t="shared" si="501"/>
        <v>215</v>
      </c>
      <c r="Q133" s="422">
        <f t="shared" si="501"/>
        <v>229</v>
      </c>
      <c r="R133" s="666">
        <f t="shared" si="501"/>
        <v>200</v>
      </c>
      <c r="S133" s="422">
        <f t="shared" si="501"/>
        <v>205</v>
      </c>
      <c r="T133" s="422">
        <f t="shared" si="501"/>
        <v>255</v>
      </c>
      <c r="U133" s="422">
        <f t="shared" si="501"/>
        <v>1</v>
      </c>
      <c r="V133" s="422">
        <f t="shared" si="501"/>
        <v>515</v>
      </c>
      <c r="W133" s="422">
        <f t="shared" si="501"/>
        <v>206</v>
      </c>
      <c r="X133" s="422">
        <f t="shared" si="501"/>
        <v>242</v>
      </c>
      <c r="Y133" s="422">
        <f t="shared" si="501"/>
        <v>88</v>
      </c>
      <c r="Z133" s="422">
        <f t="shared" ref="Z133" si="502">IF(ISNUMBER(Z132),(Z132-Y132),"")</f>
        <v>0</v>
      </c>
      <c r="AA133" s="422">
        <f t="shared" ref="AA133" si="503">IF(ISNUMBER(AA132),(AA132-Z132),"")</f>
        <v>0</v>
      </c>
      <c r="AB133" s="422">
        <f t="shared" ref="AB133" si="504">IF(ISNUMBER(AB132),(AB132-AA132),"")</f>
        <v>0</v>
      </c>
      <c r="AC133" s="422">
        <f t="shared" ref="AC133" si="505">IF(ISNUMBER(AC132),(AC132-AB132),"")</f>
        <v>185</v>
      </c>
      <c r="AD133" s="422">
        <f t="shared" ref="AD133" si="506">IF(ISNUMBER(AD132),(AD132-AC132),"")</f>
        <v>240</v>
      </c>
      <c r="AE133" s="422">
        <f t="shared" ref="AE133" si="507">IF(ISNUMBER(AE132),(AE132-AD132),"")</f>
        <v>340</v>
      </c>
      <c r="AF133" s="422">
        <f>IF(ISNUMBER(AF132),(AF132-AE132),"")</f>
        <v>249</v>
      </c>
      <c r="AG133" s="422">
        <f t="shared" ref="AG133:AI133" si="508">IF(ISNUMBER(AG132),(AG132-AF132),"")</f>
        <v>249</v>
      </c>
      <c r="AH133" s="422">
        <f t="shared" si="508"/>
        <v>263</v>
      </c>
      <c r="AI133" s="422">
        <f t="shared" si="508"/>
        <v>240</v>
      </c>
      <c r="AJ133" s="422">
        <f t="shared" ref="AJ133" si="509">IF(ISNUMBER(AJ132),(AJ132-AI132),"")</f>
        <v>80</v>
      </c>
      <c r="AK133" s="422" t="str">
        <f t="shared" ref="AK133" si="510">IF(ISNUMBER(AK132),(AK132-AJ132),"")</f>
        <v/>
      </c>
      <c r="AL133" s="422" t="str">
        <f t="shared" ref="AL133" si="511">IF(ISNUMBER(AL132),(AL132-AK132),"")</f>
        <v/>
      </c>
    </row>
    <row r="134" spans="1:38" s="35" customFormat="1" ht="15.6">
      <c r="A134" s="867" t="s">
        <v>1673</v>
      </c>
      <c r="B134" s="868" t="s">
        <v>1674</v>
      </c>
      <c r="C134" s="382">
        <f ca="1">'(Not in Use) Gas Meter Data'!AK46</f>
        <v>311</v>
      </c>
      <c r="D134" s="380" t="s">
        <v>418</v>
      </c>
      <c r="E134" s="884" t="e">
        <f ca="1">((OFFSET(K135,0,COUNT(L135:X135)))/(OFFSET(G135,0,COUNT(L135:X135)-1)))-1</f>
        <v>#DIV/0!</v>
      </c>
      <c r="F134" s="870"/>
      <c r="G134" s="871">
        <f>'(Not in Use) Gas Meter Data'!J46</f>
        <v>28.958500000000001</v>
      </c>
      <c r="H134" s="918"/>
      <c r="I134" s="905"/>
      <c r="J134" s="874" t="s">
        <v>1649</v>
      </c>
      <c r="K134" s="918"/>
      <c r="L134" s="918"/>
      <c r="M134" s="918"/>
      <c r="N134" s="918"/>
      <c r="O134" s="918"/>
      <c r="P134" s="918"/>
      <c r="Q134" s="918"/>
      <c r="R134" s="919"/>
      <c r="S134" s="918"/>
      <c r="T134" s="918"/>
      <c r="U134" s="918"/>
      <c r="V134" s="918"/>
      <c r="W134" s="918"/>
      <c r="AJ134" s="35">
        <v>31175</v>
      </c>
      <c r="AK134" s="35">
        <v>31406</v>
      </c>
    </row>
    <row r="135" spans="1:38" s="35" customFormat="1" ht="15.6">
      <c r="A135" s="876"/>
      <c r="B135" s="862"/>
      <c r="C135" s="41">
        <f ca="1">C134*G134*G135</f>
        <v>10543.433660450002</v>
      </c>
      <c r="D135" s="32" t="s">
        <v>74</v>
      </c>
      <c r="E135" s="884"/>
      <c r="F135" s="878"/>
      <c r="G135" s="879">
        <f>'(Not in Use) Gas Meter Data'!I46</f>
        <v>1.1707000000000001</v>
      </c>
      <c r="H135" s="422"/>
      <c r="I135" s="894"/>
      <c r="J135" s="882" t="s">
        <v>1649</v>
      </c>
      <c r="K135" s="422"/>
      <c r="L135" s="422"/>
      <c r="M135" s="422"/>
      <c r="N135" s="422"/>
      <c r="O135" s="422"/>
      <c r="P135" s="422"/>
      <c r="Q135" s="422"/>
      <c r="R135" s="666"/>
      <c r="S135" s="422"/>
      <c r="T135" s="422"/>
      <c r="U135" s="422"/>
      <c r="V135" s="422"/>
      <c r="W135" s="422"/>
      <c r="AF135" s="35">
        <v>58411</v>
      </c>
      <c r="AG135" s="35">
        <v>61657</v>
      </c>
      <c r="AJ135" s="35">
        <v>65863</v>
      </c>
      <c r="AK135" s="35">
        <v>65864</v>
      </c>
    </row>
    <row r="136" spans="1:38" s="35" customFormat="1" ht="15.6">
      <c r="A136" s="876" t="s">
        <v>1675</v>
      </c>
      <c r="B136" s="862" t="s">
        <v>1676</v>
      </c>
      <c r="C136" s="78">
        <f ca="1">OFFSET(K137,0,COUNT(L137:BF137))</f>
        <v>365</v>
      </c>
      <c r="D136" s="32" t="s">
        <v>418</v>
      </c>
      <c r="E136" s="884">
        <f ca="1">((OFFSET(K137,0,COUNT(L137:X137)))/(OFFSET(G137,0,COUNT(L137:X137)-1)))-1</f>
        <v>-0.27223719676549862</v>
      </c>
      <c r="F136" s="878" t="s">
        <v>1677</v>
      </c>
      <c r="G136" s="885">
        <v>1</v>
      </c>
      <c r="H136" s="896"/>
      <c r="I136" s="894"/>
      <c r="J136" s="882" t="s">
        <v>1678</v>
      </c>
      <c r="K136" s="908">
        <v>42500</v>
      </c>
      <c r="L136" s="896">
        <v>42877</v>
      </c>
      <c r="M136" s="896">
        <v>43053</v>
      </c>
      <c r="N136" s="896">
        <v>43313</v>
      </c>
      <c r="O136" s="896">
        <v>43563</v>
      </c>
      <c r="P136" s="896">
        <v>43903</v>
      </c>
      <c r="Q136" s="896">
        <v>44256</v>
      </c>
      <c r="R136" s="920">
        <f>Q136+350</f>
        <v>44606</v>
      </c>
      <c r="S136" s="896">
        <v>44977</v>
      </c>
      <c r="T136" s="896">
        <v>45387</v>
      </c>
      <c r="U136" s="896">
        <v>45777</v>
      </c>
      <c r="V136" s="896">
        <v>46183</v>
      </c>
      <c r="W136" s="896">
        <v>46495</v>
      </c>
      <c r="X136" s="964">
        <v>46765</v>
      </c>
      <c r="Y136" s="964">
        <v>46963</v>
      </c>
      <c r="Z136" s="886">
        <v>47200</v>
      </c>
      <c r="AA136" s="886">
        <v>47510</v>
      </c>
      <c r="AB136" s="886">
        <v>47824</v>
      </c>
      <c r="AC136" s="888">
        <f>AB136+300</f>
        <v>48124</v>
      </c>
      <c r="AD136" s="888">
        <f>AC136+340</f>
        <v>48464</v>
      </c>
      <c r="AE136" s="886">
        <v>48877</v>
      </c>
      <c r="AF136" s="908">
        <v>49343</v>
      </c>
      <c r="AG136" s="896">
        <v>49740</v>
      </c>
      <c r="AH136" s="896">
        <v>50107</v>
      </c>
      <c r="AI136" s="896">
        <v>50437</v>
      </c>
      <c r="AJ136" s="896">
        <v>50802</v>
      </c>
      <c r="AK136" s="896"/>
      <c r="AL136" s="896"/>
    </row>
    <row r="137" spans="1:38" s="35" customFormat="1" ht="15.6">
      <c r="A137" s="876"/>
      <c r="B137" s="862"/>
      <c r="C137" s="41">
        <f ca="1">C136*G134*G135</f>
        <v>12374.126321750002</v>
      </c>
      <c r="D137" s="32" t="s">
        <v>74</v>
      </c>
      <c r="E137" s="884"/>
      <c r="F137" s="878"/>
      <c r="G137" s="885"/>
      <c r="H137" s="422" t="str">
        <f>IF(ISNUMBER(H136),(H136-W136),"")</f>
        <v/>
      </c>
      <c r="I137" s="894"/>
      <c r="J137" s="882"/>
      <c r="K137" s="422"/>
      <c r="L137" s="422">
        <f t="shared" ref="L137:W137" si="512">IF(ISNUMBER(L136),(L136-K136),"")</f>
        <v>377</v>
      </c>
      <c r="M137" s="422">
        <f t="shared" si="512"/>
        <v>176</v>
      </c>
      <c r="N137" s="422">
        <f t="shared" si="512"/>
        <v>260</v>
      </c>
      <c r="O137" s="422">
        <f t="shared" si="512"/>
        <v>250</v>
      </c>
      <c r="P137" s="422">
        <f t="shared" si="512"/>
        <v>340</v>
      </c>
      <c r="Q137" s="422">
        <f t="shared" si="512"/>
        <v>353</v>
      </c>
      <c r="R137" s="666">
        <f t="shared" si="512"/>
        <v>350</v>
      </c>
      <c r="S137" s="422">
        <f t="shared" si="512"/>
        <v>371</v>
      </c>
      <c r="T137" s="422">
        <f t="shared" si="512"/>
        <v>410</v>
      </c>
      <c r="U137" s="422">
        <f t="shared" si="512"/>
        <v>390</v>
      </c>
      <c r="V137" s="422">
        <f t="shared" si="512"/>
        <v>406</v>
      </c>
      <c r="W137" s="422">
        <f t="shared" si="512"/>
        <v>312</v>
      </c>
      <c r="X137" s="422">
        <f t="shared" ref="X137" si="513">IF(ISNUMBER(X136),(X136-W136),"")</f>
        <v>270</v>
      </c>
      <c r="Y137" s="422">
        <f t="shared" ref="Y137" si="514">IF(ISNUMBER(Y136),(Y136-X136),"")</f>
        <v>198</v>
      </c>
      <c r="Z137" s="422">
        <f t="shared" ref="Z137" si="515">IF(ISNUMBER(Z136),(Z136-Y136),"")</f>
        <v>237</v>
      </c>
      <c r="AA137" s="422">
        <f t="shared" ref="AA137" si="516">IF(ISNUMBER(AA136),(AA136-Z136),"")</f>
        <v>310</v>
      </c>
      <c r="AB137" s="422">
        <f t="shared" ref="AB137" si="517">IF(ISNUMBER(AB136),(AB136-AA136),"")</f>
        <v>314</v>
      </c>
      <c r="AC137" s="422">
        <f t="shared" ref="AC137" si="518">IF(ISNUMBER(AC136),(AC136-AB136),"")</f>
        <v>300</v>
      </c>
      <c r="AD137" s="422">
        <f t="shared" ref="AD137" si="519">IF(ISNUMBER(AD136),(AD136-AC136),"")</f>
        <v>340</v>
      </c>
      <c r="AE137" s="422">
        <f t="shared" ref="AE137" si="520">IF(ISNUMBER(AE136),(AE136-AD136),"")</f>
        <v>413</v>
      </c>
      <c r="AF137" s="422">
        <f t="shared" ref="AF137" si="521">IF(ISNUMBER(AF136),(AF136-AE136),"")</f>
        <v>466</v>
      </c>
      <c r="AG137" s="422">
        <f t="shared" ref="AG137" si="522">IF(ISNUMBER(AG136),(AG136-AF136),"")</f>
        <v>397</v>
      </c>
      <c r="AH137" s="422">
        <f t="shared" ref="AH137" si="523">IF(ISNUMBER(AH136),(AH136-AG136),"")</f>
        <v>367</v>
      </c>
      <c r="AI137" s="422">
        <f t="shared" ref="AI137" si="524">IF(ISNUMBER(AI136),(AI136-AH136),"")</f>
        <v>330</v>
      </c>
      <c r="AJ137" s="422">
        <f t="shared" ref="AJ137" si="525">IF(ISNUMBER(AJ136),(AJ136-AI136),"")</f>
        <v>365</v>
      </c>
      <c r="AK137" s="422" t="str">
        <f t="shared" ref="AK137" si="526">IF(ISNUMBER(AK136),(AK136-AJ136),"")</f>
        <v/>
      </c>
      <c r="AL137" s="422" t="str">
        <f t="shared" ref="AL137" si="527">IF(ISNUMBER(AL136),(AL136-AK136),"")</f>
        <v/>
      </c>
    </row>
    <row r="138" spans="1:38" s="35" customFormat="1" ht="15.6">
      <c r="A138" s="876" t="s">
        <v>1679</v>
      </c>
      <c r="B138" s="862" t="s">
        <v>1680</v>
      </c>
      <c r="C138" s="78">
        <f ca="1">OFFSET(K139,0,COUNT(L139:BF139))</f>
        <v>35</v>
      </c>
      <c r="D138" s="32" t="s">
        <v>418</v>
      </c>
      <c r="E138" s="884">
        <f ca="1">((OFFSET(K139,0,COUNT(L139:X139)))/(OFFSET(G139,0,COUNT(L139:X139)-1)))-1</f>
        <v>-0.75806451612903225</v>
      </c>
      <c r="F138" s="878" t="s">
        <v>1681</v>
      </c>
      <c r="G138" s="885">
        <v>1</v>
      </c>
      <c r="H138" s="896"/>
      <c r="I138" s="894"/>
      <c r="J138" s="882" t="s">
        <v>1678</v>
      </c>
      <c r="K138" s="908">
        <v>12450</v>
      </c>
      <c r="L138" s="896">
        <v>12586</v>
      </c>
      <c r="M138" s="896">
        <v>12656</v>
      </c>
      <c r="N138" s="896">
        <v>12747</v>
      </c>
      <c r="O138" s="896">
        <v>12830</v>
      </c>
      <c r="P138" s="896">
        <v>12951</v>
      </c>
      <c r="Q138" s="896">
        <v>13057</v>
      </c>
      <c r="R138" s="920">
        <f>Q138+100</f>
        <v>13157</v>
      </c>
      <c r="S138" s="896">
        <v>13281</v>
      </c>
      <c r="T138" s="896">
        <v>13402</v>
      </c>
      <c r="U138" s="896">
        <v>13494</v>
      </c>
      <c r="V138" s="896">
        <v>13556</v>
      </c>
      <c r="W138" s="896">
        <v>13587</v>
      </c>
      <c r="X138" s="964">
        <v>13617</v>
      </c>
      <c r="Y138" s="964">
        <v>13641</v>
      </c>
      <c r="Z138" s="886">
        <v>13666</v>
      </c>
      <c r="AA138" s="886">
        <v>13695</v>
      </c>
      <c r="AB138" s="886">
        <v>13726</v>
      </c>
      <c r="AC138" s="888">
        <f>AB138+30</f>
        <v>13756</v>
      </c>
      <c r="AD138" s="888">
        <f>AC138+30</f>
        <v>13786</v>
      </c>
      <c r="AE138" s="886">
        <v>13821</v>
      </c>
      <c r="AF138" s="908">
        <v>13862</v>
      </c>
      <c r="AG138" s="896">
        <v>13877</v>
      </c>
      <c r="AH138" s="896">
        <v>13911</v>
      </c>
      <c r="AI138" s="896">
        <v>13946</v>
      </c>
      <c r="AJ138" s="896">
        <v>13981</v>
      </c>
      <c r="AK138" s="896"/>
      <c r="AL138" s="896"/>
    </row>
    <row r="139" spans="1:38" s="35" customFormat="1" ht="16.149999999999999" thickBot="1">
      <c r="A139" s="898"/>
      <c r="B139" s="899"/>
      <c r="C139" s="381">
        <f ca="1">C138*G134*G135</f>
        <v>1186.5600582500001</v>
      </c>
      <c r="D139" s="909" t="s">
        <v>74</v>
      </c>
      <c r="E139" s="884"/>
      <c r="F139" s="901"/>
      <c r="G139" s="902"/>
      <c r="H139" s="422" t="str">
        <f>IF(ISNUMBER(H138),(H138-W138),"")</f>
        <v/>
      </c>
      <c r="I139" s="903"/>
      <c r="J139" s="904"/>
      <c r="K139" s="422"/>
      <c r="L139" s="422">
        <f t="shared" ref="L139:W139" si="528">IF(ISNUMBER(L138),(L138-K138),"")</f>
        <v>136</v>
      </c>
      <c r="M139" s="422">
        <f t="shared" si="528"/>
        <v>70</v>
      </c>
      <c r="N139" s="422">
        <f t="shared" si="528"/>
        <v>91</v>
      </c>
      <c r="O139" s="422">
        <f t="shared" si="528"/>
        <v>83</v>
      </c>
      <c r="P139" s="422">
        <f t="shared" si="528"/>
        <v>121</v>
      </c>
      <c r="Q139" s="422">
        <f t="shared" si="528"/>
        <v>106</v>
      </c>
      <c r="R139" s="666">
        <f t="shared" si="528"/>
        <v>100</v>
      </c>
      <c r="S139" s="422">
        <f t="shared" si="528"/>
        <v>124</v>
      </c>
      <c r="T139" s="422">
        <f t="shared" si="528"/>
        <v>121</v>
      </c>
      <c r="U139" s="422">
        <f t="shared" si="528"/>
        <v>92</v>
      </c>
      <c r="V139" s="422">
        <f t="shared" si="528"/>
        <v>62</v>
      </c>
      <c r="W139" s="422">
        <f t="shared" si="528"/>
        <v>31</v>
      </c>
      <c r="X139" s="422">
        <f t="shared" ref="X139" si="529">IF(ISNUMBER(X138),(X138-W138),"")</f>
        <v>30</v>
      </c>
      <c r="Y139" s="422">
        <f t="shared" ref="Y139" si="530">IF(ISNUMBER(Y138),(Y138-X138),"")</f>
        <v>24</v>
      </c>
      <c r="Z139" s="422">
        <f t="shared" ref="Z139" si="531">IF(ISNUMBER(Z138),(Z138-Y138),"")</f>
        <v>25</v>
      </c>
      <c r="AA139" s="422">
        <f t="shared" ref="AA139" si="532">IF(ISNUMBER(AA138),(AA138-Z138),"")</f>
        <v>29</v>
      </c>
      <c r="AB139" s="422">
        <f t="shared" ref="AB139" si="533">IF(ISNUMBER(AB138),(AB138-AA138),"")</f>
        <v>31</v>
      </c>
      <c r="AC139" s="422">
        <f t="shared" ref="AC139" si="534">IF(ISNUMBER(AC138),(AC138-AB138),"")</f>
        <v>30</v>
      </c>
      <c r="AD139" s="422">
        <f t="shared" ref="AD139" si="535">IF(ISNUMBER(AD138),(AD138-AC138),"")</f>
        <v>30</v>
      </c>
      <c r="AE139" s="422">
        <f t="shared" ref="AE139" si="536">IF(ISNUMBER(AE138),(AE138-AD138),"")</f>
        <v>35</v>
      </c>
      <c r="AF139" s="422">
        <f t="shared" ref="AF139" si="537">IF(ISNUMBER(AF138),(AF138-AE138),"")</f>
        <v>41</v>
      </c>
      <c r="AG139" s="422">
        <f t="shared" ref="AG139" si="538">IF(ISNUMBER(AG138),(AG138-AF138),"")</f>
        <v>15</v>
      </c>
      <c r="AH139" s="422">
        <f t="shared" ref="AH139" si="539">IF(ISNUMBER(AH138),(AH138-AG138),"")</f>
        <v>34</v>
      </c>
      <c r="AI139" s="422">
        <f t="shared" ref="AI139" si="540">IF(ISNUMBER(AI138),(AI138-AH138),"")</f>
        <v>35</v>
      </c>
      <c r="AJ139" s="422">
        <f t="shared" ref="AJ139" si="541">IF(ISNUMBER(AJ138),(AJ138-AI138),"")</f>
        <v>35</v>
      </c>
      <c r="AK139" s="422" t="str">
        <f t="shared" ref="AK139" si="542">IF(ISNUMBER(AK138),(AK138-AJ138),"")</f>
        <v/>
      </c>
      <c r="AL139" s="422" t="str">
        <f t="shared" ref="AL139" si="543">IF(ISNUMBER(AL138),(AL138-AK138),"")</f>
        <v/>
      </c>
    </row>
    <row r="140" spans="1:38" s="35" customFormat="1" ht="15.6">
      <c r="A140" s="876" t="s">
        <v>1682</v>
      </c>
      <c r="B140" s="862" t="s">
        <v>1683</v>
      </c>
      <c r="C140" s="78">
        <f ca="1">OFFSET(K141,0,COUNT(L141:BF141))</f>
        <v>0.38999999999998636</v>
      </c>
      <c r="D140" s="32" t="s">
        <v>418</v>
      </c>
      <c r="E140" s="884"/>
      <c r="F140" s="878" t="s">
        <v>1684</v>
      </c>
      <c r="G140" s="885">
        <v>1</v>
      </c>
      <c r="H140" s="896">
        <v>354</v>
      </c>
      <c r="I140" s="894"/>
      <c r="J140" s="882"/>
      <c r="K140" s="896">
        <v>352</v>
      </c>
      <c r="L140" s="908">
        <v>352</v>
      </c>
      <c r="M140" s="908">
        <v>352</v>
      </c>
      <c r="N140" s="908">
        <v>352</v>
      </c>
      <c r="O140" s="896">
        <v>353.9</v>
      </c>
      <c r="P140" s="896">
        <v>354</v>
      </c>
      <c r="Q140" s="896">
        <v>354</v>
      </c>
      <c r="R140" s="897">
        <v>354</v>
      </c>
      <c r="S140" s="896">
        <v>354</v>
      </c>
      <c r="T140" s="896">
        <v>354</v>
      </c>
      <c r="U140" s="896">
        <v>354</v>
      </c>
      <c r="V140" s="921">
        <v>354</v>
      </c>
      <c r="W140" s="896">
        <v>354</v>
      </c>
      <c r="X140" s="964">
        <v>354</v>
      </c>
      <c r="Y140" s="964">
        <v>354.6</v>
      </c>
      <c r="Z140" s="886">
        <v>354.7</v>
      </c>
      <c r="AA140" s="886">
        <v>354.87</v>
      </c>
      <c r="AB140" s="886">
        <v>355</v>
      </c>
      <c r="AC140" s="886">
        <v>355.18</v>
      </c>
      <c r="AD140" s="886">
        <v>355.3</v>
      </c>
      <c r="AE140" s="886">
        <v>355.4</v>
      </c>
      <c r="AF140" s="896">
        <v>355.4</v>
      </c>
      <c r="AG140" s="908">
        <v>355.4</v>
      </c>
      <c r="AH140" s="908">
        <v>356.09</v>
      </c>
      <c r="AI140" s="908">
        <v>356.61</v>
      </c>
      <c r="AJ140" s="908">
        <v>357</v>
      </c>
      <c r="AK140" s="896"/>
      <c r="AL140" s="896"/>
    </row>
    <row r="141" spans="1:38" s="35" customFormat="1" ht="16.149999999999999" thickBot="1">
      <c r="A141" s="876"/>
      <c r="B141" s="862"/>
      <c r="C141" s="41"/>
      <c r="D141" s="32" t="s">
        <v>74</v>
      </c>
      <c r="E141" s="884"/>
      <c r="F141" s="878"/>
      <c r="G141" s="885"/>
      <c r="H141" s="422">
        <f>IF(ISNUMBER(H140),(H140-W140),"")</f>
        <v>0</v>
      </c>
      <c r="I141" s="894"/>
      <c r="J141" s="882"/>
      <c r="K141" s="422"/>
      <c r="L141" s="422">
        <f t="shared" ref="L141:Y141" si="544">IF(ISNUMBER(L140),(L140-K140),"")</f>
        <v>0</v>
      </c>
      <c r="M141" s="422">
        <f t="shared" si="544"/>
        <v>0</v>
      </c>
      <c r="N141" s="422">
        <f t="shared" si="544"/>
        <v>0</v>
      </c>
      <c r="O141" s="422">
        <f t="shared" si="544"/>
        <v>1.8999999999999773</v>
      </c>
      <c r="P141" s="422">
        <f t="shared" si="544"/>
        <v>0.10000000000002274</v>
      </c>
      <c r="Q141" s="422">
        <f t="shared" si="544"/>
        <v>0</v>
      </c>
      <c r="R141" s="666">
        <f t="shared" si="544"/>
        <v>0</v>
      </c>
      <c r="S141" s="422">
        <f t="shared" si="544"/>
        <v>0</v>
      </c>
      <c r="T141" s="422">
        <f t="shared" si="544"/>
        <v>0</v>
      </c>
      <c r="U141" s="422">
        <f t="shared" si="544"/>
        <v>0</v>
      </c>
      <c r="V141" s="422">
        <f t="shared" si="544"/>
        <v>0</v>
      </c>
      <c r="W141" s="422">
        <f t="shared" si="544"/>
        <v>0</v>
      </c>
      <c r="X141" s="422">
        <f t="shared" si="544"/>
        <v>0</v>
      </c>
      <c r="Y141" s="422">
        <f t="shared" si="544"/>
        <v>0.60000000000002274</v>
      </c>
      <c r="Z141" s="422">
        <f t="shared" ref="Z141" si="545">IF(ISNUMBER(Z140),(Z140-Y140),"")</f>
        <v>9.9999999999965894E-2</v>
      </c>
      <c r="AA141" s="422">
        <f t="shared" ref="AA141" si="546">IF(ISNUMBER(AA140),(AA140-Z140),"")</f>
        <v>0.17000000000001592</v>
      </c>
      <c r="AB141" s="422">
        <f t="shared" ref="AB141:AC141" si="547">IF(ISNUMBER(AB140),(AB140-AA140),"")</f>
        <v>0.12999999999999545</v>
      </c>
      <c r="AC141" s="422">
        <f t="shared" si="547"/>
        <v>0.18000000000000682</v>
      </c>
      <c r="AD141" s="422">
        <f t="shared" ref="AD141" si="548">IF(ISNUMBER(AD140),(AD140-AC140),"")</f>
        <v>0.12000000000000455</v>
      </c>
      <c r="AE141" s="422">
        <f t="shared" ref="AE141" si="549">IF(ISNUMBER(AE140),(AE140-AD140),"")</f>
        <v>9.9999999999965894E-2</v>
      </c>
      <c r="AF141" s="422">
        <f t="shared" ref="AF141" si="550">IF(ISNUMBER(AF140),(AF140-AE140),"")</f>
        <v>0</v>
      </c>
      <c r="AG141" s="422">
        <f t="shared" ref="AG141" si="551">IF(ISNUMBER(AG140),(AG140-AF140),"")</f>
        <v>0</v>
      </c>
      <c r="AH141" s="422">
        <f t="shared" ref="AH141" si="552">IF(ISNUMBER(AH140),(AH140-AG140),"")</f>
        <v>0.68999999999999773</v>
      </c>
      <c r="AI141" s="422">
        <f t="shared" ref="AI141" si="553">IF(ISNUMBER(AI140),(AI140-AH140),"")</f>
        <v>0.52000000000003865</v>
      </c>
      <c r="AJ141" s="422">
        <f t="shared" ref="AJ141" si="554">IF(ISNUMBER(AJ140),(AJ140-AI140),"")</f>
        <v>0.38999999999998636</v>
      </c>
      <c r="AK141" s="422" t="str">
        <f t="shared" ref="AK141" si="555">IF(ISNUMBER(AK140),(AK140-AJ140),"")</f>
        <v/>
      </c>
      <c r="AL141" s="422" t="str">
        <f t="shared" ref="AL141" si="556">IF(ISNUMBER(AL140),(AL140-AK140),"")</f>
        <v/>
      </c>
    </row>
    <row r="142" spans="1:38" s="35" customFormat="1" ht="15.6">
      <c r="A142" s="923" t="s">
        <v>1636</v>
      </c>
      <c r="B142" s="924" t="s">
        <v>1637</v>
      </c>
      <c r="C142" s="78">
        <f ca="1">OFFSET(K143,0,COUNT(L143:BF143))</f>
        <v>6885</v>
      </c>
      <c r="D142" s="913" t="s">
        <v>418</v>
      </c>
      <c r="E142" s="884">
        <f ca="1">((OFFSET(K143,0,COUNT(L143:X143)))/(OFFSET(G143,0,COUNT(L143:X143)-1)))-1</f>
        <v>-0.31578465482512363</v>
      </c>
      <c r="F142" s="925"/>
      <c r="G142" s="926">
        <v>28</v>
      </c>
      <c r="H142" s="935"/>
      <c r="I142" s="847"/>
      <c r="J142" s="927" t="s">
        <v>671</v>
      </c>
      <c r="K142" s="935">
        <v>109426</v>
      </c>
      <c r="L142" s="935">
        <v>116250</v>
      </c>
      <c r="M142" s="936">
        <v>123169</v>
      </c>
      <c r="N142" s="936">
        <v>129534</v>
      </c>
      <c r="O142" s="936">
        <v>136712</v>
      </c>
      <c r="P142" s="936">
        <v>144213</v>
      </c>
      <c r="Q142" s="936">
        <v>152646</v>
      </c>
      <c r="R142" s="937">
        <v>163178</v>
      </c>
      <c r="S142" s="935">
        <v>174100</v>
      </c>
      <c r="T142" s="938">
        <v>184238</v>
      </c>
      <c r="U142" s="935">
        <v>193374</v>
      </c>
      <c r="V142" s="935">
        <v>202817</v>
      </c>
      <c r="W142" s="935">
        <v>209130</v>
      </c>
      <c r="X142" s="639">
        <v>216603</v>
      </c>
      <c r="Y142" s="639">
        <v>223111</v>
      </c>
      <c r="Z142" s="639">
        <v>228823</v>
      </c>
      <c r="AA142" s="639">
        <v>235240</v>
      </c>
      <c r="AB142" s="639">
        <v>242290</v>
      </c>
      <c r="AC142" s="639">
        <v>249705.5</v>
      </c>
      <c r="AD142" s="639">
        <v>258313.4</v>
      </c>
      <c r="AE142" s="639">
        <v>267831.93</v>
      </c>
      <c r="AF142" s="639">
        <v>277916.40000000002</v>
      </c>
      <c r="AG142" s="639">
        <v>286347.62</v>
      </c>
      <c r="AH142" s="639">
        <v>294175.82</v>
      </c>
      <c r="AI142" s="639">
        <v>301258</v>
      </c>
      <c r="AJ142" s="639">
        <v>308143</v>
      </c>
    </row>
    <row r="143" spans="1:38" s="35" customFormat="1" ht="16.149999999999999" thickBot="1">
      <c r="A143" s="928"/>
      <c r="B143" s="929"/>
      <c r="C143" s="383">
        <f ca="1">C142*G142*G143</f>
        <v>204404.63399999999</v>
      </c>
      <c r="D143" s="922" t="s">
        <v>74</v>
      </c>
      <c r="E143" s="930"/>
      <c r="F143" s="931"/>
      <c r="G143" s="932">
        <f>'(Not in Use) Gas Meter Data'!I74</f>
        <v>1.0603</v>
      </c>
      <c r="H143" s="422" t="str">
        <f>IF(ISNUMBER(H142),(H142-W142),"")</f>
        <v/>
      </c>
      <c r="I143" s="933"/>
      <c r="J143" s="934"/>
      <c r="K143" s="422"/>
      <c r="L143" s="422">
        <f t="shared" ref="L143:Y143" si="557">IF(ISNUMBER(L142),(L142-K142),"")</f>
        <v>6824</v>
      </c>
      <c r="M143" s="422">
        <f t="shared" si="557"/>
        <v>6919</v>
      </c>
      <c r="N143" s="422">
        <f t="shared" si="557"/>
        <v>6365</v>
      </c>
      <c r="O143" s="422">
        <f t="shared" si="557"/>
        <v>7178</v>
      </c>
      <c r="P143" s="422">
        <f t="shared" si="557"/>
        <v>7501</v>
      </c>
      <c r="Q143" s="422">
        <f t="shared" si="557"/>
        <v>8433</v>
      </c>
      <c r="R143" s="666">
        <f t="shared" si="557"/>
        <v>10532</v>
      </c>
      <c r="S143" s="422">
        <f t="shared" si="557"/>
        <v>10922</v>
      </c>
      <c r="T143" s="422">
        <f t="shared" si="557"/>
        <v>10138</v>
      </c>
      <c r="U143" s="422">
        <f t="shared" si="557"/>
        <v>9136</v>
      </c>
      <c r="V143" s="422">
        <f t="shared" si="557"/>
        <v>9443</v>
      </c>
      <c r="W143" s="422">
        <f t="shared" si="557"/>
        <v>6313</v>
      </c>
      <c r="X143" s="422">
        <f t="shared" si="557"/>
        <v>7473</v>
      </c>
      <c r="Y143" s="422">
        <f t="shared" si="557"/>
        <v>6508</v>
      </c>
      <c r="Z143" s="422">
        <f t="shared" ref="Z143" si="558">IF(ISNUMBER(Z142),(Z142-Y142),"")</f>
        <v>5712</v>
      </c>
      <c r="AA143" s="422">
        <f t="shared" ref="AA143" si="559">IF(ISNUMBER(AA142),(AA142-Z142),"")</f>
        <v>6417</v>
      </c>
      <c r="AB143" s="422">
        <f t="shared" ref="AB143" si="560">IF(ISNUMBER(AB142),(AB142-AA142),"")</f>
        <v>7050</v>
      </c>
      <c r="AC143" s="422">
        <f t="shared" ref="AC143" si="561">IF(ISNUMBER(AC142),(AC142-AB142),"")</f>
        <v>7415.5</v>
      </c>
      <c r="AD143" s="422">
        <f>IF(ISNUMBER(AD142),(AD142-AC142),"")</f>
        <v>8607.8999999999942</v>
      </c>
      <c r="AE143" s="422">
        <f t="shared" ref="AE143:AF143" si="562">IF(ISNUMBER(AE142),(AE142-AD142),"")</f>
        <v>9518.5299999999988</v>
      </c>
      <c r="AF143" s="422">
        <f t="shared" si="562"/>
        <v>10084.47000000003</v>
      </c>
      <c r="AG143" s="422">
        <f t="shared" ref="AG143" si="563">IF(ISNUMBER(AG142),(AG142-AF142),"")</f>
        <v>8431.2199999999721</v>
      </c>
      <c r="AH143" s="422">
        <f t="shared" ref="AH143" si="564">IF(ISNUMBER(AH142),(AH142-AG142),"")</f>
        <v>7828.2000000000116</v>
      </c>
      <c r="AI143" s="422">
        <f t="shared" ref="AI143" si="565">IF(ISNUMBER(AI142),(AI142-AH142),"")</f>
        <v>7082.179999999993</v>
      </c>
      <c r="AJ143" s="422">
        <f t="shared" ref="AJ143" si="566">IF(ISNUMBER(AJ142),(AJ142-AI142),"")</f>
        <v>6885</v>
      </c>
      <c r="AK143" s="422" t="str">
        <f t="shared" ref="AK143" si="567">IF(ISNUMBER(AK142),(AK142-AJ142),"")</f>
        <v/>
      </c>
      <c r="AL143" s="422" t="str">
        <f t="shared" ref="AL143" si="568">IF(ISNUMBER(AL142),(AL142-AK142),"")</f>
        <v/>
      </c>
    </row>
    <row r="145" spans="2:38">
      <c r="K145" s="908"/>
      <c r="L145" s="896"/>
      <c r="M145" s="896"/>
      <c r="N145" s="896"/>
      <c r="O145" s="896"/>
      <c r="P145" s="896"/>
      <c r="Q145" s="896"/>
      <c r="R145" s="920"/>
      <c r="S145" s="896"/>
      <c r="T145" s="896"/>
      <c r="U145" s="896"/>
      <c r="V145" s="896"/>
      <c r="W145" s="896"/>
      <c r="X145" s="964"/>
      <c r="Y145" s="964"/>
      <c r="Z145" s="886"/>
      <c r="AA145" s="886"/>
      <c r="AB145" s="886"/>
      <c r="AC145" s="888"/>
      <c r="AD145" s="888"/>
      <c r="AE145" s="886"/>
      <c r="AF145" s="908"/>
      <c r="AG145" s="896"/>
      <c r="AH145" s="896"/>
      <c r="AI145" s="896">
        <v>708.84</v>
      </c>
      <c r="AJ145" s="896">
        <v>729.47</v>
      </c>
      <c r="AK145" s="896"/>
      <c r="AL145" s="896"/>
    </row>
    <row r="146" spans="2:38">
      <c r="B146" s="473" t="s">
        <v>1685</v>
      </c>
      <c r="K146" s="422"/>
      <c r="L146" s="422"/>
      <c r="M146" s="422"/>
      <c r="N146" s="422"/>
      <c r="O146" s="422"/>
      <c r="P146" s="422"/>
      <c r="Q146" s="422"/>
      <c r="R146" s="666"/>
      <c r="S146" s="422"/>
      <c r="T146" s="422"/>
      <c r="U146" s="422"/>
      <c r="V146" s="422"/>
      <c r="W146" s="422"/>
      <c r="X146" s="422"/>
      <c r="Y146" s="422"/>
      <c r="Z146" s="422"/>
      <c r="AA146" s="422"/>
      <c r="AB146" s="422"/>
      <c r="AC146" s="422"/>
      <c r="AD146" s="422"/>
      <c r="AE146" s="422"/>
      <c r="AF146" s="422"/>
      <c r="AG146" s="422"/>
      <c r="AH146" s="422"/>
      <c r="AI146" s="422"/>
      <c r="AJ146" s="422">
        <f>IF(ISNUMBER(AJ145),AJ145-AI145," ")</f>
        <v>20.629999999999995</v>
      </c>
      <c r="AK146" s="422" t="str">
        <f t="shared" ref="AK146:AL146" si="569">IF(ISNUMBER(AK145),AK145-AJ145," ")</f>
        <v xml:space="preserve"> </v>
      </c>
      <c r="AL146" s="422" t="str">
        <f t="shared" si="569"/>
        <v xml:space="preserve"> </v>
      </c>
    </row>
    <row r="147" spans="2:38">
      <c r="K147" s="908"/>
      <c r="L147" s="896"/>
      <c r="M147" s="896"/>
      <c r="N147" s="896"/>
      <c r="O147" s="896"/>
      <c r="P147" s="896"/>
      <c r="Q147" s="896"/>
      <c r="R147" s="920"/>
      <c r="S147" s="896"/>
      <c r="T147" s="896"/>
      <c r="U147" s="896"/>
      <c r="V147" s="896"/>
      <c r="W147" s="896"/>
      <c r="X147" s="964"/>
      <c r="Y147" s="964"/>
      <c r="Z147" s="886"/>
      <c r="AA147" s="886"/>
      <c r="AB147" s="886"/>
      <c r="AC147" s="888"/>
      <c r="AD147" s="888"/>
      <c r="AE147" s="886"/>
      <c r="AF147" s="908"/>
      <c r="AG147" s="896"/>
      <c r="AH147" s="896"/>
      <c r="AI147" s="896">
        <v>408.05</v>
      </c>
      <c r="AJ147" s="896">
        <v>408.05</v>
      </c>
      <c r="AK147" s="896"/>
      <c r="AL147" s="896"/>
    </row>
    <row r="148" spans="2:38">
      <c r="B148" s="473" t="s">
        <v>1686</v>
      </c>
      <c r="K148" s="422"/>
      <c r="L148" s="422"/>
      <c r="M148" s="422"/>
      <c r="N148" s="422"/>
      <c r="O148" s="422"/>
      <c r="P148" s="422"/>
      <c r="Q148" s="422"/>
      <c r="R148" s="666"/>
      <c r="S148" s="422"/>
      <c r="T148" s="422"/>
      <c r="U148" s="422"/>
      <c r="V148" s="422"/>
      <c r="W148" s="422"/>
      <c r="X148" s="422"/>
      <c r="Y148" s="422"/>
      <c r="Z148" s="422"/>
      <c r="AA148" s="422"/>
      <c r="AB148" s="422"/>
      <c r="AC148" s="422"/>
      <c r="AD148" s="422"/>
      <c r="AE148" s="422"/>
      <c r="AF148" s="422"/>
      <c r="AG148" s="422"/>
      <c r="AH148" s="422"/>
      <c r="AI148" s="422"/>
      <c r="AJ148" s="422">
        <f>IF(ISNUMBER(AJ147),AJ147-AI147," ")</f>
        <v>0</v>
      </c>
      <c r="AK148" s="422" t="str">
        <f t="shared" ref="AK148:AL148" si="570">IF(ISNUMBER(AK147),AK147-AJ147," ")</f>
        <v xml:space="preserve"> </v>
      </c>
      <c r="AL148" s="422" t="str">
        <f t="shared" si="570"/>
        <v xml:space="preserve"> </v>
      </c>
    </row>
    <row r="149" spans="2:38">
      <c r="K149" s="896"/>
      <c r="L149" s="908"/>
      <c r="M149" s="908"/>
      <c r="N149" s="908"/>
      <c r="O149" s="896"/>
      <c r="P149" s="896"/>
      <c r="Q149" s="896"/>
      <c r="R149" s="897"/>
      <c r="S149" s="896"/>
      <c r="T149" s="896"/>
      <c r="U149" s="896"/>
      <c r="V149" s="921"/>
      <c r="W149" s="896"/>
      <c r="X149" s="964"/>
      <c r="Y149" s="964"/>
      <c r="Z149" s="886"/>
      <c r="AA149" s="886"/>
      <c r="AB149" s="886"/>
      <c r="AC149" s="886"/>
      <c r="AD149" s="886"/>
      <c r="AE149" s="886"/>
      <c r="AF149" s="896"/>
      <c r="AG149" s="908"/>
      <c r="AH149" s="908"/>
      <c r="AI149" s="908">
        <v>67.13</v>
      </c>
      <c r="AJ149" s="908">
        <v>69.150000000000006</v>
      </c>
      <c r="AK149" s="896"/>
      <c r="AL149" s="896"/>
    </row>
    <row r="150" spans="2:38">
      <c r="B150" s="473" t="s">
        <v>1687</v>
      </c>
      <c r="K150" s="422"/>
      <c r="L150" s="422"/>
      <c r="M150" s="422"/>
      <c r="N150" s="422"/>
      <c r="O150" s="422"/>
      <c r="P150" s="422"/>
      <c r="Q150" s="422"/>
      <c r="R150" s="666"/>
      <c r="S150" s="422"/>
      <c r="T150" s="422"/>
      <c r="U150" s="422"/>
      <c r="V150" s="422"/>
      <c r="W150" s="422"/>
      <c r="X150" s="422"/>
      <c r="Y150" s="422"/>
      <c r="Z150" s="422"/>
      <c r="AA150" s="422"/>
      <c r="AB150" s="422"/>
      <c r="AC150" s="422"/>
      <c r="AD150" s="422"/>
      <c r="AE150" s="422"/>
      <c r="AF150" s="422"/>
      <c r="AG150" s="422"/>
      <c r="AH150" s="422"/>
      <c r="AI150" s="422"/>
      <c r="AJ150" s="422">
        <f>IF(ISNUMBER(AJ149),AJ149-AI149," ")</f>
        <v>2.0200000000000102</v>
      </c>
      <c r="AK150" s="422" t="str">
        <f t="shared" ref="AK150:AL150" si="571">IF(ISNUMBER(AK149),AK149-AJ149," ")</f>
        <v xml:space="preserve"> </v>
      </c>
      <c r="AL150" s="422" t="str">
        <f t="shared" si="571"/>
        <v xml:space="preserve"> </v>
      </c>
    </row>
    <row r="154" spans="2:38">
      <c r="AI154">
        <v>708.84</v>
      </c>
      <c r="AJ154">
        <v>729.47</v>
      </c>
    </row>
    <row r="155" spans="2:38">
      <c r="AI155">
        <v>408.05</v>
      </c>
      <c r="AJ155">
        <v>408.05</v>
      </c>
    </row>
    <row r="156" spans="2:38">
      <c r="AI156">
        <v>67.13</v>
      </c>
      <c r="AJ156">
        <v>69.150000000000006</v>
      </c>
    </row>
  </sheetData>
  <protectedRanges>
    <protectedRange sqref="M109:R109" name="Range1"/>
    <protectedRange sqref="K118:W119 H118:H143 K120:V127 K129:V143 K128:AM128" name="Range1_1"/>
    <protectedRange sqref="W120:W127 W129:W143 X120:AA122 X124:AA124 X143:AL143 X141:AL141 X139:AL139 X137:AL137 X133:AL133 X131:AL131 X127:AL127 X125:AL125 X123:AL123 AB121:AL121" name="Range1_2"/>
  </protectedRanges>
  <phoneticPr fontId="10" type="noConversion"/>
  <conditionalFormatting sqref="L116:AJ1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1:AL1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3:AL1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5:AL1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C6 C20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5:AM48"/>
  <sheetViews>
    <sheetView workbookViewId="0" xr3:uid="{85D5C41F-068E-5C55-9968-509E7C2A5619}">
      <selection activeCell="F14" sqref="F14"/>
    </sheetView>
  </sheetViews>
  <sheetFormatPr defaultRowHeight="13.15"/>
  <cols>
    <col min="1" max="1" width="14.7109375" bestFit="1" customWidth="1"/>
    <col min="2" max="2" width="19.5703125" bestFit="1" customWidth="1"/>
    <col min="3" max="3" width="19.42578125" bestFit="1" customWidth="1"/>
    <col min="4" max="4" width="14.42578125" bestFit="1" customWidth="1"/>
    <col min="5" max="5" width="55.7109375" customWidth="1"/>
    <col min="6" max="6" width="27.28515625" customWidth="1"/>
    <col min="7" max="7" width="17.42578125" bestFit="1" customWidth="1"/>
    <col min="8" max="8" width="9.42578125" customWidth="1"/>
    <col min="9" max="9" width="11" customWidth="1"/>
    <col min="14" max="14" width="20.85546875" bestFit="1" customWidth="1"/>
    <col min="15" max="15" width="17.85546875" bestFit="1" customWidth="1"/>
    <col min="16" max="16" width="21.85546875" bestFit="1" customWidth="1"/>
  </cols>
  <sheetData>
    <row r="5" spans="1:17">
      <c r="B5" s="35" t="s">
        <v>1688</v>
      </c>
    </row>
    <row r="8" spans="1:17">
      <c r="A8" s="239" t="s">
        <v>1689</v>
      </c>
      <c r="B8" s="251" t="s">
        <v>1690</v>
      </c>
      <c r="C8" s="251" t="s">
        <v>689</v>
      </c>
      <c r="D8" s="232" t="s">
        <v>1691</v>
      </c>
      <c r="E8" s="251" t="s">
        <v>1692</v>
      </c>
      <c r="F8" s="232"/>
      <c r="G8" s="232"/>
      <c r="H8" s="232"/>
      <c r="I8" s="311"/>
      <c r="N8" t="s">
        <v>1693</v>
      </c>
      <c r="O8" t="s">
        <v>1694</v>
      </c>
      <c r="P8" t="s">
        <v>1695</v>
      </c>
      <c r="Q8" t="s">
        <v>1692</v>
      </c>
    </row>
    <row r="9" spans="1:17">
      <c r="A9" s="233" t="s">
        <v>1696</v>
      </c>
      <c r="B9" t="s">
        <v>1697</v>
      </c>
      <c r="C9" s="35" t="s">
        <v>1698</v>
      </c>
      <c r="D9" s="242">
        <v>1307.21</v>
      </c>
      <c r="E9" s="242">
        <v>182.69</v>
      </c>
      <c r="F9" s="242">
        <f>D9/1.15</f>
        <v>1136.7043478260871</v>
      </c>
      <c r="G9" t="s">
        <v>1699</v>
      </c>
      <c r="H9">
        <v>8998</v>
      </c>
      <c r="I9" s="263" t="s">
        <v>74</v>
      </c>
      <c r="M9" s="35" t="s">
        <v>1696</v>
      </c>
    </row>
    <row r="10" spans="1:17">
      <c r="A10" s="233" t="s">
        <v>1700</v>
      </c>
      <c r="B10" t="s">
        <v>1697</v>
      </c>
      <c r="C10" s="35" t="s">
        <v>1701</v>
      </c>
      <c r="D10" s="242">
        <v>97.6</v>
      </c>
      <c r="E10" s="242">
        <f t="shared" ref="E10:E11" si="0">D10-F10</f>
        <v>12.730434782608683</v>
      </c>
      <c r="F10" s="242">
        <f>D10/1.15</f>
        <v>84.869565217391312</v>
      </c>
      <c r="G10" t="s">
        <v>1699</v>
      </c>
      <c r="H10">
        <v>-292</v>
      </c>
      <c r="I10" s="263" t="s">
        <v>74</v>
      </c>
      <c r="M10" s="35" t="s">
        <v>1700</v>
      </c>
    </row>
    <row r="11" spans="1:17">
      <c r="A11" s="233" t="s">
        <v>1702</v>
      </c>
      <c r="B11" t="s">
        <v>1697</v>
      </c>
      <c r="C11" s="35" t="s">
        <v>1703</v>
      </c>
      <c r="D11" s="242">
        <v>-39.64</v>
      </c>
      <c r="E11" s="242">
        <f t="shared" si="0"/>
        <v>-5.1704347826086945</v>
      </c>
      <c r="F11" s="242">
        <f>D11/1.15</f>
        <v>-34.469565217391306</v>
      </c>
      <c r="G11" t="s">
        <v>1699</v>
      </c>
      <c r="H11">
        <v>-894</v>
      </c>
      <c r="I11" s="263" t="s">
        <v>74</v>
      </c>
      <c r="M11" s="35" t="s">
        <v>1702</v>
      </c>
      <c r="N11">
        <v>44</v>
      </c>
      <c r="O11">
        <v>20.51</v>
      </c>
      <c r="P11">
        <v>0</v>
      </c>
      <c r="Q11">
        <v>2.68</v>
      </c>
    </row>
    <row r="12" spans="1:17">
      <c r="A12" s="233"/>
      <c r="D12" s="242"/>
      <c r="E12" s="242"/>
      <c r="G12" t="s">
        <v>514</v>
      </c>
      <c r="H12">
        <f>SUM(H9:H11)</f>
        <v>7812</v>
      </c>
      <c r="I12" s="263" t="s">
        <v>74</v>
      </c>
    </row>
    <row r="13" spans="1:17">
      <c r="A13" s="233"/>
      <c r="D13" s="242">
        <f>D9+D10+D11</f>
        <v>1365.1699999999998</v>
      </c>
      <c r="E13" s="242"/>
      <c r="F13" t="s">
        <v>1704</v>
      </c>
      <c r="H13" s="242">
        <f>D13*40%</f>
        <v>546.06799999999998</v>
      </c>
      <c r="I13" s="263"/>
    </row>
    <row r="14" spans="1:17">
      <c r="A14" s="240"/>
      <c r="B14" s="231"/>
      <c r="C14" s="231"/>
      <c r="D14" s="231"/>
      <c r="E14" s="231"/>
      <c r="F14" s="312" t="s">
        <v>1705</v>
      </c>
      <c r="G14" s="231"/>
      <c r="H14" s="313">
        <f>D13*60%</f>
        <v>819.10199999999986</v>
      </c>
      <c r="I14" s="314"/>
    </row>
    <row r="16" spans="1:17">
      <c r="A16" t="s">
        <v>1706</v>
      </c>
      <c r="B16" t="s">
        <v>1707</v>
      </c>
      <c r="C16" s="35" t="e">
        <v>#VALUE!</v>
      </c>
      <c r="G16" t="s">
        <v>671</v>
      </c>
      <c r="H16">
        <f>Q35</f>
        <v>3537.78</v>
      </c>
      <c r="I16" t="s">
        <v>74</v>
      </c>
    </row>
    <row r="17" spans="1:39">
      <c r="C17" s="35"/>
    </row>
    <row r="18" spans="1:39">
      <c r="B18" t="s">
        <v>1708</v>
      </c>
      <c r="C18" s="35" t="s">
        <v>1709</v>
      </c>
      <c r="G18" t="s">
        <v>1649</v>
      </c>
      <c r="H18">
        <v>0</v>
      </c>
      <c r="I18" t="s">
        <v>74</v>
      </c>
    </row>
    <row r="19" spans="1:39">
      <c r="A19" s="239"/>
      <c r="B19" s="251" t="s">
        <v>1710</v>
      </c>
      <c r="C19" s="251"/>
      <c r="D19" s="232"/>
      <c r="E19" s="232"/>
      <c r="F19" s="232"/>
      <c r="G19" s="232"/>
      <c r="H19" s="232"/>
      <c r="I19" s="311"/>
    </row>
    <row r="20" spans="1:39">
      <c r="A20" s="233" t="s">
        <v>1689</v>
      </c>
      <c r="B20" s="35" t="s">
        <v>1690</v>
      </c>
      <c r="C20" s="35" t="s">
        <v>689</v>
      </c>
      <c r="D20" t="s">
        <v>1691</v>
      </c>
      <c r="E20" t="s">
        <v>1692</v>
      </c>
      <c r="I20" s="263"/>
    </row>
    <row r="21" spans="1:39" ht="15.6">
      <c r="A21" s="315" t="s">
        <v>1711</v>
      </c>
      <c r="B21" s="316" t="s">
        <v>1712</v>
      </c>
      <c r="C21" s="316" t="s">
        <v>1713</v>
      </c>
      <c r="D21" s="317">
        <v>1066.1400000000001</v>
      </c>
      <c r="E21" s="317">
        <f>D21-F21</f>
        <v>139.06173913043472</v>
      </c>
      <c r="F21" s="313">
        <f>D21/1.15</f>
        <v>927.07826086956538</v>
      </c>
      <c r="G21" s="318" t="s">
        <v>1714</v>
      </c>
      <c r="H21" s="319">
        <v>5924</v>
      </c>
      <c r="I21" s="320" t="s">
        <v>74</v>
      </c>
    </row>
    <row r="28" spans="1:39">
      <c r="A28" t="s">
        <v>1715</v>
      </c>
    </row>
    <row r="29" spans="1:39" ht="13.9" thickBot="1"/>
    <row r="30" spans="1:39" s="508" customFormat="1" ht="53.45" thickBot="1">
      <c r="B30" s="508" t="s">
        <v>1716</v>
      </c>
      <c r="C30" s="508" t="s">
        <v>1717</v>
      </c>
      <c r="D30" s="508" t="s">
        <v>1718</v>
      </c>
      <c r="E30" s="508" t="s">
        <v>1719</v>
      </c>
      <c r="F30" s="508" t="s">
        <v>1720</v>
      </c>
      <c r="G30" s="508" t="s">
        <v>689</v>
      </c>
      <c r="H30" s="508" t="s">
        <v>1721</v>
      </c>
      <c r="I30" s="508" t="s">
        <v>1722</v>
      </c>
      <c r="J30" s="508" t="s">
        <v>1723</v>
      </c>
      <c r="K30" s="508" t="s">
        <v>1724</v>
      </c>
      <c r="L30" s="508" t="s">
        <v>1725</v>
      </c>
      <c r="M30" s="508" t="s">
        <v>1726</v>
      </c>
      <c r="N30" s="508" t="s">
        <v>1727</v>
      </c>
      <c r="O30" s="508" t="s">
        <v>1728</v>
      </c>
      <c r="P30" s="646" t="s">
        <v>1693</v>
      </c>
      <c r="Q30" s="508" t="s">
        <v>1694</v>
      </c>
      <c r="R30" s="508" t="s">
        <v>1695</v>
      </c>
      <c r="S30" s="508" t="s">
        <v>1692</v>
      </c>
      <c r="T30" s="508" t="s">
        <v>1729</v>
      </c>
      <c r="U30" s="508" t="s">
        <v>1730</v>
      </c>
      <c r="V30" s="508" t="s">
        <v>1731</v>
      </c>
      <c r="W30" s="508" t="s">
        <v>1732</v>
      </c>
      <c r="X30" s="508" t="s">
        <v>1733</v>
      </c>
      <c r="Y30" s="508" t="s">
        <v>1734</v>
      </c>
      <c r="Z30" s="508" t="s">
        <v>1735</v>
      </c>
      <c r="AA30" s="508" t="s">
        <v>1736</v>
      </c>
      <c r="AB30" s="508" t="s">
        <v>1737</v>
      </c>
      <c r="AC30" s="508" t="s">
        <v>1738</v>
      </c>
      <c r="AD30" s="508" t="s">
        <v>1739</v>
      </c>
      <c r="AE30" s="508" t="s">
        <v>1740</v>
      </c>
      <c r="AF30" s="508" t="s">
        <v>1741</v>
      </c>
      <c r="AG30" s="508" t="s">
        <v>1742</v>
      </c>
      <c r="AH30" s="508" t="s">
        <v>1743</v>
      </c>
      <c r="AI30" s="508" t="s">
        <v>1744</v>
      </c>
      <c r="AJ30" s="508" t="s">
        <v>1745</v>
      </c>
      <c r="AK30" s="508" t="s">
        <v>1746</v>
      </c>
      <c r="AL30" s="508" t="s">
        <v>1747</v>
      </c>
      <c r="AM30" s="508" t="s">
        <v>1748</v>
      </c>
    </row>
    <row r="31" spans="1:39">
      <c r="A31" s="35" t="s">
        <v>1696</v>
      </c>
      <c r="B31">
        <v>834078914</v>
      </c>
      <c r="C31">
        <v>834078914</v>
      </c>
      <c r="D31">
        <v>80100648026</v>
      </c>
      <c r="E31" t="s">
        <v>1749</v>
      </c>
      <c r="G31" t="s">
        <v>1698</v>
      </c>
      <c r="H31">
        <v>76730.67</v>
      </c>
      <c r="I31">
        <v>-76730.67</v>
      </c>
      <c r="J31">
        <v>0</v>
      </c>
      <c r="K31">
        <v>0</v>
      </c>
      <c r="L31">
        <v>0</v>
      </c>
      <c r="M31">
        <v>5043021077</v>
      </c>
      <c r="N31" s="321">
        <v>44282</v>
      </c>
      <c r="O31" s="321">
        <v>44316</v>
      </c>
      <c r="P31" s="644">
        <v>15256</v>
      </c>
      <c r="Q31">
        <v>1255.6500000000001</v>
      </c>
      <c r="R31">
        <v>0</v>
      </c>
      <c r="S31">
        <v>163.78</v>
      </c>
      <c r="T31">
        <v>0</v>
      </c>
      <c r="U31">
        <v>1255.6500000000001</v>
      </c>
      <c r="V31">
        <v>4.5999999999999999E-2</v>
      </c>
      <c r="W31">
        <v>701.78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35</v>
      </c>
      <c r="AE31">
        <v>0.65</v>
      </c>
      <c r="AF31">
        <v>22.75</v>
      </c>
      <c r="AG31">
        <v>15256</v>
      </c>
      <c r="AH31">
        <v>1E-3</v>
      </c>
      <c r="AI31">
        <v>22.88</v>
      </c>
      <c r="AJ31">
        <v>15256</v>
      </c>
      <c r="AK31">
        <v>0</v>
      </c>
      <c r="AL31">
        <v>0</v>
      </c>
      <c r="AM31">
        <v>344.46</v>
      </c>
    </row>
    <row r="32" spans="1:39">
      <c r="A32" t="s">
        <v>1700</v>
      </c>
      <c r="B32">
        <v>834078914</v>
      </c>
      <c r="C32">
        <v>834078914</v>
      </c>
      <c r="D32">
        <v>80100648027</v>
      </c>
      <c r="E32" t="s">
        <v>1750</v>
      </c>
      <c r="G32" s="35" t="s">
        <v>1701</v>
      </c>
      <c r="H32">
        <v>76730.67</v>
      </c>
      <c r="I32">
        <v>-76730.67</v>
      </c>
      <c r="J32">
        <v>0</v>
      </c>
      <c r="K32">
        <v>0</v>
      </c>
      <c r="L32">
        <v>0</v>
      </c>
      <c r="M32">
        <v>5043021077</v>
      </c>
      <c r="N32" s="321">
        <v>44307</v>
      </c>
      <c r="O32" s="321">
        <v>44316</v>
      </c>
      <c r="P32" s="644">
        <v>430</v>
      </c>
      <c r="Q32">
        <v>65.09</v>
      </c>
      <c r="R32">
        <v>0</v>
      </c>
      <c r="S32">
        <v>8.5</v>
      </c>
      <c r="T32">
        <v>0</v>
      </c>
      <c r="U32">
        <v>65.09</v>
      </c>
      <c r="V32">
        <v>4.5999999999999999E-2</v>
      </c>
      <c r="W32">
        <v>19.78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10</v>
      </c>
      <c r="AE32">
        <v>0.65</v>
      </c>
      <c r="AF32">
        <v>6.5</v>
      </c>
      <c r="AG32">
        <v>430</v>
      </c>
      <c r="AH32">
        <v>1E-3</v>
      </c>
      <c r="AI32">
        <v>0.64</v>
      </c>
      <c r="AJ32">
        <v>430</v>
      </c>
      <c r="AK32">
        <v>0</v>
      </c>
      <c r="AL32">
        <v>0</v>
      </c>
      <c r="AM32">
        <v>29.67</v>
      </c>
    </row>
    <row r="33" spans="1:39">
      <c r="A33" t="s">
        <v>1702</v>
      </c>
      <c r="B33">
        <v>834078914</v>
      </c>
      <c r="C33">
        <v>834078914</v>
      </c>
      <c r="D33">
        <v>80100737367</v>
      </c>
      <c r="E33" t="s">
        <v>1751</v>
      </c>
      <c r="G33" s="35" t="s">
        <v>1703</v>
      </c>
      <c r="H33">
        <v>76730.67</v>
      </c>
      <c r="I33">
        <v>-76730.67</v>
      </c>
      <c r="J33">
        <v>0</v>
      </c>
      <c r="K33">
        <v>0</v>
      </c>
      <c r="L33">
        <v>0</v>
      </c>
      <c r="M33">
        <v>5043021077</v>
      </c>
      <c r="N33" s="321">
        <v>44272</v>
      </c>
      <c r="O33" s="321">
        <v>44306</v>
      </c>
      <c r="P33" s="644">
        <v>172</v>
      </c>
      <c r="Q33">
        <v>71.34</v>
      </c>
      <c r="R33">
        <v>0</v>
      </c>
      <c r="S33">
        <v>9.32</v>
      </c>
      <c r="T33">
        <v>0</v>
      </c>
      <c r="U33">
        <v>71.34</v>
      </c>
      <c r="V33">
        <v>4.5999999999999999E-2</v>
      </c>
      <c r="W33">
        <v>7.91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35</v>
      </c>
      <c r="AE33">
        <v>0.65</v>
      </c>
      <c r="AF33">
        <v>22.75</v>
      </c>
      <c r="AG33">
        <v>172</v>
      </c>
      <c r="AH33">
        <v>2E-3</v>
      </c>
      <c r="AI33">
        <v>0.26</v>
      </c>
      <c r="AJ33">
        <v>172</v>
      </c>
      <c r="AK33">
        <v>0</v>
      </c>
      <c r="AL33">
        <v>0</v>
      </c>
      <c r="AM33">
        <v>31.1</v>
      </c>
    </row>
    <row r="34" spans="1:39">
      <c r="B34">
        <v>834078914</v>
      </c>
      <c r="C34">
        <v>834078914</v>
      </c>
      <c r="D34">
        <v>80027749310</v>
      </c>
      <c r="E34" t="s">
        <v>1752</v>
      </c>
      <c r="F34" t="s">
        <v>1753</v>
      </c>
      <c r="G34" s="35" t="s">
        <v>1754</v>
      </c>
      <c r="H34">
        <v>76730.67</v>
      </c>
      <c r="I34">
        <v>-76730.67</v>
      </c>
      <c r="J34">
        <v>0</v>
      </c>
      <c r="K34">
        <v>0</v>
      </c>
      <c r="L34">
        <v>0</v>
      </c>
      <c r="M34">
        <v>5043021077</v>
      </c>
      <c r="N34" s="321">
        <v>44303</v>
      </c>
      <c r="O34" s="321">
        <v>44316</v>
      </c>
      <c r="P34" s="644">
        <v>2348</v>
      </c>
      <c r="Q34">
        <v>214.62</v>
      </c>
      <c r="R34">
        <v>0</v>
      </c>
      <c r="S34">
        <v>27.99</v>
      </c>
      <c r="T34">
        <v>0</v>
      </c>
      <c r="U34">
        <v>214.62</v>
      </c>
      <c r="V34">
        <v>0.05</v>
      </c>
      <c r="W34">
        <v>117.63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14</v>
      </c>
      <c r="AE34">
        <v>0.65</v>
      </c>
      <c r="AF34">
        <v>9.1</v>
      </c>
      <c r="AG34">
        <v>2348</v>
      </c>
      <c r="AH34">
        <v>1E-3</v>
      </c>
      <c r="AI34">
        <v>3.52</v>
      </c>
      <c r="AJ34">
        <v>2348</v>
      </c>
      <c r="AK34">
        <v>0</v>
      </c>
      <c r="AL34">
        <v>0</v>
      </c>
      <c r="AM34">
        <v>56.38</v>
      </c>
    </row>
    <row r="35" spans="1:39">
      <c r="B35">
        <v>834078939</v>
      </c>
      <c r="C35">
        <v>834078939</v>
      </c>
      <c r="D35">
        <v>80006309510</v>
      </c>
      <c r="E35" t="s">
        <v>1755</v>
      </c>
      <c r="F35" t="s">
        <v>1756</v>
      </c>
      <c r="G35" s="35" t="s">
        <v>1757</v>
      </c>
      <c r="H35">
        <v>40043.83</v>
      </c>
      <c r="I35">
        <v>-40043.83</v>
      </c>
      <c r="J35">
        <v>0</v>
      </c>
      <c r="K35">
        <v>0</v>
      </c>
      <c r="L35">
        <v>0</v>
      </c>
      <c r="M35">
        <v>5043021093</v>
      </c>
      <c r="N35" s="321">
        <v>44273</v>
      </c>
      <c r="O35" s="321">
        <v>44307</v>
      </c>
      <c r="P35" s="644">
        <v>27000</v>
      </c>
      <c r="Q35">
        <v>3537.78</v>
      </c>
      <c r="R35">
        <v>0</v>
      </c>
      <c r="S35">
        <v>461.45</v>
      </c>
      <c r="T35">
        <v>0</v>
      </c>
      <c r="U35">
        <v>3537.78</v>
      </c>
      <c r="V35">
        <v>0.05</v>
      </c>
      <c r="W35">
        <v>1352.7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35</v>
      </c>
      <c r="AE35">
        <v>0.65</v>
      </c>
      <c r="AF35">
        <v>22.75</v>
      </c>
      <c r="AG35">
        <v>27000</v>
      </c>
      <c r="AH35">
        <v>2E-3</v>
      </c>
      <c r="AI35">
        <v>40.5</v>
      </c>
      <c r="AJ35">
        <v>27000</v>
      </c>
      <c r="AK35">
        <v>0</v>
      </c>
      <c r="AL35">
        <v>0</v>
      </c>
      <c r="AM35">
        <v>1660.38</v>
      </c>
    </row>
    <row r="36" spans="1:39">
      <c r="P36" s="644"/>
    </row>
    <row r="37" spans="1:39">
      <c r="P37" s="644"/>
    </row>
    <row r="38" spans="1:39">
      <c r="P38" s="644"/>
    </row>
    <row r="39" spans="1:39">
      <c r="P39" s="644"/>
    </row>
    <row r="40" spans="1:39">
      <c r="P40" s="644"/>
    </row>
    <row r="41" spans="1:39">
      <c r="P41" s="644"/>
    </row>
    <row r="42" spans="1:39">
      <c r="P42" s="644"/>
    </row>
    <row r="43" spans="1:39">
      <c r="P43" s="644"/>
    </row>
    <row r="44" spans="1:39">
      <c r="P44" s="644"/>
    </row>
    <row r="45" spans="1:39">
      <c r="P45" s="644"/>
    </row>
    <row r="46" spans="1:39">
      <c r="P46" s="644"/>
    </row>
    <row r="47" spans="1:39">
      <c r="P47" s="644"/>
    </row>
    <row r="48" spans="1:39" ht="13.9" thickBot="1">
      <c r="P48" s="645"/>
    </row>
  </sheetData>
  <customSheetViews>
    <customSheetView guid="{673E8A68-6A24-44BE-9F14-EEC413B6644E}" showPageBreaks="1" topLeftCell="A4">
      <selection activeCell="O42" sqref="O42"/>
      <pageMargins left="0" right="0" top="0" bottom="0" header="0" footer="0"/>
      <pageSetup paperSize="9" orientation="portrait" r:id="rId1"/>
    </customSheetView>
    <customSheetView guid="{90A42C2A-6CDA-4EAF-9471-F44CF19471E9}">
      <selection activeCell="H21" sqref="H21"/>
      <pageMargins left="0" right="0" top="0" bottom="0" header="0" footer="0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U21"/>
  <sheetViews>
    <sheetView zoomScaleNormal="100" workbookViewId="0" xr3:uid="{7BE570AB-09E9-518F-B8F7-3F91B7162CA9}">
      <pane xSplit="3348" topLeftCell="L1" activePane="topRight"/>
      <selection pane="topRight" activeCell="G13" sqref="G13"/>
      <selection activeCell="B29" sqref="B29"/>
    </sheetView>
  </sheetViews>
  <sheetFormatPr defaultColWidth="0.140625" defaultRowHeight="13.15"/>
  <cols>
    <col min="1" max="1" width="12.28515625" style="1" customWidth="1"/>
    <col min="2" max="2" width="45.7109375" style="1" bestFit="1" customWidth="1"/>
    <col min="3" max="3" width="19.5703125" style="1" customWidth="1"/>
    <col min="4" max="4" width="14.5703125" style="9" customWidth="1"/>
    <col min="5" max="5" width="5.5703125" style="9" customWidth="1"/>
    <col min="6" max="6" width="9" style="9" customWidth="1"/>
    <col min="7" max="7" width="12.5703125" style="1" bestFit="1" customWidth="1"/>
    <col min="8" max="8" width="11.85546875" style="1" bestFit="1" customWidth="1"/>
    <col min="9" max="9" width="22" style="1" bestFit="1" customWidth="1"/>
    <col min="10" max="10" width="8.42578125" style="1" bestFit="1" customWidth="1"/>
    <col min="11" max="11" width="10" style="1" bestFit="1" customWidth="1"/>
    <col min="12" max="12" width="43.85546875" style="1" bestFit="1" customWidth="1"/>
    <col min="13" max="13" width="11.42578125" style="1" bestFit="1" customWidth="1"/>
    <col min="14" max="14" width="8.140625" style="1" bestFit="1" customWidth="1"/>
    <col min="15" max="16384" width="0.140625" style="1"/>
  </cols>
  <sheetData>
    <row r="1" spans="1:21" ht="35.450000000000003">
      <c r="A1" s="384" t="s">
        <v>1758</v>
      </c>
      <c r="B1"/>
      <c r="C1" s="384"/>
      <c r="D1" s="384"/>
      <c r="E1" s="384"/>
      <c r="F1" s="384"/>
      <c r="G1" s="384"/>
      <c r="H1" s="384"/>
      <c r="I1" s="384"/>
      <c r="J1" s="3"/>
      <c r="K1" s="3"/>
      <c r="L1" s="3"/>
      <c r="M1" s="3"/>
      <c r="N1" s="3"/>
      <c r="O1" s="3"/>
      <c r="P1" s="3"/>
    </row>
    <row r="2" spans="1:21" ht="62.45">
      <c r="A2" s="10" t="s">
        <v>24</v>
      </c>
      <c r="B2" s="6" t="s">
        <v>25</v>
      </c>
      <c r="C2" s="10" t="s">
        <v>27</v>
      </c>
      <c r="D2" s="11" t="s">
        <v>28</v>
      </c>
      <c r="E2" s="11" t="s">
        <v>29</v>
      </c>
      <c r="F2" s="11" t="s">
        <v>30</v>
      </c>
      <c r="G2" s="5" t="s">
        <v>31</v>
      </c>
      <c r="H2" s="29" t="s">
        <v>26</v>
      </c>
      <c r="I2" s="44"/>
      <c r="J2" s="3" t="s">
        <v>1759</v>
      </c>
      <c r="K2" s="3" t="s">
        <v>1760</v>
      </c>
      <c r="L2" s="26"/>
      <c r="M2" s="18"/>
      <c r="N2" s="18"/>
      <c r="O2" s="18"/>
      <c r="P2" s="18"/>
      <c r="Q2" s="24"/>
      <c r="R2" s="24"/>
      <c r="S2" s="24"/>
      <c r="T2" s="24"/>
      <c r="U2" s="24"/>
    </row>
    <row r="3" spans="1:21" s="2" customFormat="1" ht="31.15">
      <c r="A3" s="12" t="s">
        <v>32</v>
      </c>
      <c r="B3" s="13" t="s">
        <v>1545</v>
      </c>
      <c r="C3" s="13"/>
      <c r="D3" s="14"/>
      <c r="E3" s="14"/>
      <c r="F3" s="59"/>
      <c r="G3" s="15"/>
      <c r="H3" s="34" t="s">
        <v>1761</v>
      </c>
      <c r="I3" s="45"/>
      <c r="J3" s="19" t="s">
        <v>1762</v>
      </c>
      <c r="K3" s="19" t="s">
        <v>1763</v>
      </c>
      <c r="L3" s="51"/>
      <c r="M3" s="4" t="s">
        <v>1764</v>
      </c>
      <c r="N3" s="4"/>
      <c r="O3" s="4"/>
      <c r="P3" s="4"/>
    </row>
    <row r="4" spans="1:21" ht="15.6">
      <c r="A4" s="5" t="s">
        <v>1765</v>
      </c>
      <c r="B4" s="5" t="s">
        <v>1766</v>
      </c>
      <c r="C4" s="5" t="s">
        <v>1767</v>
      </c>
      <c r="D4" s="8" t="s">
        <v>1768</v>
      </c>
      <c r="E4" s="8" t="s">
        <v>1769</v>
      </c>
      <c r="F4" s="58">
        <v>40</v>
      </c>
      <c r="G4" s="22" t="s">
        <v>1770</v>
      </c>
      <c r="H4" s="32">
        <f>(100000-J4+K4)*F4</f>
        <v>854880</v>
      </c>
      <c r="I4" s="46" t="s">
        <v>74</v>
      </c>
      <c r="J4" s="3">
        <v>87210</v>
      </c>
      <c r="K4" s="3">
        <v>8582</v>
      </c>
      <c r="L4" s="26"/>
      <c r="M4" s="3"/>
      <c r="N4" s="3"/>
      <c r="O4" s="3"/>
      <c r="P4" s="3"/>
      <c r="Q4" s="3"/>
      <c r="R4" s="3"/>
      <c r="S4" s="3"/>
      <c r="T4" s="3"/>
      <c r="U4" s="3"/>
    </row>
    <row r="5" spans="1:21" ht="15.6">
      <c r="A5" s="12" t="s">
        <v>32</v>
      </c>
      <c r="B5" s="13" t="s">
        <v>1771</v>
      </c>
      <c r="C5" s="13"/>
      <c r="D5" s="13"/>
      <c r="E5" s="14"/>
      <c r="F5" s="59"/>
      <c r="G5" s="15"/>
      <c r="H5" s="34"/>
      <c r="I5" s="47" t="s">
        <v>1772</v>
      </c>
      <c r="J5" s="54"/>
      <c r="K5" s="54"/>
      <c r="L5" s="26"/>
      <c r="M5" s="6"/>
      <c r="N5" s="6"/>
      <c r="O5" s="6"/>
      <c r="P5" s="6"/>
      <c r="Q5" s="25"/>
      <c r="R5" s="25"/>
      <c r="S5" s="25"/>
      <c r="T5" s="25"/>
      <c r="U5" s="25"/>
    </row>
    <row r="6" spans="1:21" ht="15.6">
      <c r="A6" s="5" t="s">
        <v>1773</v>
      </c>
      <c r="B6" s="5" t="s">
        <v>1774</v>
      </c>
      <c r="C6" s="7" t="s">
        <v>1775</v>
      </c>
      <c r="D6" s="8" t="s">
        <v>1776</v>
      </c>
      <c r="E6" s="8" t="s">
        <v>1777</v>
      </c>
      <c r="F6" s="8">
        <v>1</v>
      </c>
      <c r="G6" s="5" t="s">
        <v>1770</v>
      </c>
      <c r="H6" s="32">
        <f>(K6-J6)</f>
        <v>0</v>
      </c>
      <c r="I6" s="48" t="s">
        <v>74</v>
      </c>
      <c r="J6" s="54">
        <v>610996</v>
      </c>
      <c r="K6" s="54">
        <v>610996</v>
      </c>
      <c r="L6" s="26"/>
      <c r="M6" s="3"/>
      <c r="N6" s="3"/>
      <c r="O6" s="3"/>
      <c r="P6" s="3"/>
    </row>
    <row r="7" spans="1:21" ht="15.6">
      <c r="A7" s="12" t="s">
        <v>32</v>
      </c>
      <c r="B7" s="13" t="s">
        <v>1778</v>
      </c>
      <c r="C7" s="13"/>
      <c r="D7" s="13"/>
      <c r="E7" s="14"/>
      <c r="F7" s="59"/>
      <c r="G7" s="15"/>
      <c r="H7" s="16"/>
      <c r="I7" s="47" t="s">
        <v>1779</v>
      </c>
      <c r="J7" s="54"/>
      <c r="K7" s="54"/>
      <c r="L7" s="26"/>
      <c r="M7" s="3"/>
      <c r="N7" s="3"/>
      <c r="O7" s="3"/>
      <c r="P7" s="3"/>
    </row>
    <row r="8" spans="1:21" ht="15.6">
      <c r="A8" s="5" t="s">
        <v>1780</v>
      </c>
      <c r="B8" s="5" t="s">
        <v>1781</v>
      </c>
      <c r="C8" s="5" t="s">
        <v>1782</v>
      </c>
      <c r="D8" s="8"/>
      <c r="E8" s="8"/>
      <c r="F8" s="58" t="s">
        <v>1783</v>
      </c>
      <c r="G8" s="22" t="s">
        <v>1770</v>
      </c>
      <c r="H8" s="79">
        <f>K8-J8</f>
        <v>0</v>
      </c>
      <c r="I8" s="46" t="s">
        <v>74</v>
      </c>
      <c r="J8" s="54">
        <v>115976</v>
      </c>
      <c r="K8" s="54">
        <v>115976</v>
      </c>
      <c r="L8" s="26"/>
      <c r="M8" s="23"/>
      <c r="N8" s="3"/>
      <c r="O8" s="3"/>
      <c r="P8" s="5"/>
    </row>
    <row r="9" spans="1:21" ht="15.6">
      <c r="A9" s="5" t="s">
        <v>1784</v>
      </c>
      <c r="B9" s="5" t="s">
        <v>1785</v>
      </c>
      <c r="C9" s="5" t="s">
        <v>1786</v>
      </c>
      <c r="D9" s="8" t="s">
        <v>1787</v>
      </c>
      <c r="E9" s="8" t="s">
        <v>1769</v>
      </c>
      <c r="F9" s="8">
        <v>80</v>
      </c>
      <c r="G9" s="22" t="s">
        <v>1770</v>
      </c>
      <c r="H9" s="33">
        <f>(K9-J9)*F9</f>
        <v>781920</v>
      </c>
      <c r="I9" s="46" t="s">
        <v>74</v>
      </c>
      <c r="J9" s="54">
        <v>11595</v>
      </c>
      <c r="K9" s="54">
        <v>21369</v>
      </c>
      <c r="L9" s="26"/>
      <c r="M9" s="3"/>
      <c r="N9" s="3"/>
      <c r="O9" s="3"/>
      <c r="P9" s="3"/>
    </row>
    <row r="10" spans="1:21" ht="15.6">
      <c r="A10" s="5" t="s">
        <v>1784</v>
      </c>
      <c r="B10" s="5" t="s">
        <v>1788</v>
      </c>
      <c r="C10" s="5" t="s">
        <v>1786</v>
      </c>
      <c r="D10" s="8" t="s">
        <v>1789</v>
      </c>
      <c r="E10" s="8" t="s">
        <v>1769</v>
      </c>
      <c r="F10" s="8">
        <v>40</v>
      </c>
      <c r="G10" s="22" t="s">
        <v>1770</v>
      </c>
      <c r="H10" s="33">
        <f>(K10-J10)*F10</f>
        <v>193960</v>
      </c>
      <c r="I10" s="46" t="s">
        <v>74</v>
      </c>
      <c r="J10" s="54">
        <v>88857</v>
      </c>
      <c r="K10" s="54">
        <v>93706</v>
      </c>
      <c r="L10" s="26"/>
      <c r="M10" s="3"/>
      <c r="N10" s="3"/>
      <c r="O10" s="3"/>
      <c r="P10" s="3"/>
    </row>
    <row r="11" spans="1:21" ht="15.6">
      <c r="A11" s="12" t="s">
        <v>32</v>
      </c>
      <c r="B11" s="13" t="s">
        <v>1790</v>
      </c>
      <c r="C11" s="13"/>
      <c r="D11" s="14"/>
      <c r="E11" s="14"/>
      <c r="F11" s="59"/>
      <c r="G11" s="15"/>
      <c r="H11" s="16"/>
      <c r="I11" s="49" t="s">
        <v>1540</v>
      </c>
      <c r="J11" s="54"/>
      <c r="K11" s="54"/>
      <c r="L11" s="52"/>
      <c r="M11" s="6"/>
      <c r="N11" s="6"/>
      <c r="O11" s="6"/>
      <c r="P11" s="6"/>
      <c r="Q11" s="25"/>
      <c r="R11" s="25"/>
      <c r="S11" s="25"/>
      <c r="T11" s="25"/>
      <c r="U11" s="25"/>
    </row>
    <row r="12" spans="1:21" ht="15.6">
      <c r="A12" s="5" t="s">
        <v>1791</v>
      </c>
      <c r="B12" s="5" t="s">
        <v>1446</v>
      </c>
      <c r="C12" s="7" t="s">
        <v>1792</v>
      </c>
      <c r="D12" s="8" t="s">
        <v>1793</v>
      </c>
      <c r="E12" s="8" t="s">
        <v>1794</v>
      </c>
      <c r="F12" s="58">
        <v>1</v>
      </c>
      <c r="G12" s="5" t="s">
        <v>1770</v>
      </c>
      <c r="H12" s="38">
        <f>1000000-J12+K12</f>
        <v>426883</v>
      </c>
      <c r="I12" s="46" t="s">
        <v>74</v>
      </c>
      <c r="J12" s="54">
        <v>976118</v>
      </c>
      <c r="K12" s="54">
        <v>403001</v>
      </c>
      <c r="L12" s="26"/>
      <c r="M12" s="3"/>
      <c r="N12" s="3"/>
      <c r="O12" s="3"/>
      <c r="P12" s="3"/>
    </row>
    <row r="13" spans="1:21" ht="15.6">
      <c r="D13" s="30"/>
      <c r="H13" s="20"/>
      <c r="I13" s="25"/>
      <c r="J13" s="54"/>
      <c r="K13" s="54"/>
      <c r="L13" s="26"/>
      <c r="M13" s="3"/>
      <c r="N13" s="3"/>
      <c r="O13" s="3"/>
      <c r="P13" s="3"/>
    </row>
    <row r="14" spans="1:21">
      <c r="E14" s="31"/>
      <c r="F14" s="60"/>
      <c r="J14" s="54"/>
      <c r="K14" s="54"/>
      <c r="L14" s="26"/>
      <c r="M14" s="3"/>
      <c r="N14" s="3"/>
      <c r="O14" s="3"/>
      <c r="P14" s="3"/>
    </row>
    <row r="15" spans="1:21" ht="15.6">
      <c r="A15" s="12" t="s">
        <v>1622</v>
      </c>
      <c r="B15" s="13"/>
      <c r="C15" s="13"/>
      <c r="D15" s="14"/>
      <c r="E15" s="14"/>
      <c r="F15" s="59"/>
      <c r="G15" s="15"/>
      <c r="H15" s="16"/>
      <c r="I15" s="50"/>
      <c r="J15" s="54"/>
      <c r="K15" s="54"/>
      <c r="L15" s="26"/>
      <c r="M15" s="3"/>
      <c r="N15" s="3"/>
      <c r="O15" s="3"/>
      <c r="P15" s="3"/>
    </row>
    <row r="16" spans="1:21" ht="15.6">
      <c r="A16" s="5" t="s">
        <v>1795</v>
      </c>
      <c r="B16" s="5" t="s">
        <v>1796</v>
      </c>
      <c r="C16" s="7" t="s">
        <v>1786</v>
      </c>
      <c r="D16" s="8" t="s">
        <v>1797</v>
      </c>
      <c r="E16" s="8" t="s">
        <v>1798</v>
      </c>
      <c r="F16" s="8" t="s">
        <v>1799</v>
      </c>
      <c r="G16" s="5" t="s">
        <v>1770</v>
      </c>
      <c r="H16" s="32">
        <f>(K16-J16)*F16</f>
        <v>0</v>
      </c>
      <c r="I16" s="46" t="s">
        <v>74</v>
      </c>
      <c r="J16" s="54">
        <v>74220</v>
      </c>
      <c r="K16" s="54">
        <v>74220</v>
      </c>
      <c r="L16" s="53" t="s">
        <v>1800</v>
      </c>
      <c r="N16" s="3"/>
      <c r="O16" s="3"/>
      <c r="P16" s="3"/>
      <c r="Q16" s="57"/>
      <c r="R16" s="57"/>
      <c r="S16" s="57"/>
      <c r="T16" s="57"/>
      <c r="U16" s="57"/>
    </row>
    <row r="17" spans="1:16" ht="15.6">
      <c r="A17" s="12" t="s">
        <v>1801</v>
      </c>
      <c r="B17" s="13"/>
      <c r="C17" s="13"/>
      <c r="D17" s="14"/>
      <c r="E17" s="14"/>
      <c r="F17" s="59"/>
      <c r="G17" s="15"/>
      <c r="H17" s="16"/>
      <c r="I17" s="50"/>
      <c r="J17" s="54"/>
      <c r="K17" s="54"/>
      <c r="L17" s="26"/>
      <c r="M17" s="3"/>
      <c r="N17" s="3"/>
      <c r="O17" s="3"/>
      <c r="P17" s="3"/>
    </row>
    <row r="18" spans="1:16" ht="15.6">
      <c r="A18" s="5" t="s">
        <v>1802</v>
      </c>
      <c r="B18" s="5" t="s">
        <v>1801</v>
      </c>
      <c r="C18" s="7" t="s">
        <v>1786</v>
      </c>
      <c r="D18" s="8" t="s">
        <v>1803</v>
      </c>
      <c r="E18" s="8" t="s">
        <v>1804</v>
      </c>
      <c r="F18" s="58">
        <v>320</v>
      </c>
      <c r="G18" s="22" t="s">
        <v>1770</v>
      </c>
      <c r="H18" s="32">
        <f>(K18-J18)*F18</f>
        <v>0</v>
      </c>
      <c r="I18" s="46" t="s">
        <v>74</v>
      </c>
      <c r="J18" s="54">
        <v>42821</v>
      </c>
      <c r="K18" s="54">
        <v>42821</v>
      </c>
      <c r="L18" s="5" t="s">
        <v>1805</v>
      </c>
      <c r="N18" s="3"/>
      <c r="O18" s="3"/>
      <c r="P18" s="3"/>
    </row>
    <row r="19" spans="1:16" ht="15.6">
      <c r="A19" s="5"/>
      <c r="B19" s="5" t="s">
        <v>1806</v>
      </c>
      <c r="C19" s="7" t="s">
        <v>1807</v>
      </c>
      <c r="D19" s="8" t="s">
        <v>1808</v>
      </c>
      <c r="E19" s="8" t="s">
        <v>1798</v>
      </c>
      <c r="F19" s="58"/>
      <c r="G19" s="22" t="s">
        <v>1770</v>
      </c>
      <c r="H19" s="32"/>
      <c r="I19" s="46" t="s">
        <v>74</v>
      </c>
      <c r="J19" s="54">
        <v>10676</v>
      </c>
      <c r="K19" s="54">
        <v>10676</v>
      </c>
      <c r="L19" s="5" t="s">
        <v>1809</v>
      </c>
      <c r="N19" s="3"/>
      <c r="O19" s="3"/>
      <c r="P19" s="3"/>
    </row>
    <row r="20" spans="1:16" ht="15.6">
      <c r="A20" s="27"/>
      <c r="B20" s="27"/>
      <c r="C20" s="28"/>
      <c r="D20" s="39"/>
      <c r="E20" s="39"/>
      <c r="F20" s="61"/>
      <c r="G20" s="27"/>
      <c r="H20" s="42"/>
      <c r="I20" s="40"/>
      <c r="J20" s="3"/>
      <c r="K20" s="3"/>
      <c r="L20" s="26"/>
      <c r="M20" s="5"/>
      <c r="N20" s="3"/>
      <c r="O20" s="3"/>
      <c r="P20" s="3"/>
    </row>
    <row r="21" spans="1:16" ht="15.6">
      <c r="A21" s="27"/>
      <c r="B21" s="27"/>
      <c r="C21" s="28"/>
      <c r="D21" s="39"/>
      <c r="E21" s="39"/>
      <c r="F21" s="61"/>
      <c r="G21" s="27"/>
      <c r="H21" s="32"/>
      <c r="I21" s="55"/>
      <c r="J21" s="3"/>
      <c r="K21" s="3"/>
      <c r="L21" s="3"/>
      <c r="M21" s="3"/>
      <c r="N21" s="3"/>
      <c r="O21" s="3"/>
      <c r="P21" s="3"/>
    </row>
  </sheetData>
  <customSheetViews>
    <customSheetView guid="{673E8A68-6A24-44BE-9F14-EEC413B6644E}" showPageBreaks="1" fitToPage="1" printArea="1" topLeftCell="A13">
      <pane xSplit="2" topLeftCell="C1" activePane="topRight" state="frozen"/>
      <selection pane="topRight" activeCell="B29" sqref="B29"/>
      <pageMargins left="0" right="0" top="0" bottom="0" header="0" footer="0"/>
      <pageSetup paperSize="8" fitToHeight="0" orientation="landscape" r:id="rId1"/>
      <headerFooter alignWithMargins="0">
        <oddFooter>&amp;C&amp;D
&amp;T</oddFooter>
      </headerFooter>
    </customSheetView>
    <customSheetView guid="{D9BD3B37-9C0B-48A1-8A97-047766FF7485}" showPageBreaks="1" fitToPage="1" printArea="1">
      <pane xSplit="2" topLeftCell="C1" activePane="topRight" state="frozen"/>
      <selection pane="topRight" activeCell="L6" sqref="L6"/>
      <pageMargins left="0" right="0" top="0" bottom="0" header="0" footer="0"/>
      <pageSetup paperSize="8" scale="82" fitToHeight="0" orientation="landscape" r:id="rId2"/>
      <headerFooter alignWithMargins="0">
        <oddFooter>&amp;C&amp;D
&amp;T</oddFooter>
      </headerFooter>
    </customSheetView>
    <customSheetView guid="{26BC36A8-DEE7-49C3-82FB-804A3B368D65}" showPageBreaks="1" fitToPage="1" printArea="1">
      <pane xSplit="2" topLeftCell="C1" activePane="topRight"/>
      <selection pane="topRight" activeCell="L14" sqref="L14"/>
      <pageMargins left="0" right="0" top="0" bottom="0" header="0" footer="0"/>
      <pageSetup paperSize="8" fitToHeight="0" orientation="landscape" r:id="rId3"/>
      <headerFooter alignWithMargins="0">
        <oddFooter>&amp;C&amp;D
&amp;T</oddFooter>
      </headerFooter>
    </customSheetView>
    <customSheetView guid="{90A42C2A-6CDA-4EAF-9471-F44CF19471E9}" showPageBreaks="1" fitToPage="1" printArea="1" topLeftCell="WPN1">
      <pane xSplit="406" topLeftCell="C1" activePane="topRight"/>
      <selection pane="topRight" activeCell="D23" sqref="D23"/>
      <pageMargins left="0" right="0" top="0" bottom="0" header="0" footer="0"/>
      <pageSetup paperSize="8" fitToHeight="0" orientation="landscape" r:id="rId4"/>
      <headerFooter alignWithMargins="0">
        <oddFooter>&amp;C&amp;D
&amp;T</oddFooter>
      </headerFooter>
    </customSheetView>
  </customSheetViews>
  <pageMargins left="0.7" right="0.7" top="0.75" bottom="0.75" header="0.3" footer="0.3"/>
  <pageSetup paperSize="8" fitToHeight="0" orientation="landscape" r:id="rId5"/>
  <headerFooter alignWithMargins="0">
    <oddFooter>&amp;C&amp;D
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XEZ397"/>
  <sheetViews>
    <sheetView topLeftCell="A311" zoomScaleNormal="100" workbookViewId="0" xr3:uid="{78B4E459-6924-5F8B-B7BA-2DD04133E49E}">
      <pane xSplit="2" topLeftCell="V1" activePane="topRight" state="frozen"/>
      <selection pane="topRight" activeCell="AI312" sqref="AI312"/>
      <selection activeCell="A343" sqref="A343"/>
    </sheetView>
  </sheetViews>
  <sheetFormatPr defaultRowHeight="13.15"/>
  <cols>
    <col min="1" max="1" width="12.28515625" customWidth="1"/>
    <col min="2" max="2" width="40.28515625" customWidth="1"/>
    <col min="3" max="3" width="19.42578125" bestFit="1" customWidth="1"/>
    <col min="4" max="4" width="15.28515625" customWidth="1"/>
    <col min="5" max="5" width="10" bestFit="1" customWidth="1"/>
    <col min="33" max="34" width="9.5703125" bestFit="1" customWidth="1"/>
  </cols>
  <sheetData>
    <row r="2" spans="2:17">
      <c r="E2" t="s">
        <v>1810</v>
      </c>
    </row>
    <row r="4" spans="2:17" s="473" customFormat="1">
      <c r="B4" s="473" t="s">
        <v>1524</v>
      </c>
      <c r="D4" s="473" t="s">
        <v>1811</v>
      </c>
      <c r="E4" s="473" t="s">
        <v>14</v>
      </c>
      <c r="F4" s="473" t="s">
        <v>1812</v>
      </c>
      <c r="G4" s="473" t="s">
        <v>4</v>
      </c>
      <c r="H4" s="473" t="s">
        <v>5</v>
      </c>
      <c r="I4" s="473" t="s">
        <v>6</v>
      </c>
      <c r="J4" s="473" t="s">
        <v>7</v>
      </c>
      <c r="K4" s="473" t="s">
        <v>8</v>
      </c>
      <c r="L4" s="473" t="s">
        <v>9</v>
      </c>
      <c r="M4" s="473" t="s">
        <v>10</v>
      </c>
      <c r="N4" s="473" t="s">
        <v>11</v>
      </c>
      <c r="O4" s="473" t="s">
        <v>12</v>
      </c>
      <c r="P4" s="473" t="s">
        <v>13</v>
      </c>
      <c r="Q4" s="473" t="s">
        <v>14</v>
      </c>
    </row>
    <row r="5" spans="2:17" s="593" customFormat="1">
      <c r="B5" s="593" t="s">
        <v>1813</v>
      </c>
      <c r="D5" s="593" t="s">
        <v>1814</v>
      </c>
      <c r="E5" s="593">
        <v>1515</v>
      </c>
      <c r="F5" s="593">
        <v>1517</v>
      </c>
      <c r="G5" s="593">
        <v>1521</v>
      </c>
    </row>
    <row r="6" spans="2:17">
      <c r="F6">
        <f>IF(ISNUMBER(F5),(F5-E5)," ")</f>
        <v>2</v>
      </c>
      <c r="G6">
        <f>IF(ISNUMBER(G5),(G5-F5)," ")</f>
        <v>4</v>
      </c>
      <c r="H6" t="str">
        <f t="shared" ref="H6:Q6" si="0">IF(ISNUMBER(H5),(H5-G5)," ")</f>
        <v xml:space="preserve"> </v>
      </c>
      <c r="I6" t="str">
        <f t="shared" si="0"/>
        <v xml:space="preserve"> </v>
      </c>
      <c r="J6" t="str">
        <f t="shared" si="0"/>
        <v xml:space="preserve"> </v>
      </c>
      <c r="K6" t="str">
        <f t="shared" si="0"/>
        <v xml:space="preserve"> </v>
      </c>
      <c r="L6" t="str">
        <f t="shared" si="0"/>
        <v xml:space="preserve"> </v>
      </c>
      <c r="M6" t="str">
        <f t="shared" si="0"/>
        <v xml:space="preserve"> </v>
      </c>
      <c r="N6" t="str">
        <f t="shared" si="0"/>
        <v xml:space="preserve"> </v>
      </c>
      <c r="O6" t="str">
        <f t="shared" si="0"/>
        <v xml:space="preserve"> </v>
      </c>
      <c r="P6" t="str">
        <f t="shared" si="0"/>
        <v xml:space="preserve"> </v>
      </c>
      <c r="Q6" t="str">
        <f t="shared" si="0"/>
        <v xml:space="preserve"> </v>
      </c>
    </row>
    <row r="7" spans="2:17" s="593" customFormat="1">
      <c r="B7" s="593" t="s">
        <v>1815</v>
      </c>
      <c r="D7" s="593" t="s">
        <v>1816</v>
      </c>
      <c r="F7" s="593">
        <v>15481</v>
      </c>
      <c r="G7" s="593">
        <v>15493</v>
      </c>
    </row>
    <row r="8" spans="2:17">
      <c r="G8">
        <f>IF(ISNUMBER(G7),(G7-F7)," ")</f>
        <v>12</v>
      </c>
      <c r="H8" t="str">
        <f t="shared" ref="H8:Q8" si="1">IF(ISNUMBER(H7),(H7-G7)," ")</f>
        <v xml:space="preserve"> </v>
      </c>
      <c r="I8" t="str">
        <f t="shared" si="1"/>
        <v xml:space="preserve"> </v>
      </c>
      <c r="J8" t="str">
        <f t="shared" si="1"/>
        <v xml:space="preserve"> </v>
      </c>
      <c r="K8" t="str">
        <f t="shared" si="1"/>
        <v xml:space="preserve"> </v>
      </c>
      <c r="L8" t="str">
        <f t="shared" si="1"/>
        <v xml:space="preserve"> </v>
      </c>
      <c r="M8" t="str">
        <f t="shared" si="1"/>
        <v xml:space="preserve"> </v>
      </c>
      <c r="N8" t="str">
        <f t="shared" si="1"/>
        <v xml:space="preserve"> </v>
      </c>
      <c r="O8" t="str">
        <f t="shared" si="1"/>
        <v xml:space="preserve"> </v>
      </c>
      <c r="P8" t="str">
        <f t="shared" si="1"/>
        <v xml:space="preserve"> </v>
      </c>
      <c r="Q8" t="str">
        <f t="shared" si="1"/>
        <v xml:space="preserve"> </v>
      </c>
    </row>
    <row r="9" spans="2:17" s="593" customFormat="1">
      <c r="B9" s="593" t="s">
        <v>1817</v>
      </c>
      <c r="C9" s="593" t="s">
        <v>1818</v>
      </c>
      <c r="D9" s="593" t="s">
        <v>1819</v>
      </c>
      <c r="E9" s="593">
        <v>7</v>
      </c>
      <c r="F9" s="593">
        <v>13</v>
      </c>
      <c r="G9" s="593">
        <v>66</v>
      </c>
    </row>
    <row r="10" spans="2:17">
      <c r="F10">
        <f>IF(ISNUMBER(F9),(F9-E9)," ")</f>
        <v>6</v>
      </c>
      <c r="G10">
        <f>IF(ISNUMBER(G9),(G9-F9)," ")</f>
        <v>53</v>
      </c>
    </row>
    <row r="11" spans="2:17" s="593" customFormat="1">
      <c r="B11" s="593" t="s">
        <v>1820</v>
      </c>
      <c r="D11" s="593" t="s">
        <v>1821</v>
      </c>
      <c r="E11" s="593">
        <v>33692</v>
      </c>
      <c r="F11" s="593">
        <v>34192</v>
      </c>
      <c r="G11" s="593">
        <v>34962</v>
      </c>
    </row>
    <row r="12" spans="2:17">
      <c r="F12">
        <f>IF(ISNUMBER(F11),(F11-E11)," ")</f>
        <v>500</v>
      </c>
      <c r="G12">
        <f>IF(ISNUMBER(G11),(G11-F11)," ")</f>
        <v>770</v>
      </c>
    </row>
    <row r="13" spans="2:17" s="593" customFormat="1">
      <c r="B13" s="593" t="s">
        <v>1820</v>
      </c>
      <c r="D13" s="593" t="s">
        <v>1822</v>
      </c>
      <c r="E13" s="593">
        <v>99314</v>
      </c>
      <c r="F13" s="593">
        <v>99614</v>
      </c>
      <c r="G13" s="593">
        <v>99914</v>
      </c>
    </row>
    <row r="14" spans="2:17">
      <c r="F14">
        <f>IF(ISNUMBER(F13),(F13-E13)," ")</f>
        <v>300</v>
      </c>
      <c r="G14">
        <f>IF(ISNUMBER(G13),(G13-F13)," ")</f>
        <v>300</v>
      </c>
    </row>
    <row r="15" spans="2:17" s="593" customFormat="1">
      <c r="B15" s="593" t="s">
        <v>1823</v>
      </c>
      <c r="C15" s="593" t="s">
        <v>1824</v>
      </c>
      <c r="D15" s="593" t="s">
        <v>1825</v>
      </c>
      <c r="E15" s="593">
        <v>45815</v>
      </c>
      <c r="F15" s="593">
        <v>45821</v>
      </c>
      <c r="G15" s="593">
        <v>45891</v>
      </c>
    </row>
    <row r="16" spans="2:17">
      <c r="F16">
        <f>IF(ISNUMBER(F15),(F15-E15)," ")</f>
        <v>6</v>
      </c>
      <c r="G16">
        <f>IF(ISNUMBER(G15),(G15-F15)," ")</f>
        <v>70</v>
      </c>
    </row>
    <row r="17" spans="2:7">
      <c r="B17" t="s">
        <v>1826</v>
      </c>
      <c r="C17" t="s">
        <v>1827</v>
      </c>
      <c r="D17" t="s">
        <v>1828</v>
      </c>
      <c r="E17">
        <v>57296</v>
      </c>
      <c r="F17">
        <v>57346</v>
      </c>
      <c r="G17">
        <v>57396</v>
      </c>
    </row>
    <row r="18" spans="2:7">
      <c r="F18">
        <f>IF(ISNUMBER(F17),(F17-E17)," ")</f>
        <v>50</v>
      </c>
      <c r="G18">
        <f>IF(ISNUMBER(G17),(G17-F17)," ")</f>
        <v>50</v>
      </c>
    </row>
    <row r="19" spans="2:7">
      <c r="B19" t="s">
        <v>1826</v>
      </c>
      <c r="C19" t="s">
        <v>1827</v>
      </c>
      <c r="D19" t="s">
        <v>1829</v>
      </c>
      <c r="E19">
        <v>102357</v>
      </c>
      <c r="F19">
        <v>102437</v>
      </c>
      <c r="G19">
        <v>102512</v>
      </c>
    </row>
    <row r="20" spans="2:7">
      <c r="F20">
        <f>IF(ISNUMBER(F19),(F19-E19)," ")</f>
        <v>80</v>
      </c>
      <c r="G20">
        <f>IF(ISNUMBER(G19),(G19-F19)," ")</f>
        <v>75</v>
      </c>
    </row>
    <row r="21" spans="2:7">
      <c r="C21" t="s">
        <v>1830</v>
      </c>
      <c r="D21" t="s">
        <v>1831</v>
      </c>
      <c r="E21">
        <v>0</v>
      </c>
      <c r="F21">
        <v>25</v>
      </c>
      <c r="G21">
        <v>41</v>
      </c>
    </row>
    <row r="22" spans="2:7">
      <c r="F22">
        <f>IF(ISNUMBER(F21),(F21-E21)," ")</f>
        <v>25</v>
      </c>
      <c r="G22">
        <f>IF(ISNUMBER(G21),(G21-F21)," ")</f>
        <v>16</v>
      </c>
    </row>
    <row r="23" spans="2:7">
      <c r="B23" t="s">
        <v>1832</v>
      </c>
      <c r="D23" t="s">
        <v>1833</v>
      </c>
      <c r="E23">
        <v>90391</v>
      </c>
      <c r="F23">
        <v>90517</v>
      </c>
      <c r="G23">
        <v>90744</v>
      </c>
    </row>
    <row r="24" spans="2:7">
      <c r="F24">
        <f>IF(ISNUMBER(F23),(F23-E23)," ")</f>
        <v>126</v>
      </c>
      <c r="G24">
        <f>IF(ISNUMBER(G23),(G23-F23)," ")</f>
        <v>227</v>
      </c>
    </row>
    <row r="25" spans="2:7">
      <c r="B25" t="s">
        <v>1834</v>
      </c>
      <c r="D25" t="s">
        <v>1835</v>
      </c>
      <c r="E25">
        <v>26794</v>
      </c>
      <c r="F25">
        <v>26821</v>
      </c>
      <c r="G25">
        <v>26871</v>
      </c>
    </row>
    <row r="26" spans="2:7">
      <c r="F26">
        <f>IF(ISNUMBER(F25),(F25-E25)," ")</f>
        <v>27</v>
      </c>
      <c r="G26">
        <f>IF(ISNUMBER(G25),(G25-F25)," ")</f>
        <v>50</v>
      </c>
    </row>
    <row r="27" spans="2:7">
      <c r="B27" t="s">
        <v>1836</v>
      </c>
      <c r="D27" t="s">
        <v>1837</v>
      </c>
      <c r="E27">
        <v>534</v>
      </c>
      <c r="F27">
        <v>545</v>
      </c>
      <c r="G27">
        <v>550</v>
      </c>
    </row>
    <row r="28" spans="2:7">
      <c r="F28">
        <f>IF(ISNUMBER(F27),(F27-E27)," ")</f>
        <v>11</v>
      </c>
      <c r="G28">
        <f>IF(ISNUMBER(G27),(G27-F27)," ")</f>
        <v>5</v>
      </c>
    </row>
    <row r="29" spans="2:7">
      <c r="B29" t="s">
        <v>1838</v>
      </c>
      <c r="D29" t="s">
        <v>1839</v>
      </c>
      <c r="E29">
        <v>1564</v>
      </c>
      <c r="F29">
        <v>1577</v>
      </c>
      <c r="G29">
        <v>1594</v>
      </c>
    </row>
    <row r="30" spans="2:7">
      <c r="F30">
        <f>IF(ISNUMBER(F29),(F29-E29)," ")</f>
        <v>13</v>
      </c>
      <c r="G30">
        <f>IF(ISNUMBER(G29),(G29-F29)," ")</f>
        <v>17</v>
      </c>
    </row>
    <row r="31" spans="2:7">
      <c r="B31" t="s">
        <v>1840</v>
      </c>
      <c r="D31" t="s">
        <v>1841</v>
      </c>
      <c r="E31">
        <v>3108</v>
      </c>
      <c r="F31">
        <v>3116</v>
      </c>
      <c r="G31">
        <v>3130</v>
      </c>
    </row>
    <row r="32" spans="2:7">
      <c r="F32">
        <f>IF(ISNUMBER(F31),(F31-E31)," ")</f>
        <v>8</v>
      </c>
      <c r="G32">
        <f>IF(ISNUMBER(G31),(G31-F31)," ")</f>
        <v>14</v>
      </c>
    </row>
    <row r="33" spans="2:7">
      <c r="B33" t="s">
        <v>1842</v>
      </c>
      <c r="D33" t="s">
        <v>1843</v>
      </c>
      <c r="E33">
        <v>340</v>
      </c>
      <c r="F33">
        <v>341</v>
      </c>
      <c r="G33">
        <v>344</v>
      </c>
    </row>
    <row r="34" spans="2:7">
      <c r="F34">
        <f>IF(ISNUMBER(F33),(F33-E33)," ")</f>
        <v>1</v>
      </c>
      <c r="G34">
        <f>IF(ISNUMBER(G33),(G33-F33)," ")</f>
        <v>3</v>
      </c>
    </row>
    <row r="35" spans="2:7">
      <c r="B35" t="s">
        <v>1565</v>
      </c>
      <c r="D35" t="s">
        <v>1844</v>
      </c>
      <c r="E35">
        <v>11121</v>
      </c>
      <c r="F35">
        <v>11177</v>
      </c>
      <c r="G35">
        <v>11237</v>
      </c>
    </row>
    <row r="36" spans="2:7">
      <c r="F36">
        <f>IF(ISNUMBER(F35),(F35-E35)," ")</f>
        <v>56</v>
      </c>
      <c r="G36">
        <f>IF(ISNUMBER(G35),(G35-F35)," ")</f>
        <v>60</v>
      </c>
    </row>
    <row r="37" spans="2:7">
      <c r="B37" t="s">
        <v>1569</v>
      </c>
      <c r="D37" t="s">
        <v>1845</v>
      </c>
      <c r="E37">
        <v>10008</v>
      </c>
      <c r="F37">
        <v>10113</v>
      </c>
      <c r="G37">
        <v>10218</v>
      </c>
    </row>
    <row r="38" spans="2:7">
      <c r="F38">
        <f>IF(ISNUMBER(F37),(F37-E37)," ")</f>
        <v>105</v>
      </c>
      <c r="G38">
        <f>IF(ISNUMBER(G37),(G37-F37)," ")</f>
        <v>105</v>
      </c>
    </row>
    <row r="39" spans="2:7">
      <c r="B39" t="s">
        <v>1544</v>
      </c>
      <c r="D39" t="s">
        <v>1846</v>
      </c>
      <c r="E39">
        <v>34958</v>
      </c>
      <c r="F39">
        <v>34995</v>
      </c>
      <c r="G39">
        <v>35049</v>
      </c>
    </row>
    <row r="40" spans="2:7">
      <c r="F40">
        <f>IF(ISNUMBER(F39),(F39-E39)," ")</f>
        <v>37</v>
      </c>
      <c r="G40">
        <f>IF(ISNUMBER(G39),(G39-F39)," ")</f>
        <v>54</v>
      </c>
    </row>
    <row r="41" spans="2:7">
      <c r="B41" t="s">
        <v>1847</v>
      </c>
      <c r="D41" t="s">
        <v>1848</v>
      </c>
      <c r="F41">
        <v>96</v>
      </c>
      <c r="G41">
        <v>111</v>
      </c>
    </row>
    <row r="42" spans="2:7">
      <c r="F42">
        <f>IF(ISNUMBER(F41),(F41-E41)," ")</f>
        <v>96</v>
      </c>
      <c r="G42">
        <f>IF(ISNUMBER(G41),(G41-F41)," ")</f>
        <v>15</v>
      </c>
    </row>
    <row r="43" spans="2:7">
      <c r="B43" t="s">
        <v>1849</v>
      </c>
      <c r="D43" t="s">
        <v>1850</v>
      </c>
      <c r="F43">
        <v>2</v>
      </c>
      <c r="G43">
        <v>10</v>
      </c>
    </row>
    <row r="44" spans="2:7">
      <c r="F44">
        <f>IF(ISNUMBER(F43),(F43-E43)," ")</f>
        <v>2</v>
      </c>
      <c r="G44">
        <f>IF(ISNUMBER(G43),(G43-F43)," ")</f>
        <v>8</v>
      </c>
    </row>
    <row r="45" spans="2:7">
      <c r="B45" t="s">
        <v>1849</v>
      </c>
      <c r="D45" t="s">
        <v>1851</v>
      </c>
      <c r="E45">
        <v>912</v>
      </c>
      <c r="F45">
        <v>916</v>
      </c>
    </row>
    <row r="46" spans="2:7">
      <c r="F46">
        <f>IF(ISNUMBER(F45),(F45-E45)," ")</f>
        <v>4</v>
      </c>
    </row>
    <row r="47" spans="2:7">
      <c r="B47" t="s">
        <v>1849</v>
      </c>
      <c r="D47" t="s">
        <v>1850</v>
      </c>
      <c r="E47">
        <v>0</v>
      </c>
      <c r="F47">
        <v>2</v>
      </c>
    </row>
    <row r="48" spans="2:7">
      <c r="F48">
        <f>IF(ISNUMBER(F47),(F47-E47)," ")</f>
        <v>2</v>
      </c>
    </row>
    <row r="49" spans="2:7">
      <c r="B49" t="s">
        <v>1852</v>
      </c>
      <c r="D49" t="s">
        <v>1853</v>
      </c>
      <c r="E49">
        <v>22127</v>
      </c>
      <c r="F49">
        <v>22140</v>
      </c>
    </row>
    <row r="50" spans="2:7">
      <c r="F50">
        <f>IF(ISNUMBER(F49),(F49-E49)," ")</f>
        <v>13</v>
      </c>
    </row>
    <row r="51" spans="2:7" ht="15" customHeight="1">
      <c r="B51" t="s">
        <v>1854</v>
      </c>
      <c r="D51" t="s">
        <v>1855</v>
      </c>
      <c r="E51">
        <v>1571</v>
      </c>
      <c r="F51">
        <v>1572</v>
      </c>
    </row>
    <row r="52" spans="2:7" ht="15" customHeight="1">
      <c r="F52">
        <f>IF(ISNUMBER(F51),(F51-E51)," ")</f>
        <v>1</v>
      </c>
    </row>
    <row r="53" spans="2:7">
      <c r="B53" t="s">
        <v>1856</v>
      </c>
      <c r="D53" t="s">
        <v>1857</v>
      </c>
      <c r="E53">
        <v>72678</v>
      </c>
      <c r="F53">
        <v>72864</v>
      </c>
    </row>
    <row r="54" spans="2:7">
      <c r="F54">
        <f>IF(ISNUMBER(F53),(F53-E53)," ")</f>
        <v>186</v>
      </c>
    </row>
    <row r="55" spans="2:7">
      <c r="B55" t="s">
        <v>1858</v>
      </c>
      <c r="D55" t="s">
        <v>1859</v>
      </c>
      <c r="E55">
        <v>34027</v>
      </c>
      <c r="F55">
        <v>34152</v>
      </c>
    </row>
    <row r="56" spans="2:7">
      <c r="F56">
        <f>IF(ISNUMBER(F55),(F55-E55)," ")</f>
        <v>125</v>
      </c>
    </row>
    <row r="57" spans="2:7">
      <c r="B57" t="s">
        <v>1860</v>
      </c>
      <c r="D57" t="s">
        <v>1861</v>
      </c>
      <c r="E57">
        <v>9843</v>
      </c>
      <c r="F57">
        <v>9862</v>
      </c>
    </row>
    <row r="58" spans="2:7">
      <c r="F58">
        <f>IF(ISNUMBER(F57),(F57-E57)," ")</f>
        <v>19</v>
      </c>
    </row>
    <row r="59" spans="2:7">
      <c r="B59" t="s">
        <v>1852</v>
      </c>
      <c r="D59" t="s">
        <v>1862</v>
      </c>
      <c r="E59">
        <v>6056</v>
      </c>
      <c r="F59">
        <v>6143</v>
      </c>
    </row>
    <row r="60" spans="2:7">
      <c r="F60">
        <f>IF(ISNUMBER(F59),(F59-E59)," ")</f>
        <v>87</v>
      </c>
    </row>
    <row r="61" spans="2:7">
      <c r="B61" t="s">
        <v>1863</v>
      </c>
      <c r="D61" t="s">
        <v>1864</v>
      </c>
      <c r="E61">
        <v>45486</v>
      </c>
      <c r="F61">
        <v>45553</v>
      </c>
      <c r="G61">
        <v>45653</v>
      </c>
    </row>
    <row r="62" spans="2:7">
      <c r="F62">
        <f>IF(ISNUMBER(F61),(F61-E61)," ")</f>
        <v>67</v>
      </c>
      <c r="G62">
        <f>IF(ISNUMBER(G61),(G61-F61)," ")</f>
        <v>100</v>
      </c>
    </row>
    <row r="63" spans="2:7">
      <c r="B63" t="s">
        <v>1865</v>
      </c>
      <c r="D63" t="s">
        <v>1866</v>
      </c>
      <c r="E63">
        <v>25694</v>
      </c>
      <c r="F63">
        <v>27398</v>
      </c>
      <c r="G63">
        <v>28405</v>
      </c>
    </row>
    <row r="64" spans="2:7">
      <c r="F64">
        <f>IF(ISNUMBER(F63),(F63-E63)," ")</f>
        <v>1704</v>
      </c>
      <c r="G64">
        <f>IF(ISNUMBER(G63),(G63-F63)," ")</f>
        <v>1007</v>
      </c>
    </row>
    <row r="65" spans="2:7">
      <c r="B65" t="s">
        <v>1867</v>
      </c>
      <c r="D65" t="s">
        <v>1868</v>
      </c>
      <c r="E65">
        <v>1240</v>
      </c>
      <c r="F65">
        <v>1242</v>
      </c>
      <c r="G65">
        <v>1244</v>
      </c>
    </row>
    <row r="66" spans="2:7">
      <c r="F66">
        <f>IF(ISNUMBER(F65),(F65-E65)," ")</f>
        <v>2</v>
      </c>
      <c r="G66">
        <f>IF(ISNUMBER(G65),(G65-F65)," ")</f>
        <v>2</v>
      </c>
    </row>
    <row r="67" spans="2:7">
      <c r="B67" t="s">
        <v>1869</v>
      </c>
      <c r="D67" t="s">
        <v>1870</v>
      </c>
      <c r="E67">
        <v>4208</v>
      </c>
      <c r="F67">
        <v>4229</v>
      </c>
      <c r="G67">
        <v>4250</v>
      </c>
    </row>
    <row r="68" spans="2:7">
      <c r="F68">
        <f>IF(ISNUMBER(F67),(F67-E67)," ")</f>
        <v>21</v>
      </c>
      <c r="G68">
        <f>IF(ISNUMBER(G67),(G67-F67)," ")</f>
        <v>21</v>
      </c>
    </row>
    <row r="69" spans="2:7">
      <c r="B69" t="s">
        <v>1871</v>
      </c>
      <c r="D69" t="s">
        <v>1872</v>
      </c>
      <c r="E69">
        <v>994</v>
      </c>
      <c r="F69">
        <v>996</v>
      </c>
      <c r="G69">
        <v>1000</v>
      </c>
    </row>
    <row r="70" spans="2:7">
      <c r="F70">
        <f>IF(ISNUMBER(F69),(F69-E69)," ")</f>
        <v>2</v>
      </c>
      <c r="G70">
        <f>IF(ISNUMBER(G69),(G69-F69)," ")</f>
        <v>4</v>
      </c>
    </row>
    <row r="71" spans="2:7">
      <c r="B71" t="s">
        <v>1873</v>
      </c>
      <c r="D71" t="s">
        <v>1874</v>
      </c>
      <c r="F71">
        <v>576</v>
      </c>
      <c r="G71">
        <v>577</v>
      </c>
    </row>
    <row r="72" spans="2:7">
      <c r="G72">
        <f>IF(ISNUMBER(G71),(G71-F71)," ")</f>
        <v>1</v>
      </c>
    </row>
    <row r="73" spans="2:7">
      <c r="B73" t="s">
        <v>1875</v>
      </c>
      <c r="D73" t="s">
        <v>1876</v>
      </c>
      <c r="F73">
        <v>741</v>
      </c>
      <c r="G73">
        <v>743</v>
      </c>
    </row>
    <row r="74" spans="2:7">
      <c r="G74">
        <f>IF(ISNUMBER(G73),(G73-F73)," ")</f>
        <v>2</v>
      </c>
    </row>
    <row r="75" spans="2:7">
      <c r="B75" t="s">
        <v>1877</v>
      </c>
      <c r="D75" t="s">
        <v>1878</v>
      </c>
      <c r="E75">
        <v>441</v>
      </c>
      <c r="F75">
        <v>444</v>
      </c>
      <c r="G75">
        <v>450</v>
      </c>
    </row>
    <row r="76" spans="2:7">
      <c r="F76">
        <f>IF(ISNUMBER(F75),(F75-E75)," ")</f>
        <v>3</v>
      </c>
      <c r="G76">
        <f>IF(ISNUMBER(G75),(G75-F75)," ")</f>
        <v>6</v>
      </c>
    </row>
    <row r="77" spans="2:7">
      <c r="B77" t="s">
        <v>1879</v>
      </c>
      <c r="D77" t="s">
        <v>1880</v>
      </c>
      <c r="E77">
        <v>477</v>
      </c>
      <c r="F77">
        <v>478</v>
      </c>
      <c r="G77">
        <v>479</v>
      </c>
    </row>
    <row r="78" spans="2:7">
      <c r="F78">
        <f>IF(ISNUMBER(F77),(F77-E77)," ")</f>
        <v>1</v>
      </c>
      <c r="G78">
        <f>IF(ISNUMBER(G77),(G77-F77)," ")</f>
        <v>1</v>
      </c>
    </row>
    <row r="79" spans="2:7">
      <c r="B79" t="s">
        <v>1881</v>
      </c>
      <c r="D79" t="s">
        <v>1882</v>
      </c>
      <c r="E79">
        <v>1987</v>
      </c>
      <c r="F79">
        <v>1991</v>
      </c>
      <c r="G79">
        <v>1994</v>
      </c>
    </row>
    <row r="80" spans="2:7">
      <c r="F80">
        <f>IF(ISNUMBER(F79),(F79-E79)," ")</f>
        <v>4</v>
      </c>
      <c r="G80">
        <f>IF(ISNUMBER(G79),(G79-F79)," ")</f>
        <v>3</v>
      </c>
    </row>
    <row r="81" spans="2:7">
      <c r="B81" t="s">
        <v>1883</v>
      </c>
      <c r="D81" t="s">
        <v>1884</v>
      </c>
      <c r="E81">
        <v>8638</v>
      </c>
      <c r="F81">
        <v>8649</v>
      </c>
      <c r="G81">
        <v>8669</v>
      </c>
    </row>
    <row r="82" spans="2:7">
      <c r="F82">
        <f>IF(ISNUMBER(F81),(F81-E81)," ")</f>
        <v>11</v>
      </c>
      <c r="G82">
        <f>IF(ISNUMBER(G81),(G81-F81)," ")</f>
        <v>20</v>
      </c>
    </row>
    <row r="83" spans="2:7">
      <c r="D83" t="s">
        <v>1885</v>
      </c>
      <c r="E83">
        <v>586</v>
      </c>
      <c r="F83">
        <v>834</v>
      </c>
      <c r="G83">
        <v>916</v>
      </c>
    </row>
    <row r="84" spans="2:7">
      <c r="F84">
        <f>IF(ISNUMBER(F83),(F83-E83)," ")</f>
        <v>248</v>
      </c>
      <c r="G84">
        <f>IF(ISNUMBER(G83),(G83-F83)," ")</f>
        <v>82</v>
      </c>
    </row>
    <row r="85" spans="2:7">
      <c r="B85" t="s">
        <v>1886</v>
      </c>
      <c r="D85" t="s">
        <v>1887</v>
      </c>
      <c r="E85">
        <v>28</v>
      </c>
      <c r="F85">
        <v>32</v>
      </c>
      <c r="G85">
        <v>37</v>
      </c>
    </row>
    <row r="86" spans="2:7">
      <c r="F86">
        <f>IF(ISNUMBER(F85),(F85-E85)," ")</f>
        <v>4</v>
      </c>
      <c r="G86">
        <f>IF(ISNUMBER(G85),(G85-F85)," ")</f>
        <v>5</v>
      </c>
    </row>
    <row r="87" spans="2:7">
      <c r="B87" t="s">
        <v>1888</v>
      </c>
      <c r="C87" t="s">
        <v>1889</v>
      </c>
      <c r="D87" t="s">
        <v>1890</v>
      </c>
      <c r="E87">
        <v>10</v>
      </c>
      <c r="F87">
        <v>27</v>
      </c>
      <c r="G87">
        <v>30</v>
      </c>
    </row>
    <row r="88" spans="2:7">
      <c r="F88">
        <f>IF(ISNUMBER(F87),(F87-E87)," ")</f>
        <v>17</v>
      </c>
      <c r="G88">
        <f>IF(ISNUMBER(G87),(G87-F87)," ")</f>
        <v>3</v>
      </c>
    </row>
    <row r="89" spans="2:7">
      <c r="B89" t="s">
        <v>1891</v>
      </c>
      <c r="D89" t="s">
        <v>1892</v>
      </c>
      <c r="E89">
        <v>33207</v>
      </c>
      <c r="F89">
        <v>33280</v>
      </c>
      <c r="G89">
        <v>33358</v>
      </c>
    </row>
    <row r="90" spans="2:7">
      <c r="F90">
        <f>IF(ISNUMBER(F89),(F89-E89)," ")</f>
        <v>73</v>
      </c>
      <c r="G90">
        <f>IF(ISNUMBER(G89),(G89-F89)," ")</f>
        <v>78</v>
      </c>
    </row>
    <row r="91" spans="2:7">
      <c r="B91" t="s">
        <v>1621</v>
      </c>
      <c r="C91" t="s">
        <v>1893</v>
      </c>
      <c r="D91" t="s">
        <v>1894</v>
      </c>
      <c r="E91">
        <v>94161</v>
      </c>
      <c r="F91">
        <v>94189</v>
      </c>
      <c r="G91">
        <v>94428</v>
      </c>
    </row>
    <row r="92" spans="2:7">
      <c r="F92">
        <f>IF(ISNUMBER(F91),(F91-E91)," ")</f>
        <v>28</v>
      </c>
      <c r="G92">
        <f>IF(ISNUMBER(G91),(G91-F91)," ")</f>
        <v>239</v>
      </c>
    </row>
    <row r="93" spans="2:7">
      <c r="B93" t="s">
        <v>1621</v>
      </c>
      <c r="C93" t="s">
        <v>1893</v>
      </c>
      <c r="D93" t="s">
        <v>1895</v>
      </c>
      <c r="E93">
        <v>98500</v>
      </c>
      <c r="F93">
        <v>98708</v>
      </c>
      <c r="G93">
        <v>99208</v>
      </c>
    </row>
    <row r="94" spans="2:7">
      <c r="F94">
        <f>IF(ISNUMBER(F93),(F93-E93)," ")</f>
        <v>208</v>
      </c>
      <c r="G94">
        <f>IF(ISNUMBER(G93),(G93-F93)," ")</f>
        <v>500</v>
      </c>
    </row>
    <row r="95" spans="2:7">
      <c r="B95" t="s">
        <v>1795</v>
      </c>
      <c r="D95" t="s">
        <v>1896</v>
      </c>
      <c r="F95">
        <v>10</v>
      </c>
      <c r="G95">
        <v>11</v>
      </c>
    </row>
    <row r="96" spans="2:7">
      <c r="G96">
        <f>IF(ISNUMBER(G95),(G95-F95)," ")</f>
        <v>1</v>
      </c>
    </row>
    <row r="97" spans="2:7">
      <c r="B97" t="s">
        <v>1897</v>
      </c>
      <c r="D97" t="s">
        <v>1898</v>
      </c>
      <c r="E97">
        <v>22077</v>
      </c>
      <c r="F97">
        <v>22166</v>
      </c>
      <c r="G97">
        <v>22236</v>
      </c>
    </row>
    <row r="98" spans="2:7">
      <c r="F98">
        <f>IF(ISNUMBER(F97),(F97-E97)," ")</f>
        <v>89</v>
      </c>
      <c r="G98">
        <f>IF(ISNUMBER(G97),(G97-F97)," ")</f>
        <v>70</v>
      </c>
    </row>
    <row r="99" spans="2:7">
      <c r="B99" t="s">
        <v>1899</v>
      </c>
      <c r="D99" t="s">
        <v>1900</v>
      </c>
      <c r="E99">
        <v>9654</v>
      </c>
      <c r="F99">
        <v>9776</v>
      </c>
      <c r="G99">
        <v>9826</v>
      </c>
    </row>
    <row r="100" spans="2:7">
      <c r="F100">
        <f>IF(ISNUMBER(F99),(F99-E99)," ")</f>
        <v>122</v>
      </c>
      <c r="G100">
        <f>IF(ISNUMBER(G99),(G99-F99)," ")</f>
        <v>50</v>
      </c>
    </row>
    <row r="101" spans="2:7">
      <c r="B101" t="s">
        <v>1899</v>
      </c>
      <c r="D101" t="s">
        <v>1901</v>
      </c>
      <c r="E101">
        <v>33947</v>
      </c>
      <c r="F101">
        <v>35430</v>
      </c>
      <c r="G101">
        <v>36550</v>
      </c>
    </row>
    <row r="102" spans="2:7">
      <c r="F102">
        <f>IF(ISNUMBER(F101),(F101-E101)," ")</f>
        <v>1483</v>
      </c>
      <c r="G102">
        <f>IF(ISNUMBER(G101),(G101-F101)," ")</f>
        <v>1120</v>
      </c>
    </row>
    <row r="103" spans="2:7">
      <c r="B103" t="s">
        <v>1902</v>
      </c>
      <c r="D103" t="s">
        <v>1903</v>
      </c>
      <c r="E103">
        <v>7766</v>
      </c>
      <c r="F103">
        <v>8375</v>
      </c>
      <c r="G103">
        <v>9323</v>
      </c>
    </row>
    <row r="104" spans="2:7">
      <c r="F104">
        <f>IF(ISNUMBER(F103),(F103-E103)," ")</f>
        <v>609</v>
      </c>
      <c r="G104">
        <f>IF(ISNUMBER(G103),(G103-F103)," ")</f>
        <v>948</v>
      </c>
    </row>
    <row r="105" spans="2:7">
      <c r="B105" t="s">
        <v>1902</v>
      </c>
      <c r="D105" t="s">
        <v>1904</v>
      </c>
      <c r="F105">
        <v>74</v>
      </c>
      <c r="G105">
        <v>76</v>
      </c>
    </row>
    <row r="106" spans="2:7">
      <c r="G106">
        <f>IF(ISNUMBER(G105),(G105-F105)," ")</f>
        <v>2</v>
      </c>
    </row>
    <row r="107" spans="2:7">
      <c r="B107" t="s">
        <v>72</v>
      </c>
      <c r="D107" t="s">
        <v>1905</v>
      </c>
      <c r="F107">
        <v>1251</v>
      </c>
      <c r="G107">
        <v>1255</v>
      </c>
    </row>
    <row r="108" spans="2:7">
      <c r="G108">
        <f>IF(ISNUMBER(G107),(G107-F107)," ")</f>
        <v>4</v>
      </c>
    </row>
    <row r="109" spans="2:7">
      <c r="B109" t="s">
        <v>1906</v>
      </c>
      <c r="D109" t="s">
        <v>1907</v>
      </c>
      <c r="E109">
        <v>46415</v>
      </c>
      <c r="F109">
        <v>46542</v>
      </c>
      <c r="G109">
        <v>46662</v>
      </c>
    </row>
    <row r="110" spans="2:7">
      <c r="F110">
        <f>IF(ISNUMBER(F109),(F109-E109)," ")</f>
        <v>127</v>
      </c>
      <c r="G110">
        <f>IF(ISNUMBER(G109),(G109-F109)," ")</f>
        <v>120</v>
      </c>
    </row>
    <row r="111" spans="2:7">
      <c r="B111" t="s">
        <v>72</v>
      </c>
      <c r="D111" t="s">
        <v>1908</v>
      </c>
      <c r="E111">
        <v>4585</v>
      </c>
      <c r="F111">
        <v>4617</v>
      </c>
      <c r="G111">
        <v>4647</v>
      </c>
    </row>
    <row r="112" spans="2:7">
      <c r="F112">
        <f>IF(ISNUMBER(F111),(F111-E111)," ")</f>
        <v>32</v>
      </c>
      <c r="G112">
        <f>IF(ISNUMBER(G111),(G111-F111)," ")</f>
        <v>30</v>
      </c>
    </row>
    <row r="113" spans="2:7">
      <c r="B113" t="s">
        <v>1909</v>
      </c>
      <c r="D113" t="s">
        <v>1910</v>
      </c>
      <c r="E113">
        <v>2051</v>
      </c>
      <c r="F113">
        <v>2102</v>
      </c>
      <c r="G113">
        <v>2152</v>
      </c>
    </row>
    <row r="114" spans="2:7">
      <c r="F114">
        <f>IF(ISNUMBER(F113),(F113-E113)," ")</f>
        <v>51</v>
      </c>
      <c r="G114">
        <f>IF(ISNUMBER(G113),(G113-F113)," ")</f>
        <v>50</v>
      </c>
    </row>
    <row r="115" spans="2:7">
      <c r="B115" t="s">
        <v>1911</v>
      </c>
      <c r="D115" t="s">
        <v>1912</v>
      </c>
      <c r="E115">
        <v>49</v>
      </c>
      <c r="F115">
        <v>55</v>
      </c>
      <c r="G115">
        <v>60</v>
      </c>
    </row>
    <row r="116" spans="2:7">
      <c r="F116">
        <f>IF(ISNUMBER(F115),(F115-E115)," ")</f>
        <v>6</v>
      </c>
      <c r="G116">
        <f>IF(ISNUMBER(G115),(G115-F115)," ")</f>
        <v>5</v>
      </c>
    </row>
    <row r="117" spans="2:7">
      <c r="B117" t="s">
        <v>1909</v>
      </c>
      <c r="D117" t="s">
        <v>1913</v>
      </c>
      <c r="E117">
        <v>18</v>
      </c>
      <c r="F117">
        <v>20</v>
      </c>
      <c r="G117">
        <v>38</v>
      </c>
    </row>
    <row r="118" spans="2:7">
      <c r="F118">
        <f>IF(ISNUMBER(F117),(F117-E117)," ")</f>
        <v>2</v>
      </c>
      <c r="G118">
        <f>IF(ISNUMBER(G117),(G117-F117)," ")</f>
        <v>18</v>
      </c>
    </row>
    <row r="119" spans="2:7">
      <c r="B119" t="s">
        <v>1914</v>
      </c>
      <c r="D119" t="s">
        <v>1915</v>
      </c>
      <c r="E119">
        <v>20279</v>
      </c>
      <c r="F119">
        <v>20347</v>
      </c>
      <c r="G119">
        <v>20442</v>
      </c>
    </row>
    <row r="120" spans="2:7">
      <c r="F120">
        <f>IF(ISNUMBER(F119),(F119-E119)," ")</f>
        <v>68</v>
      </c>
      <c r="G120">
        <f>IF(ISNUMBER(G119),(G119-F119)," ")</f>
        <v>95</v>
      </c>
    </row>
    <row r="121" spans="2:7">
      <c r="B121" t="s">
        <v>1560</v>
      </c>
      <c r="D121" t="s">
        <v>1916</v>
      </c>
      <c r="E121">
        <v>9059</v>
      </c>
      <c r="F121">
        <v>9074</v>
      </c>
      <c r="G121">
        <v>9086</v>
      </c>
    </row>
    <row r="122" spans="2:7">
      <c r="F122">
        <f>IF(ISNUMBER(F121),(F121-E121)," ")</f>
        <v>15</v>
      </c>
      <c r="G122">
        <f>IF(ISNUMBER(G121),(G121-F121)," ")</f>
        <v>12</v>
      </c>
    </row>
    <row r="123" spans="2:7">
      <c r="B123" t="s">
        <v>1917</v>
      </c>
      <c r="D123" t="s">
        <v>1918</v>
      </c>
      <c r="E123">
        <v>12299</v>
      </c>
      <c r="F123">
        <v>12366</v>
      </c>
      <c r="G123">
        <v>12392</v>
      </c>
    </row>
    <row r="124" spans="2:7">
      <c r="F124">
        <f>IF(ISNUMBER(F123),(F123-E123)," ")</f>
        <v>67</v>
      </c>
      <c r="G124">
        <f>IF(ISNUMBER(G123),(G123-F123)," ")</f>
        <v>26</v>
      </c>
    </row>
    <row r="125" spans="2:7">
      <c r="B125" t="s">
        <v>1919</v>
      </c>
      <c r="D125" t="s">
        <v>1920</v>
      </c>
      <c r="F125">
        <v>17528</v>
      </c>
      <c r="G125">
        <v>17548</v>
      </c>
    </row>
    <row r="126" spans="2:7">
      <c r="G126">
        <f>IF(ISNUMBER(G125),(G125-F125)," ")</f>
        <v>20</v>
      </c>
    </row>
    <row r="127" spans="2:7">
      <c r="B127" t="s">
        <v>1921</v>
      </c>
      <c r="D127" t="s">
        <v>1922</v>
      </c>
      <c r="E127">
        <v>6959</v>
      </c>
      <c r="F127">
        <v>7006</v>
      </c>
      <c r="G127">
        <v>7041</v>
      </c>
    </row>
    <row r="128" spans="2:7">
      <c r="G128">
        <f>IF(ISNUMBER(G127),(G127-F127)," ")</f>
        <v>35</v>
      </c>
    </row>
    <row r="129" spans="2:7">
      <c r="B129" t="s">
        <v>1923</v>
      </c>
      <c r="D129" t="s">
        <v>1924</v>
      </c>
      <c r="E129">
        <v>2506</v>
      </c>
      <c r="F129">
        <v>11535</v>
      </c>
      <c r="G129">
        <v>11575</v>
      </c>
    </row>
    <row r="130" spans="2:7">
      <c r="F130">
        <f>IF(ISNUMBER(F129),(F129-E129)," ")</f>
        <v>9029</v>
      </c>
      <c r="G130">
        <f>IF(ISNUMBER(G129),(G129-F129)," ")</f>
        <v>40</v>
      </c>
    </row>
    <row r="131" spans="2:7">
      <c r="B131" t="s">
        <v>1925</v>
      </c>
      <c r="D131" t="s">
        <v>1926</v>
      </c>
      <c r="E131">
        <v>5352</v>
      </c>
      <c r="F131">
        <v>5356</v>
      </c>
      <c r="G131">
        <v>5360</v>
      </c>
    </row>
    <row r="132" spans="2:7">
      <c r="F132">
        <f>IF(ISNUMBER(F131),(F131-E131)," ")</f>
        <v>4</v>
      </c>
      <c r="G132">
        <f>IF(ISNUMBER(G131),(G131-F131)," ")</f>
        <v>4</v>
      </c>
    </row>
    <row r="133" spans="2:7">
      <c r="B133" t="s">
        <v>1927</v>
      </c>
      <c r="D133" t="s">
        <v>1928</v>
      </c>
      <c r="E133">
        <v>10225</v>
      </c>
      <c r="F133">
        <v>10253</v>
      </c>
    </row>
    <row r="134" spans="2:7">
      <c r="F134">
        <f>IF(ISNUMBER(F133),(F133-E133)," ")</f>
        <v>28</v>
      </c>
    </row>
    <row r="135" spans="2:7">
      <c r="B135" t="s">
        <v>1929</v>
      </c>
      <c r="D135" t="s">
        <v>1930</v>
      </c>
      <c r="E135">
        <v>1412</v>
      </c>
      <c r="F135">
        <v>1413</v>
      </c>
    </row>
    <row r="136" spans="2:7">
      <c r="F136">
        <f>IF(ISNUMBER(F135),(F135-E135)," ")</f>
        <v>1</v>
      </c>
    </row>
    <row r="137" spans="2:7">
      <c r="B137" t="s">
        <v>1931</v>
      </c>
      <c r="D137" t="s">
        <v>1932</v>
      </c>
      <c r="E137">
        <v>484</v>
      </c>
      <c r="F137">
        <v>788</v>
      </c>
    </row>
    <row r="138" spans="2:7">
      <c r="F138">
        <f>IF(ISNUMBER(F137),(F137-E137)," ")</f>
        <v>304</v>
      </c>
    </row>
    <row r="139" spans="2:7">
      <c r="B139" t="s">
        <v>1933</v>
      </c>
      <c r="D139" t="s">
        <v>1934</v>
      </c>
      <c r="E139">
        <v>41</v>
      </c>
      <c r="F139">
        <v>55</v>
      </c>
    </row>
    <row r="140" spans="2:7">
      <c r="F140">
        <f>IF(ISNUMBER(F139),(F139-E139)," ")</f>
        <v>14</v>
      </c>
    </row>
    <row r="141" spans="2:7">
      <c r="B141" t="s">
        <v>1935</v>
      </c>
      <c r="C141" t="s">
        <v>1936</v>
      </c>
      <c r="D141" t="s">
        <v>1937</v>
      </c>
      <c r="E141">
        <v>1845</v>
      </c>
      <c r="F141">
        <v>2437</v>
      </c>
      <c r="G141">
        <v>2737</v>
      </c>
    </row>
    <row r="142" spans="2:7">
      <c r="F142">
        <f>IF(ISNUMBER(F141),(F141-E141)," ")</f>
        <v>592</v>
      </c>
      <c r="G142">
        <f>IF(ISNUMBER(G141),(G141-F141)," ")</f>
        <v>300</v>
      </c>
    </row>
    <row r="143" spans="2:7">
      <c r="D143" t="s">
        <v>1938</v>
      </c>
      <c r="E143">
        <v>1210</v>
      </c>
      <c r="F143">
        <v>1216</v>
      </c>
      <c r="G143">
        <v>1285</v>
      </c>
    </row>
    <row r="144" spans="2:7">
      <c r="F144">
        <f>IF(ISNUMBER(F143),(F143-E143)," ")</f>
        <v>6</v>
      </c>
      <c r="G144">
        <f>IF(ISNUMBER(G143),(G143-F143)," ")</f>
        <v>69</v>
      </c>
    </row>
    <row r="145" spans="2:7">
      <c r="B145" t="s">
        <v>1636</v>
      </c>
      <c r="D145" t="s">
        <v>1939</v>
      </c>
      <c r="E145">
        <v>2343</v>
      </c>
      <c r="F145">
        <v>2428</v>
      </c>
      <c r="G145">
        <v>2504</v>
      </c>
    </row>
    <row r="146" spans="2:7">
      <c r="F146">
        <f>IF(ISNUMBER(F145),(F145-E145)," ")</f>
        <v>85</v>
      </c>
      <c r="G146">
        <f>IF(ISNUMBER(G145),(G145-F145)," ")</f>
        <v>76</v>
      </c>
    </row>
    <row r="147" spans="2:7">
      <c r="B147" t="s">
        <v>1940</v>
      </c>
      <c r="D147">
        <v>8851819</v>
      </c>
      <c r="E147">
        <v>14852</v>
      </c>
      <c r="F147">
        <v>14859</v>
      </c>
      <c r="G147">
        <v>14869</v>
      </c>
    </row>
    <row r="148" spans="2:7">
      <c r="F148">
        <f>IF(ISNUMBER(F147),(F147-E147)," ")</f>
        <v>7</v>
      </c>
      <c r="G148">
        <f>IF(ISNUMBER(G147),(G147-F147)," ")</f>
        <v>10</v>
      </c>
    </row>
    <row r="149" spans="2:7">
      <c r="B149" t="s">
        <v>1791</v>
      </c>
      <c r="D149" t="s">
        <v>1941</v>
      </c>
      <c r="E149">
        <v>11992</v>
      </c>
      <c r="F149">
        <v>12161</v>
      </c>
      <c r="G149">
        <v>12321</v>
      </c>
    </row>
    <row r="150" spans="2:7">
      <c r="F150">
        <f>IF(ISNUMBER(F149),(F149-E149)," ")</f>
        <v>169</v>
      </c>
      <c r="G150">
        <f>IF(ISNUMBER(G149),(G149-F149)," ")</f>
        <v>160</v>
      </c>
    </row>
    <row r="151" spans="2:7">
      <c r="B151" t="s">
        <v>1942</v>
      </c>
      <c r="D151" t="s">
        <v>1943</v>
      </c>
      <c r="E151">
        <v>10650</v>
      </c>
      <c r="F151">
        <v>10662</v>
      </c>
      <c r="G151">
        <v>10682</v>
      </c>
    </row>
    <row r="152" spans="2:7">
      <c r="F152">
        <f>IF(ISNUMBER(F151),(F151-E151)," ")</f>
        <v>12</v>
      </c>
      <c r="G152">
        <f>IF(ISNUMBER(G151),(G151-F151)," ")</f>
        <v>20</v>
      </c>
    </row>
    <row r="153" spans="2:7">
      <c r="B153" t="s">
        <v>1944</v>
      </c>
      <c r="D153" t="s">
        <v>1945</v>
      </c>
      <c r="F153">
        <v>2198</v>
      </c>
      <c r="G153">
        <v>2201</v>
      </c>
    </row>
    <row r="154" spans="2:7">
      <c r="G154">
        <f>IF(ISNUMBER(G153),(G153-F153)," ")</f>
        <v>3</v>
      </c>
    </row>
    <row r="155" spans="2:7">
      <c r="B155" t="s">
        <v>1883</v>
      </c>
      <c r="D155" t="s">
        <v>1946</v>
      </c>
      <c r="E155">
        <v>3542</v>
      </c>
      <c r="F155">
        <v>3604</v>
      </c>
      <c r="G155">
        <v>3615</v>
      </c>
    </row>
    <row r="156" spans="2:7">
      <c r="F156">
        <f>IF(ISNUMBER(F155),(F155-E155)," ")</f>
        <v>62</v>
      </c>
      <c r="G156">
        <f>IF(ISNUMBER(G155),(G155-F155)," ")</f>
        <v>11</v>
      </c>
    </row>
    <row r="157" spans="2:7">
      <c r="B157" t="s">
        <v>1856</v>
      </c>
      <c r="D157" t="s">
        <v>1947</v>
      </c>
      <c r="E157">
        <v>4554</v>
      </c>
      <c r="F157">
        <v>5053</v>
      </c>
      <c r="G157">
        <v>5140</v>
      </c>
    </row>
    <row r="158" spans="2:7">
      <c r="F158">
        <f>IF(ISNUMBER(F157),(F157-E157)," ")</f>
        <v>499</v>
      </c>
      <c r="G158">
        <f>IF(ISNUMBER(G157),(G157-F157)," ")</f>
        <v>87</v>
      </c>
    </row>
    <row r="159" spans="2:7">
      <c r="B159" t="s">
        <v>1948</v>
      </c>
      <c r="D159" t="s">
        <v>1949</v>
      </c>
      <c r="E159">
        <v>27013</v>
      </c>
      <c r="F159">
        <v>27056</v>
      </c>
    </row>
    <row r="160" spans="2:7">
      <c r="F160">
        <f>IF(ISNUMBER(F159),(F159-E159)," ")</f>
        <v>43</v>
      </c>
    </row>
    <row r="161" spans="2:7">
      <c r="B161" t="s">
        <v>1948</v>
      </c>
      <c r="D161" t="s">
        <v>1950</v>
      </c>
      <c r="E161">
        <v>0</v>
      </c>
      <c r="F161">
        <v>4</v>
      </c>
    </row>
    <row r="162" spans="2:7">
      <c r="F162">
        <f>IF(ISNUMBER(F161),(F161-E161)," ")</f>
        <v>4</v>
      </c>
    </row>
    <row r="163" spans="2:7">
      <c r="B163" t="s">
        <v>1601</v>
      </c>
      <c r="C163" t="s">
        <v>1602</v>
      </c>
      <c r="D163" t="s">
        <v>1951</v>
      </c>
      <c r="E163">
        <v>4761</v>
      </c>
      <c r="F163">
        <v>4779</v>
      </c>
    </row>
    <row r="164" spans="2:7">
      <c r="F164">
        <f>IF(ISNUMBER(F163),(F163-E163)," ")</f>
        <v>18</v>
      </c>
    </row>
    <row r="165" spans="2:7">
      <c r="B165" t="s">
        <v>1601</v>
      </c>
      <c r="C165" t="s">
        <v>1602</v>
      </c>
      <c r="D165" t="s">
        <v>1952</v>
      </c>
      <c r="E165">
        <v>0</v>
      </c>
      <c r="F165">
        <v>5</v>
      </c>
    </row>
    <row r="166" spans="2:7">
      <c r="F166">
        <f>IF(ISNUMBER(F165),(F165-E165)," ")</f>
        <v>5</v>
      </c>
    </row>
    <row r="167" spans="2:7">
      <c r="B167" t="s">
        <v>1953</v>
      </c>
      <c r="C167" t="s">
        <v>1954</v>
      </c>
      <c r="D167" t="s">
        <v>1955</v>
      </c>
      <c r="F167">
        <v>2131</v>
      </c>
      <c r="G167">
        <v>2151</v>
      </c>
    </row>
    <row r="168" spans="2:7">
      <c r="G168">
        <f>IF(ISNUMBER(G167),(G167-F167)," ")</f>
        <v>20</v>
      </c>
    </row>
    <row r="169" spans="2:7">
      <c r="B169" t="s">
        <v>1956</v>
      </c>
      <c r="D169" t="s">
        <v>1957</v>
      </c>
      <c r="F169">
        <v>18083</v>
      </c>
      <c r="G169">
        <v>18109</v>
      </c>
    </row>
    <row r="170" spans="2:7">
      <c r="G170">
        <f>IF(ISNUMBER(G169),(G169-F169)," ")</f>
        <v>26</v>
      </c>
    </row>
    <row r="171" spans="2:7">
      <c r="B171" t="s">
        <v>1958</v>
      </c>
      <c r="C171" t="s">
        <v>1959</v>
      </c>
      <c r="D171" t="s">
        <v>1960</v>
      </c>
      <c r="F171">
        <v>0</v>
      </c>
      <c r="G171">
        <v>7</v>
      </c>
    </row>
    <row r="172" spans="2:7">
      <c r="G172">
        <f>IF(ISNUMBER(G171),(G171-F171)," ")</f>
        <v>7</v>
      </c>
    </row>
    <row r="173" spans="2:7">
      <c r="B173" t="s">
        <v>1560</v>
      </c>
      <c r="C173" t="s">
        <v>1961</v>
      </c>
      <c r="D173" t="s">
        <v>1962</v>
      </c>
      <c r="F173">
        <v>404</v>
      </c>
      <c r="G173">
        <v>409</v>
      </c>
    </row>
    <row r="174" spans="2:7">
      <c r="G174">
        <f>IF(ISNUMBER(G173),(G173-F173)," ")</f>
        <v>5</v>
      </c>
    </row>
    <row r="175" spans="2:7">
      <c r="B175" t="s">
        <v>1963</v>
      </c>
      <c r="C175" t="s">
        <v>1592</v>
      </c>
      <c r="D175" t="s">
        <v>1964</v>
      </c>
      <c r="F175">
        <v>61802</v>
      </c>
      <c r="G175">
        <v>62102</v>
      </c>
    </row>
    <row r="176" spans="2:7">
      <c r="G176">
        <f>IF(ISNUMBER(G175),(G175-F175)," ")</f>
        <v>300</v>
      </c>
    </row>
    <row r="177" spans="2:8">
      <c r="B177" t="s">
        <v>1963</v>
      </c>
      <c r="C177" t="s">
        <v>1592</v>
      </c>
      <c r="D177" t="s">
        <v>1965</v>
      </c>
      <c r="F177">
        <v>53107</v>
      </c>
      <c r="G177">
        <v>53307</v>
      </c>
    </row>
    <row r="178" spans="2:8">
      <c r="G178">
        <f>IF(ISNUMBER(G177),(G177-F177)," ")</f>
        <v>200</v>
      </c>
    </row>
    <row r="179" spans="2:8">
      <c r="B179" t="s">
        <v>1966</v>
      </c>
      <c r="D179" t="s">
        <v>1967</v>
      </c>
      <c r="F179">
        <v>1141</v>
      </c>
      <c r="G179">
        <v>1155</v>
      </c>
    </row>
    <row r="180" spans="2:8">
      <c r="G180">
        <f>IF(ISNUMBER(G179),(G179-F179)," ")</f>
        <v>14</v>
      </c>
    </row>
    <row r="181" spans="2:8" s="567" customFormat="1">
      <c r="B181" s="567" t="s">
        <v>1968</v>
      </c>
      <c r="C181" s="567" t="s">
        <v>1969</v>
      </c>
      <c r="D181" s="567" t="s">
        <v>1970</v>
      </c>
      <c r="G181" s="567">
        <v>6495</v>
      </c>
      <c r="H181" s="567">
        <v>6503</v>
      </c>
    </row>
    <row r="182" spans="2:8">
      <c r="H182">
        <f>IF(ISNUMBER(H181),(H181-G181)," ")</f>
        <v>8</v>
      </c>
    </row>
    <row r="183" spans="2:8" s="567" customFormat="1">
      <c r="B183" s="567" t="s">
        <v>1971</v>
      </c>
      <c r="C183" s="567" t="s">
        <v>1972</v>
      </c>
      <c r="D183" s="567" t="s">
        <v>1973</v>
      </c>
      <c r="G183" s="567">
        <v>1497</v>
      </c>
      <c r="H183" s="567">
        <v>1571</v>
      </c>
    </row>
    <row r="184" spans="2:8">
      <c r="H184">
        <f>IF(ISNUMBER(H183),(H183-G183)," ")</f>
        <v>74</v>
      </c>
    </row>
    <row r="185" spans="2:8" s="567" customFormat="1">
      <c r="B185" s="567" t="s">
        <v>1974</v>
      </c>
      <c r="C185" s="567" t="s">
        <v>1975</v>
      </c>
      <c r="D185" s="567" t="s">
        <v>1976</v>
      </c>
      <c r="G185" s="567">
        <v>0</v>
      </c>
      <c r="H185" s="567">
        <v>7</v>
      </c>
    </row>
    <row r="186" spans="2:8">
      <c r="H186">
        <f>IF(ISNUMBER(H185),(H185-G185)," ")</f>
        <v>7</v>
      </c>
    </row>
    <row r="187" spans="2:8" s="567" customFormat="1">
      <c r="B187" s="567" t="s">
        <v>1977</v>
      </c>
      <c r="C187" s="567" t="s">
        <v>1978</v>
      </c>
      <c r="D187" s="567" t="s">
        <v>1979</v>
      </c>
      <c r="G187" s="567">
        <v>17553</v>
      </c>
      <c r="H187" s="567">
        <v>17803</v>
      </c>
    </row>
    <row r="188" spans="2:8">
      <c r="H188">
        <f>IF(ISNUMBER(H187),(H187-G187)," ")</f>
        <v>250</v>
      </c>
    </row>
    <row r="189" spans="2:8" s="567" customFormat="1">
      <c r="B189" s="567" t="s">
        <v>1980</v>
      </c>
      <c r="C189" s="567" t="s">
        <v>1981</v>
      </c>
      <c r="D189" s="567" t="s">
        <v>1982</v>
      </c>
      <c r="G189" s="567">
        <v>28076</v>
      </c>
      <c r="H189" s="567">
        <v>28126</v>
      </c>
    </row>
    <row r="190" spans="2:8">
      <c r="H190">
        <f>IF(ISNUMBER(H189),(H189-G189)," ")</f>
        <v>50</v>
      </c>
    </row>
    <row r="191" spans="2:8" s="567" customFormat="1">
      <c r="C191" s="567" t="s">
        <v>1983</v>
      </c>
      <c r="D191" s="567">
        <v>17988529</v>
      </c>
      <c r="G191" s="567">
        <v>5055</v>
      </c>
      <c r="H191" s="567">
        <v>5085</v>
      </c>
    </row>
    <row r="192" spans="2:8">
      <c r="H192">
        <f>IF(ISNUMBER(H191),(H191-G191)," ")</f>
        <v>30</v>
      </c>
    </row>
    <row r="193" spans="2:8" s="567" customFormat="1">
      <c r="C193" s="567" t="s">
        <v>1984</v>
      </c>
      <c r="D193" s="567" t="s">
        <v>1985</v>
      </c>
      <c r="G193" s="567">
        <v>1721</v>
      </c>
      <c r="H193" s="567">
        <v>1726</v>
      </c>
    </row>
    <row r="194" spans="2:8">
      <c r="H194">
        <f>IF(ISNUMBER(H193),(H193-G193)," ")</f>
        <v>5</v>
      </c>
    </row>
    <row r="195" spans="2:8" s="567" customFormat="1">
      <c r="B195" s="567" t="s">
        <v>1986</v>
      </c>
      <c r="C195" s="567" t="s">
        <v>1987</v>
      </c>
      <c r="D195" s="567" t="s">
        <v>1988</v>
      </c>
      <c r="G195" s="567">
        <v>8147</v>
      </c>
      <c r="H195" s="567">
        <v>8268</v>
      </c>
    </row>
    <row r="196" spans="2:8">
      <c r="H196">
        <f>IF(ISNUMBER(H195),(H195-G195)," ")</f>
        <v>121</v>
      </c>
    </row>
    <row r="197" spans="2:8">
      <c r="B197" t="s">
        <v>1989</v>
      </c>
      <c r="C197" t="s">
        <v>1990</v>
      </c>
      <c r="D197" t="s">
        <v>1991</v>
      </c>
      <c r="G197">
        <v>127</v>
      </c>
      <c r="H197">
        <v>132</v>
      </c>
    </row>
    <row r="198" spans="2:8">
      <c r="H198">
        <f>IF(ISNUMBER(H197),(H197-G197)," ")</f>
        <v>5</v>
      </c>
    </row>
    <row r="199" spans="2:8">
      <c r="B199" t="s">
        <v>1595</v>
      </c>
      <c r="D199" t="s">
        <v>1992</v>
      </c>
      <c r="G199">
        <v>64515</v>
      </c>
      <c r="H199">
        <v>64675</v>
      </c>
    </row>
    <row r="200" spans="2:8">
      <c r="H200">
        <f>IF(ISNUMBER(H199),(H199-G199)," ")</f>
        <v>160</v>
      </c>
    </row>
    <row r="201" spans="2:8">
      <c r="B201" t="s">
        <v>1595</v>
      </c>
      <c r="D201" t="s">
        <v>1993</v>
      </c>
      <c r="G201">
        <v>293790</v>
      </c>
      <c r="H201">
        <v>294023</v>
      </c>
    </row>
    <row r="202" spans="2:8">
      <c r="H202">
        <f>IF(ISNUMBER(H201),(H201-G201)," ")</f>
        <v>233</v>
      </c>
    </row>
    <row r="203" spans="2:8">
      <c r="C203" t="s">
        <v>1994</v>
      </c>
      <c r="D203" t="s">
        <v>1995</v>
      </c>
      <c r="G203">
        <v>16950</v>
      </c>
      <c r="H203">
        <v>17125</v>
      </c>
    </row>
    <row r="204" spans="2:8">
      <c r="H204">
        <f>IF(ISNUMBER(H203),(H203-G203)," ")</f>
        <v>175</v>
      </c>
    </row>
    <row r="205" spans="2:8" s="567" customFormat="1">
      <c r="B205" s="567" t="s">
        <v>1996</v>
      </c>
      <c r="D205" s="567" t="s">
        <v>1997</v>
      </c>
      <c r="G205" s="567">
        <v>8305</v>
      </c>
      <c r="H205" s="567">
        <v>8132</v>
      </c>
    </row>
    <row r="206" spans="2:8">
      <c r="H206">
        <f>IF(ISNUMBER(H205),(H205-G205)," ")</f>
        <v>-173</v>
      </c>
    </row>
    <row r="207" spans="2:8" s="567" customFormat="1">
      <c r="B207" s="567" t="s">
        <v>1998</v>
      </c>
      <c r="D207" s="567" t="s">
        <v>1999</v>
      </c>
      <c r="G207" s="567">
        <v>5705</v>
      </c>
      <c r="H207" s="567">
        <v>5757</v>
      </c>
    </row>
    <row r="208" spans="2:8">
      <c r="H208">
        <f>IF(ISNUMBER(H207),(H207-G207)," ")</f>
        <v>52</v>
      </c>
    </row>
    <row r="209" spans="2:8" s="567" customFormat="1">
      <c r="B209" s="567" t="s">
        <v>2000</v>
      </c>
      <c r="D209" s="567" t="s">
        <v>2001</v>
      </c>
      <c r="G209" s="567">
        <v>9323</v>
      </c>
      <c r="H209" s="567">
        <v>9340</v>
      </c>
    </row>
    <row r="210" spans="2:8">
      <c r="H210">
        <f>IF(ISNUMBER(H209),(H209-G209)," ")</f>
        <v>17</v>
      </c>
    </row>
    <row r="211" spans="2:8" s="567" customFormat="1">
      <c r="B211" s="567" t="s">
        <v>2002</v>
      </c>
      <c r="D211" s="567" t="s">
        <v>2003</v>
      </c>
      <c r="G211" s="567">
        <v>10398</v>
      </c>
      <c r="H211" s="567">
        <v>10415</v>
      </c>
    </row>
    <row r="212" spans="2:8">
      <c r="H212">
        <f>IF(ISNUMBER(H211),(H211-G211)," ")</f>
        <v>17</v>
      </c>
    </row>
    <row r="213" spans="2:8" s="567" customFormat="1">
      <c r="B213" s="567" t="s">
        <v>2004</v>
      </c>
      <c r="D213" s="567" t="s">
        <v>2005</v>
      </c>
      <c r="G213" s="567">
        <v>45962</v>
      </c>
      <c r="H213" s="567">
        <v>45065</v>
      </c>
    </row>
    <row r="214" spans="2:8">
      <c r="H214">
        <f>IF(ISNUMBER(H213),(H213-G213)," ")</f>
        <v>-897</v>
      </c>
    </row>
    <row r="215" spans="2:8" s="568" customFormat="1" ht="11.45">
      <c r="B215" s="568" t="s">
        <v>2006</v>
      </c>
      <c r="D215" s="568" t="s">
        <v>2007</v>
      </c>
      <c r="G215" s="568">
        <v>73460</v>
      </c>
      <c r="H215" s="568">
        <v>73522</v>
      </c>
    </row>
    <row r="216" spans="2:8">
      <c r="H216">
        <f>IF(ISNUMBER(H215),(H215-G215)," ")</f>
        <v>62</v>
      </c>
    </row>
    <row r="217" spans="2:8" s="567" customFormat="1">
      <c r="B217" s="569" t="s">
        <v>2008</v>
      </c>
      <c r="D217" s="569" t="s">
        <v>2009</v>
      </c>
      <c r="G217" s="567">
        <v>4430</v>
      </c>
      <c r="H217" s="567">
        <v>4767</v>
      </c>
    </row>
    <row r="218" spans="2:8">
      <c r="H218">
        <f>IF(ISNUMBER(H217),(H217-G217)," ")</f>
        <v>337</v>
      </c>
    </row>
    <row r="219" spans="2:8" s="567" customFormat="1">
      <c r="B219" s="569" t="s">
        <v>2010</v>
      </c>
      <c r="D219" s="569" t="s">
        <v>2011</v>
      </c>
      <c r="G219" s="567">
        <v>14427</v>
      </c>
      <c r="H219" s="567">
        <v>14532</v>
      </c>
    </row>
    <row r="220" spans="2:8">
      <c r="H220">
        <f>IF(ISNUMBER(H219),(H219-G219)," ")</f>
        <v>105</v>
      </c>
    </row>
    <row r="221" spans="2:8" s="567" customFormat="1">
      <c r="B221" s="569" t="s">
        <v>1996</v>
      </c>
      <c r="D221" s="569" t="s">
        <v>2012</v>
      </c>
      <c r="G221" s="567">
        <v>0</v>
      </c>
      <c r="H221" s="567">
        <v>12</v>
      </c>
    </row>
    <row r="222" spans="2:8">
      <c r="H222">
        <f>IF(ISNUMBER(H221),(H221-G221)," ")</f>
        <v>12</v>
      </c>
    </row>
    <row r="223" spans="2:8" s="567" customFormat="1">
      <c r="B223" s="569" t="s">
        <v>1998</v>
      </c>
      <c r="D223" s="569" t="s">
        <v>2013</v>
      </c>
      <c r="G223" s="567">
        <v>0</v>
      </c>
      <c r="H223" s="567">
        <v>11</v>
      </c>
    </row>
    <row r="224" spans="2:8">
      <c r="H224">
        <f>IF(ISNUMBER(H223),(H223-G223)," ")</f>
        <v>11</v>
      </c>
    </row>
    <row r="225" spans="2:8" s="567" customFormat="1">
      <c r="B225" s="569" t="s">
        <v>2014</v>
      </c>
      <c r="D225" s="569" t="s">
        <v>2015</v>
      </c>
      <c r="G225" s="567">
        <v>5388</v>
      </c>
      <c r="H225" s="567">
        <v>5478</v>
      </c>
    </row>
    <row r="226" spans="2:8">
      <c r="H226">
        <f>IF(ISNUMBER(H225),(H225-G225)," ")</f>
        <v>90</v>
      </c>
    </row>
    <row r="227" spans="2:8" s="567" customFormat="1">
      <c r="B227" s="567" t="s">
        <v>2016</v>
      </c>
      <c r="D227" s="567" t="s">
        <v>2017</v>
      </c>
      <c r="G227" s="567">
        <v>20686</v>
      </c>
      <c r="H227" s="567">
        <v>20714</v>
      </c>
    </row>
    <row r="228" spans="2:8">
      <c r="H228">
        <f>IF(ISNUMBER(H227),(H227-G227)," ")</f>
        <v>28</v>
      </c>
    </row>
    <row r="229" spans="2:8" s="567" customFormat="1">
      <c r="B229" s="567" t="s">
        <v>2018</v>
      </c>
      <c r="D229" s="567" t="s">
        <v>2019</v>
      </c>
      <c r="G229" s="567">
        <v>3661</v>
      </c>
      <c r="H229" s="567">
        <v>3668</v>
      </c>
    </row>
    <row r="230" spans="2:8">
      <c r="H230">
        <f>IF(ISNUMBER(H229),(H229-G229)," ")</f>
        <v>7</v>
      </c>
    </row>
    <row r="231" spans="2:8" s="567" customFormat="1">
      <c r="B231" s="567" t="s">
        <v>2020</v>
      </c>
      <c r="D231" s="567" t="s">
        <v>2021</v>
      </c>
      <c r="G231" s="567">
        <v>55689</v>
      </c>
      <c r="H231" s="567">
        <v>57689</v>
      </c>
    </row>
    <row r="232" spans="2:8">
      <c r="H232">
        <f>IF(ISNUMBER(H231),(H231-G231)," ")</f>
        <v>2000</v>
      </c>
    </row>
    <row r="233" spans="2:8" s="567" customFormat="1">
      <c r="B233" s="567" t="s">
        <v>2022</v>
      </c>
      <c r="D233" s="567" t="s">
        <v>2023</v>
      </c>
      <c r="G233" s="567">
        <v>11422</v>
      </c>
      <c r="H233" s="567">
        <v>11476</v>
      </c>
    </row>
    <row r="234" spans="2:8">
      <c r="H234">
        <f>IF(ISNUMBER(H233),(H233-G233)," ")</f>
        <v>54</v>
      </c>
    </row>
    <row r="235" spans="2:8">
      <c r="B235" t="s">
        <v>2024</v>
      </c>
      <c r="D235" t="s">
        <v>2025</v>
      </c>
      <c r="G235">
        <v>0</v>
      </c>
      <c r="H235">
        <v>25</v>
      </c>
    </row>
    <row r="236" spans="2:8">
      <c r="H236">
        <f>IF(ISNUMBER(H235),(H235-G235)," ")</f>
        <v>25</v>
      </c>
    </row>
    <row r="237" spans="2:8">
      <c r="B237" t="s">
        <v>2026</v>
      </c>
      <c r="D237" t="s">
        <v>2027</v>
      </c>
      <c r="G237">
        <v>0</v>
      </c>
      <c r="H237">
        <v>42</v>
      </c>
    </row>
    <row r="238" spans="2:8">
      <c r="H238">
        <f>IF(ISNUMBER(H237),(H237-G237)," ")</f>
        <v>42</v>
      </c>
    </row>
    <row r="239" spans="2:8" s="567" customFormat="1">
      <c r="B239" s="567" t="s">
        <v>2028</v>
      </c>
      <c r="C239" s="567" t="s">
        <v>2029</v>
      </c>
      <c r="D239" s="567" t="s">
        <v>2030</v>
      </c>
      <c r="G239" s="567">
        <v>4881</v>
      </c>
      <c r="H239" s="567">
        <v>4887</v>
      </c>
    </row>
    <row r="240" spans="2:8">
      <c r="H240">
        <f>IF(ISNUMBER(H239),(H239-G239)," ")</f>
        <v>6</v>
      </c>
    </row>
    <row r="241" spans="2:8" s="567" customFormat="1">
      <c r="C241" s="567" t="s">
        <v>2031</v>
      </c>
      <c r="D241" s="567" t="s">
        <v>2032</v>
      </c>
      <c r="G241" s="567">
        <v>5619</v>
      </c>
      <c r="H241" s="567">
        <v>5621</v>
      </c>
    </row>
    <row r="242" spans="2:8">
      <c r="H242">
        <f>IF(ISNUMBER(H241),(H241-G241)," ")</f>
        <v>2</v>
      </c>
    </row>
    <row r="243" spans="2:8" s="567" customFormat="1">
      <c r="B243" s="567" t="s">
        <v>2033</v>
      </c>
      <c r="C243" s="567" t="s">
        <v>2034</v>
      </c>
      <c r="D243" s="567" t="s">
        <v>2035</v>
      </c>
      <c r="G243" s="567">
        <v>63164</v>
      </c>
      <c r="H243" s="567">
        <v>63614</v>
      </c>
    </row>
    <row r="244" spans="2:8">
      <c r="H244">
        <f>IF(ISNUMBER(H243),(H243-G243)," ")</f>
        <v>450</v>
      </c>
    </row>
    <row r="245" spans="2:8" s="567" customFormat="1">
      <c r="C245" s="567" t="s">
        <v>2036</v>
      </c>
      <c r="D245" s="567" t="s">
        <v>2037</v>
      </c>
      <c r="G245" s="567">
        <v>76744</v>
      </c>
      <c r="H245" s="567">
        <v>77064</v>
      </c>
    </row>
    <row r="246" spans="2:8">
      <c r="H246">
        <f>IF(ISNUMBER(H245),(H245-G245)," ")</f>
        <v>320</v>
      </c>
    </row>
    <row r="247" spans="2:8" s="567" customFormat="1">
      <c r="C247" s="567" t="s">
        <v>2038</v>
      </c>
      <c r="D247" s="567" t="s">
        <v>2039</v>
      </c>
      <c r="G247" s="567">
        <v>3091</v>
      </c>
      <c r="H247" s="567">
        <v>3092</v>
      </c>
    </row>
    <row r="248" spans="2:8">
      <c r="H248">
        <f>IF(ISNUMBER(H247),(H247-G247)," ")</f>
        <v>1</v>
      </c>
    </row>
    <row r="249" spans="2:8">
      <c r="C249" t="s">
        <v>2040</v>
      </c>
      <c r="D249" t="s">
        <v>2041</v>
      </c>
      <c r="G249">
        <v>0</v>
      </c>
      <c r="H249">
        <v>4</v>
      </c>
    </row>
    <row r="250" spans="2:8">
      <c r="H250">
        <f>IF(ISNUMBER(H249),(H249-G249)," ")</f>
        <v>4</v>
      </c>
    </row>
    <row r="251" spans="2:8" s="567" customFormat="1">
      <c r="B251" s="567" t="s">
        <v>1579</v>
      </c>
      <c r="C251" s="567" t="s">
        <v>2042</v>
      </c>
      <c r="D251" s="567" t="s">
        <v>2043</v>
      </c>
      <c r="G251" s="567">
        <v>22474</v>
      </c>
      <c r="H251" s="567">
        <v>22624</v>
      </c>
    </row>
    <row r="252" spans="2:8">
      <c r="H252">
        <f>IF(ISNUMBER(H251),(H251-G251)," ")</f>
        <v>150</v>
      </c>
    </row>
    <row r="253" spans="2:8">
      <c r="C253" t="s">
        <v>2044</v>
      </c>
      <c r="D253" t="s">
        <v>2045</v>
      </c>
      <c r="G253">
        <v>13</v>
      </c>
      <c r="H253">
        <v>22</v>
      </c>
    </row>
    <row r="254" spans="2:8">
      <c r="H254">
        <f>IF(ISNUMBER(H253),(H253-G253)," ")</f>
        <v>9</v>
      </c>
    </row>
    <row r="255" spans="2:8" s="567" customFormat="1">
      <c r="B255" s="567" t="s">
        <v>2046</v>
      </c>
      <c r="D255" s="567" t="s">
        <v>2047</v>
      </c>
      <c r="G255" s="567">
        <v>39094</v>
      </c>
      <c r="H255" s="567">
        <v>39194</v>
      </c>
    </row>
    <row r="256" spans="2:8">
      <c r="H256">
        <f>IF(ISNUMBER(H255),(H255-G255)," ")</f>
        <v>100</v>
      </c>
    </row>
    <row r="257" spans="2:8" s="567" customFormat="1">
      <c r="B257" s="567" t="s">
        <v>2046</v>
      </c>
      <c r="D257" s="567" t="s">
        <v>2048</v>
      </c>
      <c r="G257" s="567">
        <v>44774</v>
      </c>
      <c r="H257" s="567">
        <v>44974</v>
      </c>
    </row>
    <row r="258" spans="2:8">
      <c r="H258">
        <f>IF(ISNUMBER(H257),(H257-G257)," ")</f>
        <v>200</v>
      </c>
    </row>
    <row r="259" spans="2:8" s="567" customFormat="1">
      <c r="B259" s="567" t="s">
        <v>2049</v>
      </c>
      <c r="D259" s="567" t="s">
        <v>2050</v>
      </c>
      <c r="G259" s="567">
        <v>74609</v>
      </c>
      <c r="H259" s="567">
        <v>74610</v>
      </c>
    </row>
    <row r="260" spans="2:8">
      <c r="H260">
        <f>IF(ISNUMBER(H259),(H259-G259)," ")</f>
        <v>1</v>
      </c>
    </row>
    <row r="261" spans="2:8" s="567" customFormat="1">
      <c r="B261" s="567" t="s">
        <v>2049</v>
      </c>
      <c r="D261" s="567" t="s">
        <v>2051</v>
      </c>
      <c r="G261" s="567">
        <v>21184</v>
      </c>
      <c r="H261" s="567">
        <v>21276</v>
      </c>
    </row>
    <row r="262" spans="2:8">
      <c r="H262">
        <f>IF(ISNUMBER(H261),(H261-G261)," ")</f>
        <v>92</v>
      </c>
    </row>
    <row r="263" spans="2:8" s="567" customFormat="1">
      <c r="B263" s="567" t="s">
        <v>1613</v>
      </c>
      <c r="D263" s="567" t="s">
        <v>2052</v>
      </c>
      <c r="G263" s="567">
        <v>733</v>
      </c>
      <c r="H263" s="567">
        <v>922</v>
      </c>
    </row>
    <row r="264" spans="2:8">
      <c r="H264">
        <f>IF(ISNUMBER(H263),(H263-G263)," ")</f>
        <v>189</v>
      </c>
    </row>
    <row r="265" spans="2:8" s="567" customFormat="1">
      <c r="B265" s="567" t="s">
        <v>2053</v>
      </c>
      <c r="D265" s="567" t="s">
        <v>2054</v>
      </c>
      <c r="G265" s="567">
        <v>16528</v>
      </c>
      <c r="H265" s="567">
        <v>46678</v>
      </c>
    </row>
    <row r="266" spans="2:8">
      <c r="H266">
        <f>IF(ISNUMBER(H265),(H265-G265)," ")</f>
        <v>30150</v>
      </c>
    </row>
    <row r="267" spans="2:8" s="567" customFormat="1">
      <c r="C267" s="567" t="s">
        <v>2055</v>
      </c>
      <c r="D267" s="567" t="s">
        <v>2056</v>
      </c>
      <c r="G267" s="567">
        <v>240</v>
      </c>
      <c r="H267" s="567">
        <v>338</v>
      </c>
    </row>
    <row r="268" spans="2:8">
      <c r="H268">
        <f>IF(ISNUMBER(H267),(H267-G267)," ")</f>
        <v>98</v>
      </c>
    </row>
    <row r="269" spans="2:8" s="567" customFormat="1">
      <c r="B269" s="567" t="s">
        <v>2057</v>
      </c>
      <c r="C269" s="567" t="s">
        <v>2058</v>
      </c>
      <c r="D269" s="567" t="s">
        <v>2059</v>
      </c>
      <c r="G269" s="567">
        <v>67894</v>
      </c>
      <c r="H269" s="567">
        <v>68044</v>
      </c>
    </row>
    <row r="270" spans="2:8">
      <c r="H270">
        <f>IF(ISNUMBER(H269),(H269-G269)," ")</f>
        <v>150</v>
      </c>
    </row>
    <row r="271" spans="2:8" s="567" customFormat="1">
      <c r="B271" s="567" t="s">
        <v>2060</v>
      </c>
      <c r="D271" s="567" t="s">
        <v>2061</v>
      </c>
      <c r="G271" s="567">
        <v>4323</v>
      </c>
      <c r="H271" s="567">
        <v>5134</v>
      </c>
    </row>
    <row r="272" spans="2:8">
      <c r="H272">
        <f>IF(ISNUMBER(H271),(H271-G271)," ")</f>
        <v>811</v>
      </c>
    </row>
    <row r="273" spans="2:19" s="567" customFormat="1">
      <c r="B273" s="567" t="s">
        <v>2062</v>
      </c>
      <c r="D273" s="567" t="s">
        <v>2063</v>
      </c>
      <c r="G273" s="567">
        <v>212</v>
      </c>
      <c r="H273" s="567">
        <v>252</v>
      </c>
    </row>
    <row r="274" spans="2:19">
      <c r="H274">
        <f>IF(ISNUMBER(H273),(H273-G273)," ")</f>
        <v>40</v>
      </c>
    </row>
    <row r="275" spans="2:19" s="567" customFormat="1">
      <c r="B275" s="567" t="s">
        <v>2064</v>
      </c>
      <c r="D275" s="567" t="s">
        <v>2065</v>
      </c>
      <c r="G275" s="567">
        <v>15372</v>
      </c>
      <c r="H275" s="567">
        <v>15405</v>
      </c>
    </row>
    <row r="276" spans="2:19">
      <c r="H276">
        <f>IF(ISNUMBER(H275),(H275-G275)," ")</f>
        <v>33</v>
      </c>
    </row>
    <row r="277" spans="2:19" s="567" customFormat="1">
      <c r="B277" s="567" t="s">
        <v>1609</v>
      </c>
      <c r="D277" s="567" t="s">
        <v>2066</v>
      </c>
      <c r="G277" s="567">
        <v>14803</v>
      </c>
      <c r="H277" s="567">
        <v>15096</v>
      </c>
    </row>
    <row r="278" spans="2:19">
      <c r="H278">
        <f>IF(ISNUMBER(H277),(H277-G277)," ")</f>
        <v>293</v>
      </c>
    </row>
    <row r="279" spans="2:19" s="567" customFormat="1">
      <c r="B279" s="567" t="s">
        <v>2067</v>
      </c>
      <c r="D279" s="567" t="s">
        <v>2068</v>
      </c>
      <c r="G279" s="567">
        <v>625</v>
      </c>
      <c r="H279" s="567">
        <v>640</v>
      </c>
    </row>
    <row r="280" spans="2:19">
      <c r="H280">
        <f>IF(ISNUMBER(H279),(H279-G279)," ")</f>
        <v>15</v>
      </c>
      <c r="I280" t="str">
        <f t="shared" ref="I280:S280" si="2">IF(ISNUMBER(I279),(I279-H279)," ")</f>
        <v xml:space="preserve"> </v>
      </c>
      <c r="J280" t="str">
        <f t="shared" si="2"/>
        <v xml:space="preserve"> </v>
      </c>
      <c r="K280" t="str">
        <f t="shared" si="2"/>
        <v xml:space="preserve"> </v>
      </c>
      <c r="L280" t="str">
        <f t="shared" si="2"/>
        <v xml:space="preserve"> </v>
      </c>
      <c r="M280" t="str">
        <f t="shared" si="2"/>
        <v xml:space="preserve"> </v>
      </c>
      <c r="N280" t="str">
        <f t="shared" si="2"/>
        <v xml:space="preserve"> </v>
      </c>
      <c r="O280" t="str">
        <f t="shared" si="2"/>
        <v xml:space="preserve"> </v>
      </c>
      <c r="P280" t="str">
        <f t="shared" si="2"/>
        <v xml:space="preserve"> </v>
      </c>
      <c r="Q280" t="str">
        <f t="shared" si="2"/>
        <v xml:space="preserve"> </v>
      </c>
      <c r="R280" t="str">
        <f t="shared" si="2"/>
        <v xml:space="preserve"> </v>
      </c>
      <c r="S280" t="str">
        <f t="shared" si="2"/>
        <v xml:space="preserve"> </v>
      </c>
    </row>
    <row r="281" spans="2:19">
      <c r="B281" t="s">
        <v>2069</v>
      </c>
      <c r="D281" t="s">
        <v>2070</v>
      </c>
      <c r="G281">
        <v>0</v>
      </c>
      <c r="H281">
        <v>25</v>
      </c>
    </row>
    <row r="282" spans="2:19">
      <c r="H282">
        <f>IF(ISNUMBER(H281),(H281-G281)," ")</f>
        <v>25</v>
      </c>
      <c r="I282" t="str">
        <f t="shared" ref="I282:S282" si="3">IF(ISNUMBER(I281),(I281-H281)," ")</f>
        <v xml:space="preserve"> </v>
      </c>
      <c r="J282" t="str">
        <f t="shared" si="3"/>
        <v xml:space="preserve"> </v>
      </c>
      <c r="K282" t="str">
        <f t="shared" si="3"/>
        <v xml:space="preserve"> </v>
      </c>
      <c r="L282" t="str">
        <f t="shared" si="3"/>
        <v xml:space="preserve"> </v>
      </c>
      <c r="M282" t="str">
        <f t="shared" si="3"/>
        <v xml:space="preserve"> </v>
      </c>
      <c r="N282" t="str">
        <f t="shared" si="3"/>
        <v xml:space="preserve"> </v>
      </c>
      <c r="O282" t="str">
        <f t="shared" si="3"/>
        <v xml:space="preserve"> </v>
      </c>
      <c r="P282" t="str">
        <f t="shared" si="3"/>
        <v xml:space="preserve"> </v>
      </c>
      <c r="Q282" t="str">
        <f t="shared" si="3"/>
        <v xml:space="preserve"> </v>
      </c>
      <c r="R282" t="str">
        <f t="shared" si="3"/>
        <v xml:space="preserve"> </v>
      </c>
      <c r="S282" t="str">
        <f t="shared" si="3"/>
        <v xml:space="preserve"> </v>
      </c>
    </row>
    <row r="283" spans="2:19">
      <c r="B283" t="s">
        <v>2071</v>
      </c>
      <c r="D283" t="s">
        <v>2072</v>
      </c>
      <c r="G283">
        <v>0</v>
      </c>
      <c r="H283">
        <v>1</v>
      </c>
    </row>
    <row r="284" spans="2:19">
      <c r="H284">
        <f>IF(ISNUMBER(H283),(H283-G283)," ")</f>
        <v>1</v>
      </c>
      <c r="I284" t="str">
        <f t="shared" ref="I284:S284" si="4">IF(ISNUMBER(I283),(I283-H283)," ")</f>
        <v xml:space="preserve"> </v>
      </c>
      <c r="J284" t="str">
        <f t="shared" si="4"/>
        <v xml:space="preserve"> </v>
      </c>
      <c r="K284" t="str">
        <f t="shared" si="4"/>
        <v xml:space="preserve"> </v>
      </c>
      <c r="L284" t="str">
        <f t="shared" si="4"/>
        <v xml:space="preserve"> </v>
      </c>
      <c r="M284" t="str">
        <f t="shared" si="4"/>
        <v xml:space="preserve"> </v>
      </c>
      <c r="N284" t="str">
        <f t="shared" si="4"/>
        <v xml:space="preserve"> </v>
      </c>
      <c r="O284" t="str">
        <f t="shared" si="4"/>
        <v xml:space="preserve"> </v>
      </c>
      <c r="P284" t="str">
        <f t="shared" si="4"/>
        <v xml:space="preserve"> </v>
      </c>
      <c r="Q284" t="str">
        <f t="shared" si="4"/>
        <v xml:space="preserve"> </v>
      </c>
      <c r="R284" t="str">
        <f t="shared" si="4"/>
        <v xml:space="preserve"> </v>
      </c>
      <c r="S284" t="str">
        <f t="shared" si="4"/>
        <v xml:space="preserve"> </v>
      </c>
    </row>
    <row r="285" spans="2:19" s="567" customFormat="1">
      <c r="B285" s="567" t="s">
        <v>2073</v>
      </c>
      <c r="D285" s="567" t="s">
        <v>2074</v>
      </c>
      <c r="G285" s="567">
        <v>20239</v>
      </c>
      <c r="H285" s="567">
        <v>20429</v>
      </c>
    </row>
    <row r="286" spans="2:19">
      <c r="H286">
        <f>IF(ISNUMBER(H285),(H285-G285)," ")</f>
        <v>190</v>
      </c>
      <c r="I286" t="str">
        <f t="shared" ref="I286:S286" si="5">IF(ISNUMBER(I285),(I285-H285)," ")</f>
        <v xml:space="preserve"> </v>
      </c>
      <c r="J286" t="str">
        <f t="shared" si="5"/>
        <v xml:space="preserve"> </v>
      </c>
      <c r="K286" t="str">
        <f t="shared" si="5"/>
        <v xml:space="preserve"> </v>
      </c>
      <c r="L286" t="str">
        <f t="shared" si="5"/>
        <v xml:space="preserve"> </v>
      </c>
      <c r="M286" t="str">
        <f t="shared" si="5"/>
        <v xml:space="preserve"> </v>
      </c>
      <c r="N286" t="str">
        <f t="shared" si="5"/>
        <v xml:space="preserve"> </v>
      </c>
      <c r="O286" t="str">
        <f t="shared" si="5"/>
        <v xml:space="preserve"> </v>
      </c>
      <c r="P286" t="str">
        <f t="shared" si="5"/>
        <v xml:space="preserve"> </v>
      </c>
      <c r="Q286" t="str">
        <f t="shared" si="5"/>
        <v xml:space="preserve"> </v>
      </c>
      <c r="R286" t="str">
        <f t="shared" si="5"/>
        <v xml:space="preserve"> </v>
      </c>
      <c r="S286" t="str">
        <f t="shared" si="5"/>
        <v xml:space="preserve"> </v>
      </c>
    </row>
    <row r="287" spans="2:19" s="567" customFormat="1">
      <c r="B287" s="567" t="s">
        <v>2075</v>
      </c>
      <c r="C287" s="567" t="s">
        <v>2076</v>
      </c>
      <c r="D287" s="567" t="s">
        <v>2077</v>
      </c>
      <c r="G287" s="567">
        <v>8291</v>
      </c>
      <c r="H287" s="567">
        <v>8450</v>
      </c>
    </row>
    <row r="288" spans="2:19">
      <c r="H288">
        <f>IF(ISNUMBER(H287),(H287-G287)," ")</f>
        <v>159</v>
      </c>
      <c r="I288" t="str">
        <f t="shared" ref="I288:S288" si="6">IF(ISNUMBER(I287),(I287-H287)," ")</f>
        <v xml:space="preserve"> </v>
      </c>
      <c r="J288" t="str">
        <f t="shared" si="6"/>
        <v xml:space="preserve"> </v>
      </c>
      <c r="K288" t="str">
        <f t="shared" si="6"/>
        <v xml:space="preserve"> </v>
      </c>
      <c r="L288" t="str">
        <f t="shared" si="6"/>
        <v xml:space="preserve"> </v>
      </c>
      <c r="M288" t="str">
        <f t="shared" si="6"/>
        <v xml:space="preserve"> </v>
      </c>
      <c r="N288" t="str">
        <f t="shared" si="6"/>
        <v xml:space="preserve"> </v>
      </c>
      <c r="O288" t="str">
        <f t="shared" si="6"/>
        <v xml:space="preserve"> </v>
      </c>
      <c r="P288" t="str">
        <f t="shared" si="6"/>
        <v xml:space="preserve"> </v>
      </c>
      <c r="Q288" t="str">
        <f t="shared" si="6"/>
        <v xml:space="preserve"> </v>
      </c>
      <c r="R288" t="str">
        <f t="shared" si="6"/>
        <v xml:space="preserve"> </v>
      </c>
      <c r="S288" t="str">
        <f t="shared" si="6"/>
        <v xml:space="preserve"> </v>
      </c>
    </row>
    <row r="289" spans="1:27" s="567" customFormat="1">
      <c r="C289" s="567" t="s">
        <v>2078</v>
      </c>
      <c r="D289" s="567" t="s">
        <v>2079</v>
      </c>
      <c r="G289" s="567">
        <v>4029</v>
      </c>
      <c r="H289" s="567">
        <v>4163</v>
      </c>
    </row>
    <row r="290" spans="1:27">
      <c r="H290">
        <f>IF(ISNUMBER(H289),(H289-G289)," ")</f>
        <v>134</v>
      </c>
      <c r="I290" t="str">
        <f t="shared" ref="I290:S290" si="7">IF(ISNUMBER(I289),(I289-H289)," ")</f>
        <v xml:space="preserve"> </v>
      </c>
      <c r="J290" t="str">
        <f t="shared" si="7"/>
        <v xml:space="preserve"> </v>
      </c>
      <c r="K290" t="str">
        <f t="shared" si="7"/>
        <v xml:space="preserve"> </v>
      </c>
      <c r="L290" t="str">
        <f t="shared" si="7"/>
        <v xml:space="preserve"> </v>
      </c>
      <c r="M290" t="str">
        <f t="shared" si="7"/>
        <v xml:space="preserve"> </v>
      </c>
      <c r="N290" t="str">
        <f t="shared" si="7"/>
        <v xml:space="preserve"> </v>
      </c>
      <c r="O290" t="str">
        <f t="shared" si="7"/>
        <v xml:space="preserve"> </v>
      </c>
      <c r="P290" t="str">
        <f t="shared" si="7"/>
        <v xml:space="preserve"> </v>
      </c>
      <c r="Q290" t="str">
        <f t="shared" si="7"/>
        <v xml:space="preserve"> </v>
      </c>
      <c r="R290" t="str">
        <f t="shared" si="7"/>
        <v xml:space="preserve"> </v>
      </c>
      <c r="S290" t="str">
        <f t="shared" si="7"/>
        <v xml:space="preserve"> </v>
      </c>
    </row>
    <row r="291" spans="1:27" s="567" customFormat="1">
      <c r="B291" s="567" t="s">
        <v>2080</v>
      </c>
      <c r="C291" s="567" t="s">
        <v>2081</v>
      </c>
      <c r="D291" s="567" t="s">
        <v>2082</v>
      </c>
      <c r="G291" s="567">
        <v>0</v>
      </c>
      <c r="H291" s="567">
        <v>351</v>
      </c>
    </row>
    <row r="292" spans="1:27">
      <c r="H292">
        <f>IF(ISNUMBER(H291),(H291-G291)," ")</f>
        <v>351</v>
      </c>
      <c r="I292" t="str">
        <f t="shared" ref="I292:S292" si="8">IF(ISNUMBER(I291),(I291-H291)," ")</f>
        <v xml:space="preserve"> </v>
      </c>
      <c r="J292" t="str">
        <f t="shared" si="8"/>
        <v xml:space="preserve"> </v>
      </c>
      <c r="K292" t="str">
        <f t="shared" si="8"/>
        <v xml:space="preserve"> </v>
      </c>
      <c r="L292" t="str">
        <f t="shared" si="8"/>
        <v xml:space="preserve"> </v>
      </c>
      <c r="M292" t="str">
        <f t="shared" si="8"/>
        <v xml:space="preserve"> </v>
      </c>
      <c r="N292" t="str">
        <f t="shared" si="8"/>
        <v xml:space="preserve"> </v>
      </c>
      <c r="O292" t="str">
        <f t="shared" si="8"/>
        <v xml:space="preserve"> </v>
      </c>
      <c r="P292" t="str">
        <f t="shared" si="8"/>
        <v xml:space="preserve"> </v>
      </c>
      <c r="Q292" t="str">
        <f t="shared" si="8"/>
        <v xml:space="preserve"> </v>
      </c>
      <c r="R292" t="str">
        <f t="shared" si="8"/>
        <v xml:space="preserve"> </v>
      </c>
      <c r="S292" t="str">
        <f t="shared" si="8"/>
        <v xml:space="preserve"> </v>
      </c>
    </row>
    <row r="293" spans="1:27" s="567" customFormat="1">
      <c r="C293" s="567" t="s">
        <v>2083</v>
      </c>
      <c r="D293" s="567" t="s">
        <v>2084</v>
      </c>
      <c r="G293" s="567">
        <v>1</v>
      </c>
      <c r="H293" s="567">
        <v>2</v>
      </c>
    </row>
    <row r="294" spans="1:27">
      <c r="H294">
        <f>IF(ISNUMBER(H293),(H293-G293)," ")</f>
        <v>1</v>
      </c>
      <c r="I294" t="str">
        <f t="shared" ref="I294:S294" si="9">IF(ISNUMBER(I293),(I293-H293)," ")</f>
        <v xml:space="preserve"> </v>
      </c>
      <c r="J294" t="str">
        <f t="shared" si="9"/>
        <v xml:space="preserve"> </v>
      </c>
      <c r="K294" t="str">
        <f t="shared" si="9"/>
        <v xml:space="preserve"> </v>
      </c>
      <c r="L294" t="str">
        <f t="shared" si="9"/>
        <v xml:space="preserve"> </v>
      </c>
      <c r="M294" t="str">
        <f t="shared" si="9"/>
        <v xml:space="preserve"> </v>
      </c>
      <c r="N294" t="str">
        <f t="shared" si="9"/>
        <v xml:space="preserve"> </v>
      </c>
      <c r="O294" t="str">
        <f t="shared" si="9"/>
        <v xml:space="preserve"> </v>
      </c>
      <c r="P294" t="str">
        <f t="shared" si="9"/>
        <v xml:space="preserve"> </v>
      </c>
      <c r="Q294" t="str">
        <f t="shared" si="9"/>
        <v xml:space="preserve"> </v>
      </c>
      <c r="R294" t="str">
        <f t="shared" si="9"/>
        <v xml:space="preserve"> </v>
      </c>
      <c r="S294" t="str">
        <f t="shared" si="9"/>
        <v xml:space="preserve"> </v>
      </c>
    </row>
    <row r="295" spans="1:27" s="567" customFormat="1">
      <c r="B295" s="567" t="s">
        <v>1556</v>
      </c>
      <c r="D295" s="567" t="s">
        <v>2085</v>
      </c>
      <c r="G295" s="567">
        <v>15030</v>
      </c>
      <c r="H295" s="567">
        <v>15070</v>
      </c>
    </row>
    <row r="296" spans="1:27">
      <c r="H296">
        <f>IF(ISNUMBER(H295),(H295-G295)," ")</f>
        <v>40</v>
      </c>
      <c r="I296" t="str">
        <f t="shared" ref="I296:S296" si="10">IF(ISNUMBER(I295),(I295-H295)," ")</f>
        <v xml:space="preserve"> </v>
      </c>
      <c r="J296" t="str">
        <f t="shared" si="10"/>
        <v xml:space="preserve"> </v>
      </c>
      <c r="K296" t="str">
        <f t="shared" si="10"/>
        <v xml:space="preserve"> </v>
      </c>
      <c r="L296" t="str">
        <f t="shared" si="10"/>
        <v xml:space="preserve"> </v>
      </c>
      <c r="M296" t="str">
        <f t="shared" si="10"/>
        <v xml:space="preserve"> </v>
      </c>
      <c r="N296" t="str">
        <f t="shared" si="10"/>
        <v xml:space="preserve"> </v>
      </c>
      <c r="O296" t="str">
        <f t="shared" si="10"/>
        <v xml:space="preserve"> </v>
      </c>
      <c r="P296" t="str">
        <f t="shared" si="10"/>
        <v xml:space="preserve"> </v>
      </c>
      <c r="Q296" t="str">
        <f t="shared" si="10"/>
        <v xml:space="preserve"> </v>
      </c>
      <c r="R296" t="str">
        <f t="shared" si="10"/>
        <v xml:space="preserve"> </v>
      </c>
      <c r="S296" t="str">
        <f t="shared" si="10"/>
        <v xml:space="preserve"> </v>
      </c>
    </row>
    <row r="297" spans="1:27" s="567" customFormat="1">
      <c r="C297" s="567" t="s">
        <v>2086</v>
      </c>
      <c r="D297" s="567" t="s">
        <v>2087</v>
      </c>
      <c r="G297" s="567">
        <v>4122</v>
      </c>
      <c r="H297" s="567">
        <v>4730</v>
      </c>
    </row>
    <row r="298" spans="1:27">
      <c r="H298">
        <f>IF(ISNUMBER(H297),(H297-G297)," ")</f>
        <v>608</v>
      </c>
      <c r="I298" t="str">
        <f t="shared" ref="I298:S298" si="11">IF(ISNUMBER(I297),(I297-H297)," ")</f>
        <v xml:space="preserve"> </v>
      </c>
      <c r="J298" t="str">
        <f t="shared" si="11"/>
        <v xml:space="preserve"> </v>
      </c>
      <c r="K298" t="str">
        <f t="shared" si="11"/>
        <v xml:space="preserve"> </v>
      </c>
      <c r="L298" t="str">
        <f t="shared" si="11"/>
        <v xml:space="preserve"> </v>
      </c>
      <c r="M298" t="str">
        <f t="shared" si="11"/>
        <v xml:space="preserve"> </v>
      </c>
      <c r="N298" t="str">
        <f t="shared" si="11"/>
        <v xml:space="preserve"> </v>
      </c>
      <c r="O298" t="str">
        <f t="shared" si="11"/>
        <v xml:space="preserve"> </v>
      </c>
      <c r="P298" t="str">
        <f t="shared" si="11"/>
        <v xml:space="preserve"> </v>
      </c>
      <c r="Q298" t="str">
        <f t="shared" si="11"/>
        <v xml:space="preserve"> </v>
      </c>
      <c r="R298" t="str">
        <f t="shared" si="11"/>
        <v xml:space="preserve"> </v>
      </c>
      <c r="S298" t="str">
        <f t="shared" si="11"/>
        <v xml:space="preserve"> </v>
      </c>
    </row>
    <row r="299" spans="1:27" s="567" customFormat="1">
      <c r="D299" s="567" t="s">
        <v>2088</v>
      </c>
      <c r="G299" s="567">
        <v>30</v>
      </c>
      <c r="H299" s="567">
        <v>42</v>
      </c>
    </row>
    <row r="300" spans="1:27">
      <c r="H300">
        <f>IF(ISNUMBER(H299),(H299-G299)," ")</f>
        <v>12</v>
      </c>
      <c r="I300" t="str">
        <f t="shared" ref="I300:S300" si="12">IF(ISNUMBER(I299),(I299-H299)," ")</f>
        <v xml:space="preserve"> </v>
      </c>
      <c r="J300" t="str">
        <f t="shared" si="12"/>
        <v xml:space="preserve"> </v>
      </c>
      <c r="K300" t="str">
        <f t="shared" si="12"/>
        <v xml:space="preserve"> </v>
      </c>
      <c r="L300" t="str">
        <f t="shared" si="12"/>
        <v xml:space="preserve"> </v>
      </c>
      <c r="M300" t="str">
        <f t="shared" si="12"/>
        <v xml:space="preserve"> </v>
      </c>
      <c r="N300" t="str">
        <f t="shared" si="12"/>
        <v xml:space="preserve"> </v>
      </c>
      <c r="O300" t="str">
        <f t="shared" si="12"/>
        <v xml:space="preserve"> </v>
      </c>
      <c r="P300" t="str">
        <f t="shared" si="12"/>
        <v xml:space="preserve"> </v>
      </c>
      <c r="Q300" t="str">
        <f t="shared" si="12"/>
        <v xml:space="preserve"> </v>
      </c>
      <c r="R300" t="str">
        <f t="shared" si="12"/>
        <v xml:space="preserve"> </v>
      </c>
      <c r="S300" t="str">
        <f t="shared" si="12"/>
        <v xml:space="preserve"> </v>
      </c>
    </row>
    <row r="301" spans="1:27" s="567" customFormat="1">
      <c r="B301" s="567" t="s">
        <v>2089</v>
      </c>
      <c r="D301" s="567" t="s">
        <v>2090</v>
      </c>
      <c r="G301" s="567">
        <v>0</v>
      </c>
      <c r="H301" s="567">
        <v>45</v>
      </c>
    </row>
    <row r="302" spans="1:27">
      <c r="H302">
        <f>IF(ISNUMBER(H301),(H301-G301)," ")</f>
        <v>45</v>
      </c>
      <c r="I302" t="str">
        <f t="shared" ref="I302:S302" si="13">IF(ISNUMBER(I301),(I301-H301)," ")</f>
        <v xml:space="preserve"> </v>
      </c>
      <c r="J302" t="str">
        <f t="shared" si="13"/>
        <v xml:space="preserve"> </v>
      </c>
      <c r="K302" t="str">
        <f t="shared" si="13"/>
        <v xml:space="preserve"> </v>
      </c>
      <c r="L302" t="str">
        <f t="shared" si="13"/>
        <v xml:space="preserve"> </v>
      </c>
      <c r="M302" t="str">
        <f t="shared" si="13"/>
        <v xml:space="preserve"> </v>
      </c>
      <c r="N302" t="str">
        <f t="shared" si="13"/>
        <v xml:space="preserve"> </v>
      </c>
      <c r="O302" t="str">
        <f t="shared" si="13"/>
        <v xml:space="preserve"> </v>
      </c>
      <c r="P302" t="str">
        <f t="shared" si="13"/>
        <v xml:space="preserve"> </v>
      </c>
      <c r="Q302" t="str">
        <f t="shared" si="13"/>
        <v xml:space="preserve"> </v>
      </c>
      <c r="R302" t="str">
        <f t="shared" si="13"/>
        <v xml:space="preserve"> </v>
      </c>
      <c r="S302" t="str">
        <f t="shared" si="13"/>
        <v xml:space="preserve"> </v>
      </c>
    </row>
    <row r="304" spans="1:27" s="1" customFormat="1" ht="35.450000000000003">
      <c r="A304" s="486" t="s">
        <v>2091</v>
      </c>
      <c r="B304" s="486"/>
      <c r="C304" s="486"/>
      <c r="D304" s="486"/>
      <c r="E304" s="486"/>
      <c r="F304" s="486"/>
      <c r="G304" s="384"/>
      <c r="H304" s="384"/>
      <c r="I304" s="384"/>
      <c r="J304" s="384"/>
      <c r="K304" s="194"/>
      <c r="L304" s="194"/>
      <c r="M304" s="194"/>
      <c r="N304" s="194"/>
      <c r="O304" s="194"/>
      <c r="P304" s="194"/>
      <c r="Q304" s="194"/>
      <c r="R304" s="677"/>
      <c r="S304" s="194"/>
      <c r="T304" s="194"/>
      <c r="U304" s="194"/>
      <c r="V304" s="194"/>
      <c r="W304" s="194"/>
      <c r="X304" s="194"/>
      <c r="Y304" s="43"/>
      <c r="Z304" s="3"/>
      <c r="AA304" s="3"/>
    </row>
    <row r="305" spans="1:49" s="1" customFormat="1" ht="15.6">
      <c r="A305" s="357"/>
      <c r="B305" s="358"/>
      <c r="C305" s="366"/>
      <c r="D305" s="359"/>
      <c r="E305" s="388"/>
      <c r="F305" s="358" t="s">
        <v>2092</v>
      </c>
      <c r="G305" s="14"/>
      <c r="H305" s="14"/>
      <c r="I305" s="59">
        <v>1</v>
      </c>
      <c r="J305" s="15"/>
      <c r="K305" s="1095">
        <v>44501</v>
      </c>
      <c r="L305" s="1095">
        <v>44531</v>
      </c>
      <c r="M305" s="1096">
        <v>44562</v>
      </c>
      <c r="N305" s="1095">
        <v>44593</v>
      </c>
      <c r="O305" s="1095">
        <v>44621</v>
      </c>
      <c r="P305" s="1096">
        <v>44652</v>
      </c>
      <c r="Q305" s="1095">
        <v>44682</v>
      </c>
      <c r="R305" s="1095">
        <v>44713</v>
      </c>
      <c r="S305" s="1096">
        <v>44743</v>
      </c>
      <c r="T305" s="1095">
        <v>44774</v>
      </c>
      <c r="U305" s="1095">
        <v>44805</v>
      </c>
      <c r="V305" s="1096">
        <v>44835</v>
      </c>
      <c r="W305" s="1095">
        <v>44866</v>
      </c>
      <c r="X305" s="1095">
        <v>44896</v>
      </c>
      <c r="Y305" s="1096">
        <v>44927</v>
      </c>
      <c r="Z305" s="1095">
        <v>44958</v>
      </c>
      <c r="AA305" s="1095">
        <v>44986</v>
      </c>
      <c r="AB305" s="1096">
        <v>45017</v>
      </c>
      <c r="AC305" s="1095">
        <v>45047</v>
      </c>
      <c r="AD305" s="1095">
        <v>45078</v>
      </c>
      <c r="AE305" s="1095">
        <v>45108</v>
      </c>
      <c r="AF305" s="1095">
        <v>45139</v>
      </c>
      <c r="AG305" s="1095">
        <v>45170</v>
      </c>
      <c r="AH305" s="1095">
        <v>45200</v>
      </c>
      <c r="AI305" s="1095">
        <v>45231</v>
      </c>
      <c r="AJ305" s="1095">
        <v>45261</v>
      </c>
      <c r="AK305" s="1095">
        <v>45292</v>
      </c>
      <c r="AL305" s="1095">
        <v>45323</v>
      </c>
      <c r="AM305" s="1095">
        <v>45352</v>
      </c>
      <c r="AN305" s="1095">
        <v>45383</v>
      </c>
      <c r="AO305" s="1095">
        <v>45413</v>
      </c>
      <c r="AP305" s="1095">
        <v>45444</v>
      </c>
      <c r="AQ305" s="1095">
        <v>45474</v>
      </c>
      <c r="AR305" s="1095">
        <v>45505</v>
      </c>
      <c r="AS305" s="1095">
        <v>45536</v>
      </c>
      <c r="AT305" s="1095">
        <v>45566</v>
      </c>
      <c r="AU305" s="1095">
        <v>45597</v>
      </c>
      <c r="AV305" s="1095">
        <v>45627</v>
      </c>
      <c r="AW305" s="1095">
        <v>45658</v>
      </c>
    </row>
    <row r="306" spans="1:49" s="1" customFormat="1" ht="15.6">
      <c r="A306" s="361"/>
      <c r="B306" s="361"/>
      <c r="C306" s="368"/>
      <c r="D306" s="365"/>
      <c r="E306" s="390"/>
      <c r="F306" s="362"/>
      <c r="G306" s="8" t="s">
        <v>1894</v>
      </c>
      <c r="H306" s="8"/>
      <c r="I306" s="58">
        <v>1E-3</v>
      </c>
      <c r="J306" s="22" t="s">
        <v>1678</v>
      </c>
      <c r="K306" s="344">
        <v>2373</v>
      </c>
      <c r="L306" s="344">
        <v>2468</v>
      </c>
      <c r="M306" s="344">
        <v>2634</v>
      </c>
      <c r="N306" s="344">
        <v>2969</v>
      </c>
      <c r="O306" s="344">
        <v>3481</v>
      </c>
      <c r="P306" s="344">
        <v>3664</v>
      </c>
      <c r="Q306" s="344">
        <v>3906</v>
      </c>
      <c r="R306" s="674">
        <v>4202</v>
      </c>
      <c r="S306" s="344">
        <v>4487</v>
      </c>
      <c r="T306" s="344">
        <v>4699</v>
      </c>
      <c r="U306" s="344">
        <v>5054</v>
      </c>
      <c r="V306" s="344">
        <v>5435</v>
      </c>
      <c r="W306" s="344">
        <v>5662</v>
      </c>
      <c r="X306" s="344">
        <v>5789</v>
      </c>
      <c r="Y306" s="344">
        <v>5982</v>
      </c>
      <c r="Z306" s="344">
        <v>6149</v>
      </c>
      <c r="AA306" s="344">
        <v>6328</v>
      </c>
      <c r="AB306" s="344">
        <v>6495</v>
      </c>
      <c r="AC306" s="344">
        <v>6737</v>
      </c>
      <c r="AD306" s="344">
        <v>6931</v>
      </c>
      <c r="AE306" s="344">
        <v>7124</v>
      </c>
      <c r="AF306" s="344">
        <v>7369</v>
      </c>
      <c r="AG306" s="344">
        <v>7594</v>
      </c>
      <c r="AH306" s="344">
        <v>7761</v>
      </c>
      <c r="AI306" s="1">
        <v>7933</v>
      </c>
      <c r="AJ306" s="1">
        <v>8033</v>
      </c>
      <c r="AK306" s="1">
        <v>8141</v>
      </c>
    </row>
    <row r="307" spans="1:49" s="1" customFormat="1" ht="15.6">
      <c r="A307" s="361" t="s">
        <v>1621</v>
      </c>
      <c r="B307" s="1100" t="s">
        <v>2093</v>
      </c>
      <c r="C307" s="360">
        <f ca="1">OFFSET(K307,0,COUNT(L307:AJ307))</f>
        <v>0.1</v>
      </c>
      <c r="D307" s="365" t="s">
        <v>418</v>
      </c>
      <c r="E307" s="390"/>
      <c r="F307" s="362"/>
      <c r="G307" s="8"/>
      <c r="H307" s="8"/>
      <c r="I307" s="58"/>
      <c r="J307" s="22"/>
      <c r="K307" s="340"/>
      <c r="L307" s="340">
        <f t="shared" ref="L307:Z307" si="14">IF(ISNUMBER(L306),(L306-K306)*$I$306,"")</f>
        <v>9.5000000000000001E-2</v>
      </c>
      <c r="M307" s="340">
        <f t="shared" si="14"/>
        <v>0.16600000000000001</v>
      </c>
      <c r="N307" s="340">
        <f t="shared" si="14"/>
        <v>0.33500000000000002</v>
      </c>
      <c r="O307" s="340">
        <f t="shared" si="14"/>
        <v>0.51200000000000001</v>
      </c>
      <c r="P307" s="340">
        <f t="shared" si="14"/>
        <v>0.183</v>
      </c>
      <c r="Q307" s="340">
        <f t="shared" si="14"/>
        <v>0.24199999999999999</v>
      </c>
      <c r="R307" s="350">
        <f t="shared" si="14"/>
        <v>0.29599999999999999</v>
      </c>
      <c r="S307" s="340">
        <f t="shared" si="14"/>
        <v>0.28500000000000003</v>
      </c>
      <c r="T307" s="340">
        <f t="shared" si="14"/>
        <v>0.21199999999999999</v>
      </c>
      <c r="U307" s="340">
        <f t="shared" si="14"/>
        <v>0.35499999999999998</v>
      </c>
      <c r="V307" s="340">
        <f t="shared" si="14"/>
        <v>0.38100000000000001</v>
      </c>
      <c r="W307" s="340">
        <f>IF(ISNUMBER(W306),(W306-V306)*$I$764,"")</f>
        <v>0</v>
      </c>
      <c r="X307" s="340">
        <f t="shared" si="14"/>
        <v>0.127</v>
      </c>
      <c r="Y307" s="340">
        <f t="shared" si="14"/>
        <v>0.193</v>
      </c>
      <c r="Z307" s="340">
        <f t="shared" si="14"/>
        <v>0.16700000000000001</v>
      </c>
      <c r="AA307" s="340">
        <f t="shared" ref="AA307" si="15">IF(ISNUMBER(AA306),(AA306-Z306)*$I$306,"")</f>
        <v>0.17899999999999999</v>
      </c>
      <c r="AB307" s="340">
        <f t="shared" ref="AB307" si="16">IF(ISNUMBER(AB306),(AB306-AA306)*$I$306,"")</f>
        <v>0.16700000000000001</v>
      </c>
      <c r="AC307" s="340">
        <f t="shared" ref="AC307" si="17">IF(ISNUMBER(AC306),(AC306-AB306)*$I$306,"")</f>
        <v>0.24199999999999999</v>
      </c>
      <c r="AD307" s="340">
        <f t="shared" ref="AD307" si="18">IF(ISNUMBER(AD306),(AD306-AC306)*$I$306,"")</f>
        <v>0.19400000000000001</v>
      </c>
      <c r="AE307" s="340">
        <f t="shared" ref="AE307" si="19">IF(ISNUMBER(AE306),(AE306-AD306)*$I$306,"")</f>
        <v>0.193</v>
      </c>
      <c r="AF307" s="340">
        <f t="shared" ref="AF307" si="20">IF(ISNUMBER(AF306),(AF306-AE306)*$I$306,"")</f>
        <v>0.245</v>
      </c>
      <c r="AG307" s="340">
        <f t="shared" ref="AG307" si="21">IF(ISNUMBER(AG306),(AG306-AF306)*$I$306,"")</f>
        <v>0.22500000000000001</v>
      </c>
      <c r="AH307" s="340">
        <f t="shared" ref="AH307" si="22">IF(ISNUMBER(AH306),(AH306-AG306)*$I$306,"")</f>
        <v>0.16700000000000001</v>
      </c>
      <c r="AI307" s="340">
        <f t="shared" ref="AI307" si="23">IF(ISNUMBER(AI306),(AI306-AH306)*$I$306,"")</f>
        <v>0.17200000000000001</v>
      </c>
      <c r="AJ307" s="340">
        <f t="shared" ref="AJ307" si="24">IF(ISNUMBER(AJ306),(AJ306-AI306)*$I$306,"")</f>
        <v>0.1</v>
      </c>
      <c r="AK307" s="340">
        <f t="shared" ref="AK307:AL307" si="25">IF(ISNUMBER(AK306),(AK306-AJ306)*$I$306,"")</f>
        <v>0.108</v>
      </c>
      <c r="AL307" s="340" t="str">
        <f t="shared" si="25"/>
        <v/>
      </c>
      <c r="AM307" s="340" t="str">
        <f t="shared" ref="AM307" si="26">IF(ISNUMBER(AM306),(AM306-AL306)*$I$306,"")</f>
        <v/>
      </c>
      <c r="AN307" s="340" t="str">
        <f t="shared" ref="AN307" si="27">IF(ISNUMBER(AN306),(AN306-AM306)*$I$306,"")</f>
        <v/>
      </c>
      <c r="AO307" s="340" t="str">
        <f t="shared" ref="AO307" si="28">IF(ISNUMBER(AO306),(AO306-AN306)*$I$306,"")</f>
        <v/>
      </c>
      <c r="AP307" s="340" t="str">
        <f t="shared" ref="AP307" si="29">IF(ISNUMBER(AP306),(AP306-AO306)*$I$306,"")</f>
        <v/>
      </c>
      <c r="AQ307" s="340" t="str">
        <f t="shared" ref="AQ307" si="30">IF(ISNUMBER(AQ306),(AQ306-AP306)*$I$306,"")</f>
        <v/>
      </c>
      <c r="AR307" s="340" t="str">
        <f t="shared" ref="AR307" si="31">IF(ISNUMBER(AR306),(AR306-AQ306)*$I$306,"")</f>
        <v/>
      </c>
      <c r="AS307" s="340" t="str">
        <f t="shared" ref="AS307" si="32">IF(ISNUMBER(AS306),(AS306-AR306)*$I$306,"")</f>
        <v/>
      </c>
      <c r="AT307" s="340" t="str">
        <f t="shared" ref="AT307" si="33">IF(ISNUMBER(AT306),(AT306-AS306)*$I$306,"")</f>
        <v/>
      </c>
      <c r="AU307" s="340" t="str">
        <f t="shared" ref="AU307" si="34">IF(ISNUMBER(AU306),(AU306-AT306)*$I$306,"")</f>
        <v/>
      </c>
      <c r="AV307" s="340" t="str">
        <f t="shared" ref="AV307" si="35">IF(ISNUMBER(AV306),(AV306-AU306)*$I$306,"")</f>
        <v/>
      </c>
      <c r="AW307" s="340" t="str">
        <f t="shared" ref="AW307" si="36">IF(ISNUMBER(AW306),(AW306-AV306)*$I$306,"")</f>
        <v/>
      </c>
    </row>
    <row r="308" spans="1:49" s="1" customFormat="1" ht="15.6">
      <c r="A308" s="361"/>
      <c r="B308" s="1100"/>
      <c r="C308" s="368"/>
      <c r="D308" s="365"/>
      <c r="E308" s="390"/>
      <c r="F308" s="362"/>
      <c r="G308" s="8" t="s">
        <v>1895</v>
      </c>
      <c r="H308" s="8"/>
      <c r="I308" s="58">
        <v>1E-3</v>
      </c>
      <c r="J308" s="22" t="s">
        <v>1678</v>
      </c>
      <c r="K308" s="344">
        <v>28971</v>
      </c>
      <c r="L308" s="344">
        <v>30672</v>
      </c>
      <c r="M308" s="344">
        <v>32935</v>
      </c>
      <c r="N308" s="344">
        <v>35706</v>
      </c>
      <c r="O308" s="344">
        <v>38322</v>
      </c>
      <c r="P308" s="344">
        <v>40657</v>
      </c>
      <c r="Q308" s="344">
        <v>43496</v>
      </c>
      <c r="R308" s="674">
        <v>47104</v>
      </c>
      <c r="S308" s="344">
        <v>51009</v>
      </c>
      <c r="T308" s="344">
        <v>54010</v>
      </c>
      <c r="U308" s="344">
        <v>56622</v>
      </c>
      <c r="V308" s="344">
        <v>59002</v>
      </c>
      <c r="W308" s="344">
        <v>60545</v>
      </c>
      <c r="X308" s="344">
        <v>62396</v>
      </c>
      <c r="Y308" s="344">
        <v>63647</v>
      </c>
      <c r="Z308" s="344">
        <v>65481</v>
      </c>
      <c r="AA308" s="344">
        <v>67019</v>
      </c>
      <c r="AB308" s="344">
        <v>68690</v>
      </c>
      <c r="AC308" s="344">
        <v>70617</v>
      </c>
      <c r="AD308" s="344">
        <v>72556</v>
      </c>
      <c r="AE308" s="344">
        <v>74445</v>
      </c>
      <c r="AF308" s="344">
        <v>76424</v>
      </c>
      <c r="AG308" s="344">
        <v>78245</v>
      </c>
      <c r="AH308" s="344">
        <v>79835</v>
      </c>
      <c r="AI308" s="1">
        <v>81418</v>
      </c>
      <c r="AJ308" s="1">
        <v>82777</v>
      </c>
      <c r="AK308" s="1">
        <v>84049</v>
      </c>
    </row>
    <row r="309" spans="1:49" s="1" customFormat="1" ht="15.6">
      <c r="A309" s="361" t="s">
        <v>1621</v>
      </c>
      <c r="B309" s="1100" t="s">
        <v>2094</v>
      </c>
      <c r="C309" s="360">
        <f ca="1">OFFSET(K309,0,COUNT(L309:AJ309))</f>
        <v>1.359</v>
      </c>
      <c r="D309" s="365" t="s">
        <v>418</v>
      </c>
      <c r="E309" s="390"/>
      <c r="F309" s="362"/>
      <c r="G309" s="8"/>
      <c r="H309" s="8"/>
      <c r="I309" s="58"/>
      <c r="J309" s="22"/>
      <c r="L309" s="340">
        <f t="shared" ref="L309:Z309" si="37">IF(ISNUMBER(L308),(L308-K308)*$I$306,"")</f>
        <v>1.7010000000000001</v>
      </c>
      <c r="M309" s="340">
        <f t="shared" si="37"/>
        <v>2.2629999999999999</v>
      </c>
      <c r="N309" s="340">
        <f t="shared" si="37"/>
        <v>2.7709999999999999</v>
      </c>
      <c r="O309" s="340">
        <f t="shared" si="37"/>
        <v>2.6160000000000001</v>
      </c>
      <c r="P309" s="340">
        <f t="shared" si="37"/>
        <v>2.335</v>
      </c>
      <c r="Q309" s="340">
        <f t="shared" si="37"/>
        <v>2.839</v>
      </c>
      <c r="R309" s="350">
        <f t="shared" si="37"/>
        <v>3.6080000000000001</v>
      </c>
      <c r="S309" s="340">
        <f t="shared" si="37"/>
        <v>3.9050000000000002</v>
      </c>
      <c r="T309" s="340">
        <f t="shared" si="37"/>
        <v>3.0009999999999999</v>
      </c>
      <c r="U309" s="340">
        <f t="shared" si="37"/>
        <v>2.6120000000000001</v>
      </c>
      <c r="V309" s="340">
        <f t="shared" si="37"/>
        <v>2.38</v>
      </c>
      <c r="W309" s="340">
        <f>IF(ISNUMBER(W308),(W308-V308)*$I$764,"")</f>
        <v>0</v>
      </c>
      <c r="X309" s="340">
        <f t="shared" si="37"/>
        <v>1.851</v>
      </c>
      <c r="Y309" s="340">
        <f t="shared" si="37"/>
        <v>1.2510000000000001</v>
      </c>
      <c r="Z309" s="340">
        <f t="shared" si="37"/>
        <v>1.8340000000000001</v>
      </c>
      <c r="AA309" s="340">
        <f t="shared" ref="AA309" si="38">IF(ISNUMBER(AA308),(AA308-Z308)*$I$306,"")</f>
        <v>1.538</v>
      </c>
      <c r="AB309" s="340">
        <f t="shared" ref="AB309" si="39">IF(ISNUMBER(AB308),(AB308-AA308)*$I$306,"")</f>
        <v>1.671</v>
      </c>
      <c r="AC309" s="340">
        <f t="shared" ref="AC309" si="40">IF(ISNUMBER(AC308),(AC308-AB308)*$I$306,"")</f>
        <v>1.927</v>
      </c>
      <c r="AD309" s="340">
        <f t="shared" ref="AD309" si="41">IF(ISNUMBER(AD308),(AD308-AC308)*$I$306,"")</f>
        <v>1.9390000000000001</v>
      </c>
      <c r="AE309" s="340">
        <f t="shared" ref="AE309" si="42">IF(ISNUMBER(AE308),(AE308-AD308)*$I$306,"")</f>
        <v>1.889</v>
      </c>
      <c r="AF309" s="340">
        <f t="shared" ref="AF309" si="43">IF(ISNUMBER(AF308),(AF308-AE308)*$I$306,"")</f>
        <v>1.9790000000000001</v>
      </c>
      <c r="AG309" s="340">
        <f t="shared" ref="AG309" si="44">IF(ISNUMBER(AG308),(AG308-AF308)*$I$306,"")</f>
        <v>1.821</v>
      </c>
      <c r="AH309" s="340">
        <f t="shared" ref="AH309" si="45">IF(ISNUMBER(AH308),(AH308-AG308)*$I$306,"")</f>
        <v>1.59</v>
      </c>
      <c r="AI309" s="340">
        <f t="shared" ref="AI309" si="46">IF(ISNUMBER(AI308),(AI308-AH308)*$I$306,"")</f>
        <v>1.583</v>
      </c>
      <c r="AJ309" s="340">
        <f t="shared" ref="AJ309" si="47">IF(ISNUMBER(AJ308),(AJ308-AI308)*$I$306,"")</f>
        <v>1.359</v>
      </c>
      <c r="AK309" s="340">
        <f t="shared" ref="AK309:AL309" si="48">IF(ISNUMBER(AK308),(AK308-AJ308)*$I$306,"")</f>
        <v>1.272</v>
      </c>
      <c r="AL309" s="340" t="str">
        <f t="shared" si="48"/>
        <v/>
      </c>
      <c r="AM309" s="340" t="str">
        <f t="shared" ref="AM309" si="49">IF(ISNUMBER(AM308),(AM308-AL308)*$I$306,"")</f>
        <v/>
      </c>
      <c r="AN309" s="340" t="str">
        <f t="shared" ref="AN309" si="50">IF(ISNUMBER(AN308),(AN308-AM308)*$I$306,"")</f>
        <v/>
      </c>
      <c r="AO309" s="340" t="str">
        <f t="shared" ref="AO309" si="51">IF(ISNUMBER(AO308),(AO308-AN308)*$I$306,"")</f>
        <v/>
      </c>
      <c r="AP309" s="340" t="str">
        <f t="shared" ref="AP309" si="52">IF(ISNUMBER(AP308),(AP308-AO308)*$I$306,"")</f>
        <v/>
      </c>
      <c r="AQ309" s="340" t="str">
        <f t="shared" ref="AQ309" si="53">IF(ISNUMBER(AQ308),(AQ308-AP308)*$I$306,"")</f>
        <v/>
      </c>
      <c r="AR309" s="340" t="str">
        <f t="shared" ref="AR309" si="54">IF(ISNUMBER(AR308),(AR308-AQ308)*$I$306,"")</f>
        <v/>
      </c>
      <c r="AS309" s="340" t="str">
        <f t="shared" ref="AS309" si="55">IF(ISNUMBER(AS308),(AS308-AR308)*$I$306,"")</f>
        <v/>
      </c>
      <c r="AT309" s="340" t="str">
        <f t="shared" ref="AT309" si="56">IF(ISNUMBER(AT308),(AT308-AS308)*$I$306,"")</f>
        <v/>
      </c>
      <c r="AU309" s="340" t="str">
        <f t="shared" ref="AU309" si="57">IF(ISNUMBER(AU308),(AU308-AT308)*$I$306,"")</f>
        <v/>
      </c>
      <c r="AV309" s="340" t="str">
        <f t="shared" ref="AV309" si="58">IF(ISNUMBER(AV308),(AV308-AU308)*$I$306,"")</f>
        <v/>
      </c>
      <c r="AW309" s="340" t="str">
        <f t="shared" ref="AW309" si="59">IF(ISNUMBER(AW308),(AW308-AV308)*$I$306,"")</f>
        <v/>
      </c>
    </row>
    <row r="310" spans="1:49" s="1" customFormat="1" ht="15.6">
      <c r="A310" s="363"/>
      <c r="B310" s="375"/>
      <c r="C310" s="368"/>
      <c r="D310" s="365"/>
      <c r="E310" s="390"/>
      <c r="F310" s="361" t="s">
        <v>2095</v>
      </c>
      <c r="G310" s="17"/>
      <c r="H310" s="5"/>
      <c r="I310" s="58">
        <v>1</v>
      </c>
      <c r="J310" s="22" t="s">
        <v>1653</v>
      </c>
      <c r="K310" s="344">
        <v>1763</v>
      </c>
      <c r="L310" s="355">
        <v>1851</v>
      </c>
      <c r="M310" s="344">
        <v>1919</v>
      </c>
      <c r="N310" s="345">
        <v>1989</v>
      </c>
      <c r="O310" s="345">
        <v>2072</v>
      </c>
      <c r="P310" s="345">
        <v>2190</v>
      </c>
      <c r="Q310" s="345">
        <v>2304</v>
      </c>
      <c r="R310" s="350">
        <v>2446</v>
      </c>
      <c r="S310" s="345">
        <v>2627</v>
      </c>
      <c r="T310" s="344">
        <v>2815</v>
      </c>
      <c r="U310" s="344">
        <v>2967</v>
      </c>
      <c r="V310" s="344">
        <v>3124</v>
      </c>
      <c r="W310" s="344">
        <v>3213</v>
      </c>
      <c r="X310" s="355">
        <v>3301</v>
      </c>
      <c r="Y310" s="355">
        <v>3377</v>
      </c>
      <c r="Z310" s="355">
        <v>3444</v>
      </c>
      <c r="AA310" s="355">
        <v>3519</v>
      </c>
      <c r="AB310" s="355">
        <v>3611</v>
      </c>
      <c r="AC310" s="355">
        <v>3700</v>
      </c>
      <c r="AD310" s="355">
        <v>3810</v>
      </c>
      <c r="AE310" s="355">
        <v>3945</v>
      </c>
      <c r="AF310" s="355">
        <v>4090</v>
      </c>
      <c r="AG310" s="355">
        <v>4221</v>
      </c>
      <c r="AH310" s="355">
        <v>4332</v>
      </c>
      <c r="AI310" s="1">
        <v>4425</v>
      </c>
      <c r="AJ310" s="1">
        <v>4500</v>
      </c>
      <c r="AK310" s="1">
        <v>4571</v>
      </c>
    </row>
    <row r="311" spans="1:49" s="1" customFormat="1" ht="15.6">
      <c r="A311" s="363" t="s">
        <v>2096</v>
      </c>
      <c r="B311" s="363" t="s">
        <v>2097</v>
      </c>
      <c r="C311" s="360">
        <f ca="1">OFFSET(K311,0,COUNT(L311:AJ311))</f>
        <v>75</v>
      </c>
      <c r="D311" s="365" t="s">
        <v>418</v>
      </c>
      <c r="E311" s="386">
        <f t="shared" ref="E311:E317" ca="1" si="60">((OFFSET(K311,0,COUNT(L311:X311)))/(OFFSET(L311,0,COUNT(M311:X311)-1)))-1</f>
        <v>-1.1235955056179803E-2</v>
      </c>
      <c r="F311" s="367"/>
      <c r="G311" s="9"/>
      <c r="H311" s="9"/>
      <c r="I311" s="9"/>
      <c r="K311" s="340"/>
      <c r="L311" s="340">
        <f t="shared" ref="L311:Z311" si="61">IF(ISNUMBER(L310),(L310-K310),"")</f>
        <v>88</v>
      </c>
      <c r="M311" s="340">
        <f t="shared" si="61"/>
        <v>68</v>
      </c>
      <c r="N311" s="340">
        <f t="shared" si="61"/>
        <v>70</v>
      </c>
      <c r="O311" s="340">
        <f t="shared" si="61"/>
        <v>83</v>
      </c>
      <c r="P311" s="340">
        <f t="shared" si="61"/>
        <v>118</v>
      </c>
      <c r="Q311" s="340">
        <f t="shared" si="61"/>
        <v>114</v>
      </c>
      <c r="R311" s="350">
        <f t="shared" si="61"/>
        <v>142</v>
      </c>
      <c r="S311" s="340">
        <f t="shared" si="61"/>
        <v>181</v>
      </c>
      <c r="T311" s="340">
        <f t="shared" si="61"/>
        <v>188</v>
      </c>
      <c r="U311" s="340">
        <f t="shared" si="61"/>
        <v>152</v>
      </c>
      <c r="V311" s="340">
        <f t="shared" si="61"/>
        <v>157</v>
      </c>
      <c r="W311" s="340">
        <f t="shared" si="61"/>
        <v>89</v>
      </c>
      <c r="X311" s="340">
        <f t="shared" si="61"/>
        <v>88</v>
      </c>
      <c r="Y311" s="340">
        <f t="shared" si="61"/>
        <v>76</v>
      </c>
      <c r="Z311" s="340">
        <f t="shared" si="61"/>
        <v>67</v>
      </c>
      <c r="AA311" s="340">
        <f t="shared" ref="AA311" si="62">IF(ISNUMBER(AA310),(AA310-Z310),"")</f>
        <v>75</v>
      </c>
      <c r="AB311" s="340">
        <f t="shared" ref="AB311" si="63">IF(ISNUMBER(AB310),(AB310-AA310),"")</f>
        <v>92</v>
      </c>
      <c r="AC311" s="340">
        <f t="shared" ref="AC311" si="64">IF(ISNUMBER(AC310),(AC310-AB310),"")</f>
        <v>89</v>
      </c>
      <c r="AD311" s="340">
        <f t="shared" ref="AD311" si="65">IF(ISNUMBER(AD310),(AD310-AC310),"")</f>
        <v>110</v>
      </c>
      <c r="AE311" s="340">
        <f t="shared" ref="AE311" si="66">IF(ISNUMBER(AE310),(AE310-AD310),"")</f>
        <v>135</v>
      </c>
      <c r="AF311" s="340">
        <f t="shared" ref="AF311" si="67">IF(ISNUMBER(AF310),(AF310-AE310),"")</f>
        <v>145</v>
      </c>
      <c r="AG311" s="340">
        <f t="shared" ref="AG311" si="68">IF(ISNUMBER(AG310),(AG310-AF310),"")</f>
        <v>131</v>
      </c>
      <c r="AH311" s="340">
        <f t="shared" ref="AH311" si="69">IF(ISNUMBER(AH310),(AH310-AG310),"")</f>
        <v>111</v>
      </c>
      <c r="AI311" s="340">
        <f t="shared" ref="AI311" si="70">IF(ISNUMBER(AI310),(AI310-AH310),"")</f>
        <v>93</v>
      </c>
      <c r="AJ311" s="340">
        <f t="shared" ref="AJ311" si="71">IF(ISNUMBER(AJ310),(AJ310-AI310),"")</f>
        <v>75</v>
      </c>
      <c r="AK311" s="340">
        <f t="shared" ref="AK311:AL311" si="72">IF(ISNUMBER(AK310),(AK310-AJ310),"")</f>
        <v>71</v>
      </c>
      <c r="AL311" s="340" t="str">
        <f t="shared" si="72"/>
        <v/>
      </c>
      <c r="AM311" s="340" t="str">
        <f t="shared" ref="AM311" si="73">IF(ISNUMBER(AM310),(AM310-AL310),"")</f>
        <v/>
      </c>
      <c r="AN311" s="340" t="str">
        <f t="shared" ref="AN311" si="74">IF(ISNUMBER(AN310),(AN310-AM310),"")</f>
        <v/>
      </c>
      <c r="AO311" s="340" t="str">
        <f t="shared" ref="AO311" si="75">IF(ISNUMBER(AO310),(AO310-AN310),"")</f>
        <v/>
      </c>
      <c r="AP311" s="340" t="str">
        <f t="shared" ref="AP311" si="76">IF(ISNUMBER(AP310),(AP310-AO310),"")</f>
        <v/>
      </c>
      <c r="AQ311" s="340" t="str">
        <f t="shared" ref="AQ311" si="77">IF(ISNUMBER(AQ310),(AQ310-AP310),"")</f>
        <v/>
      </c>
      <c r="AR311" s="340" t="str">
        <f t="shared" ref="AR311" si="78">IF(ISNUMBER(AR310),(AR310-AQ310),"")</f>
        <v/>
      </c>
      <c r="AS311" s="340" t="str">
        <f t="shared" ref="AS311" si="79">IF(ISNUMBER(AS310),(AS310-AR310),"")</f>
        <v/>
      </c>
      <c r="AT311" s="340" t="str">
        <f t="shared" ref="AT311" si="80">IF(ISNUMBER(AT310),(AT310-AS310),"")</f>
        <v/>
      </c>
      <c r="AU311" s="340" t="str">
        <f t="shared" ref="AU311" si="81">IF(ISNUMBER(AU310),(AU310-AT310),"")</f>
        <v/>
      </c>
      <c r="AV311" s="340" t="str">
        <f t="shared" ref="AV311" si="82">IF(ISNUMBER(AV310),(AV310-AU310),"")</f>
        <v/>
      </c>
      <c r="AW311" s="340" t="str">
        <f t="shared" ref="AW311" si="83">IF(ISNUMBER(AW310),(AW310-AV310),"")</f>
        <v/>
      </c>
    </row>
    <row r="312" spans="1:49" s="1" customFormat="1" ht="15.6">
      <c r="A312" s="363" t="s">
        <v>2098</v>
      </c>
      <c r="B312" s="363" t="s">
        <v>2099</v>
      </c>
      <c r="C312" s="360">
        <f t="shared" ref="C312:C317" ca="1" si="84">OFFSET(K312,0,COUNT(L312:AJ312))</f>
        <v>201.1</v>
      </c>
      <c r="D312" s="365" t="s">
        <v>418</v>
      </c>
      <c r="E312" s="386" t="e">
        <f t="shared" ca="1" si="60"/>
        <v>#DIV/0!</v>
      </c>
      <c r="F312" s="361" t="s">
        <v>2095</v>
      </c>
      <c r="G312" s="17"/>
      <c r="H312" s="5"/>
      <c r="I312" s="58">
        <v>1</v>
      </c>
      <c r="J312" s="22" t="s">
        <v>1653</v>
      </c>
      <c r="K312" s="340">
        <v>0</v>
      </c>
      <c r="L312" s="340">
        <v>0</v>
      </c>
      <c r="M312" s="340">
        <v>0</v>
      </c>
      <c r="N312" s="340">
        <v>0</v>
      </c>
      <c r="O312" s="340">
        <v>0</v>
      </c>
      <c r="P312" s="340">
        <v>0</v>
      </c>
      <c r="Q312" s="340">
        <v>0</v>
      </c>
      <c r="R312" s="340">
        <v>0</v>
      </c>
      <c r="S312" s="340">
        <v>0</v>
      </c>
      <c r="T312" s="340">
        <v>0</v>
      </c>
      <c r="U312" s="340">
        <v>0</v>
      </c>
      <c r="V312" s="340">
        <v>0</v>
      </c>
      <c r="W312" s="340">
        <v>0</v>
      </c>
      <c r="X312" s="340">
        <v>0</v>
      </c>
      <c r="Y312" s="340">
        <v>0</v>
      </c>
      <c r="Z312" s="340">
        <v>0</v>
      </c>
      <c r="AA312" s="340">
        <v>0</v>
      </c>
      <c r="AB312" s="340">
        <v>0</v>
      </c>
      <c r="AC312" s="340">
        <v>0</v>
      </c>
      <c r="AD312" s="340">
        <v>0</v>
      </c>
      <c r="AE312" s="340">
        <v>0</v>
      </c>
      <c r="AF312" s="340">
        <v>1</v>
      </c>
      <c r="AG312" s="340">
        <v>330.9</v>
      </c>
      <c r="AH312" s="340">
        <v>25.4</v>
      </c>
      <c r="AI312" s="340">
        <v>9.1999999999999993</v>
      </c>
      <c r="AJ312" s="340">
        <v>201.1</v>
      </c>
      <c r="AK312" s="340">
        <v>211.1</v>
      </c>
      <c r="AL312" s="340"/>
      <c r="AM312" s="340"/>
      <c r="AN312" s="340"/>
      <c r="AO312" s="340"/>
      <c r="AP312" s="340"/>
      <c r="AQ312" s="340"/>
      <c r="AR312" s="340"/>
      <c r="AS312" s="340"/>
      <c r="AT312" s="340"/>
      <c r="AU312" s="340"/>
      <c r="AV312" s="340"/>
      <c r="AW312" s="340"/>
    </row>
    <row r="313" spans="1:49" s="1" customFormat="1" ht="15.6">
      <c r="A313" s="363" t="s">
        <v>2100</v>
      </c>
      <c r="B313" s="363" t="s">
        <v>2101</v>
      </c>
      <c r="C313" s="360">
        <f t="shared" ca="1" si="84"/>
        <v>2.9</v>
      </c>
      <c r="D313" s="365" t="s">
        <v>418</v>
      </c>
      <c r="E313" s="386" t="e">
        <f t="shared" ca="1" si="60"/>
        <v>#DIV/0!</v>
      </c>
      <c r="F313" s="361" t="s">
        <v>2095</v>
      </c>
      <c r="G313" s="17"/>
      <c r="H313" s="5"/>
      <c r="I313" s="58">
        <v>1</v>
      </c>
      <c r="J313" s="22" t="s">
        <v>1653</v>
      </c>
      <c r="K313" s="340">
        <v>0</v>
      </c>
      <c r="L313" s="340">
        <v>0</v>
      </c>
      <c r="M313" s="340">
        <v>0</v>
      </c>
      <c r="N313" s="340">
        <v>0</v>
      </c>
      <c r="O313" s="340">
        <v>0</v>
      </c>
      <c r="P313" s="340">
        <v>0</v>
      </c>
      <c r="Q313" s="340">
        <v>0</v>
      </c>
      <c r="R313" s="340">
        <v>0</v>
      </c>
      <c r="S313" s="340">
        <v>0</v>
      </c>
      <c r="T313" s="340">
        <v>0</v>
      </c>
      <c r="U313" s="340">
        <v>0</v>
      </c>
      <c r="V313" s="340">
        <v>0</v>
      </c>
      <c r="W313" s="340">
        <v>0</v>
      </c>
      <c r="X313" s="340">
        <v>0</v>
      </c>
      <c r="Y313" s="340">
        <v>0</v>
      </c>
      <c r="Z313" s="340">
        <v>0</v>
      </c>
      <c r="AA313" s="340">
        <v>0</v>
      </c>
      <c r="AB313" s="340">
        <v>0</v>
      </c>
      <c r="AC313" s="340">
        <v>0</v>
      </c>
      <c r="AD313" s="340">
        <v>0</v>
      </c>
      <c r="AE313" s="340">
        <v>0</v>
      </c>
      <c r="AF313" s="340">
        <v>1</v>
      </c>
      <c r="AG313" s="340">
        <v>67.2</v>
      </c>
      <c r="AH313" s="340">
        <v>7</v>
      </c>
      <c r="AI313" s="340">
        <v>4.2</v>
      </c>
      <c r="AJ313" s="340">
        <v>2.9</v>
      </c>
      <c r="AK313" s="340">
        <v>56.2</v>
      </c>
      <c r="AL313" s="340"/>
      <c r="AM313" s="340"/>
      <c r="AN313" s="340"/>
      <c r="AO313" s="340"/>
      <c r="AP313" s="340"/>
      <c r="AQ313" s="340"/>
      <c r="AR313" s="340"/>
      <c r="AS313" s="340"/>
      <c r="AT313" s="340"/>
      <c r="AU313" s="340"/>
      <c r="AV313" s="340"/>
      <c r="AW313" s="340"/>
    </row>
    <row r="314" spans="1:49" s="1" customFormat="1" ht="15.6">
      <c r="A314" s="363" t="s">
        <v>2102</v>
      </c>
      <c r="B314" s="363" t="s">
        <v>2103</v>
      </c>
      <c r="C314" s="360">
        <f t="shared" ca="1" si="84"/>
        <v>0.03</v>
      </c>
      <c r="D314" s="365" t="s">
        <v>418</v>
      </c>
      <c r="E314" s="386" t="e">
        <f t="shared" ca="1" si="60"/>
        <v>#DIV/0!</v>
      </c>
      <c r="F314" s="361" t="s">
        <v>2095</v>
      </c>
      <c r="G314" s="17"/>
      <c r="H314" s="5"/>
      <c r="I314" s="58">
        <v>1</v>
      </c>
      <c r="J314" s="22" t="s">
        <v>1653</v>
      </c>
      <c r="K314" s="340">
        <v>0</v>
      </c>
      <c r="L314" s="340">
        <v>0</v>
      </c>
      <c r="M314" s="340">
        <v>0</v>
      </c>
      <c r="N314" s="340">
        <v>0</v>
      </c>
      <c r="O314" s="340">
        <v>0</v>
      </c>
      <c r="P314" s="340">
        <v>0</v>
      </c>
      <c r="Q314" s="340">
        <v>0</v>
      </c>
      <c r="R314" s="340">
        <v>0</v>
      </c>
      <c r="S314" s="340">
        <v>0</v>
      </c>
      <c r="T314" s="340">
        <v>0</v>
      </c>
      <c r="U314" s="340">
        <v>0</v>
      </c>
      <c r="V314" s="340">
        <v>0</v>
      </c>
      <c r="W314" s="340">
        <v>0</v>
      </c>
      <c r="X314" s="340">
        <v>0</v>
      </c>
      <c r="Y314" s="340">
        <v>0</v>
      </c>
      <c r="Z314" s="340">
        <v>0</v>
      </c>
      <c r="AA314" s="340">
        <v>0</v>
      </c>
      <c r="AB314" s="340">
        <v>0</v>
      </c>
      <c r="AC314" s="340">
        <v>0</v>
      </c>
      <c r="AD314" s="340">
        <v>0</v>
      </c>
      <c r="AE314" s="340">
        <v>0</v>
      </c>
      <c r="AF314" s="340">
        <v>0</v>
      </c>
      <c r="AG314" s="340">
        <v>0.86299999999999999</v>
      </c>
      <c r="AH314" s="340">
        <v>5.2999999999999999E-2</v>
      </c>
      <c r="AI314" s="340">
        <v>0</v>
      </c>
      <c r="AJ314" s="340">
        <v>0.03</v>
      </c>
      <c r="AK314" s="340">
        <v>2.7389999999999999</v>
      </c>
      <c r="AL314" s="340"/>
      <c r="AM314" s="340"/>
      <c r="AN314" s="340"/>
      <c r="AO314" s="340"/>
      <c r="AP314" s="340"/>
      <c r="AQ314" s="340"/>
      <c r="AR314" s="340"/>
      <c r="AS314" s="340"/>
      <c r="AT314" s="340"/>
      <c r="AU314" s="340"/>
      <c r="AV314" s="340"/>
      <c r="AW314" s="340"/>
    </row>
    <row r="315" spans="1:49" s="1" customFormat="1" ht="15.6">
      <c r="A315" s="363" t="s">
        <v>2104</v>
      </c>
      <c r="B315" s="363" t="s">
        <v>2105</v>
      </c>
      <c r="C315" s="360">
        <f t="shared" ca="1" si="84"/>
        <v>0.16500000000000001</v>
      </c>
      <c r="D315" s="365" t="s">
        <v>418</v>
      </c>
      <c r="E315" s="386" t="e">
        <f t="shared" ca="1" si="60"/>
        <v>#DIV/0!</v>
      </c>
      <c r="F315" s="361" t="s">
        <v>2095</v>
      </c>
      <c r="G315" s="17"/>
      <c r="H315" s="5"/>
      <c r="I315" s="58">
        <v>1</v>
      </c>
      <c r="J315" s="22" t="s">
        <v>1653</v>
      </c>
      <c r="K315" s="340">
        <v>0</v>
      </c>
      <c r="L315" s="340">
        <v>0</v>
      </c>
      <c r="M315" s="340">
        <v>0</v>
      </c>
      <c r="N315" s="340">
        <v>0</v>
      </c>
      <c r="O315" s="340">
        <v>0</v>
      </c>
      <c r="P315" s="340">
        <v>0</v>
      </c>
      <c r="Q315" s="340">
        <v>0</v>
      </c>
      <c r="R315" s="340">
        <v>0</v>
      </c>
      <c r="S315" s="340">
        <v>0</v>
      </c>
      <c r="T315" s="340">
        <v>0</v>
      </c>
      <c r="U315" s="340">
        <v>0</v>
      </c>
      <c r="V315" s="340">
        <v>0</v>
      </c>
      <c r="W315" s="340">
        <v>0</v>
      </c>
      <c r="X315" s="340">
        <v>0</v>
      </c>
      <c r="Y315" s="340">
        <v>0</v>
      </c>
      <c r="Z315" s="340">
        <v>0</v>
      </c>
      <c r="AA315" s="340">
        <v>0</v>
      </c>
      <c r="AB315" s="340">
        <v>0</v>
      </c>
      <c r="AC315" s="340">
        <v>0</v>
      </c>
      <c r="AD315" s="340">
        <v>0</v>
      </c>
      <c r="AE315" s="340">
        <v>0</v>
      </c>
      <c r="AF315" s="340">
        <v>0</v>
      </c>
      <c r="AG315" s="340">
        <v>0.19</v>
      </c>
      <c r="AH315" s="340">
        <v>0.16800000000000001</v>
      </c>
      <c r="AI315" s="340">
        <v>1E-3</v>
      </c>
      <c r="AJ315" s="340">
        <v>0.16500000000000001</v>
      </c>
      <c r="AK315" s="340">
        <v>9.8580000000000005</v>
      </c>
      <c r="AL315" s="340"/>
      <c r="AM315" s="340"/>
      <c r="AN315" s="340"/>
      <c r="AO315" s="340"/>
      <c r="AP315" s="340"/>
      <c r="AQ315" s="340"/>
      <c r="AR315" s="340"/>
      <c r="AS315" s="340"/>
      <c r="AT315" s="340"/>
      <c r="AU315" s="340"/>
      <c r="AV315" s="340"/>
      <c r="AW315" s="340"/>
    </row>
    <row r="316" spans="1:49" s="1" customFormat="1" ht="15.6">
      <c r="A316" s="363" t="s">
        <v>2106</v>
      </c>
      <c r="B316" s="363" t="s">
        <v>2107</v>
      </c>
      <c r="C316" s="360">
        <f t="shared" ca="1" si="84"/>
        <v>0.72</v>
      </c>
      <c r="D316" s="365" t="s">
        <v>418</v>
      </c>
      <c r="E316" s="386" t="e">
        <f t="shared" ca="1" si="60"/>
        <v>#DIV/0!</v>
      </c>
      <c r="F316" s="361" t="s">
        <v>2095</v>
      </c>
      <c r="G316" s="17"/>
      <c r="H316" s="5"/>
      <c r="I316" s="58">
        <v>1</v>
      </c>
      <c r="J316" s="22" t="s">
        <v>1653</v>
      </c>
      <c r="K316" s="340">
        <v>0</v>
      </c>
      <c r="L316" s="340">
        <v>0</v>
      </c>
      <c r="M316" s="340">
        <v>0</v>
      </c>
      <c r="N316" s="340">
        <v>0</v>
      </c>
      <c r="O316" s="340">
        <v>0</v>
      </c>
      <c r="P316" s="340">
        <v>0</v>
      </c>
      <c r="Q316" s="340">
        <v>0</v>
      </c>
      <c r="R316" s="340">
        <v>0</v>
      </c>
      <c r="S316" s="340">
        <v>0</v>
      </c>
      <c r="T316" s="340">
        <v>0</v>
      </c>
      <c r="U316" s="340">
        <v>0</v>
      </c>
      <c r="V316" s="340">
        <v>0</v>
      </c>
      <c r="W316" s="340">
        <v>0</v>
      </c>
      <c r="X316" s="340">
        <v>0</v>
      </c>
      <c r="Y316" s="340">
        <v>0</v>
      </c>
      <c r="Z316" s="340">
        <v>0</v>
      </c>
      <c r="AA316" s="340">
        <v>0</v>
      </c>
      <c r="AB316" s="340">
        <v>0</v>
      </c>
      <c r="AC316" s="340">
        <v>0</v>
      </c>
      <c r="AD316" s="340">
        <v>0</v>
      </c>
      <c r="AE316" s="340">
        <v>0</v>
      </c>
      <c r="AF316" s="340">
        <v>0</v>
      </c>
      <c r="AG316" s="340">
        <v>0.80700000000000005</v>
      </c>
      <c r="AH316" s="340">
        <v>0.89700000000000002</v>
      </c>
      <c r="AI316" s="340">
        <v>0.86899999999999999</v>
      </c>
      <c r="AJ316" s="340">
        <v>0.72</v>
      </c>
      <c r="AK316" s="340">
        <v>11.481999999999999</v>
      </c>
      <c r="AL316" s="340"/>
      <c r="AM316" s="340"/>
      <c r="AN316" s="340"/>
      <c r="AO316" s="340"/>
      <c r="AP316" s="340"/>
      <c r="AQ316" s="340"/>
      <c r="AR316" s="340"/>
      <c r="AS316" s="340"/>
      <c r="AT316" s="340"/>
      <c r="AU316" s="340"/>
      <c r="AV316" s="340"/>
      <c r="AW316" s="340"/>
    </row>
    <row r="317" spans="1:49" s="1" customFormat="1" ht="15.6">
      <c r="A317" s="363" t="s">
        <v>2108</v>
      </c>
      <c r="B317" s="363" t="s">
        <v>2109</v>
      </c>
      <c r="C317" s="360">
        <f t="shared" ca="1" si="84"/>
        <v>0.33900000000000002</v>
      </c>
      <c r="D317" s="365" t="s">
        <v>418</v>
      </c>
      <c r="E317" s="386" t="e">
        <f t="shared" ca="1" si="60"/>
        <v>#DIV/0!</v>
      </c>
      <c r="F317" s="361" t="s">
        <v>2095</v>
      </c>
      <c r="G317" s="17"/>
      <c r="H317" s="5"/>
      <c r="I317" s="58">
        <v>1</v>
      </c>
      <c r="J317" s="22" t="s">
        <v>1653</v>
      </c>
      <c r="K317" s="340">
        <v>0</v>
      </c>
      <c r="L317" s="340">
        <v>0</v>
      </c>
      <c r="M317" s="340">
        <v>0</v>
      </c>
      <c r="N317" s="340">
        <v>0</v>
      </c>
      <c r="O317" s="340">
        <v>0</v>
      </c>
      <c r="P317" s="340">
        <v>0</v>
      </c>
      <c r="Q317" s="340">
        <v>0</v>
      </c>
      <c r="R317" s="340">
        <v>0</v>
      </c>
      <c r="S317" s="340">
        <v>0</v>
      </c>
      <c r="T317" s="340">
        <v>0</v>
      </c>
      <c r="U317" s="340">
        <v>0</v>
      </c>
      <c r="V317" s="340">
        <v>0</v>
      </c>
      <c r="W317" s="340">
        <v>0</v>
      </c>
      <c r="X317" s="340">
        <v>0</v>
      </c>
      <c r="Y317" s="340">
        <v>0</v>
      </c>
      <c r="Z317" s="340">
        <v>0</v>
      </c>
      <c r="AA317" s="340">
        <v>0</v>
      </c>
      <c r="AB317" s="340">
        <v>0</v>
      </c>
      <c r="AC317" s="340">
        <v>0</v>
      </c>
      <c r="AD317" s="340">
        <v>0</v>
      </c>
      <c r="AE317" s="340">
        <v>0</v>
      </c>
      <c r="AF317" s="340">
        <v>0</v>
      </c>
      <c r="AG317" s="340">
        <v>1.8959999999999999</v>
      </c>
      <c r="AH317" s="340">
        <v>0.107</v>
      </c>
      <c r="AI317" s="340">
        <v>0.26100000000000001</v>
      </c>
      <c r="AJ317" s="340">
        <v>0.33900000000000002</v>
      </c>
      <c r="AK317" s="340">
        <v>10.204000000000001</v>
      </c>
      <c r="AL317" s="340"/>
      <c r="AM317" s="340"/>
      <c r="AN317" s="340"/>
      <c r="AO317" s="340"/>
      <c r="AP317" s="340"/>
      <c r="AQ317" s="340"/>
      <c r="AR317" s="340"/>
      <c r="AS317" s="340"/>
      <c r="AT317" s="340"/>
      <c r="AU317" s="340"/>
      <c r="AV317" s="340"/>
      <c r="AW317" s="340"/>
    </row>
    <row r="318" spans="1:49" s="1" customFormat="1" ht="15.6">
      <c r="A318" s="363" t="s">
        <v>2110</v>
      </c>
      <c r="B318" s="363" t="s">
        <v>2111</v>
      </c>
      <c r="C318" s="360">
        <f t="shared" ref="C318:C329" ca="1" si="85">OFFSET(K318,0,COUNT(L318:AJ318))</f>
        <v>0.61899999999999999</v>
      </c>
      <c r="D318" s="365" t="s">
        <v>418</v>
      </c>
      <c r="E318" s="386" t="e">
        <f t="shared" ref="E318:E329" ca="1" si="86">((OFFSET(K318,0,COUNT(L318:X318)))/(OFFSET(L318,0,COUNT(M318:X318)-1)))-1</f>
        <v>#DIV/0!</v>
      </c>
      <c r="F318" s="361" t="s">
        <v>2095</v>
      </c>
      <c r="G318" s="17"/>
      <c r="H318" s="5"/>
      <c r="I318" s="58">
        <v>1</v>
      </c>
      <c r="J318" s="22" t="s">
        <v>1653</v>
      </c>
      <c r="K318" s="340">
        <v>0</v>
      </c>
      <c r="L318" s="340">
        <v>0</v>
      </c>
      <c r="M318" s="340">
        <v>0</v>
      </c>
      <c r="N318" s="340">
        <v>0</v>
      </c>
      <c r="O318" s="340">
        <v>0</v>
      </c>
      <c r="P318" s="340">
        <v>0</v>
      </c>
      <c r="Q318" s="340">
        <v>0</v>
      </c>
      <c r="R318" s="340">
        <v>0</v>
      </c>
      <c r="S318" s="340">
        <v>0</v>
      </c>
      <c r="T318" s="340">
        <v>0</v>
      </c>
      <c r="U318" s="340">
        <v>0</v>
      </c>
      <c r="V318" s="340">
        <v>0</v>
      </c>
      <c r="W318" s="340">
        <v>0</v>
      </c>
      <c r="X318" s="340">
        <v>0</v>
      </c>
      <c r="Y318" s="340">
        <v>0</v>
      </c>
      <c r="Z318" s="340">
        <v>0</v>
      </c>
      <c r="AA318" s="340">
        <v>0</v>
      </c>
      <c r="AB318" s="340">
        <v>0</v>
      </c>
      <c r="AC318" s="340">
        <v>0</v>
      </c>
      <c r="AD318" s="340">
        <v>0</v>
      </c>
      <c r="AE318" s="340">
        <v>0</v>
      </c>
      <c r="AF318" s="340">
        <v>1</v>
      </c>
      <c r="AG318" s="340">
        <v>0.155</v>
      </c>
      <c r="AH318" s="340">
        <v>0.29299999999999998</v>
      </c>
      <c r="AI318" s="340">
        <v>1.014</v>
      </c>
      <c r="AJ318" s="340">
        <v>0.61899999999999999</v>
      </c>
      <c r="AK318" s="340">
        <v>9.484</v>
      </c>
      <c r="AL318" s="340"/>
      <c r="AM318" s="340"/>
      <c r="AN318" s="340"/>
      <c r="AO318" s="340"/>
      <c r="AP318" s="340"/>
      <c r="AQ318" s="340"/>
      <c r="AR318" s="340"/>
      <c r="AS318" s="340"/>
      <c r="AT318" s="340"/>
      <c r="AU318" s="340"/>
      <c r="AV318" s="340"/>
      <c r="AW318" s="340"/>
    </row>
    <row r="319" spans="1:49" s="1" customFormat="1" ht="15.6">
      <c r="A319" s="363" t="s">
        <v>2112</v>
      </c>
      <c r="B319" s="363" t="s">
        <v>2113</v>
      </c>
      <c r="C319" s="360">
        <f t="shared" ca="1" si="85"/>
        <v>1.331</v>
      </c>
      <c r="D319" s="365" t="s">
        <v>418</v>
      </c>
      <c r="E319" s="386" t="e">
        <f t="shared" ca="1" si="86"/>
        <v>#DIV/0!</v>
      </c>
      <c r="F319" s="361" t="s">
        <v>2095</v>
      </c>
      <c r="G319" s="17"/>
      <c r="H319" s="5"/>
      <c r="I319" s="58">
        <v>1</v>
      </c>
      <c r="J319" s="22" t="s">
        <v>1653</v>
      </c>
      <c r="K319" s="340">
        <v>0</v>
      </c>
      <c r="L319" s="340">
        <v>0</v>
      </c>
      <c r="M319" s="340">
        <v>0</v>
      </c>
      <c r="N319" s="340">
        <v>0</v>
      </c>
      <c r="O319" s="340">
        <v>0</v>
      </c>
      <c r="P319" s="340">
        <v>0</v>
      </c>
      <c r="Q319" s="340">
        <v>0</v>
      </c>
      <c r="R319" s="340">
        <v>0</v>
      </c>
      <c r="S319" s="340">
        <v>0</v>
      </c>
      <c r="T319" s="340">
        <v>0</v>
      </c>
      <c r="U319" s="340">
        <v>0</v>
      </c>
      <c r="V319" s="340">
        <v>0</v>
      </c>
      <c r="W319" s="340">
        <v>0</v>
      </c>
      <c r="X319" s="340">
        <v>0</v>
      </c>
      <c r="Y319" s="340">
        <v>0</v>
      </c>
      <c r="Z319" s="340">
        <v>0</v>
      </c>
      <c r="AA319" s="340">
        <v>0</v>
      </c>
      <c r="AB319" s="340">
        <v>0</v>
      </c>
      <c r="AC319" s="340">
        <v>0</v>
      </c>
      <c r="AD319" s="340">
        <v>0</v>
      </c>
      <c r="AE319" s="340">
        <v>0</v>
      </c>
      <c r="AF319" s="340">
        <v>1</v>
      </c>
      <c r="AG319" s="340">
        <v>4.5279999999999996</v>
      </c>
      <c r="AH319" s="340">
        <v>0.20100000000000001</v>
      </c>
      <c r="AI319" s="340">
        <v>0.39</v>
      </c>
      <c r="AJ319" s="340">
        <v>1.331</v>
      </c>
      <c r="AK319" s="340">
        <v>7.62</v>
      </c>
      <c r="AL319" s="340"/>
      <c r="AM319" s="340"/>
      <c r="AN319" s="340"/>
      <c r="AO319" s="340"/>
      <c r="AP319" s="340"/>
      <c r="AQ319" s="340"/>
      <c r="AR319" s="340"/>
      <c r="AS319" s="340"/>
      <c r="AT319" s="340"/>
      <c r="AU319" s="340"/>
      <c r="AV319" s="340"/>
      <c r="AW319" s="340"/>
    </row>
    <row r="320" spans="1:49" s="1" customFormat="1" ht="15.6">
      <c r="A320" s="363" t="s">
        <v>2114</v>
      </c>
      <c r="B320" s="363" t="s">
        <v>2115</v>
      </c>
      <c r="C320" s="360">
        <f t="shared" ca="1" si="85"/>
        <v>0</v>
      </c>
      <c r="D320" s="365" t="s">
        <v>418</v>
      </c>
      <c r="E320" s="386" t="e">
        <f t="shared" ca="1" si="86"/>
        <v>#DIV/0!</v>
      </c>
      <c r="F320" s="361" t="s">
        <v>2095</v>
      </c>
      <c r="G320" s="17"/>
      <c r="H320" s="5"/>
      <c r="I320" s="58">
        <v>1</v>
      </c>
      <c r="J320" s="22" t="s">
        <v>1653</v>
      </c>
      <c r="K320" s="340">
        <v>0</v>
      </c>
      <c r="L320" s="340">
        <v>0</v>
      </c>
      <c r="M320" s="340">
        <v>0</v>
      </c>
      <c r="N320" s="340">
        <v>0</v>
      </c>
      <c r="O320" s="340">
        <v>0</v>
      </c>
      <c r="P320" s="340">
        <v>0</v>
      </c>
      <c r="Q320" s="340">
        <v>0</v>
      </c>
      <c r="R320" s="340">
        <v>0</v>
      </c>
      <c r="S320" s="340">
        <v>0</v>
      </c>
      <c r="T320" s="340">
        <v>0</v>
      </c>
      <c r="U320" s="340">
        <v>0</v>
      </c>
      <c r="V320" s="340">
        <v>0</v>
      </c>
      <c r="W320" s="340">
        <v>0</v>
      </c>
      <c r="X320" s="340">
        <v>0</v>
      </c>
      <c r="Y320" s="340">
        <v>0</v>
      </c>
      <c r="Z320" s="340">
        <v>0</v>
      </c>
      <c r="AA320" s="340">
        <v>0</v>
      </c>
      <c r="AB320" s="340">
        <v>0</v>
      </c>
      <c r="AC320" s="340">
        <v>0</v>
      </c>
      <c r="AD320" s="340">
        <v>0</v>
      </c>
      <c r="AE320" s="340">
        <v>0</v>
      </c>
      <c r="AF320" s="340">
        <v>0</v>
      </c>
      <c r="AG320" s="340">
        <v>6.4050000000000002</v>
      </c>
      <c r="AH320" s="340">
        <v>0.01</v>
      </c>
      <c r="AI320" s="340">
        <v>0</v>
      </c>
      <c r="AJ320" s="340">
        <v>0</v>
      </c>
      <c r="AK320" s="340">
        <v>0</v>
      </c>
      <c r="AL320" s="340"/>
      <c r="AM320" s="340"/>
      <c r="AN320" s="340"/>
      <c r="AO320" s="340"/>
      <c r="AP320" s="340"/>
      <c r="AQ320" s="340"/>
      <c r="AR320" s="340"/>
      <c r="AS320" s="340"/>
      <c r="AT320" s="340"/>
      <c r="AU320" s="340"/>
      <c r="AV320" s="340"/>
      <c r="AW320" s="340"/>
    </row>
    <row r="321" spans="1:49" s="1" customFormat="1" ht="15.6">
      <c r="A321" s="363" t="s">
        <v>2116</v>
      </c>
      <c r="B321" s="363" t="s">
        <v>2117</v>
      </c>
      <c r="C321" s="360">
        <f t="shared" ca="1" si="85"/>
        <v>0.16500000000000001</v>
      </c>
      <c r="D321" s="365" t="s">
        <v>418</v>
      </c>
      <c r="E321" s="386" t="e">
        <f t="shared" ca="1" si="86"/>
        <v>#DIV/0!</v>
      </c>
      <c r="F321" s="361" t="s">
        <v>2095</v>
      </c>
      <c r="G321" s="17"/>
      <c r="H321" s="5"/>
      <c r="I321" s="58">
        <v>1</v>
      </c>
      <c r="J321" s="22" t="s">
        <v>1653</v>
      </c>
      <c r="K321" s="340">
        <v>0</v>
      </c>
      <c r="L321" s="340">
        <v>0</v>
      </c>
      <c r="M321" s="340">
        <v>0</v>
      </c>
      <c r="N321" s="340">
        <v>0</v>
      </c>
      <c r="O321" s="340">
        <v>0</v>
      </c>
      <c r="P321" s="340">
        <v>0</v>
      </c>
      <c r="Q321" s="340">
        <v>0</v>
      </c>
      <c r="R321" s="340">
        <v>0</v>
      </c>
      <c r="S321" s="340">
        <v>0</v>
      </c>
      <c r="T321" s="340">
        <v>0</v>
      </c>
      <c r="U321" s="340">
        <v>0</v>
      </c>
      <c r="V321" s="340">
        <v>0</v>
      </c>
      <c r="W321" s="340">
        <v>0</v>
      </c>
      <c r="X321" s="340">
        <v>0</v>
      </c>
      <c r="Y321" s="340">
        <v>0</v>
      </c>
      <c r="Z321" s="340">
        <v>0</v>
      </c>
      <c r="AA321" s="340">
        <v>0</v>
      </c>
      <c r="AB321" s="340">
        <v>0</v>
      </c>
      <c r="AC321" s="340">
        <v>0</v>
      </c>
      <c r="AD321" s="340">
        <v>0</v>
      </c>
      <c r="AE321" s="340">
        <v>0</v>
      </c>
      <c r="AF321" s="340">
        <v>0</v>
      </c>
      <c r="AG321" s="340">
        <v>0.19</v>
      </c>
      <c r="AH321" s="340">
        <v>0.16800000000000001</v>
      </c>
      <c r="AI321" s="340">
        <v>1E-3</v>
      </c>
      <c r="AJ321" s="340">
        <v>0.16500000000000001</v>
      </c>
      <c r="AK321" s="340">
        <v>9.8580000000000005</v>
      </c>
      <c r="AL321" s="340"/>
      <c r="AM321" s="340"/>
      <c r="AN321" s="340"/>
      <c r="AO321" s="340"/>
      <c r="AP321" s="340"/>
      <c r="AQ321" s="340"/>
      <c r="AR321" s="340"/>
      <c r="AS321" s="340"/>
      <c r="AT321" s="340"/>
      <c r="AU321" s="340"/>
      <c r="AV321" s="340"/>
      <c r="AW321" s="340"/>
    </row>
    <row r="322" spans="1:49" s="1" customFormat="1" ht="15.6">
      <c r="A322" s="363" t="s">
        <v>2118</v>
      </c>
      <c r="B322" s="363" t="s">
        <v>2119</v>
      </c>
      <c r="C322" s="360">
        <f t="shared" ca="1" si="85"/>
        <v>2.67</v>
      </c>
      <c r="D322" s="365" t="s">
        <v>418</v>
      </c>
      <c r="E322" s="386" t="e">
        <f t="shared" ca="1" si="86"/>
        <v>#DIV/0!</v>
      </c>
      <c r="F322" s="361" t="s">
        <v>2095</v>
      </c>
      <c r="G322" s="17"/>
      <c r="H322" s="5"/>
      <c r="I322" s="58">
        <v>1</v>
      </c>
      <c r="J322" s="22" t="s">
        <v>1653</v>
      </c>
      <c r="K322" s="340">
        <v>0</v>
      </c>
      <c r="L322" s="340">
        <v>0</v>
      </c>
      <c r="M322" s="340">
        <v>0</v>
      </c>
      <c r="N322" s="340">
        <v>0</v>
      </c>
      <c r="O322" s="340">
        <v>0</v>
      </c>
      <c r="P322" s="340">
        <v>0</v>
      </c>
      <c r="Q322" s="340">
        <v>0</v>
      </c>
      <c r="R322" s="340">
        <v>0</v>
      </c>
      <c r="S322" s="340">
        <v>0</v>
      </c>
      <c r="T322" s="340">
        <v>0</v>
      </c>
      <c r="U322" s="340">
        <v>0</v>
      </c>
      <c r="V322" s="340">
        <v>0</v>
      </c>
      <c r="W322" s="340">
        <v>0</v>
      </c>
      <c r="X322" s="340">
        <v>0</v>
      </c>
      <c r="Y322" s="340">
        <v>0</v>
      </c>
      <c r="Z322" s="340">
        <v>0</v>
      </c>
      <c r="AA322" s="340">
        <v>0</v>
      </c>
      <c r="AB322" s="340">
        <v>0</v>
      </c>
      <c r="AC322" s="340">
        <v>0</v>
      </c>
      <c r="AD322" s="340">
        <v>0</v>
      </c>
      <c r="AE322" s="340">
        <v>0</v>
      </c>
      <c r="AF322" s="340">
        <v>0</v>
      </c>
      <c r="AG322" s="340">
        <v>3.1040000000000001</v>
      </c>
      <c r="AH322" s="340">
        <v>0.54</v>
      </c>
      <c r="AI322" s="340">
        <v>1.167</v>
      </c>
      <c r="AJ322" s="340">
        <v>2.67</v>
      </c>
      <c r="AK322" s="340">
        <v>20.978999999999999</v>
      </c>
      <c r="AL322" s="340"/>
      <c r="AM322" s="340"/>
      <c r="AN322" s="340"/>
      <c r="AO322" s="340"/>
      <c r="AP322" s="340"/>
      <c r="AQ322" s="340"/>
      <c r="AR322" s="340"/>
      <c r="AS322" s="340"/>
      <c r="AT322" s="340"/>
      <c r="AU322" s="340"/>
      <c r="AV322" s="340"/>
      <c r="AW322" s="340"/>
    </row>
    <row r="323" spans="1:49" s="1" customFormat="1" ht="15.6">
      <c r="A323" s="363" t="s">
        <v>2120</v>
      </c>
      <c r="B323" s="363" t="s">
        <v>2121</v>
      </c>
      <c r="C323" s="360">
        <f t="shared" ca="1" si="85"/>
        <v>2.9</v>
      </c>
      <c r="D323" s="365" t="s">
        <v>418</v>
      </c>
      <c r="E323" s="386" t="e">
        <f t="shared" ca="1" si="86"/>
        <v>#DIV/0!</v>
      </c>
      <c r="F323" s="361" t="s">
        <v>2095</v>
      </c>
      <c r="G323" s="17"/>
      <c r="H323" s="5"/>
      <c r="I323" s="58">
        <v>1</v>
      </c>
      <c r="J323" s="22" t="s">
        <v>1653</v>
      </c>
      <c r="K323" s="340">
        <v>0</v>
      </c>
      <c r="L323" s="340">
        <v>0</v>
      </c>
      <c r="M323" s="340">
        <v>0</v>
      </c>
      <c r="N323" s="340">
        <v>0</v>
      </c>
      <c r="O323" s="340">
        <v>0</v>
      </c>
      <c r="P323" s="340">
        <v>0</v>
      </c>
      <c r="Q323" s="340">
        <v>0</v>
      </c>
      <c r="R323" s="340">
        <v>0</v>
      </c>
      <c r="S323" s="340">
        <v>0</v>
      </c>
      <c r="T323" s="340">
        <v>0</v>
      </c>
      <c r="U323" s="340">
        <v>0</v>
      </c>
      <c r="V323" s="340">
        <v>0</v>
      </c>
      <c r="W323" s="340">
        <v>0</v>
      </c>
      <c r="X323" s="340">
        <v>0</v>
      </c>
      <c r="Y323" s="340">
        <v>0</v>
      </c>
      <c r="Z323" s="340">
        <v>0</v>
      </c>
      <c r="AA323" s="340">
        <v>0</v>
      </c>
      <c r="AB323" s="340">
        <v>0</v>
      </c>
      <c r="AC323" s="340">
        <v>0</v>
      </c>
      <c r="AD323" s="340">
        <v>0</v>
      </c>
      <c r="AE323" s="340">
        <v>0</v>
      </c>
      <c r="AF323" s="340">
        <v>0</v>
      </c>
      <c r="AG323" s="340">
        <v>6.9</v>
      </c>
      <c r="AH323" s="340">
        <v>1.1000000000000001</v>
      </c>
      <c r="AI323" s="340">
        <v>2.1</v>
      </c>
      <c r="AJ323" s="340">
        <v>2.9</v>
      </c>
      <c r="AK323" s="340">
        <v>10.4</v>
      </c>
      <c r="AL323" s="340"/>
      <c r="AM323" s="340"/>
      <c r="AN323" s="340"/>
      <c r="AO323" s="340"/>
      <c r="AP323" s="340"/>
      <c r="AQ323" s="340"/>
      <c r="AR323" s="340"/>
      <c r="AS323" s="340"/>
      <c r="AT323" s="340"/>
      <c r="AU323" s="340"/>
      <c r="AV323" s="340"/>
      <c r="AW323" s="340"/>
    </row>
    <row r="324" spans="1:49" s="1" customFormat="1" ht="15.6">
      <c r="A324" s="363" t="s">
        <v>2122</v>
      </c>
      <c r="B324" s="363" t="s">
        <v>2123</v>
      </c>
      <c r="C324" s="360">
        <f t="shared" ca="1" si="85"/>
        <v>0.4</v>
      </c>
      <c r="D324" s="365" t="s">
        <v>418</v>
      </c>
      <c r="E324" s="386" t="e">
        <f t="shared" ca="1" si="86"/>
        <v>#DIV/0!</v>
      </c>
      <c r="F324" s="361" t="s">
        <v>2095</v>
      </c>
      <c r="G324" s="17"/>
      <c r="H324" s="5"/>
      <c r="I324" s="58">
        <v>1</v>
      </c>
      <c r="J324" s="22" t="s">
        <v>1653</v>
      </c>
      <c r="K324" s="340">
        <v>0</v>
      </c>
      <c r="L324" s="340">
        <v>0</v>
      </c>
      <c r="M324" s="340">
        <v>0</v>
      </c>
      <c r="N324" s="340">
        <v>0</v>
      </c>
      <c r="O324" s="340">
        <v>0</v>
      </c>
      <c r="P324" s="340">
        <v>0</v>
      </c>
      <c r="Q324" s="340">
        <v>0</v>
      </c>
      <c r="R324" s="340">
        <v>0</v>
      </c>
      <c r="S324" s="340">
        <v>0</v>
      </c>
      <c r="T324" s="340">
        <v>0</v>
      </c>
      <c r="U324" s="340">
        <v>0</v>
      </c>
      <c r="V324" s="340">
        <v>0</v>
      </c>
      <c r="W324" s="340">
        <v>0</v>
      </c>
      <c r="X324" s="340">
        <v>0</v>
      </c>
      <c r="Y324" s="340">
        <v>0</v>
      </c>
      <c r="Z324" s="340">
        <v>0</v>
      </c>
      <c r="AA324" s="340">
        <v>0</v>
      </c>
      <c r="AB324" s="340">
        <v>0</v>
      </c>
      <c r="AC324" s="340">
        <v>0</v>
      </c>
      <c r="AD324" s="340">
        <v>0</v>
      </c>
      <c r="AE324" s="340">
        <v>0</v>
      </c>
      <c r="AF324" s="340">
        <v>1</v>
      </c>
      <c r="AG324" s="340">
        <v>5.5</v>
      </c>
      <c r="AH324" s="340">
        <v>0.5</v>
      </c>
      <c r="AI324" s="340">
        <v>0.2</v>
      </c>
      <c r="AJ324" s="340">
        <v>0.4</v>
      </c>
      <c r="AK324" s="340">
        <v>10.5</v>
      </c>
      <c r="AL324" s="340"/>
      <c r="AM324" s="340"/>
      <c r="AN324" s="340"/>
      <c r="AO324" s="340"/>
      <c r="AP324" s="340"/>
      <c r="AQ324" s="340"/>
      <c r="AR324" s="340"/>
      <c r="AS324" s="340"/>
      <c r="AT324" s="340"/>
      <c r="AU324" s="340"/>
      <c r="AV324" s="340"/>
      <c r="AW324" s="340"/>
    </row>
    <row r="325" spans="1:49" s="1" customFormat="1" ht="15.6">
      <c r="A325" s="363" t="s">
        <v>2124</v>
      </c>
      <c r="B325" s="363" t="s">
        <v>2125</v>
      </c>
      <c r="C325" s="360">
        <f t="shared" ca="1" si="85"/>
        <v>0.1</v>
      </c>
      <c r="D325" s="365" t="s">
        <v>418</v>
      </c>
      <c r="E325" s="386" t="e">
        <f t="shared" ca="1" si="86"/>
        <v>#DIV/0!</v>
      </c>
      <c r="F325" s="361" t="s">
        <v>2095</v>
      </c>
      <c r="G325" s="17"/>
      <c r="H325" s="5"/>
      <c r="I325" s="58">
        <v>1</v>
      </c>
      <c r="J325" s="22" t="s">
        <v>1653</v>
      </c>
      <c r="K325" s="340">
        <v>0</v>
      </c>
      <c r="L325" s="340">
        <v>0</v>
      </c>
      <c r="M325" s="340">
        <v>0</v>
      </c>
      <c r="N325" s="340">
        <v>0</v>
      </c>
      <c r="O325" s="340">
        <v>0</v>
      </c>
      <c r="P325" s="340">
        <v>0</v>
      </c>
      <c r="Q325" s="340">
        <v>0</v>
      </c>
      <c r="R325" s="340">
        <v>0</v>
      </c>
      <c r="S325" s="340">
        <v>0</v>
      </c>
      <c r="T325" s="340">
        <v>0</v>
      </c>
      <c r="U325" s="340">
        <v>0</v>
      </c>
      <c r="V325" s="340">
        <v>0</v>
      </c>
      <c r="W325" s="340">
        <v>0</v>
      </c>
      <c r="X325" s="340">
        <v>0</v>
      </c>
      <c r="Y325" s="340">
        <v>0</v>
      </c>
      <c r="Z325" s="340">
        <v>0</v>
      </c>
      <c r="AA325" s="340">
        <v>0</v>
      </c>
      <c r="AB325" s="340">
        <v>0</v>
      </c>
      <c r="AC325" s="340">
        <v>0</v>
      </c>
      <c r="AD325" s="340">
        <v>0</v>
      </c>
      <c r="AE325" s="340">
        <v>0</v>
      </c>
      <c r="AF325" s="340">
        <v>1</v>
      </c>
      <c r="AG325" s="340">
        <v>10.6</v>
      </c>
      <c r="AH325" s="340">
        <v>2</v>
      </c>
      <c r="AI325" s="340">
        <v>1</v>
      </c>
      <c r="AJ325" s="340">
        <v>0.1</v>
      </c>
      <c r="AK325" s="340">
        <v>7</v>
      </c>
      <c r="AL325" s="340"/>
      <c r="AM325" s="340"/>
      <c r="AN325" s="340"/>
      <c r="AO325" s="340"/>
      <c r="AP325" s="340"/>
      <c r="AQ325" s="340"/>
      <c r="AR325" s="340"/>
      <c r="AS325" s="340"/>
      <c r="AT325" s="340"/>
      <c r="AU325" s="340"/>
      <c r="AV325" s="340"/>
      <c r="AW325" s="340"/>
    </row>
    <row r="326" spans="1:49" s="1" customFormat="1" ht="15.6">
      <c r="A326" s="363" t="s">
        <v>2126</v>
      </c>
      <c r="B326" s="363" t="s">
        <v>2127</v>
      </c>
      <c r="C326" s="360">
        <f t="shared" ca="1" si="85"/>
        <v>188.9</v>
      </c>
      <c r="D326" s="365" t="s">
        <v>418</v>
      </c>
      <c r="E326" s="386" t="e">
        <f t="shared" ca="1" si="86"/>
        <v>#DIV/0!</v>
      </c>
      <c r="F326" s="361" t="s">
        <v>2095</v>
      </c>
      <c r="G326" s="17"/>
      <c r="H326" s="5"/>
      <c r="I326" s="58">
        <v>1</v>
      </c>
      <c r="J326" s="22" t="s">
        <v>1653</v>
      </c>
      <c r="K326" s="340">
        <v>0</v>
      </c>
      <c r="L326" s="340">
        <v>0</v>
      </c>
      <c r="M326" s="340">
        <v>0</v>
      </c>
      <c r="N326" s="340">
        <v>0</v>
      </c>
      <c r="O326" s="340">
        <v>0</v>
      </c>
      <c r="P326" s="340">
        <v>0</v>
      </c>
      <c r="Q326" s="340">
        <v>0</v>
      </c>
      <c r="R326" s="340">
        <v>0</v>
      </c>
      <c r="S326" s="340">
        <v>0</v>
      </c>
      <c r="T326" s="340">
        <v>0</v>
      </c>
      <c r="U326" s="340">
        <v>0</v>
      </c>
      <c r="V326" s="340">
        <v>0</v>
      </c>
      <c r="W326" s="340">
        <v>0</v>
      </c>
      <c r="X326" s="340">
        <v>0</v>
      </c>
      <c r="Y326" s="340">
        <v>0</v>
      </c>
      <c r="Z326" s="340">
        <v>0</v>
      </c>
      <c r="AA326" s="340">
        <v>0</v>
      </c>
      <c r="AB326" s="340">
        <v>0</v>
      </c>
      <c r="AC326" s="340">
        <v>0</v>
      </c>
      <c r="AD326" s="340">
        <v>0</v>
      </c>
      <c r="AE326" s="340">
        <v>0</v>
      </c>
      <c r="AF326" s="340">
        <v>0</v>
      </c>
      <c r="AG326" s="340">
        <v>8.1999999999999993</v>
      </c>
      <c r="AH326" s="340">
        <v>2.6</v>
      </c>
      <c r="AI326" s="340">
        <v>0.5</v>
      </c>
      <c r="AJ326" s="340">
        <v>188.9</v>
      </c>
      <c r="AK326" s="340">
        <v>7.5</v>
      </c>
      <c r="AL326" s="340"/>
      <c r="AM326" s="340"/>
      <c r="AN326" s="340"/>
      <c r="AO326" s="340"/>
      <c r="AP326" s="340"/>
      <c r="AQ326" s="340"/>
      <c r="AR326" s="340"/>
      <c r="AS326" s="340"/>
      <c r="AT326" s="340"/>
      <c r="AU326" s="340"/>
      <c r="AV326" s="340"/>
      <c r="AW326" s="340"/>
    </row>
    <row r="327" spans="1:49" s="1" customFormat="1" ht="15.6">
      <c r="A327" s="363" t="s">
        <v>2128</v>
      </c>
      <c r="B327" s="363" t="s">
        <v>2129</v>
      </c>
      <c r="C327" s="360">
        <f t="shared" ca="1" si="85"/>
        <v>0.1</v>
      </c>
      <c r="D327" s="365" t="s">
        <v>418</v>
      </c>
      <c r="E327" s="386" t="e">
        <f t="shared" ca="1" si="86"/>
        <v>#DIV/0!</v>
      </c>
      <c r="F327" s="361" t="s">
        <v>2095</v>
      </c>
      <c r="G327" s="17"/>
      <c r="H327" s="5"/>
      <c r="I327" s="58">
        <v>1</v>
      </c>
      <c r="J327" s="22" t="s">
        <v>1653</v>
      </c>
      <c r="K327" s="340">
        <v>0</v>
      </c>
      <c r="L327" s="340">
        <v>0</v>
      </c>
      <c r="M327" s="340">
        <v>0</v>
      </c>
      <c r="N327" s="340">
        <v>0</v>
      </c>
      <c r="O327" s="340">
        <v>0</v>
      </c>
      <c r="P327" s="340">
        <v>0</v>
      </c>
      <c r="Q327" s="340">
        <v>0</v>
      </c>
      <c r="R327" s="340">
        <v>0</v>
      </c>
      <c r="S327" s="340">
        <v>0</v>
      </c>
      <c r="T327" s="340">
        <v>0</v>
      </c>
      <c r="U327" s="340">
        <v>0</v>
      </c>
      <c r="V327" s="340">
        <v>0</v>
      </c>
      <c r="W327" s="340">
        <v>0</v>
      </c>
      <c r="X327" s="340">
        <v>0</v>
      </c>
      <c r="Y327" s="340">
        <v>0</v>
      </c>
      <c r="Z327" s="340">
        <v>0</v>
      </c>
      <c r="AA327" s="340">
        <v>0</v>
      </c>
      <c r="AB327" s="340">
        <v>0</v>
      </c>
      <c r="AC327" s="340">
        <v>0</v>
      </c>
      <c r="AD327" s="340">
        <v>0</v>
      </c>
      <c r="AE327" s="340">
        <v>0</v>
      </c>
      <c r="AF327" s="340">
        <v>0</v>
      </c>
      <c r="AG327" s="340">
        <v>8.8000000000000007</v>
      </c>
      <c r="AH327" s="340">
        <v>1.1000000000000001</v>
      </c>
      <c r="AI327" s="340">
        <v>0.3</v>
      </c>
      <c r="AJ327" s="340">
        <v>0.1</v>
      </c>
      <c r="AK327" s="340">
        <v>2.9</v>
      </c>
      <c r="AL327" s="340"/>
      <c r="AM327" s="340"/>
      <c r="AN327" s="340"/>
      <c r="AO327" s="340"/>
      <c r="AP327" s="340"/>
      <c r="AQ327" s="340"/>
      <c r="AR327" s="340"/>
      <c r="AS327" s="340"/>
      <c r="AT327" s="340"/>
      <c r="AU327" s="340"/>
      <c r="AV327" s="340"/>
      <c r="AW327" s="340"/>
    </row>
    <row r="328" spans="1:49" s="1" customFormat="1" ht="15.6">
      <c r="A328" s="363" t="s">
        <v>2130</v>
      </c>
      <c r="B328" s="363" t="s">
        <v>2131</v>
      </c>
      <c r="C328" s="360">
        <f t="shared" ca="1" si="85"/>
        <v>0.3</v>
      </c>
      <c r="D328" s="365" t="s">
        <v>418</v>
      </c>
      <c r="E328" s="386" t="e">
        <f t="shared" ca="1" si="86"/>
        <v>#DIV/0!</v>
      </c>
      <c r="F328" s="361" t="s">
        <v>2095</v>
      </c>
      <c r="G328" s="17"/>
      <c r="H328" s="5"/>
      <c r="I328" s="58">
        <v>1</v>
      </c>
      <c r="J328" s="22" t="s">
        <v>1653</v>
      </c>
      <c r="K328" s="340">
        <v>0</v>
      </c>
      <c r="L328" s="340">
        <v>0</v>
      </c>
      <c r="M328" s="340">
        <v>0</v>
      </c>
      <c r="N328" s="340">
        <v>0</v>
      </c>
      <c r="O328" s="340">
        <v>0</v>
      </c>
      <c r="P328" s="340">
        <v>0</v>
      </c>
      <c r="Q328" s="340">
        <v>0</v>
      </c>
      <c r="R328" s="340">
        <v>0</v>
      </c>
      <c r="S328" s="340">
        <v>0</v>
      </c>
      <c r="T328" s="340">
        <v>0</v>
      </c>
      <c r="U328" s="340">
        <v>0</v>
      </c>
      <c r="V328" s="340">
        <v>0</v>
      </c>
      <c r="W328" s="340">
        <v>0</v>
      </c>
      <c r="X328" s="340">
        <v>0</v>
      </c>
      <c r="Y328" s="340">
        <v>0</v>
      </c>
      <c r="Z328" s="340">
        <v>0</v>
      </c>
      <c r="AA328" s="340">
        <v>0</v>
      </c>
      <c r="AB328" s="340">
        <v>0</v>
      </c>
      <c r="AC328" s="340">
        <v>0</v>
      </c>
      <c r="AD328" s="340">
        <v>0</v>
      </c>
      <c r="AE328" s="340">
        <v>0</v>
      </c>
      <c r="AF328" s="340">
        <v>0</v>
      </c>
      <c r="AG328" s="340">
        <v>36.1</v>
      </c>
      <c r="AH328" s="340">
        <v>1.4</v>
      </c>
      <c r="AI328" s="340">
        <v>0.8</v>
      </c>
      <c r="AJ328" s="340">
        <v>0.3</v>
      </c>
      <c r="AK328" s="340">
        <v>10.6</v>
      </c>
      <c r="AL328" s="340"/>
      <c r="AM328" s="340"/>
      <c r="AN328" s="340"/>
      <c r="AO328" s="340"/>
      <c r="AP328" s="340"/>
      <c r="AQ328" s="340"/>
      <c r="AR328" s="340"/>
      <c r="AS328" s="340"/>
      <c r="AT328" s="340"/>
      <c r="AU328" s="340"/>
      <c r="AV328" s="340"/>
      <c r="AW328" s="340"/>
    </row>
    <row r="329" spans="1:49" s="1" customFormat="1" ht="15.6">
      <c r="A329" s="363" t="s">
        <v>2132</v>
      </c>
      <c r="B329" s="363" t="s">
        <v>2133</v>
      </c>
      <c r="C329" s="360">
        <f t="shared" ca="1" si="85"/>
        <v>0.7</v>
      </c>
      <c r="D329" s="365" t="s">
        <v>418</v>
      </c>
      <c r="E329" s="386" t="e">
        <f t="shared" ca="1" si="86"/>
        <v>#DIV/0!</v>
      </c>
      <c r="F329" s="361" t="s">
        <v>2095</v>
      </c>
      <c r="G329" s="17"/>
      <c r="H329" s="5"/>
      <c r="I329" s="58">
        <v>1</v>
      </c>
      <c r="J329" s="22" t="s">
        <v>1653</v>
      </c>
      <c r="K329" s="340">
        <v>0</v>
      </c>
      <c r="L329" s="340">
        <v>0</v>
      </c>
      <c r="M329" s="340">
        <v>0</v>
      </c>
      <c r="N329" s="340">
        <v>0</v>
      </c>
      <c r="O329" s="340">
        <v>0</v>
      </c>
      <c r="P329" s="340">
        <v>0</v>
      </c>
      <c r="Q329" s="340">
        <v>0</v>
      </c>
      <c r="R329" s="340">
        <v>0</v>
      </c>
      <c r="S329" s="340">
        <v>0</v>
      </c>
      <c r="T329" s="340">
        <v>0</v>
      </c>
      <c r="U329" s="340">
        <v>0</v>
      </c>
      <c r="V329" s="340">
        <v>0</v>
      </c>
      <c r="W329" s="340">
        <v>0</v>
      </c>
      <c r="X329" s="340">
        <v>0</v>
      </c>
      <c r="Y329" s="340">
        <v>0</v>
      </c>
      <c r="Z329" s="340">
        <v>0</v>
      </c>
      <c r="AA329" s="340">
        <v>0</v>
      </c>
      <c r="AB329" s="340">
        <v>0</v>
      </c>
      <c r="AC329" s="340">
        <v>0</v>
      </c>
      <c r="AD329" s="340">
        <v>0</v>
      </c>
      <c r="AE329" s="340">
        <v>0</v>
      </c>
      <c r="AF329" s="340">
        <v>0</v>
      </c>
      <c r="AG329" s="340">
        <v>6.1</v>
      </c>
      <c r="AH329" s="340">
        <v>1.1000000000000001</v>
      </c>
      <c r="AI329" s="340">
        <v>0.9</v>
      </c>
      <c r="AJ329" s="340">
        <v>0.7</v>
      </c>
      <c r="AK329" s="340">
        <v>15.8</v>
      </c>
      <c r="AL329" s="340"/>
      <c r="AM329" s="340"/>
      <c r="AN329" s="340"/>
      <c r="AO329" s="340"/>
      <c r="AP329" s="340"/>
      <c r="AQ329" s="340"/>
      <c r="AR329" s="340"/>
      <c r="AS329" s="340"/>
      <c r="AT329" s="340"/>
      <c r="AU329" s="340"/>
      <c r="AV329" s="340"/>
      <c r="AW329" s="340"/>
    </row>
    <row r="330" spans="1:49" s="1" customFormat="1" ht="15.6">
      <c r="A330" s="363" t="s">
        <v>2134</v>
      </c>
      <c r="B330" s="363" t="s">
        <v>2135</v>
      </c>
      <c r="C330" s="360">
        <f t="shared" ref="C330:C335" ca="1" si="87">OFFSET(K330,0,COUNT(L330:AJ330))</f>
        <v>0.5</v>
      </c>
      <c r="D330" s="365" t="s">
        <v>418</v>
      </c>
      <c r="E330" s="386" t="e">
        <f t="shared" ref="E330:E334" ca="1" si="88">((OFFSET(K330,0,COUNT(L330:X330)))/(OFFSET(L330,0,COUNT(M330:X330)-1)))-1</f>
        <v>#DIV/0!</v>
      </c>
      <c r="F330" s="361" t="s">
        <v>2095</v>
      </c>
      <c r="G330" s="17"/>
      <c r="H330" s="5"/>
      <c r="I330" s="58">
        <v>1</v>
      </c>
      <c r="J330" s="22" t="s">
        <v>1653</v>
      </c>
      <c r="K330" s="340">
        <v>0</v>
      </c>
      <c r="L330" s="340">
        <v>0</v>
      </c>
      <c r="M330" s="340">
        <v>0</v>
      </c>
      <c r="N330" s="340">
        <v>0</v>
      </c>
      <c r="O330" s="340">
        <v>0</v>
      </c>
      <c r="P330" s="340">
        <v>0</v>
      </c>
      <c r="Q330" s="340">
        <v>0</v>
      </c>
      <c r="R330" s="340">
        <v>0</v>
      </c>
      <c r="S330" s="340">
        <v>0</v>
      </c>
      <c r="T330" s="340">
        <v>0</v>
      </c>
      <c r="U330" s="340">
        <v>0</v>
      </c>
      <c r="V330" s="340">
        <v>0</v>
      </c>
      <c r="W330" s="340">
        <v>0</v>
      </c>
      <c r="X330" s="340">
        <v>0</v>
      </c>
      <c r="Y330" s="340">
        <v>0</v>
      </c>
      <c r="Z330" s="340">
        <v>0</v>
      </c>
      <c r="AA330" s="340">
        <v>0</v>
      </c>
      <c r="AB330" s="340">
        <v>0</v>
      </c>
      <c r="AC330" s="340">
        <v>0</v>
      </c>
      <c r="AD330" s="340">
        <v>0</v>
      </c>
      <c r="AE330" s="340">
        <v>0</v>
      </c>
      <c r="AF330" s="340">
        <v>1</v>
      </c>
      <c r="AG330" s="340">
        <v>10.8</v>
      </c>
      <c r="AH330" s="340">
        <v>0.4</v>
      </c>
      <c r="AI330" s="340">
        <v>1</v>
      </c>
      <c r="AJ330" s="340">
        <v>0.5</v>
      </c>
      <c r="AK330" s="340">
        <v>12</v>
      </c>
      <c r="AL330" s="340"/>
      <c r="AM330" s="340"/>
      <c r="AN330" s="340"/>
      <c r="AO330" s="340"/>
      <c r="AP330" s="340"/>
      <c r="AQ330" s="340"/>
      <c r="AR330" s="340"/>
      <c r="AS330" s="340"/>
      <c r="AT330" s="340"/>
      <c r="AU330" s="340"/>
      <c r="AV330" s="340"/>
      <c r="AW330" s="340"/>
    </row>
    <row r="331" spans="1:49" s="1" customFormat="1" ht="15.6">
      <c r="A331" s="363" t="s">
        <v>2136</v>
      </c>
      <c r="B331" s="363" t="s">
        <v>2137</v>
      </c>
      <c r="C331" s="360">
        <f t="shared" ca="1" si="87"/>
        <v>0.7</v>
      </c>
      <c r="D331" s="365" t="s">
        <v>418</v>
      </c>
      <c r="E331" s="386" t="e">
        <f t="shared" ca="1" si="88"/>
        <v>#DIV/0!</v>
      </c>
      <c r="F331" s="361" t="s">
        <v>2095</v>
      </c>
      <c r="G331" s="17"/>
      <c r="H331" s="5"/>
      <c r="I331" s="58">
        <v>1</v>
      </c>
      <c r="J331" s="22" t="s">
        <v>1653</v>
      </c>
      <c r="K331" s="340">
        <v>0</v>
      </c>
      <c r="L331" s="340">
        <v>0</v>
      </c>
      <c r="M331" s="340">
        <v>0</v>
      </c>
      <c r="N331" s="340">
        <v>0</v>
      </c>
      <c r="O331" s="340">
        <v>0</v>
      </c>
      <c r="P331" s="340">
        <v>0</v>
      </c>
      <c r="Q331" s="340">
        <v>0</v>
      </c>
      <c r="R331" s="340">
        <v>0</v>
      </c>
      <c r="S331" s="340">
        <v>0</v>
      </c>
      <c r="T331" s="340">
        <v>0</v>
      </c>
      <c r="U331" s="340">
        <v>0</v>
      </c>
      <c r="V331" s="340">
        <v>0</v>
      </c>
      <c r="W331" s="340">
        <v>0</v>
      </c>
      <c r="X331" s="340">
        <v>0</v>
      </c>
      <c r="Y331" s="340">
        <v>0</v>
      </c>
      <c r="Z331" s="340">
        <v>0</v>
      </c>
      <c r="AA331" s="340">
        <v>0</v>
      </c>
      <c r="AB331" s="340">
        <v>0</v>
      </c>
      <c r="AC331" s="340">
        <v>0</v>
      </c>
      <c r="AD331" s="340">
        <v>0</v>
      </c>
      <c r="AE331" s="340">
        <v>0</v>
      </c>
      <c r="AF331" s="340">
        <v>1</v>
      </c>
      <c r="AG331" s="340">
        <v>17.7</v>
      </c>
      <c r="AH331" s="340">
        <v>0.8</v>
      </c>
      <c r="AI331" s="340">
        <v>0.3</v>
      </c>
      <c r="AJ331" s="340">
        <v>0.7</v>
      </c>
      <c r="AK331" s="340">
        <v>8</v>
      </c>
      <c r="AL331" s="340"/>
      <c r="AM331" s="340"/>
      <c r="AN331" s="340"/>
      <c r="AO331" s="340"/>
      <c r="AP331" s="340"/>
      <c r="AQ331" s="340"/>
      <c r="AR331" s="340"/>
      <c r="AS331" s="340"/>
      <c r="AT331" s="340"/>
      <c r="AU331" s="340"/>
      <c r="AV331" s="340"/>
      <c r="AW331" s="340"/>
    </row>
    <row r="332" spans="1:49" s="1" customFormat="1" ht="15.6">
      <c r="A332" s="363" t="s">
        <v>2138</v>
      </c>
      <c r="B332" s="363" t="s">
        <v>2139</v>
      </c>
      <c r="C332" s="360">
        <f t="shared" ca="1" si="87"/>
        <v>0.5</v>
      </c>
      <c r="D332" s="365" t="s">
        <v>418</v>
      </c>
      <c r="E332" s="386" t="e">
        <f t="shared" ca="1" si="88"/>
        <v>#DIV/0!</v>
      </c>
      <c r="F332" s="361" t="s">
        <v>2095</v>
      </c>
      <c r="G332" s="17"/>
      <c r="H332" s="5"/>
      <c r="I332" s="58">
        <v>1</v>
      </c>
      <c r="J332" s="22" t="s">
        <v>1653</v>
      </c>
      <c r="K332" s="340">
        <v>0</v>
      </c>
      <c r="L332" s="340">
        <v>0</v>
      </c>
      <c r="M332" s="340">
        <v>0</v>
      </c>
      <c r="N332" s="340">
        <v>0</v>
      </c>
      <c r="O332" s="340">
        <v>0</v>
      </c>
      <c r="P332" s="340">
        <v>0</v>
      </c>
      <c r="Q332" s="340">
        <v>0</v>
      </c>
      <c r="R332" s="340">
        <v>0</v>
      </c>
      <c r="S332" s="340">
        <v>0</v>
      </c>
      <c r="T332" s="340">
        <v>0</v>
      </c>
      <c r="U332" s="340">
        <v>0</v>
      </c>
      <c r="V332" s="340">
        <v>0</v>
      </c>
      <c r="W332" s="340">
        <v>0</v>
      </c>
      <c r="X332" s="340">
        <v>0</v>
      </c>
      <c r="Y332" s="340">
        <v>0</v>
      </c>
      <c r="Z332" s="340">
        <v>0</v>
      </c>
      <c r="AA332" s="340">
        <v>0</v>
      </c>
      <c r="AB332" s="340">
        <v>0</v>
      </c>
      <c r="AC332" s="340">
        <v>0</v>
      </c>
      <c r="AD332" s="340">
        <v>0</v>
      </c>
      <c r="AE332" s="340">
        <v>0</v>
      </c>
      <c r="AF332" s="340">
        <v>0</v>
      </c>
      <c r="AG332" s="340">
        <v>11.1</v>
      </c>
      <c r="AH332" s="340">
        <v>0.6</v>
      </c>
      <c r="AI332" s="340">
        <v>0.9</v>
      </c>
      <c r="AJ332" s="340">
        <v>0.5</v>
      </c>
      <c r="AK332" s="340">
        <v>8.1</v>
      </c>
      <c r="AL332" s="340"/>
      <c r="AM332" s="340"/>
      <c r="AN332" s="340"/>
      <c r="AO332" s="340"/>
      <c r="AP332" s="340"/>
      <c r="AQ332" s="340"/>
      <c r="AR332" s="340"/>
      <c r="AS332" s="340"/>
      <c r="AT332" s="340"/>
      <c r="AU332" s="340"/>
      <c r="AV332" s="340"/>
      <c r="AW332" s="340"/>
    </row>
    <row r="333" spans="1:49" s="1" customFormat="1" ht="15.6">
      <c r="A333" s="363" t="s">
        <v>2140</v>
      </c>
      <c r="B333" s="363" t="s">
        <v>2141</v>
      </c>
      <c r="C333" s="360">
        <f t="shared" ca="1" si="87"/>
        <v>0</v>
      </c>
      <c r="D333" s="365" t="s">
        <v>418</v>
      </c>
      <c r="E333" s="386" t="e">
        <f t="shared" ca="1" si="88"/>
        <v>#DIV/0!</v>
      </c>
      <c r="F333" s="361" t="s">
        <v>2095</v>
      </c>
      <c r="G333" s="17"/>
      <c r="H333" s="5"/>
      <c r="I333" s="58">
        <v>1</v>
      </c>
      <c r="J333" s="22" t="s">
        <v>1653</v>
      </c>
      <c r="K333" s="340">
        <v>0</v>
      </c>
      <c r="L333" s="340">
        <v>0</v>
      </c>
      <c r="M333" s="340">
        <v>0</v>
      </c>
      <c r="N333" s="340">
        <v>0</v>
      </c>
      <c r="O333" s="340">
        <v>0</v>
      </c>
      <c r="P333" s="340">
        <v>0</v>
      </c>
      <c r="Q333" s="340">
        <v>0</v>
      </c>
      <c r="R333" s="340">
        <v>0</v>
      </c>
      <c r="S333" s="340">
        <v>0</v>
      </c>
      <c r="T333" s="340">
        <v>0</v>
      </c>
      <c r="U333" s="340">
        <v>0</v>
      </c>
      <c r="V333" s="340">
        <v>0</v>
      </c>
      <c r="W333" s="340">
        <v>0</v>
      </c>
      <c r="X333" s="340">
        <v>0</v>
      </c>
      <c r="Y333" s="340">
        <v>0</v>
      </c>
      <c r="Z333" s="340">
        <v>0</v>
      </c>
      <c r="AA333" s="340">
        <v>0</v>
      </c>
      <c r="AB333" s="340">
        <v>0</v>
      </c>
      <c r="AC333" s="340">
        <v>0</v>
      </c>
      <c r="AD333" s="340">
        <v>0</v>
      </c>
      <c r="AE333" s="340">
        <v>0</v>
      </c>
      <c r="AF333" s="340">
        <v>0</v>
      </c>
      <c r="AG333" s="340">
        <v>29.8</v>
      </c>
      <c r="AH333" s="340">
        <v>2.1</v>
      </c>
      <c r="AI333" s="340">
        <v>0</v>
      </c>
      <c r="AJ333" s="340">
        <v>0</v>
      </c>
      <c r="AK333" s="340">
        <v>0</v>
      </c>
      <c r="AL333" s="340"/>
      <c r="AM333" s="340"/>
      <c r="AN333" s="340"/>
      <c r="AO333" s="340"/>
      <c r="AP333" s="340"/>
      <c r="AQ333" s="340"/>
      <c r="AR333" s="340"/>
      <c r="AS333" s="340"/>
      <c r="AT333" s="340"/>
      <c r="AU333" s="340"/>
      <c r="AV333" s="340"/>
      <c r="AW333" s="340"/>
    </row>
    <row r="334" spans="1:49" s="1" customFormat="1" ht="15" customHeight="1">
      <c r="A334" s="363" t="s">
        <v>2142</v>
      </c>
      <c r="B334" s="363" t="s">
        <v>2143</v>
      </c>
      <c r="C334" s="360">
        <f t="shared" ca="1" si="87"/>
        <v>8.9499999999999993</v>
      </c>
      <c r="D334" s="365" t="s">
        <v>418</v>
      </c>
      <c r="E334" s="386" t="e">
        <f t="shared" ca="1" si="88"/>
        <v>#DIV/0!</v>
      </c>
      <c r="F334" s="361" t="s">
        <v>2095</v>
      </c>
      <c r="G334" s="17"/>
      <c r="H334" s="5"/>
      <c r="I334" s="58">
        <v>1</v>
      </c>
      <c r="J334" s="22" t="s">
        <v>1653</v>
      </c>
      <c r="K334" s="340">
        <v>0</v>
      </c>
      <c r="L334" s="340">
        <v>0</v>
      </c>
      <c r="M334" s="340">
        <v>0</v>
      </c>
      <c r="N334" s="340">
        <v>0</v>
      </c>
      <c r="O334" s="340">
        <v>0</v>
      </c>
      <c r="P334" s="340">
        <v>0</v>
      </c>
      <c r="Q334" s="340">
        <v>0</v>
      </c>
      <c r="R334" s="340">
        <v>0</v>
      </c>
      <c r="S334" s="340">
        <v>0</v>
      </c>
      <c r="T334" s="340">
        <v>0</v>
      </c>
      <c r="U334" s="340">
        <v>0</v>
      </c>
      <c r="V334" s="340">
        <v>0</v>
      </c>
      <c r="W334" s="340">
        <v>0</v>
      </c>
      <c r="X334" s="340">
        <v>0</v>
      </c>
      <c r="Y334" s="340">
        <v>0</v>
      </c>
      <c r="Z334" s="340">
        <v>0</v>
      </c>
      <c r="AA334" s="340">
        <v>0</v>
      </c>
      <c r="AB334" s="340">
        <v>0</v>
      </c>
      <c r="AC334" s="340">
        <v>0</v>
      </c>
      <c r="AD334" s="340">
        <v>0</v>
      </c>
      <c r="AE334" s="340">
        <v>0</v>
      </c>
      <c r="AF334" s="340">
        <v>0</v>
      </c>
      <c r="AG334" s="340">
        <v>101.488</v>
      </c>
      <c r="AH334" s="340">
        <v>261.88200000000001</v>
      </c>
      <c r="AI334" s="340">
        <v>117.63500000000001</v>
      </c>
      <c r="AJ334" s="340">
        <v>8.9499999999999993</v>
      </c>
      <c r="AK334" s="340">
        <v>0</v>
      </c>
      <c r="AL334" s="340"/>
      <c r="AM334" s="340"/>
      <c r="AN334" s="340"/>
      <c r="AO334" s="340"/>
      <c r="AP334" s="340"/>
      <c r="AQ334" s="340"/>
      <c r="AR334" s="340"/>
      <c r="AS334" s="340"/>
      <c r="AT334" s="340"/>
      <c r="AU334" s="340"/>
      <c r="AV334" s="340"/>
      <c r="AW334" s="340"/>
    </row>
    <row r="335" spans="1:49" s="1" customFormat="1" ht="15.6">
      <c r="C335" s="78">
        <f t="shared" ca="1" si="87"/>
        <v>24633100</v>
      </c>
      <c r="D335" s="365"/>
      <c r="E335" s="390"/>
      <c r="F335" s="361" t="s">
        <v>2095</v>
      </c>
      <c r="G335" s="17"/>
      <c r="H335" s="5"/>
      <c r="I335" s="58">
        <v>1</v>
      </c>
      <c r="J335" s="22" t="s">
        <v>2144</v>
      </c>
      <c r="K335" s="345">
        <v>16225800</v>
      </c>
      <c r="L335" s="421">
        <v>16464800</v>
      </c>
      <c r="M335" s="344">
        <v>16621000</v>
      </c>
      <c r="N335" s="344">
        <v>16879700</v>
      </c>
      <c r="O335" s="344">
        <v>17271800</v>
      </c>
      <c r="P335" s="344">
        <v>17635500</v>
      </c>
      <c r="Q335" s="344">
        <v>18083300</v>
      </c>
      <c r="R335" s="674">
        <v>18494300</v>
      </c>
      <c r="S335" s="345">
        <v>18950900</v>
      </c>
      <c r="T335" s="345">
        <v>19377200</v>
      </c>
      <c r="U335" s="345">
        <v>19800900</v>
      </c>
      <c r="V335" s="345">
        <v>20290100</v>
      </c>
      <c r="W335" s="345">
        <v>20563000</v>
      </c>
      <c r="X335" s="421">
        <v>20809500</v>
      </c>
      <c r="Y335" s="421">
        <v>21037300</v>
      </c>
      <c r="Z335" s="421">
        <v>21292600</v>
      </c>
      <c r="AA335" s="421">
        <v>21587000</v>
      </c>
      <c r="AB335" s="421">
        <v>22049000</v>
      </c>
      <c r="AC335" s="421">
        <v>22364700</v>
      </c>
      <c r="AD335" s="421">
        <v>22652100</v>
      </c>
      <c r="AE335" s="421">
        <v>22968300</v>
      </c>
      <c r="AF335" s="421">
        <v>23359700</v>
      </c>
      <c r="AG335" s="421">
        <v>23740900</v>
      </c>
      <c r="AH335" s="421">
        <v>24076400</v>
      </c>
      <c r="AI335" s="1">
        <v>24353200</v>
      </c>
      <c r="AJ335" s="1">
        <v>24633100</v>
      </c>
      <c r="AK335" s="1250">
        <v>24822200</v>
      </c>
    </row>
    <row r="336" spans="1:49" s="1" customFormat="1" ht="15.6">
      <c r="A336" s="363" t="s">
        <v>2145</v>
      </c>
      <c r="B336" s="363" t="s">
        <v>2146</v>
      </c>
      <c r="C336" s="360">
        <f ca="1">OFFSET(K336,0,COUNT(L336:AJ336))</f>
        <v>279900</v>
      </c>
      <c r="D336" s="365" t="s">
        <v>418</v>
      </c>
      <c r="E336" s="386">
        <f ca="1">((OFFSET(K336,0,COUNT(L336:X336)))/(OFFSET(L336,0,COUNT(M336:X336)-1)))-1</f>
        <v>-9.6738732136313677E-2</v>
      </c>
      <c r="F336" s="367"/>
      <c r="G336" s="9"/>
      <c r="H336" s="9"/>
      <c r="I336" s="9"/>
      <c r="K336" s="340"/>
      <c r="L336" s="340">
        <f t="shared" ref="L336:Z336" si="89">IF(ISNUMBER(L335),(L335-K335),"")</f>
        <v>239000</v>
      </c>
      <c r="M336" s="340">
        <f t="shared" si="89"/>
        <v>156200</v>
      </c>
      <c r="N336" s="340">
        <f t="shared" si="89"/>
        <v>258700</v>
      </c>
      <c r="O336" s="340">
        <f t="shared" si="89"/>
        <v>392100</v>
      </c>
      <c r="P336" s="340">
        <f t="shared" si="89"/>
        <v>363700</v>
      </c>
      <c r="Q336" s="340">
        <f t="shared" si="89"/>
        <v>447800</v>
      </c>
      <c r="R336" s="350">
        <f t="shared" si="89"/>
        <v>411000</v>
      </c>
      <c r="S336" s="340">
        <f t="shared" si="89"/>
        <v>456600</v>
      </c>
      <c r="T336" s="340">
        <f t="shared" si="89"/>
        <v>426300</v>
      </c>
      <c r="U336" s="340">
        <f t="shared" si="89"/>
        <v>423700</v>
      </c>
      <c r="V336" s="340">
        <f t="shared" si="89"/>
        <v>489200</v>
      </c>
      <c r="W336" s="340">
        <f t="shared" si="89"/>
        <v>272900</v>
      </c>
      <c r="X336" s="340">
        <f t="shared" si="89"/>
        <v>246500</v>
      </c>
      <c r="Y336" s="340">
        <f t="shared" si="89"/>
        <v>227800</v>
      </c>
      <c r="Z336" s="340">
        <f t="shared" si="89"/>
        <v>255300</v>
      </c>
      <c r="AA336" s="340">
        <f t="shared" ref="AA336" si="90">IF(ISNUMBER(AA335),(AA335-Z335),"")</f>
        <v>294400</v>
      </c>
      <c r="AB336" s="340">
        <f t="shared" ref="AB336" si="91">IF(ISNUMBER(AB335),(AB335-AA335),"")</f>
        <v>462000</v>
      </c>
      <c r="AC336" s="340">
        <f t="shared" ref="AC336" si="92">IF(ISNUMBER(AC335),(AC335-AB335),"")</f>
        <v>315700</v>
      </c>
      <c r="AD336" s="340">
        <f t="shared" ref="AD336" si="93">IF(ISNUMBER(AD335),(AD335-AC335),"")</f>
        <v>287400</v>
      </c>
      <c r="AE336" s="340">
        <f t="shared" ref="AE336" si="94">IF(ISNUMBER(AE335),(AE335-AD335),"")</f>
        <v>316200</v>
      </c>
      <c r="AF336" s="340">
        <f t="shared" ref="AF336" si="95">IF(ISNUMBER(AF335),(AF335-AE335),"")</f>
        <v>391400</v>
      </c>
      <c r="AG336" s="340">
        <f t="shared" ref="AG336" si="96">IF(ISNUMBER(AG335),(AG335-AF335),"")</f>
        <v>381200</v>
      </c>
      <c r="AH336" s="340">
        <f t="shared" ref="AH336" si="97">IF(ISNUMBER(AH335),(AH335-AG335),"")</f>
        <v>335500</v>
      </c>
      <c r="AI336" s="340">
        <f t="shared" ref="AI336" si="98">IF(ISNUMBER(AI335),(AI335-AH335),"")</f>
        <v>276800</v>
      </c>
      <c r="AJ336" s="340">
        <f t="shared" ref="AJ336" si="99">IF(ISNUMBER(AJ335),(AJ335-AI335),"")</f>
        <v>279900</v>
      </c>
      <c r="AK336" s="340">
        <f t="shared" ref="AK336:AL336" si="100">IF(ISNUMBER(AK335),(AK335-AJ335),"")</f>
        <v>189100</v>
      </c>
      <c r="AL336" s="340" t="str">
        <f t="shared" si="100"/>
        <v/>
      </c>
      <c r="AM336" s="340" t="str">
        <f t="shared" ref="AM336" si="101">IF(ISNUMBER(AM335),(AM335-AL335),"")</f>
        <v/>
      </c>
      <c r="AN336" s="340" t="str">
        <f t="shared" ref="AN336" si="102">IF(ISNUMBER(AN335),(AN335-AM335),"")</f>
        <v/>
      </c>
      <c r="AO336" s="340" t="str">
        <f t="shared" ref="AO336" si="103">IF(ISNUMBER(AO335),(AO335-AN335),"")</f>
        <v/>
      </c>
      <c r="AP336" s="340" t="str">
        <f t="shared" ref="AP336" si="104">IF(ISNUMBER(AP335),(AP335-AO335),"")</f>
        <v/>
      </c>
      <c r="AQ336" s="340" t="str">
        <f t="shared" ref="AQ336" si="105">IF(ISNUMBER(AQ335),(AQ335-AP335),"")</f>
        <v/>
      </c>
      <c r="AR336" s="340" t="str">
        <f t="shared" ref="AR336" si="106">IF(ISNUMBER(AR335),(AR335-AQ335),"")</f>
        <v/>
      </c>
      <c r="AS336" s="340" t="str">
        <f t="shared" ref="AS336" si="107">IF(ISNUMBER(AS335),(AS335-AR335),"")</f>
        <v/>
      </c>
      <c r="AT336" s="340" t="str">
        <f t="shared" ref="AT336" si="108">IF(ISNUMBER(AT335),(AT335-AS335),"")</f>
        <v/>
      </c>
      <c r="AU336" s="340" t="str">
        <f t="shared" ref="AU336" si="109">IF(ISNUMBER(AU335),(AU335-AT335),"")</f>
        <v/>
      </c>
      <c r="AV336" s="340" t="str">
        <f t="shared" ref="AV336" si="110">IF(ISNUMBER(AV335),(AV335-AU335),"")</f>
        <v/>
      </c>
      <c r="AW336" s="340" t="str">
        <f t="shared" ref="AW336" si="111">IF(ISNUMBER(AW335),(AW335-AV335),"")</f>
        <v/>
      </c>
    </row>
    <row r="337" spans="1:16380" s="62" customFormat="1" ht="15.6">
      <c r="A337" s="361"/>
      <c r="B337" s="361"/>
      <c r="C337" s="368"/>
      <c r="D337" s="365"/>
      <c r="E337" s="390"/>
      <c r="F337" s="374" t="s">
        <v>2095</v>
      </c>
      <c r="G337" s="8" t="s">
        <v>2147</v>
      </c>
      <c r="H337" s="58"/>
      <c r="I337" s="5"/>
      <c r="J337" s="22" t="s">
        <v>1649</v>
      </c>
      <c r="K337" s="344">
        <v>9232</v>
      </c>
      <c r="L337" s="344">
        <v>9232</v>
      </c>
      <c r="M337" s="344">
        <v>9232</v>
      </c>
      <c r="N337" s="344">
        <v>9232</v>
      </c>
      <c r="O337" s="344">
        <v>9232</v>
      </c>
      <c r="P337" s="344">
        <v>9232</v>
      </c>
      <c r="Q337" s="344">
        <v>9232</v>
      </c>
      <c r="R337" s="674">
        <v>9232</v>
      </c>
      <c r="S337" s="344">
        <v>9232</v>
      </c>
      <c r="T337" s="344">
        <v>9232</v>
      </c>
      <c r="U337" s="344">
        <v>9232</v>
      </c>
      <c r="V337" s="344">
        <v>9232</v>
      </c>
      <c r="W337" s="344">
        <v>9232</v>
      </c>
      <c r="X337" s="344">
        <v>9232</v>
      </c>
      <c r="Y337" s="344">
        <v>9232</v>
      </c>
      <c r="Z337" s="344">
        <v>9232</v>
      </c>
      <c r="AA337" s="344">
        <v>9232</v>
      </c>
      <c r="AB337" s="344">
        <v>9232</v>
      </c>
      <c r="AC337" s="344">
        <v>9232</v>
      </c>
      <c r="AD337" s="344">
        <v>9232</v>
      </c>
      <c r="AE337" s="344">
        <v>9232</v>
      </c>
      <c r="AF337" s="344">
        <v>9232</v>
      </c>
      <c r="AG337" s="344">
        <v>9232</v>
      </c>
      <c r="AH337" s="344">
        <v>9232</v>
      </c>
      <c r="AI337" s="1">
        <v>9232</v>
      </c>
      <c r="AJ337" s="1">
        <v>9232</v>
      </c>
      <c r="AK337" s="1">
        <v>9232</v>
      </c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  <c r="IZ337" s="1"/>
      <c r="JA337" s="1"/>
      <c r="JB337" s="1"/>
      <c r="JC337" s="1"/>
      <c r="JD337" s="1"/>
      <c r="JE337" s="1"/>
      <c r="JF337" s="1"/>
      <c r="JG337" s="1"/>
      <c r="JH337" s="1"/>
      <c r="JI337" s="1"/>
      <c r="JJ337" s="1"/>
      <c r="JK337" s="1"/>
      <c r="JL337" s="1"/>
      <c r="JM337" s="1"/>
      <c r="JN337" s="1"/>
      <c r="JO337" s="1"/>
      <c r="JP337" s="1"/>
      <c r="JQ337" s="1"/>
      <c r="JR337" s="1"/>
      <c r="JS337" s="1"/>
      <c r="JT337" s="1"/>
      <c r="JU337" s="1"/>
      <c r="JV337" s="1"/>
      <c r="JW337" s="1"/>
      <c r="JX337" s="1"/>
      <c r="JY337" s="1"/>
      <c r="JZ337" s="1"/>
      <c r="KA337" s="1"/>
      <c r="KB337" s="1"/>
      <c r="KC337" s="1"/>
      <c r="KD337" s="1"/>
      <c r="KE337" s="1"/>
      <c r="KF337" s="1"/>
      <c r="KG337" s="1"/>
      <c r="KH337" s="1"/>
      <c r="KI337" s="1"/>
      <c r="KJ337" s="1"/>
      <c r="KK337" s="1"/>
      <c r="KL337" s="1"/>
      <c r="KM337" s="1"/>
      <c r="KN337" s="1"/>
      <c r="KO337" s="1"/>
      <c r="KP337" s="1"/>
      <c r="KQ337" s="1"/>
      <c r="KR337" s="1"/>
      <c r="KS337" s="1"/>
      <c r="KT337" s="1"/>
      <c r="KU337" s="1"/>
      <c r="KV337" s="1"/>
      <c r="KW337" s="1"/>
      <c r="KX337" s="1"/>
      <c r="KY337" s="1"/>
      <c r="KZ337" s="1"/>
      <c r="LA337" s="1"/>
      <c r="LB337" s="1"/>
      <c r="LC337" s="1"/>
      <c r="LD337" s="1"/>
      <c r="LE337" s="1"/>
      <c r="LF337" s="1"/>
      <c r="LG337" s="1"/>
      <c r="LH337" s="1"/>
      <c r="LI337" s="1"/>
      <c r="LJ337" s="1"/>
      <c r="LK337" s="1"/>
      <c r="LL337" s="1"/>
      <c r="LM337" s="1"/>
      <c r="LN337" s="1"/>
      <c r="LO337" s="1"/>
      <c r="LP337" s="1"/>
      <c r="LQ337" s="1"/>
      <c r="LR337" s="1"/>
      <c r="LS337" s="1"/>
      <c r="LT337" s="1"/>
      <c r="LU337" s="1"/>
      <c r="LV337" s="1"/>
      <c r="LW337" s="1"/>
      <c r="LX337" s="1"/>
      <c r="LY337" s="1"/>
      <c r="LZ337" s="1"/>
      <c r="MA337" s="1"/>
      <c r="MB337" s="1"/>
      <c r="MC337" s="1"/>
      <c r="MD337" s="1"/>
      <c r="ME337" s="1"/>
      <c r="MF337" s="1"/>
      <c r="MG337" s="1"/>
      <c r="MH337" s="1"/>
      <c r="MI337" s="1"/>
      <c r="MJ337" s="1"/>
      <c r="MK337" s="1"/>
      <c r="ML337" s="1"/>
      <c r="MM337" s="1"/>
      <c r="MN337" s="1"/>
      <c r="MO337" s="1"/>
      <c r="MP337" s="1"/>
      <c r="MQ337" s="1"/>
      <c r="MR337" s="1"/>
      <c r="MS337" s="1"/>
      <c r="MT337" s="1"/>
      <c r="MU337" s="1"/>
      <c r="MV337" s="1"/>
      <c r="MW337" s="1"/>
      <c r="MX337" s="1"/>
      <c r="MY337" s="1"/>
      <c r="MZ337" s="1"/>
      <c r="NA337" s="1"/>
      <c r="NB337" s="1"/>
      <c r="NC337" s="1"/>
      <c r="ND337" s="1"/>
      <c r="NE337" s="1"/>
      <c r="NF337" s="1"/>
      <c r="NG337" s="1"/>
      <c r="NH337" s="1"/>
      <c r="NI337" s="1"/>
      <c r="NJ337" s="1"/>
      <c r="NK337" s="1"/>
      <c r="NL337" s="1"/>
      <c r="NM337" s="1"/>
      <c r="NN337" s="1"/>
      <c r="NO337" s="1"/>
      <c r="NP337" s="1"/>
      <c r="NQ337" s="1"/>
      <c r="NR337" s="1"/>
      <c r="NS337" s="1"/>
      <c r="NT337" s="1"/>
      <c r="NU337" s="1"/>
      <c r="NV337" s="1"/>
      <c r="NW337" s="1"/>
      <c r="NX337" s="1"/>
      <c r="NY337" s="1"/>
      <c r="NZ337" s="1"/>
      <c r="OA337" s="1"/>
      <c r="OB337" s="1"/>
      <c r="OC337" s="1"/>
      <c r="OD337" s="1"/>
      <c r="OE337" s="1"/>
      <c r="OF337" s="1"/>
      <c r="OG337" s="1"/>
      <c r="OH337" s="1"/>
      <c r="OI337" s="1"/>
      <c r="OJ337" s="1"/>
      <c r="OK337" s="1"/>
      <c r="OL337" s="1"/>
      <c r="OM337" s="1"/>
      <c r="ON337" s="1"/>
      <c r="OO337" s="1"/>
      <c r="OP337" s="1"/>
      <c r="OQ337" s="1"/>
      <c r="OR337" s="1"/>
      <c r="OS337" s="1"/>
      <c r="OT337" s="1"/>
      <c r="OU337" s="1"/>
      <c r="OV337" s="1"/>
      <c r="OW337" s="1"/>
      <c r="OX337" s="1"/>
      <c r="OY337" s="1"/>
      <c r="OZ337" s="1"/>
      <c r="PA337" s="1"/>
      <c r="PB337" s="1"/>
      <c r="PC337" s="1"/>
      <c r="PD337" s="1"/>
      <c r="PE337" s="1"/>
      <c r="PF337" s="1"/>
      <c r="PG337" s="1"/>
      <c r="PH337" s="1"/>
      <c r="PI337" s="1"/>
      <c r="PJ337" s="1"/>
      <c r="PK337" s="1"/>
      <c r="PL337" s="1"/>
      <c r="PM337" s="1"/>
      <c r="PN337" s="1"/>
      <c r="PO337" s="1"/>
      <c r="PP337" s="1"/>
      <c r="PQ337" s="1"/>
      <c r="PR337" s="1"/>
      <c r="PS337" s="1"/>
      <c r="PT337" s="1"/>
      <c r="PU337" s="1"/>
      <c r="PV337" s="1"/>
      <c r="PW337" s="1"/>
      <c r="PX337" s="1"/>
      <c r="PY337" s="1"/>
      <c r="PZ337" s="1"/>
      <c r="QA337" s="1"/>
      <c r="QB337" s="1"/>
      <c r="QC337" s="1"/>
      <c r="QD337" s="1"/>
      <c r="QE337" s="1"/>
      <c r="QF337" s="1"/>
      <c r="QG337" s="1"/>
      <c r="QH337" s="1"/>
      <c r="QI337" s="1"/>
      <c r="QJ337" s="1"/>
      <c r="QK337" s="1"/>
      <c r="QL337" s="1"/>
      <c r="QM337" s="1"/>
      <c r="QN337" s="1"/>
      <c r="QO337" s="1"/>
      <c r="QP337" s="1"/>
      <c r="QQ337" s="1"/>
      <c r="QR337" s="1"/>
      <c r="QS337" s="1"/>
      <c r="QT337" s="1"/>
      <c r="QU337" s="1"/>
      <c r="QV337" s="1"/>
      <c r="QW337" s="1"/>
      <c r="QX337" s="1"/>
      <c r="QY337" s="1"/>
      <c r="QZ337" s="1"/>
      <c r="RA337" s="1"/>
      <c r="RB337" s="1"/>
      <c r="RC337" s="1"/>
      <c r="RD337" s="1"/>
      <c r="RE337" s="1"/>
      <c r="RF337" s="1"/>
      <c r="RG337" s="1"/>
      <c r="RH337" s="1"/>
      <c r="RI337" s="1"/>
      <c r="RJ337" s="1"/>
      <c r="RK337" s="1"/>
      <c r="RL337" s="1"/>
      <c r="RM337" s="1"/>
      <c r="RN337" s="1"/>
      <c r="RO337" s="1"/>
      <c r="RP337" s="1"/>
      <c r="RQ337" s="1"/>
      <c r="RR337" s="1"/>
      <c r="RS337" s="1"/>
      <c r="RT337" s="1"/>
      <c r="RU337" s="1"/>
      <c r="RV337" s="1"/>
      <c r="RW337" s="1"/>
      <c r="RX337" s="1"/>
      <c r="RY337" s="1"/>
      <c r="RZ337" s="1"/>
      <c r="SA337" s="1"/>
      <c r="SB337" s="1"/>
      <c r="SC337" s="1"/>
      <c r="SD337" s="1"/>
      <c r="SE337" s="1"/>
      <c r="SF337" s="1"/>
      <c r="SG337" s="1"/>
      <c r="SH337" s="1"/>
      <c r="SI337" s="1"/>
      <c r="SJ337" s="1"/>
      <c r="SK337" s="1"/>
      <c r="SL337" s="1"/>
      <c r="SM337" s="1"/>
      <c r="SN337" s="1"/>
      <c r="SO337" s="1"/>
      <c r="SP337" s="1"/>
      <c r="SQ337" s="1"/>
      <c r="SR337" s="1"/>
      <c r="SS337" s="1"/>
      <c r="ST337" s="1"/>
      <c r="SU337" s="1"/>
      <c r="SV337" s="1"/>
      <c r="SW337" s="1"/>
      <c r="SX337" s="1"/>
      <c r="SY337" s="1"/>
      <c r="SZ337" s="1"/>
      <c r="TA337" s="1"/>
      <c r="TB337" s="1"/>
      <c r="TC337" s="1"/>
      <c r="TD337" s="1"/>
      <c r="TE337" s="1"/>
      <c r="TF337" s="1"/>
      <c r="TG337" s="1"/>
      <c r="TH337" s="1"/>
      <c r="TI337" s="1"/>
      <c r="TJ337" s="1"/>
      <c r="TK337" s="1"/>
      <c r="TL337" s="1"/>
      <c r="TM337" s="1"/>
      <c r="TN337" s="1"/>
      <c r="TO337" s="1"/>
      <c r="TP337" s="1"/>
      <c r="TQ337" s="1"/>
      <c r="TR337" s="1"/>
      <c r="TS337" s="1"/>
      <c r="TT337" s="1"/>
      <c r="TU337" s="1"/>
      <c r="TV337" s="1"/>
      <c r="TW337" s="1"/>
      <c r="TX337" s="1"/>
      <c r="TY337" s="1"/>
      <c r="TZ337" s="1"/>
      <c r="UA337" s="1"/>
      <c r="UB337" s="1"/>
      <c r="UC337" s="1"/>
      <c r="UD337" s="1"/>
      <c r="UE337" s="1"/>
      <c r="UF337" s="1"/>
      <c r="UG337" s="1"/>
      <c r="UH337" s="1"/>
      <c r="UI337" s="1"/>
      <c r="UJ337" s="1"/>
      <c r="UK337" s="1"/>
      <c r="UL337" s="1"/>
      <c r="UM337" s="1"/>
      <c r="UN337" s="1"/>
      <c r="UO337" s="1"/>
      <c r="UP337" s="1"/>
      <c r="UQ337" s="1"/>
      <c r="UR337" s="1"/>
      <c r="US337" s="1"/>
      <c r="UT337" s="1"/>
      <c r="UU337" s="1"/>
      <c r="UV337" s="1"/>
      <c r="UW337" s="1"/>
      <c r="UX337" s="1"/>
      <c r="UY337" s="1"/>
      <c r="UZ337" s="1"/>
      <c r="VA337" s="1"/>
      <c r="VB337" s="1"/>
      <c r="VC337" s="1"/>
      <c r="VD337" s="1"/>
      <c r="VE337" s="1"/>
      <c r="VF337" s="1"/>
      <c r="VG337" s="1"/>
      <c r="VH337" s="1"/>
      <c r="VI337" s="1"/>
      <c r="VJ337" s="1"/>
      <c r="VK337" s="1"/>
      <c r="VL337" s="1"/>
      <c r="VM337" s="1"/>
      <c r="VN337" s="1"/>
      <c r="VO337" s="1"/>
      <c r="VP337" s="1"/>
      <c r="VQ337" s="1"/>
      <c r="VR337" s="1"/>
      <c r="VS337" s="1"/>
      <c r="VT337" s="1"/>
      <c r="VU337" s="1"/>
      <c r="VV337" s="1"/>
      <c r="VW337" s="1"/>
      <c r="VX337" s="1"/>
      <c r="VY337" s="1"/>
      <c r="VZ337" s="1"/>
      <c r="WA337" s="1"/>
      <c r="WB337" s="1"/>
      <c r="WC337" s="1"/>
      <c r="WD337" s="1"/>
      <c r="WE337" s="1"/>
      <c r="WF337" s="1"/>
      <c r="WG337" s="1"/>
      <c r="WH337" s="1"/>
      <c r="WI337" s="1"/>
      <c r="WJ337" s="1"/>
      <c r="WK337" s="1"/>
      <c r="WL337" s="1"/>
      <c r="WM337" s="1"/>
      <c r="WN337" s="1"/>
      <c r="WO337" s="1"/>
      <c r="WP337" s="1"/>
      <c r="WQ337" s="1"/>
      <c r="WR337" s="1"/>
      <c r="WS337" s="1"/>
      <c r="WT337" s="1"/>
      <c r="WU337" s="1"/>
      <c r="WV337" s="1"/>
      <c r="WW337" s="1"/>
      <c r="WX337" s="1"/>
      <c r="WY337" s="1"/>
      <c r="WZ337" s="1"/>
      <c r="XA337" s="1"/>
      <c r="XB337" s="1"/>
      <c r="XC337" s="1"/>
      <c r="XD337" s="1"/>
      <c r="XE337" s="1"/>
      <c r="XF337" s="1"/>
      <c r="XG337" s="1"/>
      <c r="XH337" s="1"/>
      <c r="XI337" s="1"/>
      <c r="XJ337" s="1"/>
      <c r="XK337" s="1"/>
      <c r="XL337" s="1"/>
      <c r="XM337" s="1"/>
      <c r="XN337" s="1"/>
      <c r="XO337" s="1"/>
      <c r="XP337" s="1"/>
      <c r="XQ337" s="1"/>
      <c r="XR337" s="1"/>
      <c r="XS337" s="1"/>
      <c r="XT337" s="1"/>
      <c r="XU337" s="1"/>
      <c r="XV337" s="1"/>
      <c r="XW337" s="1"/>
      <c r="XX337" s="1"/>
      <c r="XY337" s="1"/>
      <c r="XZ337" s="1"/>
      <c r="YA337" s="1"/>
      <c r="YB337" s="1"/>
      <c r="YC337" s="1"/>
      <c r="YD337" s="1"/>
      <c r="YE337" s="1"/>
      <c r="YF337" s="1"/>
      <c r="YG337" s="1"/>
      <c r="YH337" s="1"/>
      <c r="YI337" s="1"/>
      <c r="YJ337" s="1"/>
      <c r="YK337" s="1"/>
      <c r="YL337" s="1"/>
      <c r="YM337" s="1"/>
      <c r="YN337" s="1"/>
      <c r="YO337" s="1"/>
      <c r="YP337" s="1"/>
      <c r="YQ337" s="1"/>
      <c r="YR337" s="1"/>
      <c r="YS337" s="1"/>
      <c r="YT337" s="1"/>
      <c r="YU337" s="1"/>
      <c r="YV337" s="1"/>
      <c r="YW337" s="1"/>
      <c r="YX337" s="1"/>
      <c r="YY337" s="1"/>
      <c r="YZ337" s="1"/>
      <c r="ZA337" s="1"/>
      <c r="ZB337" s="1"/>
      <c r="ZC337" s="1"/>
      <c r="ZD337" s="1"/>
      <c r="ZE337" s="1"/>
      <c r="ZF337" s="1"/>
      <c r="ZG337" s="1"/>
      <c r="ZH337" s="1"/>
      <c r="ZI337" s="1"/>
      <c r="ZJ337" s="1"/>
      <c r="ZK337" s="1"/>
      <c r="ZL337" s="1"/>
      <c r="ZM337" s="1"/>
      <c r="ZN337" s="1"/>
      <c r="ZO337" s="1"/>
      <c r="ZP337" s="1"/>
      <c r="ZQ337" s="1"/>
      <c r="ZR337" s="1"/>
      <c r="ZS337" s="1"/>
      <c r="ZT337" s="1"/>
      <c r="ZU337" s="1"/>
      <c r="ZV337" s="1"/>
      <c r="ZW337" s="1"/>
      <c r="ZX337" s="1"/>
      <c r="ZY337" s="1"/>
      <c r="ZZ337" s="1"/>
      <c r="AAA337" s="1"/>
      <c r="AAB337" s="1"/>
      <c r="AAC337" s="1"/>
      <c r="AAD337" s="1"/>
      <c r="AAE337" s="1"/>
      <c r="AAF337" s="1"/>
      <c r="AAG337" s="1"/>
      <c r="AAH337" s="1"/>
      <c r="AAI337" s="1"/>
      <c r="AAJ337" s="1"/>
      <c r="AAK337" s="1"/>
      <c r="AAL337" s="1"/>
      <c r="AAM337" s="1"/>
      <c r="AAN337" s="1"/>
      <c r="AAO337" s="1"/>
      <c r="AAP337" s="1"/>
      <c r="AAQ337" s="1"/>
      <c r="AAR337" s="1"/>
      <c r="AAS337" s="1"/>
      <c r="AAT337" s="1"/>
      <c r="AAU337" s="1"/>
      <c r="AAV337" s="1"/>
      <c r="AAW337" s="1"/>
      <c r="AAX337" s="1"/>
      <c r="AAY337" s="1"/>
      <c r="AAZ337" s="1"/>
      <c r="ABA337" s="1"/>
      <c r="ABB337" s="1"/>
      <c r="ABC337" s="1"/>
      <c r="ABD337" s="1"/>
      <c r="ABE337" s="1"/>
      <c r="ABF337" s="1"/>
      <c r="ABG337" s="1"/>
      <c r="ABH337" s="1"/>
      <c r="ABI337" s="1"/>
      <c r="ABJ337" s="1"/>
      <c r="ABK337" s="1"/>
      <c r="ABL337" s="1"/>
      <c r="ABM337" s="1"/>
      <c r="ABN337" s="1"/>
      <c r="ABO337" s="1"/>
      <c r="ABP337" s="1"/>
      <c r="ABQ337" s="1"/>
      <c r="ABR337" s="1"/>
      <c r="ABS337" s="1"/>
      <c r="ABT337" s="1"/>
      <c r="ABU337" s="1"/>
      <c r="ABV337" s="1"/>
      <c r="ABW337" s="1"/>
      <c r="ABX337" s="1"/>
      <c r="ABY337" s="1"/>
      <c r="ABZ337" s="1"/>
      <c r="ACA337" s="1"/>
      <c r="ACB337" s="1"/>
      <c r="ACC337" s="1"/>
      <c r="ACD337" s="1"/>
      <c r="ACE337" s="1"/>
      <c r="ACF337" s="1"/>
      <c r="ACG337" s="1"/>
      <c r="ACH337" s="1"/>
      <c r="ACI337" s="1"/>
      <c r="ACJ337" s="1"/>
      <c r="ACK337" s="1"/>
      <c r="ACL337" s="1"/>
      <c r="ACM337" s="1"/>
      <c r="ACN337" s="1"/>
      <c r="ACO337" s="1"/>
      <c r="ACP337" s="1"/>
      <c r="ACQ337" s="1"/>
      <c r="ACR337" s="1"/>
      <c r="ACS337" s="1"/>
      <c r="ACT337" s="1"/>
      <c r="ACU337" s="1"/>
      <c r="ACV337" s="1"/>
      <c r="ACW337" s="1"/>
      <c r="ACX337" s="1"/>
      <c r="ACY337" s="1"/>
      <c r="ACZ337" s="1"/>
      <c r="ADA337" s="1"/>
      <c r="ADB337" s="1"/>
      <c r="ADC337" s="1"/>
      <c r="ADD337" s="1"/>
      <c r="ADE337" s="1"/>
      <c r="ADF337" s="1"/>
      <c r="ADG337" s="1"/>
      <c r="ADH337" s="1"/>
      <c r="ADI337" s="1"/>
      <c r="ADJ337" s="1"/>
      <c r="ADK337" s="1"/>
      <c r="ADL337" s="1"/>
      <c r="ADM337" s="1"/>
      <c r="ADN337" s="1"/>
      <c r="ADO337" s="1"/>
      <c r="ADP337" s="1"/>
      <c r="ADQ337" s="1"/>
      <c r="ADR337" s="1"/>
      <c r="ADS337" s="1"/>
      <c r="ADT337" s="1"/>
      <c r="ADU337" s="1"/>
      <c r="ADV337" s="1"/>
      <c r="ADW337" s="1"/>
      <c r="ADX337" s="1"/>
      <c r="ADY337" s="1"/>
      <c r="ADZ337" s="1"/>
      <c r="AEA337" s="1"/>
      <c r="AEB337" s="1"/>
      <c r="AEC337" s="1"/>
      <c r="AED337" s="1"/>
      <c r="AEE337" s="1"/>
      <c r="AEF337" s="1"/>
      <c r="AEG337" s="1"/>
      <c r="AEH337" s="1"/>
      <c r="AEI337" s="1"/>
      <c r="AEJ337" s="1"/>
      <c r="AEK337" s="1"/>
      <c r="AEL337" s="1"/>
      <c r="AEM337" s="1"/>
      <c r="AEN337" s="1"/>
      <c r="AEO337" s="1"/>
      <c r="AEP337" s="1"/>
      <c r="AEQ337" s="1"/>
      <c r="AER337" s="1"/>
      <c r="AES337" s="1"/>
      <c r="AET337" s="1"/>
      <c r="AEU337" s="1"/>
      <c r="AEV337" s="1"/>
      <c r="AEW337" s="1"/>
      <c r="AEX337" s="1"/>
      <c r="AEY337" s="1"/>
      <c r="AEZ337" s="1"/>
      <c r="AFA337" s="1"/>
      <c r="AFB337" s="1"/>
      <c r="AFC337" s="1"/>
      <c r="AFD337" s="1"/>
      <c r="AFE337" s="1"/>
      <c r="AFF337" s="1"/>
      <c r="AFG337" s="1"/>
      <c r="AFH337" s="1"/>
      <c r="AFI337" s="1"/>
      <c r="AFJ337" s="1"/>
      <c r="AFK337" s="1"/>
      <c r="AFL337" s="1"/>
      <c r="AFM337" s="1"/>
      <c r="AFN337" s="1"/>
      <c r="AFO337" s="1"/>
      <c r="AFP337" s="1"/>
      <c r="AFQ337" s="1"/>
      <c r="AFR337" s="1"/>
      <c r="AFS337" s="1"/>
      <c r="AFT337" s="1"/>
      <c r="AFU337" s="1"/>
      <c r="AFV337" s="1"/>
      <c r="AFW337" s="1"/>
      <c r="AFX337" s="1"/>
      <c r="AFY337" s="1"/>
      <c r="AFZ337" s="1"/>
      <c r="AGA337" s="1"/>
      <c r="AGB337" s="1"/>
      <c r="AGC337" s="1"/>
      <c r="AGD337" s="1"/>
      <c r="AGE337" s="1"/>
      <c r="AGF337" s="1"/>
      <c r="AGG337" s="1"/>
      <c r="AGH337" s="1"/>
      <c r="AGI337" s="1"/>
      <c r="AGJ337" s="1"/>
      <c r="AGK337" s="1"/>
      <c r="AGL337" s="1"/>
      <c r="AGM337" s="1"/>
      <c r="AGN337" s="1"/>
      <c r="AGO337" s="1"/>
      <c r="AGP337" s="1"/>
      <c r="AGQ337" s="1"/>
      <c r="AGR337" s="1"/>
      <c r="AGS337" s="1"/>
      <c r="AGT337" s="1"/>
      <c r="AGU337" s="1"/>
      <c r="AGV337" s="1"/>
      <c r="AGW337" s="1"/>
      <c r="AGX337" s="1"/>
      <c r="AGY337" s="1"/>
      <c r="AGZ337" s="1"/>
      <c r="AHA337" s="1"/>
      <c r="AHB337" s="1"/>
      <c r="AHC337" s="1"/>
      <c r="AHD337" s="1"/>
      <c r="AHE337" s="1"/>
      <c r="AHF337" s="1"/>
      <c r="AHG337" s="1"/>
      <c r="AHH337" s="1"/>
      <c r="AHI337" s="1"/>
      <c r="AHJ337" s="1"/>
      <c r="AHK337" s="1"/>
      <c r="AHL337" s="1"/>
      <c r="AHM337" s="1"/>
      <c r="AHN337" s="1"/>
      <c r="AHO337" s="1"/>
      <c r="AHP337" s="1"/>
      <c r="AHQ337" s="1"/>
      <c r="AHR337" s="1"/>
      <c r="AHS337" s="1"/>
      <c r="AHT337" s="1"/>
      <c r="AHU337" s="1"/>
      <c r="AHV337" s="1"/>
      <c r="AHW337" s="1"/>
      <c r="AHX337" s="1"/>
      <c r="AHY337" s="1"/>
      <c r="AHZ337" s="1"/>
      <c r="AIA337" s="1"/>
      <c r="AIB337" s="1"/>
      <c r="AIC337" s="1"/>
      <c r="AID337" s="1"/>
      <c r="AIE337" s="1"/>
      <c r="AIF337" s="1"/>
      <c r="AIG337" s="1"/>
      <c r="AIH337" s="1"/>
      <c r="AII337" s="1"/>
      <c r="AIJ337" s="1"/>
      <c r="AIK337" s="1"/>
      <c r="AIL337" s="1"/>
      <c r="AIM337" s="1"/>
      <c r="AIN337" s="1"/>
      <c r="AIO337" s="1"/>
      <c r="AIP337" s="1"/>
      <c r="AIQ337" s="1"/>
      <c r="AIR337" s="1"/>
      <c r="AIS337" s="1"/>
      <c r="AIT337" s="1"/>
      <c r="AIU337" s="1"/>
      <c r="AIV337" s="1"/>
      <c r="AIW337" s="1"/>
      <c r="AIX337" s="1"/>
      <c r="AIY337" s="1"/>
      <c r="AIZ337" s="1"/>
      <c r="AJA337" s="1"/>
      <c r="AJB337" s="1"/>
      <c r="AJC337" s="1"/>
      <c r="AJD337" s="1"/>
      <c r="AJE337" s="1"/>
      <c r="AJF337" s="1"/>
      <c r="AJG337" s="1"/>
      <c r="AJH337" s="1"/>
      <c r="AJI337" s="1"/>
      <c r="AJJ337" s="1"/>
      <c r="AJK337" s="1"/>
      <c r="AJL337" s="1"/>
      <c r="AJM337" s="1"/>
      <c r="AJN337" s="1"/>
      <c r="AJO337" s="1"/>
      <c r="AJP337" s="1"/>
      <c r="AJQ337" s="1"/>
      <c r="AJR337" s="1"/>
      <c r="AJS337" s="1"/>
      <c r="AJT337" s="1"/>
      <c r="AJU337" s="1"/>
      <c r="AJV337" s="1"/>
      <c r="AJW337" s="1"/>
      <c r="AJX337" s="1"/>
      <c r="AJY337" s="1"/>
      <c r="AJZ337" s="1"/>
      <c r="AKA337" s="1"/>
      <c r="AKB337" s="1"/>
      <c r="AKC337" s="1"/>
      <c r="AKD337" s="1"/>
      <c r="AKE337" s="1"/>
      <c r="AKF337" s="1"/>
      <c r="AKG337" s="1"/>
      <c r="AKH337" s="1"/>
      <c r="AKI337" s="1"/>
      <c r="AKJ337" s="1"/>
      <c r="AKK337" s="1"/>
      <c r="AKL337" s="1"/>
      <c r="AKM337" s="1"/>
      <c r="AKN337" s="1"/>
      <c r="AKO337" s="1"/>
      <c r="AKP337" s="1"/>
      <c r="AKQ337" s="1"/>
      <c r="AKR337" s="1"/>
      <c r="AKS337" s="1"/>
      <c r="AKT337" s="1"/>
      <c r="AKU337" s="1"/>
      <c r="AKV337" s="1"/>
      <c r="AKW337" s="1"/>
      <c r="AKX337" s="1"/>
      <c r="AKY337" s="1"/>
      <c r="AKZ337" s="1"/>
      <c r="ALA337" s="1"/>
      <c r="ALB337" s="1"/>
      <c r="ALC337" s="1"/>
      <c r="ALD337" s="1"/>
      <c r="ALE337" s="1"/>
      <c r="ALF337" s="1"/>
      <c r="ALG337" s="1"/>
      <c r="ALH337" s="1"/>
      <c r="ALI337" s="1"/>
      <c r="ALJ337" s="1"/>
      <c r="ALK337" s="1"/>
      <c r="ALL337" s="1"/>
      <c r="ALM337" s="1"/>
      <c r="ALN337" s="1"/>
      <c r="ALO337" s="1"/>
      <c r="ALP337" s="1"/>
      <c r="ALQ337" s="1"/>
      <c r="ALR337" s="1"/>
      <c r="ALS337" s="1"/>
      <c r="ALT337" s="1"/>
      <c r="ALU337" s="1"/>
      <c r="ALV337" s="1"/>
      <c r="ALW337" s="1"/>
      <c r="ALX337" s="1"/>
      <c r="ALY337" s="1"/>
      <c r="ALZ337" s="1"/>
      <c r="AMA337" s="1"/>
      <c r="AMB337" s="1"/>
      <c r="AMC337" s="1"/>
      <c r="AMD337" s="1"/>
      <c r="AME337" s="1"/>
      <c r="AMF337" s="1"/>
      <c r="AMG337" s="1"/>
      <c r="AMH337" s="1"/>
      <c r="AMI337" s="1"/>
      <c r="AMJ337" s="1"/>
      <c r="AMK337" s="1"/>
      <c r="AML337" s="1"/>
      <c r="AMM337" s="1"/>
      <c r="AMN337" s="1"/>
      <c r="AMO337" s="1"/>
      <c r="AMP337" s="1"/>
      <c r="AMQ337" s="1"/>
      <c r="AMR337" s="1"/>
      <c r="AMS337" s="1"/>
      <c r="AMT337" s="1"/>
      <c r="AMU337" s="1"/>
      <c r="AMV337" s="1"/>
      <c r="AMW337" s="1"/>
      <c r="AMX337" s="1"/>
      <c r="AMY337" s="1"/>
      <c r="AMZ337" s="1"/>
      <c r="ANA337" s="1"/>
      <c r="ANB337" s="1"/>
      <c r="ANC337" s="1"/>
      <c r="AND337" s="1"/>
      <c r="ANE337" s="1"/>
      <c r="ANF337" s="1"/>
      <c r="ANG337" s="1"/>
      <c r="ANH337" s="1"/>
      <c r="ANI337" s="1"/>
      <c r="ANJ337" s="1"/>
      <c r="ANK337" s="1"/>
      <c r="ANL337" s="1"/>
      <c r="ANM337" s="1"/>
      <c r="ANN337" s="1"/>
      <c r="ANO337" s="1"/>
      <c r="ANP337" s="1"/>
      <c r="ANQ337" s="1"/>
      <c r="ANR337" s="1"/>
      <c r="ANS337" s="1"/>
      <c r="ANT337" s="1"/>
      <c r="ANU337" s="1"/>
      <c r="ANV337" s="1"/>
      <c r="ANW337" s="1"/>
      <c r="ANX337" s="1"/>
      <c r="ANY337" s="1"/>
      <c r="ANZ337" s="1"/>
      <c r="AOA337" s="1"/>
      <c r="AOB337" s="1"/>
      <c r="AOC337" s="1"/>
      <c r="AOD337" s="1"/>
      <c r="AOE337" s="1"/>
      <c r="AOF337" s="1"/>
      <c r="AOG337" s="1"/>
      <c r="AOH337" s="1"/>
      <c r="AOI337" s="1"/>
      <c r="AOJ337" s="1"/>
      <c r="AOK337" s="1"/>
      <c r="AOL337" s="1"/>
      <c r="AOM337" s="1"/>
      <c r="AON337" s="1"/>
      <c r="AOO337" s="1"/>
      <c r="AOP337" s="1"/>
      <c r="AOQ337" s="1"/>
      <c r="AOR337" s="1"/>
      <c r="AOS337" s="1"/>
      <c r="AOT337" s="1"/>
      <c r="AOU337" s="1"/>
      <c r="AOV337" s="1"/>
      <c r="AOW337" s="1"/>
      <c r="AOX337" s="1"/>
      <c r="AOY337" s="1"/>
      <c r="AOZ337" s="1"/>
      <c r="APA337" s="1"/>
      <c r="APB337" s="1"/>
      <c r="APC337" s="1"/>
      <c r="APD337" s="1"/>
      <c r="APE337" s="1"/>
      <c r="APF337" s="1"/>
      <c r="APG337" s="1"/>
      <c r="APH337" s="1"/>
      <c r="API337" s="1"/>
      <c r="APJ337" s="1"/>
      <c r="APK337" s="1"/>
      <c r="APL337" s="1"/>
      <c r="APM337" s="1"/>
      <c r="APN337" s="1"/>
      <c r="APO337" s="1"/>
      <c r="APP337" s="1"/>
      <c r="APQ337" s="1"/>
      <c r="APR337" s="1"/>
      <c r="APS337" s="1"/>
      <c r="APT337" s="1"/>
      <c r="APU337" s="1"/>
      <c r="APV337" s="1"/>
      <c r="APW337" s="1"/>
      <c r="APX337" s="1"/>
      <c r="APY337" s="1"/>
      <c r="APZ337" s="1"/>
      <c r="AQA337" s="1"/>
      <c r="AQB337" s="1"/>
      <c r="AQC337" s="1"/>
      <c r="AQD337" s="1"/>
      <c r="AQE337" s="1"/>
      <c r="AQF337" s="1"/>
      <c r="AQG337" s="1"/>
      <c r="AQH337" s="1"/>
      <c r="AQI337" s="1"/>
      <c r="AQJ337" s="1"/>
      <c r="AQK337" s="1"/>
      <c r="AQL337" s="1"/>
      <c r="AQM337" s="1"/>
      <c r="AQN337" s="1"/>
      <c r="AQO337" s="1"/>
      <c r="AQP337" s="1"/>
      <c r="AQQ337" s="1"/>
      <c r="AQR337" s="1"/>
      <c r="AQS337" s="1"/>
      <c r="AQT337" s="1"/>
      <c r="AQU337" s="1"/>
      <c r="AQV337" s="1"/>
      <c r="AQW337" s="1"/>
      <c r="AQX337" s="1"/>
      <c r="AQY337" s="1"/>
      <c r="AQZ337" s="1"/>
      <c r="ARA337" s="1"/>
      <c r="ARB337" s="1"/>
      <c r="ARC337" s="1"/>
      <c r="ARD337" s="1"/>
      <c r="ARE337" s="1"/>
      <c r="ARF337" s="1"/>
      <c r="ARG337" s="1"/>
      <c r="ARH337" s="1"/>
      <c r="ARI337" s="1"/>
      <c r="ARJ337" s="1"/>
      <c r="ARK337" s="1"/>
      <c r="ARL337" s="1"/>
      <c r="ARM337" s="1"/>
      <c r="ARN337" s="1"/>
      <c r="ARO337" s="1"/>
      <c r="ARP337" s="1"/>
      <c r="ARQ337" s="1"/>
      <c r="ARR337" s="1"/>
      <c r="ARS337" s="1"/>
      <c r="ART337" s="1"/>
      <c r="ARU337" s="1"/>
      <c r="ARV337" s="1"/>
      <c r="ARW337" s="1"/>
      <c r="ARX337" s="1"/>
      <c r="ARY337" s="1"/>
      <c r="ARZ337" s="1"/>
      <c r="ASA337" s="1"/>
      <c r="ASB337" s="1"/>
      <c r="ASC337" s="1"/>
      <c r="ASD337" s="1"/>
      <c r="ASE337" s="1"/>
      <c r="ASF337" s="1"/>
      <c r="ASG337" s="1"/>
      <c r="ASH337" s="1"/>
      <c r="ASI337" s="1"/>
      <c r="ASJ337" s="1"/>
      <c r="ASK337" s="1"/>
      <c r="ASL337" s="1"/>
      <c r="ASM337" s="1"/>
      <c r="ASN337" s="1"/>
      <c r="ASO337" s="1"/>
      <c r="ASP337" s="1"/>
      <c r="ASQ337" s="1"/>
      <c r="ASR337" s="1"/>
      <c r="ASS337" s="1"/>
      <c r="AST337" s="1"/>
      <c r="ASU337" s="1"/>
      <c r="ASV337" s="1"/>
      <c r="ASW337" s="1"/>
      <c r="ASX337" s="1"/>
      <c r="ASY337" s="1"/>
      <c r="ASZ337" s="1"/>
      <c r="ATA337" s="1"/>
      <c r="ATB337" s="1"/>
      <c r="ATC337" s="1"/>
      <c r="ATD337" s="1"/>
      <c r="ATE337" s="1"/>
      <c r="ATF337" s="1"/>
      <c r="ATG337" s="1"/>
      <c r="ATH337" s="1"/>
      <c r="ATI337" s="1"/>
      <c r="ATJ337" s="1"/>
      <c r="ATK337" s="1"/>
      <c r="ATL337" s="1"/>
      <c r="ATM337" s="1"/>
      <c r="ATN337" s="1"/>
      <c r="ATO337" s="1"/>
      <c r="ATP337" s="1"/>
      <c r="ATQ337" s="1"/>
      <c r="ATR337" s="1"/>
      <c r="ATS337" s="1"/>
      <c r="ATT337" s="1"/>
      <c r="ATU337" s="1"/>
      <c r="ATV337" s="1"/>
      <c r="ATW337" s="1"/>
      <c r="ATX337" s="1"/>
      <c r="ATY337" s="1"/>
      <c r="ATZ337" s="1"/>
      <c r="AUA337" s="1"/>
      <c r="AUB337" s="1"/>
      <c r="AUC337" s="1"/>
      <c r="AUD337" s="1"/>
      <c r="AUE337" s="1"/>
      <c r="AUF337" s="1"/>
      <c r="AUG337" s="1"/>
      <c r="AUH337" s="1"/>
      <c r="AUI337" s="1"/>
      <c r="AUJ337" s="1"/>
      <c r="AUK337" s="1"/>
      <c r="AUL337" s="1"/>
      <c r="AUM337" s="1"/>
      <c r="AUN337" s="1"/>
      <c r="AUO337" s="1"/>
      <c r="AUP337" s="1"/>
      <c r="AUQ337" s="1"/>
      <c r="AUR337" s="1"/>
      <c r="AUS337" s="1"/>
      <c r="AUT337" s="1"/>
      <c r="AUU337" s="1"/>
      <c r="AUV337" s="1"/>
      <c r="AUW337" s="1"/>
      <c r="AUX337" s="1"/>
      <c r="AUY337" s="1"/>
      <c r="AUZ337" s="1"/>
      <c r="AVA337" s="1"/>
      <c r="AVB337" s="1"/>
      <c r="AVC337" s="1"/>
      <c r="AVD337" s="1"/>
      <c r="AVE337" s="1"/>
      <c r="AVF337" s="1"/>
      <c r="AVG337" s="1"/>
      <c r="AVH337" s="1"/>
      <c r="AVI337" s="1"/>
      <c r="AVJ337" s="1"/>
      <c r="AVK337" s="1"/>
      <c r="AVL337" s="1"/>
      <c r="AVM337" s="1"/>
      <c r="AVN337" s="1"/>
      <c r="AVO337" s="1"/>
      <c r="AVP337" s="1"/>
      <c r="AVQ337" s="1"/>
      <c r="AVR337" s="1"/>
      <c r="AVS337" s="1"/>
      <c r="AVT337" s="1"/>
      <c r="AVU337" s="1"/>
      <c r="AVV337" s="1"/>
      <c r="AVW337" s="1"/>
      <c r="AVX337" s="1"/>
      <c r="AVY337" s="1"/>
      <c r="AVZ337" s="1"/>
      <c r="AWA337" s="1"/>
      <c r="AWB337" s="1"/>
      <c r="AWC337" s="1"/>
      <c r="AWD337" s="1"/>
      <c r="AWE337" s="1"/>
      <c r="AWF337" s="1"/>
      <c r="AWG337" s="1"/>
      <c r="AWH337" s="1"/>
      <c r="AWI337" s="1"/>
      <c r="AWJ337" s="1"/>
      <c r="AWK337" s="1"/>
      <c r="AWL337" s="1"/>
      <c r="AWM337" s="1"/>
      <c r="AWN337" s="1"/>
      <c r="AWO337" s="1"/>
      <c r="AWP337" s="1"/>
      <c r="AWQ337" s="1"/>
      <c r="AWR337" s="1"/>
      <c r="AWS337" s="1"/>
      <c r="AWT337" s="1"/>
      <c r="AWU337" s="1"/>
      <c r="AWV337" s="1"/>
      <c r="AWW337" s="1"/>
      <c r="AWX337" s="1"/>
      <c r="AWY337" s="1"/>
      <c r="AWZ337" s="1"/>
      <c r="AXA337" s="1"/>
      <c r="AXB337" s="1"/>
      <c r="AXC337" s="1"/>
      <c r="AXD337" s="1"/>
      <c r="AXE337" s="1"/>
      <c r="AXF337" s="1"/>
      <c r="AXG337" s="1"/>
      <c r="AXH337" s="1"/>
      <c r="AXI337" s="1"/>
      <c r="AXJ337" s="1"/>
      <c r="AXK337" s="1"/>
      <c r="AXL337" s="1"/>
      <c r="AXM337" s="1"/>
      <c r="AXN337" s="1"/>
      <c r="AXO337" s="1"/>
      <c r="AXP337" s="1"/>
      <c r="AXQ337" s="1"/>
      <c r="AXR337" s="1"/>
      <c r="AXS337" s="1"/>
      <c r="AXT337" s="1"/>
      <c r="AXU337" s="1"/>
      <c r="AXV337" s="1"/>
      <c r="AXW337" s="1"/>
      <c r="AXX337" s="1"/>
      <c r="AXY337" s="1"/>
      <c r="AXZ337" s="1"/>
      <c r="AYA337" s="1"/>
      <c r="AYB337" s="1"/>
      <c r="AYC337" s="1"/>
      <c r="AYD337" s="1"/>
      <c r="AYE337" s="1"/>
      <c r="AYF337" s="1"/>
      <c r="AYG337" s="1"/>
      <c r="AYH337" s="1"/>
      <c r="AYI337" s="1"/>
      <c r="AYJ337" s="1"/>
      <c r="AYK337" s="1"/>
      <c r="AYL337" s="1"/>
      <c r="AYM337" s="1"/>
      <c r="AYN337" s="1"/>
      <c r="AYO337" s="1"/>
      <c r="AYP337" s="1"/>
      <c r="AYQ337" s="1"/>
      <c r="AYR337" s="1"/>
      <c r="AYS337" s="1"/>
      <c r="AYT337" s="1"/>
      <c r="AYU337" s="1"/>
      <c r="AYV337" s="1"/>
      <c r="AYW337" s="1"/>
      <c r="AYX337" s="1"/>
      <c r="AYY337" s="1"/>
      <c r="AYZ337" s="1"/>
      <c r="AZA337" s="1"/>
      <c r="AZB337" s="1"/>
      <c r="AZC337" s="1"/>
      <c r="AZD337" s="1"/>
      <c r="AZE337" s="1"/>
      <c r="AZF337" s="1"/>
      <c r="AZG337" s="1"/>
      <c r="AZH337" s="1"/>
      <c r="AZI337" s="1"/>
      <c r="AZJ337" s="1"/>
      <c r="AZK337" s="1"/>
      <c r="AZL337" s="1"/>
      <c r="AZM337" s="1"/>
      <c r="AZN337" s="1"/>
      <c r="AZO337" s="1"/>
      <c r="AZP337" s="1"/>
      <c r="AZQ337" s="1"/>
      <c r="AZR337" s="1"/>
      <c r="AZS337" s="1"/>
      <c r="AZT337" s="1"/>
      <c r="AZU337" s="1"/>
      <c r="AZV337" s="1"/>
      <c r="AZW337" s="1"/>
      <c r="AZX337" s="1"/>
      <c r="AZY337" s="1"/>
      <c r="AZZ337" s="1"/>
      <c r="BAA337" s="1"/>
      <c r="BAB337" s="1"/>
      <c r="BAC337" s="1"/>
      <c r="BAD337" s="1"/>
      <c r="BAE337" s="1"/>
      <c r="BAF337" s="1"/>
      <c r="BAG337" s="1"/>
      <c r="BAH337" s="1"/>
      <c r="BAI337" s="1"/>
      <c r="BAJ337" s="1"/>
      <c r="BAK337" s="1"/>
      <c r="BAL337" s="1"/>
      <c r="BAM337" s="1"/>
      <c r="BAN337" s="1"/>
      <c r="BAO337" s="1"/>
      <c r="BAP337" s="1"/>
      <c r="BAQ337" s="1"/>
      <c r="BAR337" s="1"/>
      <c r="BAS337" s="1"/>
      <c r="BAT337" s="1"/>
      <c r="BAU337" s="1"/>
      <c r="BAV337" s="1"/>
      <c r="BAW337" s="1"/>
      <c r="BAX337" s="1"/>
      <c r="BAY337" s="1"/>
      <c r="BAZ337" s="1"/>
      <c r="BBA337" s="1"/>
      <c r="BBB337" s="1"/>
      <c r="BBC337" s="1"/>
      <c r="BBD337" s="1"/>
      <c r="BBE337" s="1"/>
      <c r="BBF337" s="1"/>
      <c r="BBG337" s="1"/>
      <c r="BBH337" s="1"/>
      <c r="BBI337" s="1"/>
      <c r="BBJ337" s="1"/>
      <c r="BBK337" s="1"/>
      <c r="BBL337" s="1"/>
      <c r="BBM337" s="1"/>
      <c r="BBN337" s="1"/>
      <c r="BBO337" s="1"/>
      <c r="BBP337" s="1"/>
      <c r="BBQ337" s="1"/>
      <c r="BBR337" s="1"/>
      <c r="BBS337" s="1"/>
      <c r="BBT337" s="1"/>
      <c r="BBU337" s="1"/>
      <c r="BBV337" s="1"/>
      <c r="BBW337" s="1"/>
      <c r="BBX337" s="1"/>
      <c r="BBY337" s="1"/>
      <c r="BBZ337" s="1"/>
      <c r="BCA337" s="1"/>
      <c r="BCB337" s="1"/>
      <c r="BCC337" s="1"/>
      <c r="BCD337" s="1"/>
      <c r="BCE337" s="1"/>
      <c r="BCF337" s="1"/>
      <c r="BCG337" s="1"/>
      <c r="BCH337" s="1"/>
      <c r="BCI337" s="1"/>
      <c r="BCJ337" s="1"/>
      <c r="BCK337" s="1"/>
      <c r="BCL337" s="1"/>
      <c r="BCM337" s="1"/>
      <c r="BCN337" s="1"/>
      <c r="BCO337" s="1"/>
      <c r="BCP337" s="1"/>
      <c r="BCQ337" s="1"/>
      <c r="BCR337" s="1"/>
      <c r="BCS337" s="1"/>
      <c r="BCT337" s="1"/>
      <c r="BCU337" s="1"/>
      <c r="BCV337" s="1"/>
      <c r="BCW337" s="1"/>
      <c r="BCX337" s="1"/>
      <c r="BCY337" s="1"/>
      <c r="BCZ337" s="1"/>
      <c r="BDA337" s="1"/>
      <c r="BDB337" s="1"/>
      <c r="BDC337" s="1"/>
      <c r="BDD337" s="1"/>
      <c r="BDE337" s="1"/>
      <c r="BDF337" s="1"/>
      <c r="BDG337" s="1"/>
      <c r="BDH337" s="1"/>
      <c r="BDI337" s="1"/>
      <c r="BDJ337" s="1"/>
      <c r="BDK337" s="1"/>
      <c r="BDL337" s="1"/>
      <c r="BDM337" s="1"/>
      <c r="BDN337" s="1"/>
      <c r="BDO337" s="1"/>
      <c r="BDP337" s="1"/>
      <c r="BDQ337" s="1"/>
      <c r="BDR337" s="1"/>
      <c r="BDS337" s="1"/>
      <c r="BDT337" s="1"/>
      <c r="BDU337" s="1"/>
      <c r="BDV337" s="1"/>
      <c r="BDW337" s="1"/>
      <c r="BDX337" s="1"/>
      <c r="BDY337" s="1"/>
      <c r="BDZ337" s="1"/>
      <c r="BEA337" s="1"/>
      <c r="BEB337" s="1"/>
      <c r="BEC337" s="1"/>
      <c r="BED337" s="1"/>
      <c r="BEE337" s="1"/>
      <c r="BEF337" s="1"/>
      <c r="BEG337" s="1"/>
      <c r="BEH337" s="1"/>
      <c r="BEI337" s="1"/>
      <c r="BEJ337" s="1"/>
      <c r="BEK337" s="1"/>
      <c r="BEL337" s="1"/>
      <c r="BEM337" s="1"/>
      <c r="BEN337" s="1"/>
      <c r="BEO337" s="1"/>
      <c r="BEP337" s="1"/>
      <c r="BEQ337" s="1"/>
      <c r="BER337" s="1"/>
      <c r="BES337" s="1"/>
      <c r="BET337" s="1"/>
      <c r="BEU337" s="1"/>
      <c r="BEV337" s="1"/>
      <c r="BEW337" s="1"/>
      <c r="BEX337" s="1"/>
      <c r="BEY337" s="1"/>
      <c r="BEZ337" s="1"/>
      <c r="BFA337" s="1"/>
      <c r="BFB337" s="1"/>
      <c r="BFC337" s="1"/>
      <c r="BFD337" s="1"/>
      <c r="BFE337" s="1"/>
      <c r="BFF337" s="1"/>
      <c r="BFG337" s="1"/>
      <c r="BFH337" s="1"/>
      <c r="BFI337" s="1"/>
      <c r="BFJ337" s="1"/>
      <c r="BFK337" s="1"/>
      <c r="BFL337" s="1"/>
      <c r="BFM337" s="1"/>
      <c r="BFN337" s="1"/>
      <c r="BFO337" s="1"/>
      <c r="BFP337" s="1"/>
      <c r="BFQ337" s="1"/>
      <c r="BFR337" s="1"/>
      <c r="BFS337" s="1"/>
      <c r="BFT337" s="1"/>
      <c r="BFU337" s="1"/>
      <c r="BFV337" s="1"/>
      <c r="BFW337" s="1"/>
      <c r="BFX337" s="1"/>
      <c r="BFY337" s="1"/>
      <c r="BFZ337" s="1"/>
      <c r="BGA337" s="1"/>
      <c r="BGB337" s="1"/>
      <c r="BGC337" s="1"/>
      <c r="BGD337" s="1"/>
      <c r="BGE337" s="1"/>
      <c r="BGF337" s="1"/>
      <c r="BGG337" s="1"/>
      <c r="BGH337" s="1"/>
      <c r="BGI337" s="1"/>
      <c r="BGJ337" s="1"/>
      <c r="BGK337" s="1"/>
      <c r="BGL337" s="1"/>
      <c r="BGM337" s="1"/>
      <c r="BGN337" s="1"/>
      <c r="BGO337" s="1"/>
      <c r="BGP337" s="1"/>
      <c r="BGQ337" s="1"/>
      <c r="BGR337" s="1"/>
      <c r="BGS337" s="1"/>
      <c r="BGT337" s="1"/>
      <c r="BGU337" s="1"/>
      <c r="BGV337" s="1"/>
      <c r="BGW337" s="1"/>
      <c r="BGX337" s="1"/>
      <c r="BGY337" s="1"/>
      <c r="BGZ337" s="1"/>
      <c r="BHA337" s="1"/>
      <c r="BHB337" s="1"/>
      <c r="BHC337" s="1"/>
      <c r="BHD337" s="1"/>
      <c r="BHE337" s="1"/>
      <c r="BHF337" s="1"/>
      <c r="BHG337" s="1"/>
      <c r="BHH337" s="1"/>
      <c r="BHI337" s="1"/>
      <c r="BHJ337" s="1"/>
      <c r="BHK337" s="1"/>
      <c r="BHL337" s="1"/>
      <c r="BHM337" s="1"/>
      <c r="BHN337" s="1"/>
      <c r="BHO337" s="1"/>
      <c r="BHP337" s="1"/>
      <c r="BHQ337" s="1"/>
      <c r="BHR337" s="1"/>
      <c r="BHS337" s="1"/>
      <c r="BHT337" s="1"/>
      <c r="BHU337" s="1"/>
      <c r="BHV337" s="1"/>
      <c r="BHW337" s="1"/>
      <c r="BHX337" s="1"/>
      <c r="BHY337" s="1"/>
      <c r="BHZ337" s="1"/>
      <c r="BIA337" s="1"/>
      <c r="BIB337" s="1"/>
      <c r="BIC337" s="1"/>
      <c r="BID337" s="1"/>
      <c r="BIE337" s="1"/>
      <c r="BIF337" s="1"/>
      <c r="BIG337" s="1"/>
      <c r="BIH337" s="1"/>
      <c r="BII337" s="1"/>
      <c r="BIJ337" s="1"/>
      <c r="BIK337" s="1"/>
      <c r="BIL337" s="1"/>
      <c r="BIM337" s="1"/>
      <c r="BIN337" s="1"/>
      <c r="BIO337" s="1"/>
      <c r="BIP337" s="1"/>
      <c r="BIQ337" s="1"/>
      <c r="BIR337" s="1"/>
      <c r="BIS337" s="1"/>
      <c r="BIT337" s="1"/>
      <c r="BIU337" s="1"/>
      <c r="BIV337" s="1"/>
      <c r="BIW337" s="1"/>
      <c r="BIX337" s="1"/>
      <c r="BIY337" s="1"/>
      <c r="BIZ337" s="1"/>
      <c r="BJA337" s="1"/>
      <c r="BJB337" s="1"/>
      <c r="BJC337" s="1"/>
      <c r="BJD337" s="1"/>
      <c r="BJE337" s="1"/>
      <c r="BJF337" s="1"/>
      <c r="BJG337" s="1"/>
      <c r="BJH337" s="1"/>
      <c r="BJI337" s="1"/>
      <c r="BJJ337" s="1"/>
      <c r="BJK337" s="1"/>
      <c r="BJL337" s="1"/>
      <c r="BJM337" s="1"/>
      <c r="BJN337" s="1"/>
      <c r="BJO337" s="1"/>
      <c r="BJP337" s="1"/>
      <c r="BJQ337" s="1"/>
      <c r="BJR337" s="1"/>
      <c r="BJS337" s="1"/>
      <c r="BJT337" s="1"/>
      <c r="BJU337" s="1"/>
      <c r="BJV337" s="1"/>
      <c r="BJW337" s="1"/>
      <c r="BJX337" s="1"/>
      <c r="BJY337" s="1"/>
      <c r="BJZ337" s="1"/>
      <c r="BKA337" s="1"/>
      <c r="BKB337" s="1"/>
      <c r="BKC337" s="1"/>
      <c r="BKD337" s="1"/>
      <c r="BKE337" s="1"/>
      <c r="BKF337" s="1"/>
      <c r="BKG337" s="1"/>
      <c r="BKH337" s="1"/>
      <c r="BKI337" s="1"/>
      <c r="BKJ337" s="1"/>
      <c r="BKK337" s="1"/>
      <c r="BKL337" s="1"/>
      <c r="BKM337" s="1"/>
      <c r="BKN337" s="1"/>
      <c r="BKO337" s="1"/>
      <c r="BKP337" s="1"/>
      <c r="BKQ337" s="1"/>
      <c r="BKR337" s="1"/>
      <c r="BKS337" s="1"/>
      <c r="BKT337" s="1"/>
      <c r="BKU337" s="1"/>
      <c r="BKV337" s="1"/>
      <c r="BKW337" s="1"/>
      <c r="BKX337" s="1"/>
      <c r="BKY337" s="1"/>
      <c r="BKZ337" s="1"/>
      <c r="BLA337" s="1"/>
      <c r="BLB337" s="1"/>
      <c r="BLC337" s="1"/>
      <c r="BLD337" s="1"/>
      <c r="BLE337" s="1"/>
      <c r="BLF337" s="1"/>
      <c r="BLG337" s="1"/>
      <c r="BLH337" s="1"/>
      <c r="BLI337" s="1"/>
      <c r="BLJ337" s="1"/>
      <c r="BLK337" s="1"/>
      <c r="BLL337" s="1"/>
      <c r="BLM337" s="1"/>
      <c r="BLN337" s="1"/>
      <c r="BLO337" s="1"/>
      <c r="BLP337" s="1"/>
      <c r="BLQ337" s="1"/>
      <c r="BLR337" s="1"/>
      <c r="BLS337" s="1"/>
      <c r="BLT337" s="1"/>
      <c r="BLU337" s="1"/>
      <c r="BLV337" s="1"/>
      <c r="BLW337" s="1"/>
      <c r="BLX337" s="1"/>
      <c r="BLY337" s="1"/>
      <c r="BLZ337" s="1"/>
      <c r="BMA337" s="1"/>
      <c r="BMB337" s="1"/>
      <c r="BMC337" s="1"/>
      <c r="BMD337" s="1"/>
      <c r="BME337" s="1"/>
      <c r="BMF337" s="1"/>
      <c r="BMG337" s="1"/>
      <c r="BMH337" s="1"/>
      <c r="BMI337" s="1"/>
      <c r="BMJ337" s="1"/>
      <c r="BMK337" s="1"/>
      <c r="BML337" s="1"/>
      <c r="BMM337" s="1"/>
      <c r="BMN337" s="1"/>
      <c r="BMO337" s="1"/>
      <c r="BMP337" s="1"/>
      <c r="BMQ337" s="1"/>
      <c r="BMR337" s="1"/>
      <c r="BMS337" s="1"/>
      <c r="BMT337" s="1"/>
      <c r="BMU337" s="1"/>
      <c r="BMV337" s="1"/>
      <c r="BMW337" s="1"/>
      <c r="BMX337" s="1"/>
      <c r="BMY337" s="1"/>
      <c r="BMZ337" s="1"/>
      <c r="BNA337" s="1"/>
      <c r="BNB337" s="1"/>
      <c r="BNC337" s="1"/>
      <c r="BND337" s="1"/>
      <c r="BNE337" s="1"/>
      <c r="BNF337" s="1"/>
      <c r="BNG337" s="1"/>
      <c r="BNH337" s="1"/>
      <c r="BNI337" s="1"/>
      <c r="BNJ337" s="1"/>
      <c r="BNK337" s="1"/>
      <c r="BNL337" s="1"/>
      <c r="BNM337" s="1"/>
      <c r="BNN337" s="1"/>
      <c r="BNO337" s="1"/>
      <c r="BNP337" s="1"/>
      <c r="BNQ337" s="1"/>
      <c r="BNR337" s="1"/>
      <c r="BNS337" s="1"/>
      <c r="BNT337" s="1"/>
      <c r="BNU337" s="1"/>
      <c r="BNV337" s="1"/>
      <c r="BNW337" s="1"/>
      <c r="BNX337" s="1"/>
      <c r="BNY337" s="1"/>
      <c r="BNZ337" s="1"/>
      <c r="BOA337" s="1"/>
      <c r="BOB337" s="1"/>
      <c r="BOC337" s="1"/>
      <c r="BOD337" s="1"/>
      <c r="BOE337" s="1"/>
      <c r="BOF337" s="1"/>
      <c r="BOG337" s="1"/>
      <c r="BOH337" s="1"/>
      <c r="BOI337" s="1"/>
      <c r="BOJ337" s="1"/>
      <c r="BOK337" s="1"/>
      <c r="BOL337" s="1"/>
      <c r="BOM337" s="1"/>
      <c r="BON337" s="1"/>
      <c r="BOO337" s="1"/>
      <c r="BOP337" s="1"/>
      <c r="BOQ337" s="1"/>
      <c r="BOR337" s="1"/>
      <c r="BOS337" s="1"/>
      <c r="BOT337" s="1"/>
      <c r="BOU337" s="1"/>
      <c r="BOV337" s="1"/>
      <c r="BOW337" s="1"/>
      <c r="BOX337" s="1"/>
      <c r="BOY337" s="1"/>
      <c r="BOZ337" s="1"/>
      <c r="BPA337" s="1"/>
      <c r="BPB337" s="1"/>
      <c r="BPC337" s="1"/>
      <c r="BPD337" s="1"/>
      <c r="BPE337" s="1"/>
      <c r="BPF337" s="1"/>
      <c r="BPG337" s="1"/>
      <c r="BPH337" s="1"/>
      <c r="BPI337" s="1"/>
      <c r="BPJ337" s="1"/>
      <c r="BPK337" s="1"/>
      <c r="BPL337" s="1"/>
      <c r="BPM337" s="1"/>
      <c r="BPN337" s="1"/>
      <c r="BPO337" s="1"/>
      <c r="BPP337" s="1"/>
      <c r="BPQ337" s="1"/>
      <c r="BPR337" s="1"/>
      <c r="BPS337" s="1"/>
      <c r="BPT337" s="1"/>
      <c r="BPU337" s="1"/>
      <c r="BPV337" s="1"/>
      <c r="BPW337" s="1"/>
      <c r="BPX337" s="1"/>
      <c r="BPY337" s="1"/>
      <c r="BPZ337" s="1"/>
      <c r="BQA337" s="1"/>
      <c r="BQB337" s="1"/>
      <c r="BQC337" s="1"/>
      <c r="BQD337" s="1"/>
      <c r="BQE337" s="1"/>
      <c r="BQF337" s="1"/>
      <c r="BQG337" s="1"/>
      <c r="BQH337" s="1"/>
      <c r="BQI337" s="1"/>
      <c r="BQJ337" s="1"/>
      <c r="BQK337" s="1"/>
      <c r="BQL337" s="1"/>
      <c r="BQM337" s="1"/>
      <c r="BQN337" s="1"/>
      <c r="BQO337" s="1"/>
      <c r="BQP337" s="1"/>
      <c r="BQQ337" s="1"/>
      <c r="BQR337" s="1"/>
      <c r="BQS337" s="1"/>
      <c r="BQT337" s="1"/>
      <c r="BQU337" s="1"/>
      <c r="BQV337" s="1"/>
      <c r="BQW337" s="1"/>
      <c r="BQX337" s="1"/>
      <c r="BQY337" s="1"/>
      <c r="BQZ337" s="1"/>
      <c r="BRA337" s="1"/>
      <c r="BRB337" s="1"/>
      <c r="BRC337" s="1"/>
      <c r="BRD337" s="1"/>
      <c r="BRE337" s="1"/>
      <c r="BRF337" s="1"/>
      <c r="BRG337" s="1"/>
      <c r="BRH337" s="1"/>
      <c r="BRI337" s="1"/>
      <c r="BRJ337" s="1"/>
      <c r="BRK337" s="1"/>
      <c r="BRL337" s="1"/>
      <c r="BRM337" s="1"/>
      <c r="BRN337" s="1"/>
      <c r="BRO337" s="1"/>
      <c r="BRP337" s="1"/>
      <c r="BRQ337" s="1"/>
      <c r="BRR337" s="1"/>
      <c r="BRS337" s="1"/>
      <c r="BRT337" s="1"/>
      <c r="BRU337" s="1"/>
      <c r="BRV337" s="1"/>
      <c r="BRW337" s="1"/>
      <c r="BRX337" s="1"/>
      <c r="BRY337" s="1"/>
      <c r="BRZ337" s="1"/>
      <c r="BSA337" s="1"/>
      <c r="BSB337" s="1"/>
      <c r="BSC337" s="1"/>
      <c r="BSD337" s="1"/>
      <c r="BSE337" s="1"/>
      <c r="BSF337" s="1"/>
      <c r="BSG337" s="1"/>
      <c r="BSH337" s="1"/>
      <c r="BSI337" s="1"/>
      <c r="BSJ337" s="1"/>
      <c r="BSK337" s="1"/>
      <c r="BSL337" s="1"/>
      <c r="BSM337" s="1"/>
      <c r="BSN337" s="1"/>
      <c r="BSO337" s="1"/>
      <c r="BSP337" s="1"/>
      <c r="BSQ337" s="1"/>
      <c r="BSR337" s="1"/>
      <c r="BSS337" s="1"/>
      <c r="BST337" s="1"/>
      <c r="BSU337" s="1"/>
      <c r="BSV337" s="1"/>
      <c r="BSW337" s="1"/>
      <c r="BSX337" s="1"/>
      <c r="BSY337" s="1"/>
      <c r="BSZ337" s="1"/>
      <c r="BTA337" s="1"/>
      <c r="BTB337" s="1"/>
      <c r="BTC337" s="1"/>
      <c r="BTD337" s="1"/>
      <c r="BTE337" s="1"/>
      <c r="BTF337" s="1"/>
      <c r="BTG337" s="1"/>
      <c r="BTH337" s="1"/>
      <c r="BTI337" s="1"/>
      <c r="BTJ337" s="1"/>
      <c r="BTK337" s="1"/>
      <c r="BTL337" s="1"/>
      <c r="BTM337" s="1"/>
      <c r="BTN337" s="1"/>
      <c r="BTO337" s="1"/>
      <c r="BTP337" s="1"/>
      <c r="BTQ337" s="1"/>
      <c r="BTR337" s="1"/>
      <c r="BTS337" s="1"/>
      <c r="BTT337" s="1"/>
      <c r="BTU337" s="1"/>
      <c r="BTV337" s="1"/>
      <c r="BTW337" s="1"/>
      <c r="BTX337" s="1"/>
      <c r="BTY337" s="1"/>
      <c r="BTZ337" s="1"/>
      <c r="BUA337" s="1"/>
      <c r="BUB337" s="1"/>
      <c r="BUC337" s="1"/>
      <c r="BUD337" s="1"/>
      <c r="BUE337" s="1"/>
      <c r="BUF337" s="1"/>
      <c r="BUG337" s="1"/>
      <c r="BUH337" s="1"/>
      <c r="BUI337" s="1"/>
      <c r="BUJ337" s="1"/>
      <c r="BUK337" s="1"/>
      <c r="BUL337" s="1"/>
      <c r="BUM337" s="1"/>
      <c r="BUN337" s="1"/>
      <c r="BUO337" s="1"/>
      <c r="BUP337" s="1"/>
      <c r="BUQ337" s="1"/>
      <c r="BUR337" s="1"/>
      <c r="BUS337" s="1"/>
      <c r="BUT337" s="1"/>
      <c r="BUU337" s="1"/>
      <c r="BUV337" s="1"/>
      <c r="BUW337" s="1"/>
      <c r="BUX337" s="1"/>
      <c r="BUY337" s="1"/>
      <c r="BUZ337" s="1"/>
      <c r="BVA337" s="1"/>
      <c r="BVB337" s="1"/>
      <c r="BVC337" s="1"/>
      <c r="BVD337" s="1"/>
      <c r="BVE337" s="1"/>
      <c r="BVF337" s="1"/>
      <c r="BVG337" s="1"/>
      <c r="BVH337" s="1"/>
      <c r="BVI337" s="1"/>
      <c r="BVJ337" s="1"/>
      <c r="BVK337" s="1"/>
      <c r="BVL337" s="1"/>
      <c r="BVM337" s="1"/>
      <c r="BVN337" s="1"/>
      <c r="BVO337" s="1"/>
      <c r="BVP337" s="1"/>
      <c r="BVQ337" s="1"/>
      <c r="BVR337" s="1"/>
      <c r="BVS337" s="1"/>
      <c r="BVT337" s="1"/>
      <c r="BVU337" s="1"/>
      <c r="BVV337" s="1"/>
      <c r="BVW337" s="1"/>
      <c r="BVX337" s="1"/>
      <c r="BVY337" s="1"/>
      <c r="BVZ337" s="1"/>
      <c r="BWA337" s="1"/>
      <c r="BWB337" s="1"/>
      <c r="BWC337" s="1"/>
      <c r="BWD337" s="1"/>
      <c r="BWE337" s="1"/>
      <c r="BWF337" s="1"/>
      <c r="BWG337" s="1"/>
      <c r="BWH337" s="1"/>
      <c r="BWI337" s="1"/>
      <c r="BWJ337" s="1"/>
      <c r="BWK337" s="1"/>
      <c r="BWL337" s="1"/>
      <c r="BWM337" s="1"/>
      <c r="BWN337" s="1"/>
      <c r="BWO337" s="1"/>
      <c r="BWP337" s="1"/>
      <c r="BWQ337" s="1"/>
      <c r="BWR337" s="1"/>
      <c r="BWS337" s="1"/>
      <c r="BWT337" s="1"/>
      <c r="BWU337" s="1"/>
      <c r="BWV337" s="1"/>
      <c r="BWW337" s="1"/>
      <c r="BWX337" s="1"/>
      <c r="BWY337" s="1"/>
      <c r="BWZ337" s="1"/>
      <c r="BXA337" s="1"/>
      <c r="BXB337" s="1"/>
      <c r="BXC337" s="1"/>
      <c r="BXD337" s="1"/>
      <c r="BXE337" s="1"/>
      <c r="BXF337" s="1"/>
      <c r="BXG337" s="1"/>
      <c r="BXH337" s="1"/>
      <c r="BXI337" s="1"/>
      <c r="BXJ337" s="1"/>
      <c r="BXK337" s="1"/>
      <c r="BXL337" s="1"/>
      <c r="BXM337" s="1"/>
      <c r="BXN337" s="1"/>
      <c r="BXO337" s="1"/>
      <c r="BXP337" s="1"/>
      <c r="BXQ337" s="1"/>
      <c r="BXR337" s="1"/>
      <c r="BXS337" s="1"/>
      <c r="BXT337" s="1"/>
      <c r="BXU337" s="1"/>
      <c r="BXV337" s="1"/>
      <c r="BXW337" s="1"/>
      <c r="BXX337" s="1"/>
      <c r="BXY337" s="1"/>
      <c r="BXZ337" s="1"/>
      <c r="BYA337" s="1"/>
      <c r="BYB337" s="1"/>
      <c r="BYC337" s="1"/>
      <c r="BYD337" s="1"/>
      <c r="BYE337" s="1"/>
      <c r="BYF337" s="1"/>
      <c r="BYG337" s="1"/>
      <c r="BYH337" s="1"/>
      <c r="BYI337" s="1"/>
      <c r="BYJ337" s="1"/>
      <c r="BYK337" s="1"/>
      <c r="BYL337" s="1"/>
      <c r="BYM337" s="1"/>
      <c r="BYN337" s="1"/>
      <c r="BYO337" s="1"/>
      <c r="BYP337" s="1"/>
      <c r="BYQ337" s="1"/>
      <c r="BYR337" s="1"/>
      <c r="BYS337" s="1"/>
      <c r="BYT337" s="1"/>
      <c r="BYU337" s="1"/>
      <c r="BYV337" s="1"/>
      <c r="BYW337" s="1"/>
      <c r="BYX337" s="1"/>
      <c r="BYY337" s="1"/>
      <c r="BYZ337" s="1"/>
      <c r="BZA337" s="1"/>
      <c r="BZB337" s="1"/>
      <c r="BZC337" s="1"/>
      <c r="BZD337" s="1"/>
      <c r="BZE337" s="1"/>
      <c r="BZF337" s="1"/>
      <c r="BZG337" s="1"/>
      <c r="BZH337" s="1"/>
      <c r="BZI337" s="1"/>
      <c r="BZJ337" s="1"/>
      <c r="BZK337" s="1"/>
      <c r="BZL337" s="1"/>
      <c r="BZM337" s="1"/>
      <c r="BZN337" s="1"/>
      <c r="BZO337" s="1"/>
      <c r="BZP337" s="1"/>
      <c r="BZQ337" s="1"/>
      <c r="BZR337" s="1"/>
      <c r="BZS337" s="1"/>
      <c r="BZT337" s="1"/>
      <c r="BZU337" s="1"/>
      <c r="BZV337" s="1"/>
      <c r="BZW337" s="1"/>
      <c r="BZX337" s="1"/>
      <c r="BZY337" s="1"/>
      <c r="BZZ337" s="1"/>
      <c r="CAA337" s="1"/>
      <c r="CAB337" s="1"/>
      <c r="CAC337" s="1"/>
      <c r="CAD337" s="1"/>
      <c r="CAE337" s="1"/>
      <c r="CAF337" s="1"/>
      <c r="CAG337" s="1"/>
      <c r="CAH337" s="1"/>
      <c r="CAI337" s="1"/>
      <c r="CAJ337" s="1"/>
      <c r="CAK337" s="1"/>
      <c r="CAL337" s="1"/>
      <c r="CAM337" s="1"/>
      <c r="CAN337" s="1"/>
      <c r="CAO337" s="1"/>
      <c r="CAP337" s="1"/>
      <c r="CAQ337" s="1"/>
      <c r="CAR337" s="1"/>
      <c r="CAS337" s="1"/>
      <c r="CAT337" s="1"/>
      <c r="CAU337" s="1"/>
      <c r="CAV337" s="1"/>
      <c r="CAW337" s="1"/>
      <c r="CAX337" s="1"/>
      <c r="CAY337" s="1"/>
      <c r="CAZ337" s="1"/>
      <c r="CBA337" s="1"/>
      <c r="CBB337" s="1"/>
      <c r="CBC337" s="1"/>
      <c r="CBD337" s="1"/>
      <c r="CBE337" s="1"/>
      <c r="CBF337" s="1"/>
      <c r="CBG337" s="1"/>
      <c r="CBH337" s="1"/>
      <c r="CBI337" s="1"/>
      <c r="CBJ337" s="1"/>
      <c r="CBK337" s="1"/>
      <c r="CBL337" s="1"/>
      <c r="CBM337" s="1"/>
      <c r="CBN337" s="1"/>
      <c r="CBO337" s="1"/>
      <c r="CBP337" s="1"/>
      <c r="CBQ337" s="1"/>
      <c r="CBR337" s="1"/>
      <c r="CBS337" s="1"/>
      <c r="CBT337" s="1"/>
      <c r="CBU337" s="1"/>
      <c r="CBV337" s="1"/>
      <c r="CBW337" s="1"/>
      <c r="CBX337" s="1"/>
      <c r="CBY337" s="1"/>
      <c r="CBZ337" s="1"/>
      <c r="CCA337" s="1"/>
      <c r="CCB337" s="1"/>
      <c r="CCC337" s="1"/>
      <c r="CCD337" s="1"/>
      <c r="CCE337" s="1"/>
      <c r="CCF337" s="1"/>
      <c r="CCG337" s="1"/>
      <c r="CCH337" s="1"/>
      <c r="CCI337" s="1"/>
      <c r="CCJ337" s="1"/>
      <c r="CCK337" s="1"/>
      <c r="CCL337" s="1"/>
      <c r="CCM337" s="1"/>
      <c r="CCN337" s="1"/>
      <c r="CCO337" s="1"/>
      <c r="CCP337" s="1"/>
      <c r="CCQ337" s="1"/>
      <c r="CCR337" s="1"/>
      <c r="CCS337" s="1"/>
      <c r="CCT337" s="1"/>
      <c r="CCU337" s="1"/>
      <c r="CCV337" s="1"/>
      <c r="CCW337" s="1"/>
      <c r="CCX337" s="1"/>
      <c r="CCY337" s="1"/>
      <c r="CCZ337" s="1"/>
      <c r="CDA337" s="1"/>
      <c r="CDB337" s="1"/>
      <c r="CDC337" s="1"/>
      <c r="CDD337" s="1"/>
      <c r="CDE337" s="1"/>
      <c r="CDF337" s="1"/>
      <c r="CDG337" s="1"/>
      <c r="CDH337" s="1"/>
      <c r="CDI337" s="1"/>
      <c r="CDJ337" s="1"/>
      <c r="CDK337" s="1"/>
      <c r="CDL337" s="1"/>
      <c r="CDM337" s="1"/>
      <c r="CDN337" s="1"/>
      <c r="CDO337" s="1"/>
      <c r="CDP337" s="1"/>
      <c r="CDQ337" s="1"/>
      <c r="CDR337" s="1"/>
      <c r="CDS337" s="1"/>
      <c r="CDT337" s="1"/>
      <c r="CDU337" s="1"/>
      <c r="CDV337" s="1"/>
      <c r="CDW337" s="1"/>
      <c r="CDX337" s="1"/>
      <c r="CDY337" s="1"/>
      <c r="CDZ337" s="1"/>
      <c r="CEA337" s="1"/>
      <c r="CEB337" s="1"/>
      <c r="CEC337" s="1"/>
      <c r="CED337" s="1"/>
      <c r="CEE337" s="1"/>
      <c r="CEF337" s="1"/>
      <c r="CEG337" s="1"/>
      <c r="CEH337" s="1"/>
      <c r="CEI337" s="1"/>
      <c r="CEJ337" s="1"/>
      <c r="CEK337" s="1"/>
      <c r="CEL337" s="1"/>
      <c r="CEM337" s="1"/>
      <c r="CEN337" s="1"/>
      <c r="CEO337" s="1"/>
      <c r="CEP337" s="1"/>
      <c r="CEQ337" s="1"/>
      <c r="CER337" s="1"/>
      <c r="CES337" s="1"/>
      <c r="CET337" s="1"/>
      <c r="CEU337" s="1"/>
      <c r="CEV337" s="1"/>
      <c r="CEW337" s="1"/>
      <c r="CEX337" s="1"/>
      <c r="CEY337" s="1"/>
      <c r="CEZ337" s="1"/>
      <c r="CFA337" s="1"/>
      <c r="CFB337" s="1"/>
      <c r="CFC337" s="1"/>
      <c r="CFD337" s="1"/>
      <c r="CFE337" s="1"/>
      <c r="CFF337" s="1"/>
      <c r="CFG337" s="1"/>
      <c r="CFH337" s="1"/>
      <c r="CFI337" s="1"/>
      <c r="CFJ337" s="1"/>
      <c r="CFK337" s="1"/>
      <c r="CFL337" s="1"/>
      <c r="CFM337" s="1"/>
      <c r="CFN337" s="1"/>
      <c r="CFO337" s="1"/>
      <c r="CFP337" s="1"/>
      <c r="CFQ337" s="1"/>
      <c r="CFR337" s="1"/>
      <c r="CFS337" s="1"/>
      <c r="CFT337" s="1"/>
      <c r="CFU337" s="1"/>
      <c r="CFV337" s="1"/>
      <c r="CFW337" s="1"/>
      <c r="CFX337" s="1"/>
      <c r="CFY337" s="1"/>
      <c r="CFZ337" s="1"/>
      <c r="CGA337" s="1"/>
      <c r="CGB337" s="1"/>
      <c r="CGC337" s="1"/>
      <c r="CGD337" s="1"/>
      <c r="CGE337" s="1"/>
      <c r="CGF337" s="1"/>
      <c r="CGG337" s="1"/>
      <c r="CGH337" s="1"/>
      <c r="CGI337" s="1"/>
      <c r="CGJ337" s="1"/>
      <c r="CGK337" s="1"/>
      <c r="CGL337" s="1"/>
      <c r="CGM337" s="1"/>
      <c r="CGN337" s="1"/>
      <c r="CGO337" s="1"/>
      <c r="CGP337" s="1"/>
      <c r="CGQ337" s="1"/>
      <c r="CGR337" s="1"/>
      <c r="CGS337" s="1"/>
      <c r="CGT337" s="1"/>
      <c r="CGU337" s="1"/>
      <c r="CGV337" s="1"/>
      <c r="CGW337" s="1"/>
      <c r="CGX337" s="1"/>
      <c r="CGY337" s="1"/>
      <c r="CGZ337" s="1"/>
      <c r="CHA337" s="1"/>
      <c r="CHB337" s="1"/>
      <c r="CHC337" s="1"/>
      <c r="CHD337" s="1"/>
      <c r="CHE337" s="1"/>
      <c r="CHF337" s="1"/>
      <c r="CHG337" s="1"/>
      <c r="CHH337" s="1"/>
      <c r="CHI337" s="1"/>
      <c r="CHJ337" s="1"/>
      <c r="CHK337" s="1"/>
      <c r="CHL337" s="1"/>
      <c r="CHM337" s="1"/>
      <c r="CHN337" s="1"/>
      <c r="CHO337" s="1"/>
      <c r="CHP337" s="1"/>
      <c r="CHQ337" s="1"/>
      <c r="CHR337" s="1"/>
      <c r="CHS337" s="1"/>
      <c r="CHT337" s="1"/>
      <c r="CHU337" s="1"/>
      <c r="CHV337" s="1"/>
      <c r="CHW337" s="1"/>
      <c r="CHX337" s="1"/>
      <c r="CHY337" s="1"/>
      <c r="CHZ337" s="1"/>
      <c r="CIA337" s="1"/>
      <c r="CIB337" s="1"/>
      <c r="CIC337" s="1"/>
      <c r="CID337" s="1"/>
      <c r="CIE337" s="1"/>
      <c r="CIF337" s="1"/>
      <c r="CIG337" s="1"/>
      <c r="CIH337" s="1"/>
      <c r="CII337" s="1"/>
      <c r="CIJ337" s="1"/>
      <c r="CIK337" s="1"/>
      <c r="CIL337" s="1"/>
      <c r="CIM337" s="1"/>
      <c r="CIN337" s="1"/>
      <c r="CIO337" s="1"/>
      <c r="CIP337" s="1"/>
      <c r="CIQ337" s="1"/>
      <c r="CIR337" s="1"/>
      <c r="CIS337" s="1"/>
      <c r="CIT337" s="1"/>
      <c r="CIU337" s="1"/>
      <c r="CIV337" s="1"/>
      <c r="CIW337" s="1"/>
      <c r="CIX337" s="1"/>
      <c r="CIY337" s="1"/>
      <c r="CIZ337" s="1"/>
      <c r="CJA337" s="1"/>
      <c r="CJB337" s="1"/>
      <c r="CJC337" s="1"/>
      <c r="CJD337" s="1"/>
      <c r="CJE337" s="1"/>
      <c r="CJF337" s="1"/>
      <c r="CJG337" s="1"/>
      <c r="CJH337" s="1"/>
      <c r="CJI337" s="1"/>
      <c r="CJJ337" s="1"/>
      <c r="CJK337" s="1"/>
      <c r="CJL337" s="1"/>
      <c r="CJM337" s="1"/>
      <c r="CJN337" s="1"/>
      <c r="CJO337" s="1"/>
      <c r="CJP337" s="1"/>
      <c r="CJQ337" s="1"/>
      <c r="CJR337" s="1"/>
      <c r="CJS337" s="1"/>
      <c r="CJT337" s="1"/>
      <c r="CJU337" s="1"/>
      <c r="CJV337" s="1"/>
      <c r="CJW337" s="1"/>
      <c r="CJX337" s="1"/>
      <c r="CJY337" s="1"/>
      <c r="CJZ337" s="1"/>
      <c r="CKA337" s="1"/>
      <c r="CKB337" s="1"/>
      <c r="CKC337" s="1"/>
      <c r="CKD337" s="1"/>
      <c r="CKE337" s="1"/>
      <c r="CKF337" s="1"/>
      <c r="CKG337" s="1"/>
      <c r="CKH337" s="1"/>
      <c r="CKI337" s="1"/>
      <c r="CKJ337" s="1"/>
      <c r="CKK337" s="1"/>
      <c r="CKL337" s="1"/>
      <c r="CKM337" s="1"/>
      <c r="CKN337" s="1"/>
      <c r="CKO337" s="1"/>
      <c r="CKP337" s="1"/>
      <c r="CKQ337" s="1"/>
      <c r="CKR337" s="1"/>
      <c r="CKS337" s="1"/>
      <c r="CKT337" s="1"/>
      <c r="CKU337" s="1"/>
      <c r="CKV337" s="1"/>
      <c r="CKW337" s="1"/>
      <c r="CKX337" s="1"/>
      <c r="CKY337" s="1"/>
      <c r="CKZ337" s="1"/>
      <c r="CLA337" s="1"/>
      <c r="CLB337" s="1"/>
      <c r="CLC337" s="1"/>
      <c r="CLD337" s="1"/>
      <c r="CLE337" s="1"/>
      <c r="CLF337" s="1"/>
      <c r="CLG337" s="1"/>
      <c r="CLH337" s="1"/>
      <c r="CLI337" s="1"/>
      <c r="CLJ337" s="1"/>
      <c r="CLK337" s="1"/>
      <c r="CLL337" s="1"/>
      <c r="CLM337" s="1"/>
      <c r="CLN337" s="1"/>
      <c r="CLO337" s="1"/>
      <c r="CLP337" s="1"/>
      <c r="CLQ337" s="1"/>
      <c r="CLR337" s="1"/>
      <c r="CLS337" s="1"/>
      <c r="CLT337" s="1"/>
      <c r="CLU337" s="1"/>
      <c r="CLV337" s="1"/>
      <c r="CLW337" s="1"/>
      <c r="CLX337" s="1"/>
      <c r="CLY337" s="1"/>
      <c r="CLZ337" s="1"/>
      <c r="CMA337" s="1"/>
      <c r="CMB337" s="1"/>
      <c r="CMC337" s="1"/>
      <c r="CMD337" s="1"/>
      <c r="CME337" s="1"/>
      <c r="CMF337" s="1"/>
      <c r="CMG337" s="1"/>
      <c r="CMH337" s="1"/>
      <c r="CMI337" s="1"/>
      <c r="CMJ337" s="1"/>
      <c r="CMK337" s="1"/>
      <c r="CML337" s="1"/>
      <c r="CMM337" s="1"/>
      <c r="CMN337" s="1"/>
      <c r="CMO337" s="1"/>
      <c r="CMP337" s="1"/>
      <c r="CMQ337" s="1"/>
      <c r="CMR337" s="1"/>
      <c r="CMS337" s="1"/>
      <c r="CMT337" s="1"/>
      <c r="CMU337" s="1"/>
      <c r="CMV337" s="1"/>
      <c r="CMW337" s="1"/>
      <c r="CMX337" s="1"/>
      <c r="CMY337" s="1"/>
      <c r="CMZ337" s="1"/>
      <c r="CNA337" s="1"/>
      <c r="CNB337" s="1"/>
      <c r="CNC337" s="1"/>
      <c r="CND337" s="1"/>
      <c r="CNE337" s="1"/>
      <c r="CNF337" s="1"/>
      <c r="CNG337" s="1"/>
      <c r="CNH337" s="1"/>
      <c r="CNI337" s="1"/>
      <c r="CNJ337" s="1"/>
      <c r="CNK337" s="1"/>
      <c r="CNL337" s="1"/>
      <c r="CNM337" s="1"/>
      <c r="CNN337" s="1"/>
      <c r="CNO337" s="1"/>
      <c r="CNP337" s="1"/>
      <c r="CNQ337" s="1"/>
      <c r="CNR337" s="1"/>
      <c r="CNS337" s="1"/>
      <c r="CNT337" s="1"/>
      <c r="CNU337" s="1"/>
      <c r="CNV337" s="1"/>
      <c r="CNW337" s="1"/>
      <c r="CNX337" s="1"/>
      <c r="CNY337" s="1"/>
      <c r="CNZ337" s="1"/>
      <c r="COA337" s="1"/>
      <c r="COB337" s="1"/>
      <c r="COC337" s="1"/>
      <c r="COD337" s="1"/>
      <c r="COE337" s="1"/>
      <c r="COF337" s="1"/>
      <c r="COG337" s="1"/>
      <c r="COH337" s="1"/>
      <c r="COI337" s="1"/>
      <c r="COJ337" s="1"/>
      <c r="COK337" s="1"/>
      <c r="COL337" s="1"/>
      <c r="COM337" s="1"/>
      <c r="CON337" s="1"/>
      <c r="COO337" s="1"/>
      <c r="COP337" s="1"/>
      <c r="COQ337" s="1"/>
      <c r="COR337" s="1"/>
      <c r="COS337" s="1"/>
      <c r="COT337" s="1"/>
      <c r="COU337" s="1"/>
      <c r="COV337" s="1"/>
      <c r="COW337" s="1"/>
      <c r="COX337" s="1"/>
      <c r="COY337" s="1"/>
      <c r="COZ337" s="1"/>
      <c r="CPA337" s="1"/>
      <c r="CPB337" s="1"/>
      <c r="CPC337" s="1"/>
      <c r="CPD337" s="1"/>
      <c r="CPE337" s="1"/>
      <c r="CPF337" s="1"/>
      <c r="CPG337" s="1"/>
      <c r="CPH337" s="1"/>
      <c r="CPI337" s="1"/>
      <c r="CPJ337" s="1"/>
      <c r="CPK337" s="1"/>
      <c r="CPL337" s="1"/>
      <c r="CPM337" s="1"/>
      <c r="CPN337" s="1"/>
      <c r="CPO337" s="1"/>
      <c r="CPP337" s="1"/>
      <c r="CPQ337" s="1"/>
      <c r="CPR337" s="1"/>
      <c r="CPS337" s="1"/>
      <c r="CPT337" s="1"/>
      <c r="CPU337" s="1"/>
      <c r="CPV337" s="1"/>
      <c r="CPW337" s="1"/>
      <c r="CPX337" s="1"/>
      <c r="CPY337" s="1"/>
      <c r="CPZ337" s="1"/>
      <c r="CQA337" s="1"/>
      <c r="CQB337" s="1"/>
      <c r="CQC337" s="1"/>
      <c r="CQD337" s="1"/>
      <c r="CQE337" s="1"/>
      <c r="CQF337" s="1"/>
      <c r="CQG337" s="1"/>
      <c r="CQH337" s="1"/>
      <c r="CQI337" s="1"/>
      <c r="CQJ337" s="1"/>
      <c r="CQK337" s="1"/>
      <c r="CQL337" s="1"/>
      <c r="CQM337" s="1"/>
      <c r="CQN337" s="1"/>
      <c r="CQO337" s="1"/>
      <c r="CQP337" s="1"/>
      <c r="CQQ337" s="1"/>
      <c r="CQR337" s="1"/>
      <c r="CQS337" s="1"/>
      <c r="CQT337" s="1"/>
      <c r="CQU337" s="1"/>
      <c r="CQV337" s="1"/>
      <c r="CQW337" s="1"/>
      <c r="CQX337" s="1"/>
      <c r="CQY337" s="1"/>
      <c r="CQZ337" s="1"/>
      <c r="CRA337" s="1"/>
      <c r="CRB337" s="1"/>
      <c r="CRC337" s="1"/>
      <c r="CRD337" s="1"/>
      <c r="CRE337" s="1"/>
      <c r="CRF337" s="1"/>
      <c r="CRG337" s="1"/>
      <c r="CRH337" s="1"/>
      <c r="CRI337" s="1"/>
      <c r="CRJ337" s="1"/>
      <c r="CRK337" s="1"/>
      <c r="CRL337" s="1"/>
      <c r="CRM337" s="1"/>
      <c r="CRN337" s="1"/>
      <c r="CRO337" s="1"/>
      <c r="CRP337" s="1"/>
      <c r="CRQ337" s="1"/>
      <c r="CRR337" s="1"/>
      <c r="CRS337" s="1"/>
      <c r="CRT337" s="1"/>
      <c r="CRU337" s="1"/>
      <c r="CRV337" s="1"/>
      <c r="CRW337" s="1"/>
      <c r="CRX337" s="1"/>
      <c r="CRY337" s="1"/>
      <c r="CRZ337" s="1"/>
      <c r="CSA337" s="1"/>
      <c r="CSB337" s="1"/>
      <c r="CSC337" s="1"/>
      <c r="CSD337" s="1"/>
      <c r="CSE337" s="1"/>
      <c r="CSF337" s="1"/>
      <c r="CSG337" s="1"/>
      <c r="CSH337" s="1"/>
      <c r="CSI337" s="1"/>
      <c r="CSJ337" s="1"/>
      <c r="CSK337" s="1"/>
      <c r="CSL337" s="1"/>
      <c r="CSM337" s="1"/>
      <c r="CSN337" s="1"/>
      <c r="CSO337" s="1"/>
      <c r="CSP337" s="1"/>
      <c r="CSQ337" s="1"/>
      <c r="CSR337" s="1"/>
      <c r="CSS337" s="1"/>
      <c r="CST337" s="1"/>
      <c r="CSU337" s="1"/>
      <c r="CSV337" s="1"/>
      <c r="CSW337" s="1"/>
      <c r="CSX337" s="1"/>
      <c r="CSY337" s="1"/>
      <c r="CSZ337" s="1"/>
      <c r="CTA337" s="1"/>
      <c r="CTB337" s="1"/>
      <c r="CTC337" s="1"/>
      <c r="CTD337" s="1"/>
      <c r="CTE337" s="1"/>
      <c r="CTF337" s="1"/>
      <c r="CTG337" s="1"/>
      <c r="CTH337" s="1"/>
      <c r="CTI337" s="1"/>
      <c r="CTJ337" s="1"/>
      <c r="CTK337" s="1"/>
      <c r="CTL337" s="1"/>
      <c r="CTM337" s="1"/>
      <c r="CTN337" s="1"/>
      <c r="CTO337" s="1"/>
      <c r="CTP337" s="1"/>
      <c r="CTQ337" s="1"/>
      <c r="CTR337" s="1"/>
      <c r="CTS337" s="1"/>
      <c r="CTT337" s="1"/>
      <c r="CTU337" s="1"/>
      <c r="CTV337" s="1"/>
      <c r="CTW337" s="1"/>
      <c r="CTX337" s="1"/>
      <c r="CTY337" s="1"/>
      <c r="CTZ337" s="1"/>
      <c r="CUA337" s="1"/>
      <c r="CUB337" s="1"/>
      <c r="CUC337" s="1"/>
      <c r="CUD337" s="1"/>
      <c r="CUE337" s="1"/>
      <c r="CUF337" s="1"/>
      <c r="CUG337" s="1"/>
      <c r="CUH337" s="1"/>
      <c r="CUI337" s="1"/>
      <c r="CUJ337" s="1"/>
      <c r="CUK337" s="1"/>
      <c r="CUL337" s="1"/>
      <c r="CUM337" s="1"/>
      <c r="CUN337" s="1"/>
      <c r="CUO337" s="1"/>
      <c r="CUP337" s="1"/>
      <c r="CUQ337" s="1"/>
      <c r="CUR337" s="1"/>
      <c r="CUS337" s="1"/>
      <c r="CUT337" s="1"/>
      <c r="CUU337" s="1"/>
      <c r="CUV337" s="1"/>
      <c r="CUW337" s="1"/>
      <c r="CUX337" s="1"/>
      <c r="CUY337" s="1"/>
      <c r="CUZ337" s="1"/>
      <c r="CVA337" s="1"/>
      <c r="CVB337" s="1"/>
      <c r="CVC337" s="1"/>
      <c r="CVD337" s="1"/>
      <c r="CVE337" s="1"/>
      <c r="CVF337" s="1"/>
      <c r="CVG337" s="1"/>
      <c r="CVH337" s="1"/>
      <c r="CVI337" s="1"/>
      <c r="CVJ337" s="1"/>
      <c r="CVK337" s="1"/>
      <c r="CVL337" s="1"/>
      <c r="CVM337" s="1"/>
      <c r="CVN337" s="1"/>
      <c r="CVO337" s="1"/>
      <c r="CVP337" s="1"/>
      <c r="CVQ337" s="1"/>
      <c r="CVR337" s="1"/>
      <c r="CVS337" s="1"/>
      <c r="CVT337" s="1"/>
      <c r="CVU337" s="1"/>
      <c r="CVV337" s="1"/>
      <c r="CVW337" s="1"/>
      <c r="CVX337" s="1"/>
      <c r="CVY337" s="1"/>
      <c r="CVZ337" s="1"/>
      <c r="CWA337" s="1"/>
      <c r="CWB337" s="1"/>
      <c r="CWC337" s="1"/>
      <c r="CWD337" s="1"/>
      <c r="CWE337" s="1"/>
      <c r="CWF337" s="1"/>
      <c r="CWG337" s="1"/>
      <c r="CWH337" s="1"/>
      <c r="CWI337" s="1"/>
      <c r="CWJ337" s="1"/>
      <c r="CWK337" s="1"/>
      <c r="CWL337" s="1"/>
      <c r="CWM337" s="1"/>
      <c r="CWN337" s="1"/>
      <c r="CWO337" s="1"/>
      <c r="CWP337" s="1"/>
      <c r="CWQ337" s="1"/>
      <c r="CWR337" s="1"/>
      <c r="CWS337" s="1"/>
      <c r="CWT337" s="1"/>
      <c r="CWU337" s="1"/>
      <c r="CWV337" s="1"/>
      <c r="CWW337" s="1"/>
      <c r="CWX337" s="1"/>
      <c r="CWY337" s="1"/>
      <c r="CWZ337" s="1"/>
      <c r="CXA337" s="1"/>
      <c r="CXB337" s="1"/>
      <c r="CXC337" s="1"/>
      <c r="CXD337" s="1"/>
      <c r="CXE337" s="1"/>
      <c r="CXF337" s="1"/>
      <c r="CXG337" s="1"/>
      <c r="CXH337" s="1"/>
      <c r="CXI337" s="1"/>
      <c r="CXJ337" s="1"/>
      <c r="CXK337" s="1"/>
      <c r="CXL337" s="1"/>
      <c r="CXM337" s="1"/>
      <c r="CXN337" s="1"/>
      <c r="CXO337" s="1"/>
      <c r="CXP337" s="1"/>
      <c r="CXQ337" s="1"/>
      <c r="CXR337" s="1"/>
      <c r="CXS337" s="1"/>
      <c r="CXT337" s="1"/>
      <c r="CXU337" s="1"/>
      <c r="CXV337" s="1"/>
      <c r="CXW337" s="1"/>
      <c r="CXX337" s="1"/>
      <c r="CXY337" s="1"/>
      <c r="CXZ337" s="1"/>
      <c r="CYA337" s="1"/>
      <c r="CYB337" s="1"/>
      <c r="CYC337" s="1"/>
      <c r="CYD337" s="1"/>
      <c r="CYE337" s="1"/>
      <c r="CYF337" s="1"/>
      <c r="CYG337" s="1"/>
      <c r="CYH337" s="1"/>
      <c r="CYI337" s="1"/>
      <c r="CYJ337" s="1"/>
      <c r="CYK337" s="1"/>
      <c r="CYL337" s="1"/>
      <c r="CYM337" s="1"/>
      <c r="CYN337" s="1"/>
      <c r="CYO337" s="1"/>
      <c r="CYP337" s="1"/>
      <c r="CYQ337" s="1"/>
      <c r="CYR337" s="1"/>
      <c r="CYS337" s="1"/>
      <c r="CYT337" s="1"/>
      <c r="CYU337" s="1"/>
      <c r="CYV337" s="1"/>
      <c r="CYW337" s="1"/>
      <c r="CYX337" s="1"/>
      <c r="CYY337" s="1"/>
      <c r="CYZ337" s="1"/>
      <c r="CZA337" s="1"/>
      <c r="CZB337" s="1"/>
      <c r="CZC337" s="1"/>
      <c r="CZD337" s="1"/>
      <c r="CZE337" s="1"/>
      <c r="CZF337" s="1"/>
      <c r="CZG337" s="1"/>
      <c r="CZH337" s="1"/>
      <c r="CZI337" s="1"/>
      <c r="CZJ337" s="1"/>
      <c r="CZK337" s="1"/>
      <c r="CZL337" s="1"/>
      <c r="CZM337" s="1"/>
      <c r="CZN337" s="1"/>
      <c r="CZO337" s="1"/>
      <c r="CZP337" s="1"/>
      <c r="CZQ337" s="1"/>
      <c r="CZR337" s="1"/>
      <c r="CZS337" s="1"/>
      <c r="CZT337" s="1"/>
      <c r="CZU337" s="1"/>
      <c r="CZV337" s="1"/>
      <c r="CZW337" s="1"/>
      <c r="CZX337" s="1"/>
      <c r="CZY337" s="1"/>
      <c r="CZZ337" s="1"/>
      <c r="DAA337" s="1"/>
      <c r="DAB337" s="1"/>
      <c r="DAC337" s="1"/>
      <c r="DAD337" s="1"/>
      <c r="DAE337" s="1"/>
      <c r="DAF337" s="1"/>
      <c r="DAG337" s="1"/>
      <c r="DAH337" s="1"/>
      <c r="DAI337" s="1"/>
      <c r="DAJ337" s="1"/>
      <c r="DAK337" s="1"/>
      <c r="DAL337" s="1"/>
      <c r="DAM337" s="1"/>
      <c r="DAN337" s="1"/>
      <c r="DAO337" s="1"/>
      <c r="DAP337" s="1"/>
      <c r="DAQ337" s="1"/>
      <c r="DAR337" s="1"/>
      <c r="DAS337" s="1"/>
      <c r="DAT337" s="1"/>
      <c r="DAU337" s="1"/>
      <c r="DAV337" s="1"/>
      <c r="DAW337" s="1"/>
      <c r="DAX337" s="1"/>
      <c r="DAY337" s="1"/>
      <c r="DAZ337" s="1"/>
      <c r="DBA337" s="1"/>
      <c r="DBB337" s="1"/>
      <c r="DBC337" s="1"/>
      <c r="DBD337" s="1"/>
      <c r="DBE337" s="1"/>
      <c r="DBF337" s="1"/>
      <c r="DBG337" s="1"/>
      <c r="DBH337" s="1"/>
      <c r="DBI337" s="1"/>
      <c r="DBJ337" s="1"/>
      <c r="DBK337" s="1"/>
      <c r="DBL337" s="1"/>
      <c r="DBM337" s="1"/>
      <c r="DBN337" s="1"/>
      <c r="DBO337" s="1"/>
      <c r="DBP337" s="1"/>
      <c r="DBQ337" s="1"/>
      <c r="DBR337" s="1"/>
      <c r="DBS337" s="1"/>
      <c r="DBT337" s="1"/>
      <c r="DBU337" s="1"/>
      <c r="DBV337" s="1"/>
      <c r="DBW337" s="1"/>
      <c r="DBX337" s="1"/>
      <c r="DBY337" s="1"/>
      <c r="DBZ337" s="1"/>
      <c r="DCA337" s="1"/>
      <c r="DCB337" s="1"/>
      <c r="DCC337" s="1"/>
      <c r="DCD337" s="1"/>
      <c r="DCE337" s="1"/>
      <c r="DCF337" s="1"/>
      <c r="DCG337" s="1"/>
      <c r="DCH337" s="1"/>
      <c r="DCI337" s="1"/>
      <c r="DCJ337" s="1"/>
      <c r="DCK337" s="1"/>
      <c r="DCL337" s="1"/>
      <c r="DCM337" s="1"/>
      <c r="DCN337" s="1"/>
      <c r="DCO337" s="1"/>
      <c r="DCP337" s="1"/>
      <c r="DCQ337" s="1"/>
      <c r="DCR337" s="1"/>
      <c r="DCS337" s="1"/>
      <c r="DCT337" s="1"/>
      <c r="DCU337" s="1"/>
      <c r="DCV337" s="1"/>
      <c r="DCW337" s="1"/>
      <c r="DCX337" s="1"/>
      <c r="DCY337" s="1"/>
      <c r="DCZ337" s="1"/>
      <c r="DDA337" s="1"/>
      <c r="DDB337" s="1"/>
      <c r="DDC337" s="1"/>
      <c r="DDD337" s="1"/>
      <c r="DDE337" s="1"/>
      <c r="DDF337" s="1"/>
      <c r="DDG337" s="1"/>
      <c r="DDH337" s="1"/>
      <c r="DDI337" s="1"/>
      <c r="DDJ337" s="1"/>
      <c r="DDK337" s="1"/>
      <c r="DDL337" s="1"/>
      <c r="DDM337" s="1"/>
      <c r="DDN337" s="1"/>
      <c r="DDO337" s="1"/>
      <c r="DDP337" s="1"/>
      <c r="DDQ337" s="1"/>
      <c r="DDR337" s="1"/>
      <c r="DDS337" s="1"/>
      <c r="DDT337" s="1"/>
      <c r="DDU337" s="1"/>
      <c r="DDV337" s="1"/>
      <c r="DDW337" s="1"/>
      <c r="DDX337" s="1"/>
      <c r="DDY337" s="1"/>
      <c r="DDZ337" s="1"/>
      <c r="DEA337" s="1"/>
      <c r="DEB337" s="1"/>
      <c r="DEC337" s="1"/>
      <c r="DED337" s="1"/>
      <c r="DEE337" s="1"/>
      <c r="DEF337" s="1"/>
      <c r="DEG337" s="1"/>
      <c r="DEH337" s="1"/>
      <c r="DEI337" s="1"/>
      <c r="DEJ337" s="1"/>
      <c r="DEK337" s="1"/>
      <c r="DEL337" s="1"/>
      <c r="DEM337" s="1"/>
      <c r="DEN337" s="1"/>
      <c r="DEO337" s="1"/>
      <c r="DEP337" s="1"/>
      <c r="DEQ337" s="1"/>
      <c r="DER337" s="1"/>
      <c r="DES337" s="1"/>
      <c r="DET337" s="1"/>
      <c r="DEU337" s="1"/>
      <c r="DEV337" s="1"/>
      <c r="DEW337" s="1"/>
      <c r="DEX337" s="1"/>
      <c r="DEY337" s="1"/>
      <c r="DEZ337" s="1"/>
      <c r="DFA337" s="1"/>
      <c r="DFB337" s="1"/>
      <c r="DFC337" s="1"/>
      <c r="DFD337" s="1"/>
      <c r="DFE337" s="1"/>
      <c r="DFF337" s="1"/>
      <c r="DFG337" s="1"/>
      <c r="DFH337" s="1"/>
      <c r="DFI337" s="1"/>
      <c r="DFJ337" s="1"/>
      <c r="DFK337" s="1"/>
      <c r="DFL337" s="1"/>
      <c r="DFM337" s="1"/>
      <c r="DFN337" s="1"/>
      <c r="DFO337" s="1"/>
      <c r="DFP337" s="1"/>
      <c r="DFQ337" s="1"/>
      <c r="DFR337" s="1"/>
      <c r="DFS337" s="1"/>
      <c r="DFT337" s="1"/>
      <c r="DFU337" s="1"/>
      <c r="DFV337" s="1"/>
      <c r="DFW337" s="1"/>
      <c r="DFX337" s="1"/>
      <c r="DFY337" s="1"/>
      <c r="DFZ337" s="1"/>
      <c r="DGA337" s="1"/>
      <c r="DGB337" s="1"/>
      <c r="DGC337" s="1"/>
      <c r="DGD337" s="1"/>
      <c r="DGE337" s="1"/>
      <c r="DGF337" s="1"/>
      <c r="DGG337" s="1"/>
      <c r="DGH337" s="1"/>
      <c r="DGI337" s="1"/>
      <c r="DGJ337" s="1"/>
      <c r="DGK337" s="1"/>
      <c r="DGL337" s="1"/>
      <c r="DGM337" s="1"/>
      <c r="DGN337" s="1"/>
      <c r="DGO337" s="1"/>
      <c r="DGP337" s="1"/>
      <c r="DGQ337" s="1"/>
      <c r="DGR337" s="1"/>
      <c r="DGS337" s="1"/>
      <c r="DGT337" s="1"/>
      <c r="DGU337" s="1"/>
      <c r="DGV337" s="1"/>
      <c r="DGW337" s="1"/>
      <c r="DGX337" s="1"/>
      <c r="DGY337" s="1"/>
      <c r="DGZ337" s="1"/>
      <c r="DHA337" s="1"/>
      <c r="DHB337" s="1"/>
      <c r="DHC337" s="1"/>
      <c r="DHD337" s="1"/>
      <c r="DHE337" s="1"/>
      <c r="DHF337" s="1"/>
      <c r="DHG337" s="1"/>
      <c r="DHH337" s="1"/>
      <c r="DHI337" s="1"/>
      <c r="DHJ337" s="1"/>
      <c r="DHK337" s="1"/>
      <c r="DHL337" s="1"/>
      <c r="DHM337" s="1"/>
      <c r="DHN337" s="1"/>
      <c r="DHO337" s="1"/>
      <c r="DHP337" s="1"/>
      <c r="DHQ337" s="1"/>
      <c r="DHR337" s="1"/>
      <c r="DHS337" s="1"/>
      <c r="DHT337" s="1"/>
      <c r="DHU337" s="1"/>
      <c r="DHV337" s="1"/>
      <c r="DHW337" s="1"/>
      <c r="DHX337" s="1"/>
      <c r="DHY337" s="1"/>
      <c r="DHZ337" s="1"/>
      <c r="DIA337" s="1"/>
      <c r="DIB337" s="1"/>
      <c r="DIC337" s="1"/>
      <c r="DID337" s="1"/>
      <c r="DIE337" s="1"/>
      <c r="DIF337" s="1"/>
      <c r="DIG337" s="1"/>
      <c r="DIH337" s="1"/>
      <c r="DII337" s="1"/>
      <c r="DIJ337" s="1"/>
      <c r="DIK337" s="1"/>
      <c r="DIL337" s="1"/>
      <c r="DIM337" s="1"/>
      <c r="DIN337" s="1"/>
      <c r="DIO337" s="1"/>
      <c r="DIP337" s="1"/>
      <c r="DIQ337" s="1"/>
      <c r="DIR337" s="1"/>
      <c r="DIS337" s="1"/>
      <c r="DIT337" s="1"/>
      <c r="DIU337" s="1"/>
      <c r="DIV337" s="1"/>
      <c r="DIW337" s="1"/>
      <c r="DIX337" s="1"/>
      <c r="DIY337" s="1"/>
      <c r="DIZ337" s="1"/>
      <c r="DJA337" s="1"/>
      <c r="DJB337" s="1"/>
      <c r="DJC337" s="1"/>
      <c r="DJD337" s="1"/>
      <c r="DJE337" s="1"/>
      <c r="DJF337" s="1"/>
      <c r="DJG337" s="1"/>
      <c r="DJH337" s="1"/>
      <c r="DJI337" s="1"/>
      <c r="DJJ337" s="1"/>
      <c r="DJK337" s="1"/>
      <c r="DJL337" s="1"/>
      <c r="DJM337" s="1"/>
      <c r="DJN337" s="1"/>
      <c r="DJO337" s="1"/>
      <c r="DJP337" s="1"/>
      <c r="DJQ337" s="1"/>
      <c r="DJR337" s="1"/>
      <c r="DJS337" s="1"/>
      <c r="DJT337" s="1"/>
      <c r="DJU337" s="1"/>
      <c r="DJV337" s="1"/>
      <c r="DJW337" s="1"/>
      <c r="DJX337" s="1"/>
      <c r="DJY337" s="1"/>
      <c r="DJZ337" s="1"/>
      <c r="DKA337" s="1"/>
      <c r="DKB337" s="1"/>
      <c r="DKC337" s="1"/>
      <c r="DKD337" s="1"/>
      <c r="DKE337" s="1"/>
      <c r="DKF337" s="1"/>
      <c r="DKG337" s="1"/>
      <c r="DKH337" s="1"/>
      <c r="DKI337" s="1"/>
      <c r="DKJ337" s="1"/>
      <c r="DKK337" s="1"/>
      <c r="DKL337" s="1"/>
      <c r="DKM337" s="1"/>
      <c r="DKN337" s="1"/>
      <c r="DKO337" s="1"/>
      <c r="DKP337" s="1"/>
      <c r="DKQ337" s="1"/>
      <c r="DKR337" s="1"/>
      <c r="DKS337" s="1"/>
      <c r="DKT337" s="1"/>
      <c r="DKU337" s="1"/>
      <c r="DKV337" s="1"/>
      <c r="DKW337" s="1"/>
      <c r="DKX337" s="1"/>
      <c r="DKY337" s="1"/>
      <c r="DKZ337" s="1"/>
      <c r="DLA337" s="1"/>
      <c r="DLB337" s="1"/>
      <c r="DLC337" s="1"/>
      <c r="DLD337" s="1"/>
      <c r="DLE337" s="1"/>
      <c r="DLF337" s="1"/>
      <c r="DLG337" s="1"/>
      <c r="DLH337" s="1"/>
      <c r="DLI337" s="1"/>
      <c r="DLJ337" s="1"/>
      <c r="DLK337" s="1"/>
      <c r="DLL337" s="1"/>
      <c r="DLM337" s="1"/>
      <c r="DLN337" s="1"/>
      <c r="DLO337" s="1"/>
      <c r="DLP337" s="1"/>
      <c r="DLQ337" s="1"/>
      <c r="DLR337" s="1"/>
      <c r="DLS337" s="1"/>
      <c r="DLT337" s="1"/>
      <c r="DLU337" s="1"/>
      <c r="DLV337" s="1"/>
      <c r="DLW337" s="1"/>
      <c r="DLX337" s="1"/>
      <c r="DLY337" s="1"/>
      <c r="DLZ337" s="1"/>
      <c r="DMA337" s="1"/>
      <c r="DMB337" s="1"/>
      <c r="DMC337" s="1"/>
      <c r="DMD337" s="1"/>
      <c r="DME337" s="1"/>
      <c r="DMF337" s="1"/>
      <c r="DMG337" s="1"/>
      <c r="DMH337" s="1"/>
      <c r="DMI337" s="1"/>
      <c r="DMJ337" s="1"/>
      <c r="DMK337" s="1"/>
      <c r="DML337" s="1"/>
      <c r="DMM337" s="1"/>
      <c r="DMN337" s="1"/>
      <c r="DMO337" s="1"/>
      <c r="DMP337" s="1"/>
      <c r="DMQ337" s="1"/>
      <c r="DMR337" s="1"/>
      <c r="DMS337" s="1"/>
      <c r="DMT337" s="1"/>
      <c r="DMU337" s="1"/>
      <c r="DMV337" s="1"/>
      <c r="DMW337" s="1"/>
      <c r="DMX337" s="1"/>
      <c r="DMY337" s="1"/>
      <c r="DMZ337" s="1"/>
      <c r="DNA337" s="1"/>
      <c r="DNB337" s="1"/>
      <c r="DNC337" s="1"/>
      <c r="DND337" s="1"/>
      <c r="DNE337" s="1"/>
      <c r="DNF337" s="1"/>
      <c r="DNG337" s="1"/>
      <c r="DNH337" s="1"/>
      <c r="DNI337" s="1"/>
      <c r="DNJ337" s="1"/>
      <c r="DNK337" s="1"/>
      <c r="DNL337" s="1"/>
      <c r="DNM337" s="1"/>
      <c r="DNN337" s="1"/>
      <c r="DNO337" s="1"/>
      <c r="DNP337" s="1"/>
      <c r="DNQ337" s="1"/>
      <c r="DNR337" s="1"/>
      <c r="DNS337" s="1"/>
      <c r="DNT337" s="1"/>
      <c r="DNU337" s="1"/>
      <c r="DNV337" s="1"/>
      <c r="DNW337" s="1"/>
      <c r="DNX337" s="1"/>
      <c r="DNY337" s="1"/>
      <c r="DNZ337" s="1"/>
      <c r="DOA337" s="1"/>
      <c r="DOB337" s="1"/>
      <c r="DOC337" s="1"/>
      <c r="DOD337" s="1"/>
      <c r="DOE337" s="1"/>
      <c r="DOF337" s="1"/>
      <c r="DOG337" s="1"/>
      <c r="DOH337" s="1"/>
      <c r="DOI337" s="1"/>
      <c r="DOJ337" s="1"/>
      <c r="DOK337" s="1"/>
      <c r="DOL337" s="1"/>
      <c r="DOM337" s="1"/>
      <c r="DON337" s="1"/>
      <c r="DOO337" s="1"/>
      <c r="DOP337" s="1"/>
      <c r="DOQ337" s="1"/>
      <c r="DOR337" s="1"/>
      <c r="DOS337" s="1"/>
      <c r="DOT337" s="1"/>
      <c r="DOU337" s="1"/>
      <c r="DOV337" s="1"/>
      <c r="DOW337" s="1"/>
      <c r="DOX337" s="1"/>
      <c r="DOY337" s="1"/>
      <c r="DOZ337" s="1"/>
      <c r="DPA337" s="1"/>
      <c r="DPB337" s="1"/>
      <c r="DPC337" s="1"/>
      <c r="DPD337" s="1"/>
      <c r="DPE337" s="1"/>
      <c r="DPF337" s="1"/>
      <c r="DPG337" s="1"/>
      <c r="DPH337" s="1"/>
      <c r="DPI337" s="1"/>
      <c r="DPJ337" s="1"/>
      <c r="DPK337" s="1"/>
      <c r="DPL337" s="1"/>
      <c r="DPM337" s="1"/>
      <c r="DPN337" s="1"/>
      <c r="DPO337" s="1"/>
      <c r="DPP337" s="1"/>
      <c r="DPQ337" s="1"/>
      <c r="DPR337" s="1"/>
      <c r="DPS337" s="1"/>
      <c r="DPT337" s="1"/>
      <c r="DPU337" s="1"/>
      <c r="DPV337" s="1"/>
      <c r="DPW337" s="1"/>
      <c r="DPX337" s="1"/>
      <c r="DPY337" s="1"/>
      <c r="DPZ337" s="1"/>
      <c r="DQA337" s="1"/>
      <c r="DQB337" s="1"/>
      <c r="DQC337" s="1"/>
      <c r="DQD337" s="1"/>
      <c r="DQE337" s="1"/>
      <c r="DQF337" s="1"/>
      <c r="DQG337" s="1"/>
      <c r="DQH337" s="1"/>
      <c r="DQI337" s="1"/>
      <c r="DQJ337" s="1"/>
      <c r="DQK337" s="1"/>
      <c r="DQL337" s="1"/>
      <c r="DQM337" s="1"/>
      <c r="DQN337" s="1"/>
      <c r="DQO337" s="1"/>
      <c r="DQP337" s="1"/>
      <c r="DQQ337" s="1"/>
      <c r="DQR337" s="1"/>
      <c r="DQS337" s="1"/>
      <c r="DQT337" s="1"/>
      <c r="DQU337" s="1"/>
      <c r="DQV337" s="1"/>
      <c r="DQW337" s="1"/>
      <c r="DQX337" s="1"/>
      <c r="DQY337" s="1"/>
      <c r="DQZ337" s="1"/>
      <c r="DRA337" s="1"/>
      <c r="DRB337" s="1"/>
      <c r="DRC337" s="1"/>
      <c r="DRD337" s="1"/>
      <c r="DRE337" s="1"/>
      <c r="DRF337" s="1"/>
      <c r="DRG337" s="1"/>
      <c r="DRH337" s="1"/>
      <c r="DRI337" s="1"/>
      <c r="DRJ337" s="1"/>
      <c r="DRK337" s="1"/>
      <c r="DRL337" s="1"/>
      <c r="DRM337" s="1"/>
      <c r="DRN337" s="1"/>
      <c r="DRO337" s="1"/>
      <c r="DRP337" s="1"/>
      <c r="DRQ337" s="1"/>
      <c r="DRR337" s="1"/>
      <c r="DRS337" s="1"/>
      <c r="DRT337" s="1"/>
      <c r="DRU337" s="1"/>
      <c r="DRV337" s="1"/>
      <c r="DRW337" s="1"/>
      <c r="DRX337" s="1"/>
      <c r="DRY337" s="1"/>
      <c r="DRZ337" s="1"/>
      <c r="DSA337" s="1"/>
      <c r="DSB337" s="1"/>
      <c r="DSC337" s="1"/>
      <c r="DSD337" s="1"/>
      <c r="DSE337" s="1"/>
      <c r="DSF337" s="1"/>
      <c r="DSG337" s="1"/>
      <c r="DSH337" s="1"/>
      <c r="DSI337" s="1"/>
      <c r="DSJ337" s="1"/>
      <c r="DSK337" s="1"/>
      <c r="DSL337" s="1"/>
      <c r="DSM337" s="1"/>
      <c r="DSN337" s="1"/>
      <c r="DSO337" s="1"/>
      <c r="DSP337" s="1"/>
      <c r="DSQ337" s="1"/>
      <c r="DSR337" s="1"/>
      <c r="DSS337" s="1"/>
      <c r="DST337" s="1"/>
      <c r="DSU337" s="1"/>
      <c r="DSV337" s="1"/>
      <c r="DSW337" s="1"/>
      <c r="DSX337" s="1"/>
      <c r="DSY337" s="1"/>
      <c r="DSZ337" s="1"/>
      <c r="DTA337" s="1"/>
      <c r="DTB337" s="1"/>
      <c r="DTC337" s="1"/>
      <c r="DTD337" s="1"/>
      <c r="DTE337" s="1"/>
      <c r="DTF337" s="1"/>
      <c r="DTG337" s="1"/>
      <c r="DTH337" s="1"/>
      <c r="DTI337" s="1"/>
      <c r="DTJ337" s="1"/>
      <c r="DTK337" s="1"/>
      <c r="DTL337" s="1"/>
      <c r="DTM337" s="1"/>
      <c r="DTN337" s="1"/>
      <c r="DTO337" s="1"/>
      <c r="DTP337" s="1"/>
      <c r="DTQ337" s="1"/>
      <c r="DTR337" s="1"/>
      <c r="DTS337" s="1"/>
      <c r="DTT337" s="1"/>
      <c r="DTU337" s="1"/>
      <c r="DTV337" s="1"/>
      <c r="DTW337" s="1"/>
      <c r="DTX337" s="1"/>
      <c r="DTY337" s="1"/>
      <c r="DTZ337" s="1"/>
      <c r="DUA337" s="1"/>
      <c r="DUB337" s="1"/>
      <c r="DUC337" s="1"/>
      <c r="DUD337" s="1"/>
      <c r="DUE337" s="1"/>
      <c r="DUF337" s="1"/>
      <c r="DUG337" s="1"/>
      <c r="DUH337" s="1"/>
      <c r="DUI337" s="1"/>
      <c r="DUJ337" s="1"/>
      <c r="DUK337" s="1"/>
      <c r="DUL337" s="1"/>
      <c r="DUM337" s="1"/>
      <c r="DUN337" s="1"/>
      <c r="DUO337" s="1"/>
      <c r="DUP337" s="1"/>
      <c r="DUQ337" s="1"/>
      <c r="DUR337" s="1"/>
      <c r="DUS337" s="1"/>
      <c r="DUT337" s="1"/>
      <c r="DUU337" s="1"/>
      <c r="DUV337" s="1"/>
      <c r="DUW337" s="1"/>
      <c r="DUX337" s="1"/>
      <c r="DUY337" s="1"/>
      <c r="DUZ337" s="1"/>
      <c r="DVA337" s="1"/>
      <c r="DVB337" s="1"/>
      <c r="DVC337" s="1"/>
      <c r="DVD337" s="1"/>
      <c r="DVE337" s="1"/>
      <c r="DVF337" s="1"/>
      <c r="DVG337" s="1"/>
      <c r="DVH337" s="1"/>
      <c r="DVI337" s="1"/>
      <c r="DVJ337" s="1"/>
      <c r="DVK337" s="1"/>
      <c r="DVL337" s="1"/>
      <c r="DVM337" s="1"/>
      <c r="DVN337" s="1"/>
      <c r="DVO337" s="1"/>
      <c r="DVP337" s="1"/>
      <c r="DVQ337" s="1"/>
      <c r="DVR337" s="1"/>
      <c r="DVS337" s="1"/>
      <c r="DVT337" s="1"/>
      <c r="DVU337" s="1"/>
      <c r="DVV337" s="1"/>
      <c r="DVW337" s="1"/>
      <c r="DVX337" s="1"/>
      <c r="DVY337" s="1"/>
      <c r="DVZ337" s="1"/>
      <c r="DWA337" s="1"/>
      <c r="DWB337" s="1"/>
      <c r="DWC337" s="1"/>
      <c r="DWD337" s="1"/>
      <c r="DWE337" s="1"/>
      <c r="DWF337" s="1"/>
      <c r="DWG337" s="1"/>
      <c r="DWH337" s="1"/>
      <c r="DWI337" s="1"/>
      <c r="DWJ337" s="1"/>
      <c r="DWK337" s="1"/>
      <c r="DWL337" s="1"/>
      <c r="DWM337" s="1"/>
      <c r="DWN337" s="1"/>
      <c r="DWO337" s="1"/>
      <c r="DWP337" s="1"/>
      <c r="DWQ337" s="1"/>
      <c r="DWR337" s="1"/>
      <c r="DWS337" s="1"/>
      <c r="DWT337" s="1"/>
      <c r="DWU337" s="1"/>
      <c r="DWV337" s="1"/>
      <c r="DWW337" s="1"/>
      <c r="DWX337" s="1"/>
      <c r="DWY337" s="1"/>
      <c r="DWZ337" s="1"/>
      <c r="DXA337" s="1"/>
      <c r="DXB337" s="1"/>
      <c r="DXC337" s="1"/>
      <c r="DXD337" s="1"/>
      <c r="DXE337" s="1"/>
      <c r="DXF337" s="1"/>
      <c r="DXG337" s="1"/>
      <c r="DXH337" s="1"/>
      <c r="DXI337" s="1"/>
      <c r="DXJ337" s="1"/>
      <c r="DXK337" s="1"/>
      <c r="DXL337" s="1"/>
      <c r="DXM337" s="1"/>
      <c r="DXN337" s="1"/>
      <c r="DXO337" s="1"/>
      <c r="DXP337" s="1"/>
      <c r="DXQ337" s="1"/>
      <c r="DXR337" s="1"/>
      <c r="DXS337" s="1"/>
      <c r="DXT337" s="1"/>
      <c r="DXU337" s="1"/>
      <c r="DXV337" s="1"/>
      <c r="DXW337" s="1"/>
      <c r="DXX337" s="1"/>
      <c r="DXY337" s="1"/>
      <c r="DXZ337" s="1"/>
      <c r="DYA337" s="1"/>
      <c r="DYB337" s="1"/>
      <c r="DYC337" s="1"/>
      <c r="DYD337" s="1"/>
      <c r="DYE337" s="1"/>
      <c r="DYF337" s="1"/>
      <c r="DYG337" s="1"/>
      <c r="DYH337" s="1"/>
      <c r="DYI337" s="1"/>
      <c r="DYJ337" s="1"/>
      <c r="DYK337" s="1"/>
      <c r="DYL337" s="1"/>
      <c r="DYM337" s="1"/>
      <c r="DYN337" s="1"/>
      <c r="DYO337" s="1"/>
      <c r="DYP337" s="1"/>
      <c r="DYQ337" s="1"/>
      <c r="DYR337" s="1"/>
      <c r="DYS337" s="1"/>
      <c r="DYT337" s="1"/>
      <c r="DYU337" s="1"/>
      <c r="DYV337" s="1"/>
      <c r="DYW337" s="1"/>
      <c r="DYX337" s="1"/>
      <c r="DYY337" s="1"/>
      <c r="DYZ337" s="1"/>
      <c r="DZA337" s="1"/>
      <c r="DZB337" s="1"/>
      <c r="DZC337" s="1"/>
      <c r="DZD337" s="1"/>
      <c r="DZE337" s="1"/>
      <c r="DZF337" s="1"/>
      <c r="DZG337" s="1"/>
      <c r="DZH337" s="1"/>
      <c r="DZI337" s="1"/>
      <c r="DZJ337" s="1"/>
      <c r="DZK337" s="1"/>
      <c r="DZL337" s="1"/>
      <c r="DZM337" s="1"/>
      <c r="DZN337" s="1"/>
      <c r="DZO337" s="1"/>
      <c r="DZP337" s="1"/>
      <c r="DZQ337" s="1"/>
      <c r="DZR337" s="1"/>
      <c r="DZS337" s="1"/>
      <c r="DZT337" s="1"/>
      <c r="DZU337" s="1"/>
      <c r="DZV337" s="1"/>
      <c r="DZW337" s="1"/>
      <c r="DZX337" s="1"/>
      <c r="DZY337" s="1"/>
      <c r="DZZ337" s="1"/>
      <c r="EAA337" s="1"/>
      <c r="EAB337" s="1"/>
      <c r="EAC337" s="1"/>
      <c r="EAD337" s="1"/>
      <c r="EAE337" s="1"/>
      <c r="EAF337" s="1"/>
      <c r="EAG337" s="1"/>
      <c r="EAH337" s="1"/>
      <c r="EAI337" s="1"/>
      <c r="EAJ337" s="1"/>
      <c r="EAK337" s="1"/>
      <c r="EAL337" s="1"/>
      <c r="EAM337" s="1"/>
      <c r="EAN337" s="1"/>
      <c r="EAO337" s="1"/>
      <c r="EAP337" s="1"/>
      <c r="EAQ337" s="1"/>
      <c r="EAR337" s="1"/>
      <c r="EAS337" s="1"/>
      <c r="EAT337" s="1"/>
      <c r="EAU337" s="1"/>
      <c r="EAV337" s="1"/>
      <c r="EAW337" s="1"/>
      <c r="EAX337" s="1"/>
      <c r="EAY337" s="1"/>
      <c r="EAZ337" s="1"/>
      <c r="EBA337" s="1"/>
      <c r="EBB337" s="1"/>
      <c r="EBC337" s="1"/>
      <c r="EBD337" s="1"/>
      <c r="EBE337" s="1"/>
      <c r="EBF337" s="1"/>
      <c r="EBG337" s="1"/>
      <c r="EBH337" s="1"/>
      <c r="EBI337" s="1"/>
      <c r="EBJ337" s="1"/>
      <c r="EBK337" s="1"/>
      <c r="EBL337" s="1"/>
      <c r="EBM337" s="1"/>
      <c r="EBN337" s="1"/>
      <c r="EBO337" s="1"/>
      <c r="EBP337" s="1"/>
      <c r="EBQ337" s="1"/>
      <c r="EBR337" s="1"/>
      <c r="EBS337" s="1"/>
      <c r="EBT337" s="1"/>
      <c r="EBU337" s="1"/>
      <c r="EBV337" s="1"/>
      <c r="EBW337" s="1"/>
      <c r="EBX337" s="1"/>
      <c r="EBY337" s="1"/>
      <c r="EBZ337" s="1"/>
      <c r="ECA337" s="1"/>
      <c r="ECB337" s="1"/>
      <c r="ECC337" s="1"/>
      <c r="ECD337" s="1"/>
      <c r="ECE337" s="1"/>
      <c r="ECF337" s="1"/>
      <c r="ECG337" s="1"/>
      <c r="ECH337" s="1"/>
      <c r="ECI337" s="1"/>
      <c r="ECJ337" s="1"/>
      <c r="ECK337" s="1"/>
      <c r="ECL337" s="1"/>
      <c r="ECM337" s="1"/>
      <c r="ECN337" s="1"/>
      <c r="ECO337" s="1"/>
      <c r="ECP337" s="1"/>
      <c r="ECQ337" s="1"/>
      <c r="ECR337" s="1"/>
      <c r="ECS337" s="1"/>
      <c r="ECT337" s="1"/>
      <c r="ECU337" s="1"/>
      <c r="ECV337" s="1"/>
      <c r="ECW337" s="1"/>
      <c r="ECX337" s="1"/>
      <c r="ECY337" s="1"/>
      <c r="ECZ337" s="1"/>
      <c r="EDA337" s="1"/>
      <c r="EDB337" s="1"/>
      <c r="EDC337" s="1"/>
      <c r="EDD337" s="1"/>
      <c r="EDE337" s="1"/>
      <c r="EDF337" s="1"/>
      <c r="EDG337" s="1"/>
      <c r="EDH337" s="1"/>
      <c r="EDI337" s="1"/>
      <c r="EDJ337" s="1"/>
      <c r="EDK337" s="1"/>
      <c r="EDL337" s="1"/>
      <c r="EDM337" s="1"/>
      <c r="EDN337" s="1"/>
      <c r="EDO337" s="1"/>
      <c r="EDP337" s="1"/>
      <c r="EDQ337" s="1"/>
      <c r="EDR337" s="1"/>
      <c r="EDS337" s="1"/>
      <c r="EDT337" s="1"/>
      <c r="EDU337" s="1"/>
      <c r="EDV337" s="1"/>
      <c r="EDW337" s="1"/>
      <c r="EDX337" s="1"/>
      <c r="EDY337" s="1"/>
      <c r="EDZ337" s="1"/>
      <c r="EEA337" s="1"/>
      <c r="EEB337" s="1"/>
      <c r="EEC337" s="1"/>
      <c r="EED337" s="1"/>
      <c r="EEE337" s="1"/>
      <c r="EEF337" s="1"/>
      <c r="EEG337" s="1"/>
      <c r="EEH337" s="1"/>
      <c r="EEI337" s="1"/>
      <c r="EEJ337" s="1"/>
      <c r="EEK337" s="1"/>
      <c r="EEL337" s="1"/>
      <c r="EEM337" s="1"/>
      <c r="EEN337" s="1"/>
      <c r="EEO337" s="1"/>
      <c r="EEP337" s="1"/>
      <c r="EEQ337" s="1"/>
      <c r="EER337" s="1"/>
      <c r="EES337" s="1"/>
      <c r="EET337" s="1"/>
      <c r="EEU337" s="1"/>
      <c r="EEV337" s="1"/>
      <c r="EEW337" s="1"/>
      <c r="EEX337" s="1"/>
      <c r="EEY337" s="1"/>
      <c r="EEZ337" s="1"/>
      <c r="EFA337" s="1"/>
      <c r="EFB337" s="1"/>
      <c r="EFC337" s="1"/>
      <c r="EFD337" s="1"/>
      <c r="EFE337" s="1"/>
      <c r="EFF337" s="1"/>
      <c r="EFG337" s="1"/>
      <c r="EFH337" s="1"/>
      <c r="EFI337" s="1"/>
      <c r="EFJ337" s="1"/>
      <c r="EFK337" s="1"/>
      <c r="EFL337" s="1"/>
      <c r="EFM337" s="1"/>
      <c r="EFN337" s="1"/>
      <c r="EFO337" s="1"/>
      <c r="EFP337" s="1"/>
      <c r="EFQ337" s="1"/>
      <c r="EFR337" s="1"/>
      <c r="EFS337" s="1"/>
      <c r="EFT337" s="1"/>
      <c r="EFU337" s="1"/>
      <c r="EFV337" s="1"/>
      <c r="EFW337" s="1"/>
      <c r="EFX337" s="1"/>
      <c r="EFY337" s="1"/>
      <c r="EFZ337" s="1"/>
      <c r="EGA337" s="1"/>
      <c r="EGB337" s="1"/>
      <c r="EGC337" s="1"/>
      <c r="EGD337" s="1"/>
      <c r="EGE337" s="1"/>
      <c r="EGF337" s="1"/>
      <c r="EGG337" s="1"/>
      <c r="EGH337" s="1"/>
      <c r="EGI337" s="1"/>
      <c r="EGJ337" s="1"/>
      <c r="EGK337" s="1"/>
      <c r="EGL337" s="1"/>
      <c r="EGM337" s="1"/>
      <c r="EGN337" s="1"/>
      <c r="EGO337" s="1"/>
      <c r="EGP337" s="1"/>
      <c r="EGQ337" s="1"/>
      <c r="EGR337" s="1"/>
      <c r="EGS337" s="1"/>
      <c r="EGT337" s="1"/>
      <c r="EGU337" s="1"/>
      <c r="EGV337" s="1"/>
      <c r="EGW337" s="1"/>
      <c r="EGX337" s="1"/>
      <c r="EGY337" s="1"/>
      <c r="EGZ337" s="1"/>
      <c r="EHA337" s="1"/>
      <c r="EHB337" s="1"/>
      <c r="EHC337" s="1"/>
      <c r="EHD337" s="1"/>
      <c r="EHE337" s="1"/>
      <c r="EHF337" s="1"/>
      <c r="EHG337" s="1"/>
      <c r="EHH337" s="1"/>
      <c r="EHI337" s="1"/>
      <c r="EHJ337" s="1"/>
      <c r="EHK337" s="1"/>
      <c r="EHL337" s="1"/>
      <c r="EHM337" s="1"/>
      <c r="EHN337" s="1"/>
      <c r="EHO337" s="1"/>
      <c r="EHP337" s="1"/>
      <c r="EHQ337" s="1"/>
      <c r="EHR337" s="1"/>
      <c r="EHS337" s="1"/>
      <c r="EHT337" s="1"/>
      <c r="EHU337" s="1"/>
      <c r="EHV337" s="1"/>
      <c r="EHW337" s="1"/>
      <c r="EHX337" s="1"/>
      <c r="EHY337" s="1"/>
      <c r="EHZ337" s="1"/>
      <c r="EIA337" s="1"/>
      <c r="EIB337" s="1"/>
      <c r="EIC337" s="1"/>
      <c r="EID337" s="1"/>
      <c r="EIE337" s="1"/>
      <c r="EIF337" s="1"/>
      <c r="EIG337" s="1"/>
      <c r="EIH337" s="1"/>
      <c r="EII337" s="1"/>
      <c r="EIJ337" s="1"/>
      <c r="EIK337" s="1"/>
      <c r="EIL337" s="1"/>
      <c r="EIM337" s="1"/>
      <c r="EIN337" s="1"/>
      <c r="EIO337" s="1"/>
      <c r="EIP337" s="1"/>
      <c r="EIQ337" s="1"/>
      <c r="EIR337" s="1"/>
      <c r="EIS337" s="1"/>
      <c r="EIT337" s="1"/>
      <c r="EIU337" s="1"/>
      <c r="EIV337" s="1"/>
      <c r="EIW337" s="1"/>
      <c r="EIX337" s="1"/>
      <c r="EIY337" s="1"/>
      <c r="EIZ337" s="1"/>
      <c r="EJA337" s="1"/>
      <c r="EJB337" s="1"/>
      <c r="EJC337" s="1"/>
      <c r="EJD337" s="1"/>
      <c r="EJE337" s="1"/>
      <c r="EJF337" s="1"/>
      <c r="EJG337" s="1"/>
      <c r="EJH337" s="1"/>
      <c r="EJI337" s="1"/>
      <c r="EJJ337" s="1"/>
      <c r="EJK337" s="1"/>
      <c r="EJL337" s="1"/>
      <c r="EJM337" s="1"/>
      <c r="EJN337" s="1"/>
      <c r="EJO337" s="1"/>
      <c r="EJP337" s="1"/>
      <c r="EJQ337" s="1"/>
      <c r="EJR337" s="1"/>
      <c r="EJS337" s="1"/>
      <c r="EJT337" s="1"/>
      <c r="EJU337" s="1"/>
      <c r="EJV337" s="1"/>
      <c r="EJW337" s="1"/>
      <c r="EJX337" s="1"/>
      <c r="EJY337" s="1"/>
      <c r="EJZ337" s="1"/>
      <c r="EKA337" s="1"/>
      <c r="EKB337" s="1"/>
      <c r="EKC337" s="1"/>
      <c r="EKD337" s="1"/>
      <c r="EKE337" s="1"/>
      <c r="EKF337" s="1"/>
      <c r="EKG337" s="1"/>
      <c r="EKH337" s="1"/>
      <c r="EKI337" s="1"/>
      <c r="EKJ337" s="1"/>
      <c r="EKK337" s="1"/>
      <c r="EKL337" s="1"/>
      <c r="EKM337" s="1"/>
      <c r="EKN337" s="1"/>
      <c r="EKO337" s="1"/>
      <c r="EKP337" s="1"/>
      <c r="EKQ337" s="1"/>
      <c r="EKR337" s="1"/>
      <c r="EKS337" s="1"/>
      <c r="EKT337" s="1"/>
      <c r="EKU337" s="1"/>
      <c r="EKV337" s="1"/>
      <c r="EKW337" s="1"/>
      <c r="EKX337" s="1"/>
      <c r="EKY337" s="1"/>
      <c r="EKZ337" s="1"/>
      <c r="ELA337" s="1"/>
      <c r="ELB337" s="1"/>
      <c r="ELC337" s="1"/>
      <c r="ELD337" s="1"/>
      <c r="ELE337" s="1"/>
      <c r="ELF337" s="1"/>
      <c r="ELG337" s="1"/>
      <c r="ELH337" s="1"/>
      <c r="ELI337" s="1"/>
      <c r="ELJ337" s="1"/>
      <c r="ELK337" s="1"/>
      <c r="ELL337" s="1"/>
      <c r="ELM337" s="1"/>
      <c r="ELN337" s="1"/>
      <c r="ELO337" s="1"/>
      <c r="ELP337" s="1"/>
      <c r="ELQ337" s="1"/>
      <c r="ELR337" s="1"/>
      <c r="ELS337" s="1"/>
      <c r="ELT337" s="1"/>
      <c r="ELU337" s="1"/>
      <c r="ELV337" s="1"/>
      <c r="ELW337" s="1"/>
      <c r="ELX337" s="1"/>
      <c r="ELY337" s="1"/>
      <c r="ELZ337" s="1"/>
      <c r="EMA337" s="1"/>
      <c r="EMB337" s="1"/>
      <c r="EMC337" s="1"/>
      <c r="EMD337" s="1"/>
      <c r="EME337" s="1"/>
      <c r="EMF337" s="1"/>
      <c r="EMG337" s="1"/>
      <c r="EMH337" s="1"/>
      <c r="EMI337" s="1"/>
      <c r="EMJ337" s="1"/>
      <c r="EMK337" s="1"/>
      <c r="EML337" s="1"/>
      <c r="EMM337" s="1"/>
      <c r="EMN337" s="1"/>
      <c r="EMO337" s="1"/>
      <c r="EMP337" s="1"/>
      <c r="EMQ337" s="1"/>
      <c r="EMR337" s="1"/>
      <c r="EMS337" s="1"/>
      <c r="EMT337" s="1"/>
      <c r="EMU337" s="1"/>
      <c r="EMV337" s="1"/>
      <c r="EMW337" s="1"/>
      <c r="EMX337" s="1"/>
      <c r="EMY337" s="1"/>
      <c r="EMZ337" s="1"/>
      <c r="ENA337" s="1"/>
      <c r="ENB337" s="1"/>
      <c r="ENC337" s="1"/>
      <c r="END337" s="1"/>
      <c r="ENE337" s="1"/>
      <c r="ENF337" s="1"/>
      <c r="ENG337" s="1"/>
      <c r="ENH337" s="1"/>
      <c r="ENI337" s="1"/>
      <c r="ENJ337" s="1"/>
      <c r="ENK337" s="1"/>
      <c r="ENL337" s="1"/>
      <c r="ENM337" s="1"/>
      <c r="ENN337" s="1"/>
      <c r="ENO337" s="1"/>
      <c r="ENP337" s="1"/>
      <c r="ENQ337" s="1"/>
      <c r="ENR337" s="1"/>
      <c r="ENS337" s="1"/>
      <c r="ENT337" s="1"/>
      <c r="ENU337" s="1"/>
      <c r="ENV337" s="1"/>
      <c r="ENW337" s="1"/>
      <c r="ENX337" s="1"/>
      <c r="ENY337" s="1"/>
      <c r="ENZ337" s="1"/>
      <c r="EOA337" s="1"/>
      <c r="EOB337" s="1"/>
      <c r="EOC337" s="1"/>
      <c r="EOD337" s="1"/>
      <c r="EOE337" s="1"/>
      <c r="EOF337" s="1"/>
      <c r="EOG337" s="1"/>
      <c r="EOH337" s="1"/>
      <c r="EOI337" s="1"/>
      <c r="EOJ337" s="1"/>
      <c r="EOK337" s="1"/>
      <c r="EOL337" s="1"/>
      <c r="EOM337" s="1"/>
      <c r="EON337" s="1"/>
      <c r="EOO337" s="1"/>
      <c r="EOP337" s="1"/>
      <c r="EOQ337" s="1"/>
      <c r="EOR337" s="1"/>
      <c r="EOS337" s="1"/>
      <c r="EOT337" s="1"/>
      <c r="EOU337" s="1"/>
      <c r="EOV337" s="1"/>
      <c r="EOW337" s="1"/>
      <c r="EOX337" s="1"/>
      <c r="EOY337" s="1"/>
      <c r="EOZ337" s="1"/>
      <c r="EPA337" s="1"/>
      <c r="EPB337" s="1"/>
      <c r="EPC337" s="1"/>
      <c r="EPD337" s="1"/>
      <c r="EPE337" s="1"/>
      <c r="EPF337" s="1"/>
      <c r="EPG337" s="1"/>
      <c r="EPH337" s="1"/>
      <c r="EPI337" s="1"/>
      <c r="EPJ337" s="1"/>
      <c r="EPK337" s="1"/>
      <c r="EPL337" s="1"/>
      <c r="EPM337" s="1"/>
      <c r="EPN337" s="1"/>
      <c r="EPO337" s="1"/>
      <c r="EPP337" s="1"/>
      <c r="EPQ337" s="1"/>
      <c r="EPR337" s="1"/>
      <c r="EPS337" s="1"/>
      <c r="EPT337" s="1"/>
      <c r="EPU337" s="1"/>
      <c r="EPV337" s="1"/>
      <c r="EPW337" s="1"/>
      <c r="EPX337" s="1"/>
      <c r="EPY337" s="1"/>
      <c r="EPZ337" s="1"/>
      <c r="EQA337" s="1"/>
      <c r="EQB337" s="1"/>
      <c r="EQC337" s="1"/>
      <c r="EQD337" s="1"/>
      <c r="EQE337" s="1"/>
      <c r="EQF337" s="1"/>
      <c r="EQG337" s="1"/>
      <c r="EQH337" s="1"/>
      <c r="EQI337" s="1"/>
      <c r="EQJ337" s="1"/>
      <c r="EQK337" s="1"/>
      <c r="EQL337" s="1"/>
      <c r="EQM337" s="1"/>
      <c r="EQN337" s="1"/>
      <c r="EQO337" s="1"/>
      <c r="EQP337" s="1"/>
      <c r="EQQ337" s="1"/>
      <c r="EQR337" s="1"/>
      <c r="EQS337" s="1"/>
      <c r="EQT337" s="1"/>
      <c r="EQU337" s="1"/>
      <c r="EQV337" s="1"/>
      <c r="EQW337" s="1"/>
      <c r="EQX337" s="1"/>
      <c r="EQY337" s="1"/>
      <c r="EQZ337" s="1"/>
      <c r="ERA337" s="1"/>
      <c r="ERB337" s="1"/>
      <c r="ERC337" s="1"/>
      <c r="ERD337" s="1"/>
      <c r="ERE337" s="1"/>
      <c r="ERF337" s="1"/>
      <c r="ERG337" s="1"/>
      <c r="ERH337" s="1"/>
      <c r="ERI337" s="1"/>
      <c r="ERJ337" s="1"/>
      <c r="ERK337" s="1"/>
      <c r="ERL337" s="1"/>
      <c r="ERM337" s="1"/>
      <c r="ERN337" s="1"/>
      <c r="ERO337" s="1"/>
      <c r="ERP337" s="1"/>
      <c r="ERQ337" s="1"/>
      <c r="ERR337" s="1"/>
      <c r="ERS337" s="1"/>
      <c r="ERT337" s="1"/>
      <c r="ERU337" s="1"/>
      <c r="ERV337" s="1"/>
      <c r="ERW337" s="1"/>
      <c r="ERX337" s="1"/>
      <c r="ERY337" s="1"/>
      <c r="ERZ337" s="1"/>
      <c r="ESA337" s="1"/>
      <c r="ESB337" s="1"/>
      <c r="ESC337" s="1"/>
      <c r="ESD337" s="1"/>
      <c r="ESE337" s="1"/>
      <c r="ESF337" s="1"/>
      <c r="ESG337" s="1"/>
      <c r="ESH337" s="1"/>
      <c r="ESI337" s="1"/>
      <c r="ESJ337" s="1"/>
      <c r="ESK337" s="1"/>
      <c r="ESL337" s="1"/>
      <c r="ESM337" s="1"/>
      <c r="ESN337" s="1"/>
      <c r="ESO337" s="1"/>
      <c r="ESP337" s="1"/>
      <c r="ESQ337" s="1"/>
      <c r="ESR337" s="1"/>
      <c r="ESS337" s="1"/>
      <c r="EST337" s="1"/>
      <c r="ESU337" s="1"/>
      <c r="ESV337" s="1"/>
      <c r="ESW337" s="1"/>
      <c r="ESX337" s="1"/>
      <c r="ESY337" s="1"/>
      <c r="ESZ337" s="1"/>
      <c r="ETA337" s="1"/>
      <c r="ETB337" s="1"/>
      <c r="ETC337" s="1"/>
      <c r="ETD337" s="1"/>
      <c r="ETE337" s="1"/>
      <c r="ETF337" s="1"/>
      <c r="ETG337" s="1"/>
      <c r="ETH337" s="1"/>
      <c r="ETI337" s="1"/>
      <c r="ETJ337" s="1"/>
      <c r="ETK337" s="1"/>
      <c r="ETL337" s="1"/>
      <c r="ETM337" s="1"/>
      <c r="ETN337" s="1"/>
      <c r="ETO337" s="1"/>
      <c r="ETP337" s="1"/>
      <c r="ETQ337" s="1"/>
      <c r="ETR337" s="1"/>
      <c r="ETS337" s="1"/>
      <c r="ETT337" s="1"/>
      <c r="ETU337" s="1"/>
      <c r="ETV337" s="1"/>
      <c r="ETW337" s="1"/>
      <c r="ETX337" s="1"/>
      <c r="ETY337" s="1"/>
      <c r="ETZ337" s="1"/>
      <c r="EUA337" s="1"/>
      <c r="EUB337" s="1"/>
      <c r="EUC337" s="1"/>
      <c r="EUD337" s="1"/>
      <c r="EUE337" s="1"/>
      <c r="EUF337" s="1"/>
      <c r="EUG337" s="1"/>
      <c r="EUH337" s="1"/>
      <c r="EUI337" s="1"/>
      <c r="EUJ337" s="1"/>
      <c r="EUK337" s="1"/>
      <c r="EUL337" s="1"/>
      <c r="EUM337" s="1"/>
      <c r="EUN337" s="1"/>
      <c r="EUO337" s="1"/>
      <c r="EUP337" s="1"/>
      <c r="EUQ337" s="1"/>
      <c r="EUR337" s="1"/>
      <c r="EUS337" s="1"/>
      <c r="EUT337" s="1"/>
      <c r="EUU337" s="1"/>
      <c r="EUV337" s="1"/>
      <c r="EUW337" s="1"/>
      <c r="EUX337" s="1"/>
      <c r="EUY337" s="1"/>
      <c r="EUZ337" s="1"/>
      <c r="EVA337" s="1"/>
      <c r="EVB337" s="1"/>
      <c r="EVC337" s="1"/>
      <c r="EVD337" s="1"/>
      <c r="EVE337" s="1"/>
      <c r="EVF337" s="1"/>
      <c r="EVG337" s="1"/>
      <c r="EVH337" s="1"/>
      <c r="EVI337" s="1"/>
      <c r="EVJ337" s="1"/>
      <c r="EVK337" s="1"/>
      <c r="EVL337" s="1"/>
      <c r="EVM337" s="1"/>
      <c r="EVN337" s="1"/>
      <c r="EVO337" s="1"/>
      <c r="EVP337" s="1"/>
      <c r="EVQ337" s="1"/>
      <c r="EVR337" s="1"/>
      <c r="EVS337" s="1"/>
      <c r="EVT337" s="1"/>
      <c r="EVU337" s="1"/>
      <c r="EVV337" s="1"/>
      <c r="EVW337" s="1"/>
      <c r="EVX337" s="1"/>
      <c r="EVY337" s="1"/>
      <c r="EVZ337" s="1"/>
      <c r="EWA337" s="1"/>
      <c r="EWB337" s="1"/>
      <c r="EWC337" s="1"/>
      <c r="EWD337" s="1"/>
      <c r="EWE337" s="1"/>
      <c r="EWF337" s="1"/>
      <c r="EWG337" s="1"/>
      <c r="EWH337" s="1"/>
      <c r="EWI337" s="1"/>
      <c r="EWJ337" s="1"/>
      <c r="EWK337" s="1"/>
      <c r="EWL337" s="1"/>
      <c r="EWM337" s="1"/>
      <c r="EWN337" s="1"/>
      <c r="EWO337" s="1"/>
      <c r="EWP337" s="1"/>
      <c r="EWQ337" s="1"/>
      <c r="EWR337" s="1"/>
      <c r="EWS337" s="1"/>
      <c r="EWT337" s="1"/>
      <c r="EWU337" s="1"/>
      <c r="EWV337" s="1"/>
      <c r="EWW337" s="1"/>
      <c r="EWX337" s="1"/>
      <c r="EWY337" s="1"/>
      <c r="EWZ337" s="1"/>
      <c r="EXA337" s="1"/>
      <c r="EXB337" s="1"/>
      <c r="EXC337" s="1"/>
      <c r="EXD337" s="1"/>
      <c r="EXE337" s="1"/>
      <c r="EXF337" s="1"/>
      <c r="EXG337" s="1"/>
      <c r="EXH337" s="1"/>
      <c r="EXI337" s="1"/>
      <c r="EXJ337" s="1"/>
      <c r="EXK337" s="1"/>
      <c r="EXL337" s="1"/>
      <c r="EXM337" s="1"/>
      <c r="EXN337" s="1"/>
      <c r="EXO337" s="1"/>
      <c r="EXP337" s="1"/>
      <c r="EXQ337" s="1"/>
      <c r="EXR337" s="1"/>
      <c r="EXS337" s="1"/>
      <c r="EXT337" s="1"/>
      <c r="EXU337" s="1"/>
      <c r="EXV337" s="1"/>
      <c r="EXW337" s="1"/>
      <c r="EXX337" s="1"/>
      <c r="EXY337" s="1"/>
      <c r="EXZ337" s="1"/>
      <c r="EYA337" s="1"/>
      <c r="EYB337" s="1"/>
      <c r="EYC337" s="1"/>
      <c r="EYD337" s="1"/>
      <c r="EYE337" s="1"/>
      <c r="EYF337" s="1"/>
      <c r="EYG337" s="1"/>
      <c r="EYH337" s="1"/>
      <c r="EYI337" s="1"/>
      <c r="EYJ337" s="1"/>
      <c r="EYK337" s="1"/>
      <c r="EYL337" s="1"/>
      <c r="EYM337" s="1"/>
      <c r="EYN337" s="1"/>
      <c r="EYO337" s="1"/>
      <c r="EYP337" s="1"/>
      <c r="EYQ337" s="1"/>
      <c r="EYR337" s="1"/>
      <c r="EYS337" s="1"/>
      <c r="EYT337" s="1"/>
      <c r="EYU337" s="1"/>
      <c r="EYV337" s="1"/>
      <c r="EYW337" s="1"/>
      <c r="EYX337" s="1"/>
      <c r="EYY337" s="1"/>
      <c r="EYZ337" s="1"/>
      <c r="EZA337" s="1"/>
      <c r="EZB337" s="1"/>
      <c r="EZC337" s="1"/>
      <c r="EZD337" s="1"/>
      <c r="EZE337" s="1"/>
      <c r="EZF337" s="1"/>
      <c r="EZG337" s="1"/>
      <c r="EZH337" s="1"/>
      <c r="EZI337" s="1"/>
      <c r="EZJ337" s="1"/>
      <c r="EZK337" s="1"/>
      <c r="EZL337" s="1"/>
      <c r="EZM337" s="1"/>
      <c r="EZN337" s="1"/>
      <c r="EZO337" s="1"/>
      <c r="EZP337" s="1"/>
      <c r="EZQ337" s="1"/>
      <c r="EZR337" s="1"/>
      <c r="EZS337" s="1"/>
      <c r="EZT337" s="1"/>
      <c r="EZU337" s="1"/>
      <c r="EZV337" s="1"/>
      <c r="EZW337" s="1"/>
      <c r="EZX337" s="1"/>
      <c r="EZY337" s="1"/>
      <c r="EZZ337" s="1"/>
      <c r="FAA337" s="1"/>
      <c r="FAB337" s="1"/>
      <c r="FAC337" s="1"/>
      <c r="FAD337" s="1"/>
      <c r="FAE337" s="1"/>
      <c r="FAF337" s="1"/>
      <c r="FAG337" s="1"/>
      <c r="FAH337" s="1"/>
      <c r="FAI337" s="1"/>
      <c r="FAJ337" s="1"/>
      <c r="FAK337" s="1"/>
      <c r="FAL337" s="1"/>
      <c r="FAM337" s="1"/>
      <c r="FAN337" s="1"/>
      <c r="FAO337" s="1"/>
      <c r="FAP337" s="1"/>
      <c r="FAQ337" s="1"/>
      <c r="FAR337" s="1"/>
      <c r="FAS337" s="1"/>
      <c r="FAT337" s="1"/>
      <c r="FAU337" s="1"/>
      <c r="FAV337" s="1"/>
      <c r="FAW337" s="1"/>
      <c r="FAX337" s="1"/>
      <c r="FAY337" s="1"/>
      <c r="FAZ337" s="1"/>
      <c r="FBA337" s="1"/>
      <c r="FBB337" s="1"/>
      <c r="FBC337" s="1"/>
      <c r="FBD337" s="1"/>
      <c r="FBE337" s="1"/>
      <c r="FBF337" s="1"/>
      <c r="FBG337" s="1"/>
      <c r="FBH337" s="1"/>
      <c r="FBI337" s="1"/>
      <c r="FBJ337" s="1"/>
      <c r="FBK337" s="1"/>
      <c r="FBL337" s="1"/>
      <c r="FBM337" s="1"/>
      <c r="FBN337" s="1"/>
      <c r="FBO337" s="1"/>
      <c r="FBP337" s="1"/>
      <c r="FBQ337" s="1"/>
      <c r="FBR337" s="1"/>
      <c r="FBS337" s="1"/>
      <c r="FBT337" s="1"/>
      <c r="FBU337" s="1"/>
      <c r="FBV337" s="1"/>
      <c r="FBW337" s="1"/>
      <c r="FBX337" s="1"/>
      <c r="FBY337" s="1"/>
      <c r="FBZ337" s="1"/>
      <c r="FCA337" s="1"/>
      <c r="FCB337" s="1"/>
      <c r="FCC337" s="1"/>
      <c r="FCD337" s="1"/>
      <c r="FCE337" s="1"/>
      <c r="FCF337" s="1"/>
      <c r="FCG337" s="1"/>
      <c r="FCH337" s="1"/>
      <c r="FCI337" s="1"/>
      <c r="FCJ337" s="1"/>
      <c r="FCK337" s="1"/>
      <c r="FCL337" s="1"/>
      <c r="FCM337" s="1"/>
      <c r="FCN337" s="1"/>
      <c r="FCO337" s="1"/>
      <c r="FCP337" s="1"/>
      <c r="FCQ337" s="1"/>
      <c r="FCR337" s="1"/>
      <c r="FCS337" s="1"/>
      <c r="FCT337" s="1"/>
      <c r="FCU337" s="1"/>
      <c r="FCV337" s="1"/>
      <c r="FCW337" s="1"/>
      <c r="FCX337" s="1"/>
      <c r="FCY337" s="1"/>
      <c r="FCZ337" s="1"/>
      <c r="FDA337" s="1"/>
      <c r="FDB337" s="1"/>
      <c r="FDC337" s="1"/>
      <c r="FDD337" s="1"/>
      <c r="FDE337" s="1"/>
      <c r="FDF337" s="1"/>
      <c r="FDG337" s="1"/>
      <c r="FDH337" s="1"/>
      <c r="FDI337" s="1"/>
      <c r="FDJ337" s="1"/>
      <c r="FDK337" s="1"/>
      <c r="FDL337" s="1"/>
      <c r="FDM337" s="1"/>
      <c r="FDN337" s="1"/>
      <c r="FDO337" s="1"/>
      <c r="FDP337" s="1"/>
      <c r="FDQ337" s="1"/>
      <c r="FDR337" s="1"/>
      <c r="FDS337" s="1"/>
      <c r="FDT337" s="1"/>
      <c r="FDU337" s="1"/>
      <c r="FDV337" s="1"/>
      <c r="FDW337" s="1"/>
      <c r="FDX337" s="1"/>
      <c r="FDY337" s="1"/>
      <c r="FDZ337" s="1"/>
      <c r="FEA337" s="1"/>
      <c r="FEB337" s="1"/>
      <c r="FEC337" s="1"/>
      <c r="FED337" s="1"/>
      <c r="FEE337" s="1"/>
      <c r="FEF337" s="1"/>
      <c r="FEG337" s="1"/>
      <c r="FEH337" s="1"/>
      <c r="FEI337" s="1"/>
      <c r="FEJ337" s="1"/>
      <c r="FEK337" s="1"/>
      <c r="FEL337" s="1"/>
      <c r="FEM337" s="1"/>
      <c r="FEN337" s="1"/>
      <c r="FEO337" s="1"/>
      <c r="FEP337" s="1"/>
      <c r="FEQ337" s="1"/>
      <c r="FER337" s="1"/>
      <c r="FES337" s="1"/>
      <c r="FET337" s="1"/>
      <c r="FEU337" s="1"/>
      <c r="FEV337" s="1"/>
      <c r="FEW337" s="1"/>
      <c r="FEX337" s="1"/>
      <c r="FEY337" s="1"/>
      <c r="FEZ337" s="1"/>
      <c r="FFA337" s="1"/>
      <c r="FFB337" s="1"/>
      <c r="FFC337" s="1"/>
      <c r="FFD337" s="1"/>
      <c r="FFE337" s="1"/>
      <c r="FFF337" s="1"/>
      <c r="FFG337" s="1"/>
      <c r="FFH337" s="1"/>
      <c r="FFI337" s="1"/>
      <c r="FFJ337" s="1"/>
      <c r="FFK337" s="1"/>
      <c r="FFL337" s="1"/>
      <c r="FFM337" s="1"/>
      <c r="FFN337" s="1"/>
      <c r="FFO337" s="1"/>
      <c r="FFP337" s="1"/>
      <c r="FFQ337" s="1"/>
      <c r="FFR337" s="1"/>
      <c r="FFS337" s="1"/>
      <c r="FFT337" s="1"/>
      <c r="FFU337" s="1"/>
      <c r="FFV337" s="1"/>
      <c r="FFW337" s="1"/>
      <c r="FFX337" s="1"/>
      <c r="FFY337" s="1"/>
      <c r="FFZ337" s="1"/>
      <c r="FGA337" s="1"/>
      <c r="FGB337" s="1"/>
      <c r="FGC337" s="1"/>
      <c r="FGD337" s="1"/>
      <c r="FGE337" s="1"/>
      <c r="FGF337" s="1"/>
      <c r="FGG337" s="1"/>
      <c r="FGH337" s="1"/>
      <c r="FGI337" s="1"/>
      <c r="FGJ337" s="1"/>
      <c r="FGK337" s="1"/>
      <c r="FGL337" s="1"/>
      <c r="FGM337" s="1"/>
      <c r="FGN337" s="1"/>
      <c r="FGO337" s="1"/>
      <c r="FGP337" s="1"/>
      <c r="FGQ337" s="1"/>
      <c r="FGR337" s="1"/>
      <c r="FGS337" s="1"/>
      <c r="FGT337" s="1"/>
      <c r="FGU337" s="1"/>
      <c r="FGV337" s="1"/>
      <c r="FGW337" s="1"/>
      <c r="FGX337" s="1"/>
      <c r="FGY337" s="1"/>
      <c r="FGZ337" s="1"/>
      <c r="FHA337" s="1"/>
      <c r="FHB337" s="1"/>
      <c r="FHC337" s="1"/>
      <c r="FHD337" s="1"/>
      <c r="FHE337" s="1"/>
      <c r="FHF337" s="1"/>
      <c r="FHG337" s="1"/>
      <c r="FHH337" s="1"/>
      <c r="FHI337" s="1"/>
      <c r="FHJ337" s="1"/>
      <c r="FHK337" s="1"/>
      <c r="FHL337" s="1"/>
      <c r="FHM337" s="1"/>
      <c r="FHN337" s="1"/>
      <c r="FHO337" s="1"/>
      <c r="FHP337" s="1"/>
      <c r="FHQ337" s="1"/>
      <c r="FHR337" s="1"/>
      <c r="FHS337" s="1"/>
      <c r="FHT337" s="1"/>
      <c r="FHU337" s="1"/>
      <c r="FHV337" s="1"/>
      <c r="FHW337" s="1"/>
      <c r="FHX337" s="1"/>
      <c r="FHY337" s="1"/>
      <c r="FHZ337" s="1"/>
      <c r="FIA337" s="1"/>
      <c r="FIB337" s="1"/>
      <c r="FIC337" s="1"/>
      <c r="FID337" s="1"/>
      <c r="FIE337" s="1"/>
      <c r="FIF337" s="1"/>
      <c r="FIG337" s="1"/>
      <c r="FIH337" s="1"/>
      <c r="FII337" s="1"/>
      <c r="FIJ337" s="1"/>
      <c r="FIK337" s="1"/>
      <c r="FIL337" s="1"/>
      <c r="FIM337" s="1"/>
      <c r="FIN337" s="1"/>
      <c r="FIO337" s="1"/>
      <c r="FIP337" s="1"/>
      <c r="FIQ337" s="1"/>
      <c r="FIR337" s="1"/>
      <c r="FIS337" s="1"/>
      <c r="FIT337" s="1"/>
      <c r="FIU337" s="1"/>
      <c r="FIV337" s="1"/>
      <c r="FIW337" s="1"/>
      <c r="FIX337" s="1"/>
      <c r="FIY337" s="1"/>
      <c r="FIZ337" s="1"/>
      <c r="FJA337" s="1"/>
      <c r="FJB337" s="1"/>
      <c r="FJC337" s="1"/>
      <c r="FJD337" s="1"/>
      <c r="FJE337" s="1"/>
      <c r="FJF337" s="1"/>
      <c r="FJG337" s="1"/>
      <c r="FJH337" s="1"/>
      <c r="FJI337" s="1"/>
      <c r="FJJ337" s="1"/>
      <c r="FJK337" s="1"/>
      <c r="FJL337" s="1"/>
      <c r="FJM337" s="1"/>
      <c r="FJN337" s="1"/>
      <c r="FJO337" s="1"/>
      <c r="FJP337" s="1"/>
      <c r="FJQ337" s="1"/>
      <c r="FJR337" s="1"/>
      <c r="FJS337" s="1"/>
      <c r="FJT337" s="1"/>
      <c r="FJU337" s="1"/>
      <c r="FJV337" s="1"/>
      <c r="FJW337" s="1"/>
      <c r="FJX337" s="1"/>
      <c r="FJY337" s="1"/>
      <c r="FJZ337" s="1"/>
      <c r="FKA337" s="1"/>
      <c r="FKB337" s="1"/>
      <c r="FKC337" s="1"/>
      <c r="FKD337" s="1"/>
      <c r="FKE337" s="1"/>
      <c r="FKF337" s="1"/>
      <c r="FKG337" s="1"/>
      <c r="FKH337" s="1"/>
      <c r="FKI337" s="1"/>
      <c r="FKJ337" s="1"/>
      <c r="FKK337" s="1"/>
      <c r="FKL337" s="1"/>
      <c r="FKM337" s="1"/>
      <c r="FKN337" s="1"/>
      <c r="FKO337" s="1"/>
      <c r="FKP337" s="1"/>
      <c r="FKQ337" s="1"/>
      <c r="FKR337" s="1"/>
      <c r="FKS337" s="1"/>
      <c r="FKT337" s="1"/>
      <c r="FKU337" s="1"/>
      <c r="FKV337" s="1"/>
      <c r="FKW337" s="1"/>
      <c r="FKX337" s="1"/>
      <c r="FKY337" s="1"/>
      <c r="FKZ337" s="1"/>
      <c r="FLA337" s="1"/>
      <c r="FLB337" s="1"/>
      <c r="FLC337" s="1"/>
      <c r="FLD337" s="1"/>
      <c r="FLE337" s="1"/>
      <c r="FLF337" s="1"/>
      <c r="FLG337" s="1"/>
      <c r="FLH337" s="1"/>
      <c r="FLI337" s="1"/>
      <c r="FLJ337" s="1"/>
      <c r="FLK337" s="1"/>
      <c r="FLL337" s="1"/>
      <c r="FLM337" s="1"/>
      <c r="FLN337" s="1"/>
      <c r="FLO337" s="1"/>
      <c r="FLP337" s="1"/>
      <c r="FLQ337" s="1"/>
      <c r="FLR337" s="1"/>
      <c r="FLS337" s="1"/>
      <c r="FLT337" s="1"/>
      <c r="FLU337" s="1"/>
      <c r="FLV337" s="1"/>
      <c r="FLW337" s="1"/>
      <c r="FLX337" s="1"/>
      <c r="FLY337" s="1"/>
      <c r="FLZ337" s="1"/>
      <c r="FMA337" s="1"/>
      <c r="FMB337" s="1"/>
      <c r="FMC337" s="1"/>
      <c r="FMD337" s="1"/>
      <c r="FME337" s="1"/>
      <c r="FMF337" s="1"/>
      <c r="FMG337" s="1"/>
      <c r="FMH337" s="1"/>
      <c r="FMI337" s="1"/>
      <c r="FMJ337" s="1"/>
      <c r="FMK337" s="1"/>
      <c r="FML337" s="1"/>
      <c r="FMM337" s="1"/>
      <c r="FMN337" s="1"/>
      <c r="FMO337" s="1"/>
      <c r="FMP337" s="1"/>
      <c r="FMQ337" s="1"/>
      <c r="FMR337" s="1"/>
      <c r="FMS337" s="1"/>
      <c r="FMT337" s="1"/>
      <c r="FMU337" s="1"/>
      <c r="FMV337" s="1"/>
      <c r="FMW337" s="1"/>
      <c r="FMX337" s="1"/>
      <c r="FMY337" s="1"/>
      <c r="FMZ337" s="1"/>
      <c r="FNA337" s="1"/>
      <c r="FNB337" s="1"/>
      <c r="FNC337" s="1"/>
      <c r="FND337" s="1"/>
      <c r="FNE337" s="1"/>
      <c r="FNF337" s="1"/>
      <c r="FNG337" s="1"/>
      <c r="FNH337" s="1"/>
      <c r="FNI337" s="1"/>
      <c r="FNJ337" s="1"/>
      <c r="FNK337" s="1"/>
      <c r="FNL337" s="1"/>
      <c r="FNM337" s="1"/>
      <c r="FNN337" s="1"/>
      <c r="FNO337" s="1"/>
      <c r="FNP337" s="1"/>
      <c r="FNQ337" s="1"/>
      <c r="FNR337" s="1"/>
      <c r="FNS337" s="1"/>
      <c r="FNT337" s="1"/>
      <c r="FNU337" s="1"/>
      <c r="FNV337" s="1"/>
      <c r="FNW337" s="1"/>
      <c r="FNX337" s="1"/>
      <c r="FNY337" s="1"/>
      <c r="FNZ337" s="1"/>
      <c r="FOA337" s="1"/>
      <c r="FOB337" s="1"/>
      <c r="FOC337" s="1"/>
      <c r="FOD337" s="1"/>
      <c r="FOE337" s="1"/>
      <c r="FOF337" s="1"/>
      <c r="FOG337" s="1"/>
      <c r="FOH337" s="1"/>
      <c r="FOI337" s="1"/>
      <c r="FOJ337" s="1"/>
      <c r="FOK337" s="1"/>
      <c r="FOL337" s="1"/>
      <c r="FOM337" s="1"/>
      <c r="FON337" s="1"/>
      <c r="FOO337" s="1"/>
      <c r="FOP337" s="1"/>
      <c r="FOQ337" s="1"/>
      <c r="FOR337" s="1"/>
      <c r="FOS337" s="1"/>
      <c r="FOT337" s="1"/>
      <c r="FOU337" s="1"/>
      <c r="FOV337" s="1"/>
      <c r="FOW337" s="1"/>
      <c r="FOX337" s="1"/>
      <c r="FOY337" s="1"/>
      <c r="FOZ337" s="1"/>
      <c r="FPA337" s="1"/>
      <c r="FPB337" s="1"/>
      <c r="FPC337" s="1"/>
      <c r="FPD337" s="1"/>
      <c r="FPE337" s="1"/>
      <c r="FPF337" s="1"/>
      <c r="FPG337" s="1"/>
      <c r="FPH337" s="1"/>
      <c r="FPI337" s="1"/>
      <c r="FPJ337" s="1"/>
      <c r="FPK337" s="1"/>
      <c r="FPL337" s="1"/>
      <c r="FPM337" s="1"/>
      <c r="FPN337" s="1"/>
      <c r="FPO337" s="1"/>
      <c r="FPP337" s="1"/>
      <c r="FPQ337" s="1"/>
      <c r="FPR337" s="1"/>
      <c r="FPS337" s="1"/>
      <c r="FPT337" s="1"/>
      <c r="FPU337" s="1"/>
      <c r="FPV337" s="1"/>
      <c r="FPW337" s="1"/>
      <c r="FPX337" s="1"/>
      <c r="FPY337" s="1"/>
      <c r="FPZ337" s="1"/>
      <c r="FQA337" s="1"/>
      <c r="FQB337" s="1"/>
      <c r="FQC337" s="1"/>
      <c r="FQD337" s="1"/>
      <c r="FQE337" s="1"/>
      <c r="FQF337" s="1"/>
      <c r="FQG337" s="1"/>
      <c r="FQH337" s="1"/>
      <c r="FQI337" s="1"/>
      <c r="FQJ337" s="1"/>
      <c r="FQK337" s="1"/>
      <c r="FQL337" s="1"/>
      <c r="FQM337" s="1"/>
      <c r="FQN337" s="1"/>
      <c r="FQO337" s="1"/>
      <c r="FQP337" s="1"/>
      <c r="FQQ337" s="1"/>
      <c r="FQR337" s="1"/>
      <c r="FQS337" s="1"/>
      <c r="FQT337" s="1"/>
      <c r="FQU337" s="1"/>
      <c r="FQV337" s="1"/>
      <c r="FQW337" s="1"/>
      <c r="FQX337" s="1"/>
      <c r="FQY337" s="1"/>
      <c r="FQZ337" s="1"/>
      <c r="FRA337" s="1"/>
      <c r="FRB337" s="1"/>
      <c r="FRC337" s="1"/>
      <c r="FRD337" s="1"/>
      <c r="FRE337" s="1"/>
      <c r="FRF337" s="1"/>
      <c r="FRG337" s="1"/>
      <c r="FRH337" s="1"/>
      <c r="FRI337" s="1"/>
      <c r="FRJ337" s="1"/>
      <c r="FRK337" s="1"/>
      <c r="FRL337" s="1"/>
      <c r="FRM337" s="1"/>
      <c r="FRN337" s="1"/>
      <c r="FRO337" s="1"/>
      <c r="FRP337" s="1"/>
      <c r="FRQ337" s="1"/>
      <c r="FRR337" s="1"/>
      <c r="FRS337" s="1"/>
      <c r="FRT337" s="1"/>
      <c r="FRU337" s="1"/>
      <c r="FRV337" s="1"/>
      <c r="FRW337" s="1"/>
      <c r="FRX337" s="1"/>
      <c r="FRY337" s="1"/>
      <c r="FRZ337" s="1"/>
      <c r="FSA337" s="1"/>
      <c r="FSB337" s="1"/>
      <c r="FSC337" s="1"/>
      <c r="FSD337" s="1"/>
      <c r="FSE337" s="1"/>
      <c r="FSF337" s="1"/>
      <c r="FSG337" s="1"/>
      <c r="FSH337" s="1"/>
      <c r="FSI337" s="1"/>
      <c r="FSJ337" s="1"/>
      <c r="FSK337" s="1"/>
      <c r="FSL337" s="1"/>
      <c r="FSM337" s="1"/>
      <c r="FSN337" s="1"/>
      <c r="FSO337" s="1"/>
      <c r="FSP337" s="1"/>
      <c r="FSQ337" s="1"/>
      <c r="FSR337" s="1"/>
      <c r="FSS337" s="1"/>
      <c r="FST337" s="1"/>
      <c r="FSU337" s="1"/>
      <c r="FSV337" s="1"/>
      <c r="FSW337" s="1"/>
      <c r="FSX337" s="1"/>
      <c r="FSY337" s="1"/>
      <c r="FSZ337" s="1"/>
      <c r="FTA337" s="1"/>
      <c r="FTB337" s="1"/>
      <c r="FTC337" s="1"/>
      <c r="FTD337" s="1"/>
      <c r="FTE337" s="1"/>
      <c r="FTF337" s="1"/>
      <c r="FTG337" s="1"/>
      <c r="FTH337" s="1"/>
      <c r="FTI337" s="1"/>
      <c r="FTJ337" s="1"/>
      <c r="FTK337" s="1"/>
      <c r="FTL337" s="1"/>
      <c r="FTM337" s="1"/>
      <c r="FTN337" s="1"/>
      <c r="FTO337" s="1"/>
      <c r="FTP337" s="1"/>
      <c r="FTQ337" s="1"/>
      <c r="FTR337" s="1"/>
      <c r="FTS337" s="1"/>
      <c r="FTT337" s="1"/>
      <c r="FTU337" s="1"/>
      <c r="FTV337" s="1"/>
      <c r="FTW337" s="1"/>
      <c r="FTX337" s="1"/>
      <c r="FTY337" s="1"/>
      <c r="FTZ337" s="1"/>
      <c r="FUA337" s="1"/>
      <c r="FUB337" s="1"/>
      <c r="FUC337" s="1"/>
      <c r="FUD337" s="1"/>
      <c r="FUE337" s="1"/>
      <c r="FUF337" s="1"/>
      <c r="FUG337" s="1"/>
      <c r="FUH337" s="1"/>
      <c r="FUI337" s="1"/>
      <c r="FUJ337" s="1"/>
      <c r="FUK337" s="1"/>
      <c r="FUL337" s="1"/>
      <c r="FUM337" s="1"/>
      <c r="FUN337" s="1"/>
      <c r="FUO337" s="1"/>
      <c r="FUP337" s="1"/>
      <c r="FUQ337" s="1"/>
      <c r="FUR337" s="1"/>
      <c r="FUS337" s="1"/>
      <c r="FUT337" s="1"/>
      <c r="FUU337" s="1"/>
      <c r="FUV337" s="1"/>
      <c r="FUW337" s="1"/>
      <c r="FUX337" s="1"/>
      <c r="FUY337" s="1"/>
      <c r="FUZ337" s="1"/>
      <c r="FVA337" s="1"/>
      <c r="FVB337" s="1"/>
      <c r="FVC337" s="1"/>
      <c r="FVD337" s="1"/>
      <c r="FVE337" s="1"/>
      <c r="FVF337" s="1"/>
      <c r="FVG337" s="1"/>
      <c r="FVH337" s="1"/>
      <c r="FVI337" s="1"/>
      <c r="FVJ337" s="1"/>
      <c r="FVK337" s="1"/>
      <c r="FVL337" s="1"/>
      <c r="FVM337" s="1"/>
      <c r="FVN337" s="1"/>
      <c r="FVO337" s="1"/>
      <c r="FVP337" s="1"/>
      <c r="FVQ337" s="1"/>
      <c r="FVR337" s="1"/>
      <c r="FVS337" s="1"/>
      <c r="FVT337" s="1"/>
      <c r="FVU337" s="1"/>
      <c r="FVV337" s="1"/>
      <c r="FVW337" s="1"/>
      <c r="FVX337" s="1"/>
      <c r="FVY337" s="1"/>
      <c r="FVZ337" s="1"/>
      <c r="FWA337" s="1"/>
      <c r="FWB337" s="1"/>
      <c r="FWC337" s="1"/>
      <c r="FWD337" s="1"/>
      <c r="FWE337" s="1"/>
      <c r="FWF337" s="1"/>
      <c r="FWG337" s="1"/>
      <c r="FWH337" s="1"/>
      <c r="FWI337" s="1"/>
      <c r="FWJ337" s="1"/>
      <c r="FWK337" s="1"/>
      <c r="FWL337" s="1"/>
      <c r="FWM337" s="1"/>
      <c r="FWN337" s="1"/>
      <c r="FWO337" s="1"/>
      <c r="FWP337" s="1"/>
      <c r="FWQ337" s="1"/>
      <c r="FWR337" s="1"/>
      <c r="FWS337" s="1"/>
      <c r="FWT337" s="1"/>
      <c r="FWU337" s="1"/>
      <c r="FWV337" s="1"/>
      <c r="FWW337" s="1"/>
      <c r="FWX337" s="1"/>
      <c r="FWY337" s="1"/>
      <c r="FWZ337" s="1"/>
      <c r="FXA337" s="1"/>
      <c r="FXB337" s="1"/>
      <c r="FXC337" s="1"/>
      <c r="FXD337" s="1"/>
      <c r="FXE337" s="1"/>
      <c r="FXF337" s="1"/>
      <c r="FXG337" s="1"/>
      <c r="FXH337" s="1"/>
      <c r="FXI337" s="1"/>
      <c r="FXJ337" s="1"/>
      <c r="FXK337" s="1"/>
      <c r="FXL337" s="1"/>
      <c r="FXM337" s="1"/>
      <c r="FXN337" s="1"/>
      <c r="FXO337" s="1"/>
      <c r="FXP337" s="1"/>
      <c r="FXQ337" s="1"/>
      <c r="FXR337" s="1"/>
      <c r="FXS337" s="1"/>
      <c r="FXT337" s="1"/>
      <c r="FXU337" s="1"/>
      <c r="FXV337" s="1"/>
      <c r="FXW337" s="1"/>
      <c r="FXX337" s="1"/>
      <c r="FXY337" s="1"/>
      <c r="FXZ337" s="1"/>
      <c r="FYA337" s="1"/>
      <c r="FYB337" s="1"/>
      <c r="FYC337" s="1"/>
      <c r="FYD337" s="1"/>
      <c r="FYE337" s="1"/>
      <c r="FYF337" s="1"/>
      <c r="FYG337" s="1"/>
      <c r="FYH337" s="1"/>
      <c r="FYI337" s="1"/>
      <c r="FYJ337" s="1"/>
      <c r="FYK337" s="1"/>
      <c r="FYL337" s="1"/>
      <c r="FYM337" s="1"/>
      <c r="FYN337" s="1"/>
      <c r="FYO337" s="1"/>
      <c r="FYP337" s="1"/>
      <c r="FYQ337" s="1"/>
      <c r="FYR337" s="1"/>
      <c r="FYS337" s="1"/>
      <c r="FYT337" s="1"/>
      <c r="FYU337" s="1"/>
      <c r="FYV337" s="1"/>
      <c r="FYW337" s="1"/>
      <c r="FYX337" s="1"/>
      <c r="FYY337" s="1"/>
      <c r="FYZ337" s="1"/>
      <c r="FZA337" s="1"/>
      <c r="FZB337" s="1"/>
      <c r="FZC337" s="1"/>
      <c r="FZD337" s="1"/>
      <c r="FZE337" s="1"/>
      <c r="FZF337" s="1"/>
      <c r="FZG337" s="1"/>
      <c r="FZH337" s="1"/>
      <c r="FZI337" s="1"/>
      <c r="FZJ337" s="1"/>
      <c r="FZK337" s="1"/>
      <c r="FZL337" s="1"/>
      <c r="FZM337" s="1"/>
      <c r="FZN337" s="1"/>
      <c r="FZO337" s="1"/>
      <c r="FZP337" s="1"/>
      <c r="FZQ337" s="1"/>
      <c r="FZR337" s="1"/>
      <c r="FZS337" s="1"/>
      <c r="FZT337" s="1"/>
      <c r="FZU337" s="1"/>
      <c r="FZV337" s="1"/>
      <c r="FZW337" s="1"/>
      <c r="FZX337" s="1"/>
      <c r="FZY337" s="1"/>
      <c r="FZZ337" s="1"/>
      <c r="GAA337" s="1"/>
      <c r="GAB337" s="1"/>
      <c r="GAC337" s="1"/>
      <c r="GAD337" s="1"/>
      <c r="GAE337" s="1"/>
      <c r="GAF337" s="1"/>
      <c r="GAG337" s="1"/>
      <c r="GAH337" s="1"/>
      <c r="GAI337" s="1"/>
      <c r="GAJ337" s="1"/>
      <c r="GAK337" s="1"/>
      <c r="GAL337" s="1"/>
      <c r="GAM337" s="1"/>
      <c r="GAN337" s="1"/>
      <c r="GAO337" s="1"/>
      <c r="GAP337" s="1"/>
      <c r="GAQ337" s="1"/>
      <c r="GAR337" s="1"/>
      <c r="GAS337" s="1"/>
      <c r="GAT337" s="1"/>
      <c r="GAU337" s="1"/>
      <c r="GAV337" s="1"/>
      <c r="GAW337" s="1"/>
      <c r="GAX337" s="1"/>
      <c r="GAY337" s="1"/>
      <c r="GAZ337" s="1"/>
      <c r="GBA337" s="1"/>
      <c r="GBB337" s="1"/>
      <c r="GBC337" s="1"/>
      <c r="GBD337" s="1"/>
      <c r="GBE337" s="1"/>
      <c r="GBF337" s="1"/>
      <c r="GBG337" s="1"/>
      <c r="GBH337" s="1"/>
      <c r="GBI337" s="1"/>
      <c r="GBJ337" s="1"/>
      <c r="GBK337" s="1"/>
      <c r="GBL337" s="1"/>
      <c r="GBM337" s="1"/>
      <c r="GBN337" s="1"/>
      <c r="GBO337" s="1"/>
      <c r="GBP337" s="1"/>
      <c r="GBQ337" s="1"/>
      <c r="GBR337" s="1"/>
      <c r="GBS337" s="1"/>
      <c r="GBT337" s="1"/>
      <c r="GBU337" s="1"/>
      <c r="GBV337" s="1"/>
      <c r="GBW337" s="1"/>
      <c r="GBX337" s="1"/>
      <c r="GBY337" s="1"/>
      <c r="GBZ337" s="1"/>
      <c r="GCA337" s="1"/>
      <c r="GCB337" s="1"/>
      <c r="GCC337" s="1"/>
      <c r="GCD337" s="1"/>
      <c r="GCE337" s="1"/>
      <c r="GCF337" s="1"/>
      <c r="GCG337" s="1"/>
      <c r="GCH337" s="1"/>
      <c r="GCI337" s="1"/>
      <c r="GCJ337" s="1"/>
      <c r="GCK337" s="1"/>
      <c r="GCL337" s="1"/>
      <c r="GCM337" s="1"/>
      <c r="GCN337" s="1"/>
      <c r="GCO337" s="1"/>
      <c r="GCP337" s="1"/>
      <c r="GCQ337" s="1"/>
      <c r="GCR337" s="1"/>
      <c r="GCS337" s="1"/>
      <c r="GCT337" s="1"/>
      <c r="GCU337" s="1"/>
      <c r="GCV337" s="1"/>
      <c r="GCW337" s="1"/>
      <c r="GCX337" s="1"/>
      <c r="GCY337" s="1"/>
      <c r="GCZ337" s="1"/>
      <c r="GDA337" s="1"/>
      <c r="GDB337" s="1"/>
      <c r="GDC337" s="1"/>
      <c r="GDD337" s="1"/>
      <c r="GDE337" s="1"/>
      <c r="GDF337" s="1"/>
      <c r="GDG337" s="1"/>
      <c r="GDH337" s="1"/>
      <c r="GDI337" s="1"/>
      <c r="GDJ337" s="1"/>
      <c r="GDK337" s="1"/>
      <c r="GDL337" s="1"/>
      <c r="GDM337" s="1"/>
      <c r="GDN337" s="1"/>
      <c r="GDO337" s="1"/>
      <c r="GDP337" s="1"/>
      <c r="GDQ337" s="1"/>
      <c r="GDR337" s="1"/>
      <c r="GDS337" s="1"/>
      <c r="GDT337" s="1"/>
      <c r="GDU337" s="1"/>
      <c r="GDV337" s="1"/>
      <c r="GDW337" s="1"/>
      <c r="GDX337" s="1"/>
      <c r="GDY337" s="1"/>
      <c r="GDZ337" s="1"/>
      <c r="GEA337" s="1"/>
      <c r="GEB337" s="1"/>
      <c r="GEC337" s="1"/>
      <c r="GED337" s="1"/>
      <c r="GEE337" s="1"/>
      <c r="GEF337" s="1"/>
      <c r="GEG337" s="1"/>
      <c r="GEH337" s="1"/>
      <c r="GEI337" s="1"/>
      <c r="GEJ337" s="1"/>
      <c r="GEK337" s="1"/>
      <c r="GEL337" s="1"/>
      <c r="GEM337" s="1"/>
      <c r="GEN337" s="1"/>
      <c r="GEO337" s="1"/>
      <c r="GEP337" s="1"/>
      <c r="GEQ337" s="1"/>
      <c r="GER337" s="1"/>
      <c r="GES337" s="1"/>
      <c r="GET337" s="1"/>
      <c r="GEU337" s="1"/>
      <c r="GEV337" s="1"/>
      <c r="GEW337" s="1"/>
      <c r="GEX337" s="1"/>
      <c r="GEY337" s="1"/>
      <c r="GEZ337" s="1"/>
      <c r="GFA337" s="1"/>
      <c r="GFB337" s="1"/>
      <c r="GFC337" s="1"/>
      <c r="GFD337" s="1"/>
      <c r="GFE337" s="1"/>
      <c r="GFF337" s="1"/>
      <c r="GFG337" s="1"/>
      <c r="GFH337" s="1"/>
      <c r="GFI337" s="1"/>
      <c r="GFJ337" s="1"/>
      <c r="GFK337" s="1"/>
      <c r="GFL337" s="1"/>
      <c r="GFM337" s="1"/>
      <c r="GFN337" s="1"/>
      <c r="GFO337" s="1"/>
      <c r="GFP337" s="1"/>
      <c r="GFQ337" s="1"/>
      <c r="GFR337" s="1"/>
      <c r="GFS337" s="1"/>
      <c r="GFT337" s="1"/>
      <c r="GFU337" s="1"/>
      <c r="GFV337" s="1"/>
      <c r="GFW337" s="1"/>
      <c r="GFX337" s="1"/>
      <c r="GFY337" s="1"/>
      <c r="GFZ337" s="1"/>
      <c r="GGA337" s="1"/>
      <c r="GGB337" s="1"/>
      <c r="GGC337" s="1"/>
      <c r="GGD337" s="1"/>
      <c r="GGE337" s="1"/>
      <c r="GGF337" s="1"/>
      <c r="GGG337" s="1"/>
      <c r="GGH337" s="1"/>
      <c r="GGI337" s="1"/>
      <c r="GGJ337" s="1"/>
      <c r="GGK337" s="1"/>
      <c r="GGL337" s="1"/>
      <c r="GGM337" s="1"/>
      <c r="GGN337" s="1"/>
      <c r="GGO337" s="1"/>
      <c r="GGP337" s="1"/>
      <c r="GGQ337" s="1"/>
      <c r="GGR337" s="1"/>
      <c r="GGS337" s="1"/>
      <c r="GGT337" s="1"/>
      <c r="GGU337" s="1"/>
      <c r="GGV337" s="1"/>
      <c r="GGW337" s="1"/>
      <c r="GGX337" s="1"/>
      <c r="GGY337" s="1"/>
      <c r="GGZ337" s="1"/>
      <c r="GHA337" s="1"/>
      <c r="GHB337" s="1"/>
      <c r="GHC337" s="1"/>
      <c r="GHD337" s="1"/>
      <c r="GHE337" s="1"/>
      <c r="GHF337" s="1"/>
      <c r="GHG337" s="1"/>
      <c r="GHH337" s="1"/>
      <c r="GHI337" s="1"/>
      <c r="GHJ337" s="1"/>
      <c r="GHK337" s="1"/>
      <c r="GHL337" s="1"/>
      <c r="GHM337" s="1"/>
      <c r="GHN337" s="1"/>
      <c r="GHO337" s="1"/>
      <c r="GHP337" s="1"/>
      <c r="GHQ337" s="1"/>
      <c r="GHR337" s="1"/>
      <c r="GHS337" s="1"/>
      <c r="GHT337" s="1"/>
      <c r="GHU337" s="1"/>
      <c r="GHV337" s="1"/>
      <c r="GHW337" s="1"/>
      <c r="GHX337" s="1"/>
      <c r="GHY337" s="1"/>
      <c r="GHZ337" s="1"/>
      <c r="GIA337" s="1"/>
      <c r="GIB337" s="1"/>
      <c r="GIC337" s="1"/>
      <c r="GID337" s="1"/>
      <c r="GIE337" s="1"/>
      <c r="GIF337" s="1"/>
      <c r="GIG337" s="1"/>
      <c r="GIH337" s="1"/>
      <c r="GII337" s="1"/>
      <c r="GIJ337" s="1"/>
      <c r="GIK337" s="1"/>
      <c r="GIL337" s="1"/>
      <c r="GIM337" s="1"/>
      <c r="GIN337" s="1"/>
      <c r="GIO337" s="1"/>
      <c r="GIP337" s="1"/>
      <c r="GIQ337" s="1"/>
      <c r="GIR337" s="1"/>
      <c r="GIS337" s="1"/>
      <c r="GIT337" s="1"/>
      <c r="GIU337" s="1"/>
      <c r="GIV337" s="1"/>
      <c r="GIW337" s="1"/>
      <c r="GIX337" s="1"/>
      <c r="GIY337" s="1"/>
      <c r="GIZ337" s="1"/>
      <c r="GJA337" s="1"/>
      <c r="GJB337" s="1"/>
      <c r="GJC337" s="1"/>
      <c r="GJD337" s="1"/>
      <c r="GJE337" s="1"/>
      <c r="GJF337" s="1"/>
      <c r="GJG337" s="1"/>
      <c r="GJH337" s="1"/>
      <c r="GJI337" s="1"/>
      <c r="GJJ337" s="1"/>
      <c r="GJK337" s="1"/>
      <c r="GJL337" s="1"/>
      <c r="GJM337" s="1"/>
      <c r="GJN337" s="1"/>
      <c r="GJO337" s="1"/>
      <c r="GJP337" s="1"/>
      <c r="GJQ337" s="1"/>
      <c r="GJR337" s="1"/>
      <c r="GJS337" s="1"/>
      <c r="GJT337" s="1"/>
      <c r="GJU337" s="1"/>
      <c r="GJV337" s="1"/>
      <c r="GJW337" s="1"/>
      <c r="GJX337" s="1"/>
      <c r="GJY337" s="1"/>
      <c r="GJZ337" s="1"/>
      <c r="GKA337" s="1"/>
      <c r="GKB337" s="1"/>
      <c r="GKC337" s="1"/>
      <c r="GKD337" s="1"/>
      <c r="GKE337" s="1"/>
      <c r="GKF337" s="1"/>
      <c r="GKG337" s="1"/>
      <c r="GKH337" s="1"/>
      <c r="GKI337" s="1"/>
      <c r="GKJ337" s="1"/>
      <c r="GKK337" s="1"/>
      <c r="GKL337" s="1"/>
      <c r="GKM337" s="1"/>
      <c r="GKN337" s="1"/>
      <c r="GKO337" s="1"/>
      <c r="GKP337" s="1"/>
      <c r="GKQ337" s="1"/>
      <c r="GKR337" s="1"/>
      <c r="GKS337" s="1"/>
      <c r="GKT337" s="1"/>
      <c r="GKU337" s="1"/>
      <c r="GKV337" s="1"/>
      <c r="GKW337" s="1"/>
      <c r="GKX337" s="1"/>
      <c r="GKY337" s="1"/>
      <c r="GKZ337" s="1"/>
      <c r="GLA337" s="1"/>
      <c r="GLB337" s="1"/>
      <c r="GLC337" s="1"/>
      <c r="GLD337" s="1"/>
      <c r="GLE337" s="1"/>
      <c r="GLF337" s="1"/>
      <c r="GLG337" s="1"/>
      <c r="GLH337" s="1"/>
      <c r="GLI337" s="1"/>
      <c r="GLJ337" s="1"/>
      <c r="GLK337" s="1"/>
      <c r="GLL337" s="1"/>
      <c r="GLM337" s="1"/>
      <c r="GLN337" s="1"/>
      <c r="GLO337" s="1"/>
      <c r="GLP337" s="1"/>
      <c r="GLQ337" s="1"/>
      <c r="GLR337" s="1"/>
      <c r="GLS337" s="1"/>
      <c r="GLT337" s="1"/>
      <c r="GLU337" s="1"/>
      <c r="GLV337" s="1"/>
      <c r="GLW337" s="1"/>
      <c r="GLX337" s="1"/>
      <c r="GLY337" s="1"/>
      <c r="GLZ337" s="1"/>
      <c r="GMA337" s="1"/>
      <c r="GMB337" s="1"/>
      <c r="GMC337" s="1"/>
      <c r="GMD337" s="1"/>
      <c r="GME337" s="1"/>
      <c r="GMF337" s="1"/>
      <c r="GMG337" s="1"/>
      <c r="GMH337" s="1"/>
      <c r="GMI337" s="1"/>
      <c r="GMJ337" s="1"/>
      <c r="GMK337" s="1"/>
      <c r="GML337" s="1"/>
      <c r="GMM337" s="1"/>
      <c r="GMN337" s="1"/>
      <c r="GMO337" s="1"/>
      <c r="GMP337" s="1"/>
      <c r="GMQ337" s="1"/>
      <c r="GMR337" s="1"/>
      <c r="GMS337" s="1"/>
      <c r="GMT337" s="1"/>
      <c r="GMU337" s="1"/>
      <c r="GMV337" s="1"/>
      <c r="GMW337" s="1"/>
      <c r="GMX337" s="1"/>
      <c r="GMY337" s="1"/>
      <c r="GMZ337" s="1"/>
      <c r="GNA337" s="1"/>
      <c r="GNB337" s="1"/>
      <c r="GNC337" s="1"/>
      <c r="GND337" s="1"/>
      <c r="GNE337" s="1"/>
      <c r="GNF337" s="1"/>
      <c r="GNG337" s="1"/>
      <c r="GNH337" s="1"/>
      <c r="GNI337" s="1"/>
      <c r="GNJ337" s="1"/>
      <c r="GNK337" s="1"/>
      <c r="GNL337" s="1"/>
      <c r="GNM337" s="1"/>
      <c r="GNN337" s="1"/>
      <c r="GNO337" s="1"/>
      <c r="GNP337" s="1"/>
      <c r="GNQ337" s="1"/>
      <c r="GNR337" s="1"/>
      <c r="GNS337" s="1"/>
      <c r="GNT337" s="1"/>
      <c r="GNU337" s="1"/>
      <c r="GNV337" s="1"/>
      <c r="GNW337" s="1"/>
      <c r="GNX337" s="1"/>
      <c r="GNY337" s="1"/>
      <c r="GNZ337" s="1"/>
      <c r="GOA337" s="1"/>
      <c r="GOB337" s="1"/>
      <c r="GOC337" s="1"/>
      <c r="GOD337" s="1"/>
      <c r="GOE337" s="1"/>
      <c r="GOF337" s="1"/>
      <c r="GOG337" s="1"/>
      <c r="GOH337" s="1"/>
      <c r="GOI337" s="1"/>
      <c r="GOJ337" s="1"/>
      <c r="GOK337" s="1"/>
      <c r="GOL337" s="1"/>
      <c r="GOM337" s="1"/>
      <c r="GON337" s="1"/>
      <c r="GOO337" s="1"/>
      <c r="GOP337" s="1"/>
      <c r="GOQ337" s="1"/>
      <c r="GOR337" s="1"/>
      <c r="GOS337" s="1"/>
      <c r="GOT337" s="1"/>
      <c r="GOU337" s="1"/>
      <c r="GOV337" s="1"/>
      <c r="GOW337" s="1"/>
      <c r="GOX337" s="1"/>
      <c r="GOY337" s="1"/>
      <c r="GOZ337" s="1"/>
      <c r="GPA337" s="1"/>
      <c r="GPB337" s="1"/>
      <c r="GPC337" s="1"/>
      <c r="GPD337" s="1"/>
      <c r="GPE337" s="1"/>
      <c r="GPF337" s="1"/>
      <c r="GPG337" s="1"/>
      <c r="GPH337" s="1"/>
      <c r="GPI337" s="1"/>
      <c r="GPJ337" s="1"/>
      <c r="GPK337" s="1"/>
      <c r="GPL337" s="1"/>
      <c r="GPM337" s="1"/>
      <c r="GPN337" s="1"/>
      <c r="GPO337" s="1"/>
      <c r="GPP337" s="1"/>
      <c r="GPQ337" s="1"/>
      <c r="GPR337" s="1"/>
      <c r="GPS337" s="1"/>
      <c r="GPT337" s="1"/>
      <c r="GPU337" s="1"/>
      <c r="GPV337" s="1"/>
      <c r="GPW337" s="1"/>
      <c r="GPX337" s="1"/>
      <c r="GPY337" s="1"/>
      <c r="GPZ337" s="1"/>
      <c r="GQA337" s="1"/>
      <c r="GQB337" s="1"/>
      <c r="GQC337" s="1"/>
      <c r="GQD337" s="1"/>
      <c r="GQE337" s="1"/>
      <c r="GQF337" s="1"/>
      <c r="GQG337" s="1"/>
      <c r="GQH337" s="1"/>
      <c r="GQI337" s="1"/>
      <c r="GQJ337" s="1"/>
      <c r="GQK337" s="1"/>
      <c r="GQL337" s="1"/>
      <c r="GQM337" s="1"/>
      <c r="GQN337" s="1"/>
      <c r="GQO337" s="1"/>
      <c r="GQP337" s="1"/>
      <c r="GQQ337" s="1"/>
      <c r="GQR337" s="1"/>
      <c r="GQS337" s="1"/>
      <c r="GQT337" s="1"/>
      <c r="GQU337" s="1"/>
      <c r="GQV337" s="1"/>
      <c r="GQW337" s="1"/>
      <c r="GQX337" s="1"/>
      <c r="GQY337" s="1"/>
      <c r="GQZ337" s="1"/>
      <c r="GRA337" s="1"/>
      <c r="GRB337" s="1"/>
      <c r="GRC337" s="1"/>
      <c r="GRD337" s="1"/>
      <c r="GRE337" s="1"/>
      <c r="GRF337" s="1"/>
      <c r="GRG337" s="1"/>
      <c r="GRH337" s="1"/>
      <c r="GRI337" s="1"/>
      <c r="GRJ337" s="1"/>
      <c r="GRK337" s="1"/>
      <c r="GRL337" s="1"/>
      <c r="GRM337" s="1"/>
      <c r="GRN337" s="1"/>
      <c r="GRO337" s="1"/>
      <c r="GRP337" s="1"/>
      <c r="GRQ337" s="1"/>
      <c r="GRR337" s="1"/>
      <c r="GRS337" s="1"/>
      <c r="GRT337" s="1"/>
      <c r="GRU337" s="1"/>
      <c r="GRV337" s="1"/>
      <c r="GRW337" s="1"/>
      <c r="GRX337" s="1"/>
      <c r="GRY337" s="1"/>
      <c r="GRZ337" s="1"/>
      <c r="GSA337" s="1"/>
      <c r="GSB337" s="1"/>
      <c r="GSC337" s="1"/>
      <c r="GSD337" s="1"/>
      <c r="GSE337" s="1"/>
      <c r="GSF337" s="1"/>
      <c r="GSG337" s="1"/>
      <c r="GSH337" s="1"/>
      <c r="GSI337" s="1"/>
      <c r="GSJ337" s="1"/>
      <c r="GSK337" s="1"/>
      <c r="GSL337" s="1"/>
      <c r="GSM337" s="1"/>
      <c r="GSN337" s="1"/>
      <c r="GSO337" s="1"/>
      <c r="GSP337" s="1"/>
      <c r="GSQ337" s="1"/>
      <c r="GSR337" s="1"/>
      <c r="GSS337" s="1"/>
      <c r="GST337" s="1"/>
      <c r="GSU337" s="1"/>
      <c r="GSV337" s="1"/>
      <c r="GSW337" s="1"/>
      <c r="GSX337" s="1"/>
      <c r="GSY337" s="1"/>
      <c r="GSZ337" s="1"/>
      <c r="GTA337" s="1"/>
      <c r="GTB337" s="1"/>
      <c r="GTC337" s="1"/>
      <c r="GTD337" s="1"/>
      <c r="GTE337" s="1"/>
      <c r="GTF337" s="1"/>
      <c r="GTG337" s="1"/>
      <c r="GTH337" s="1"/>
      <c r="GTI337" s="1"/>
      <c r="GTJ337" s="1"/>
      <c r="GTK337" s="1"/>
      <c r="GTL337" s="1"/>
      <c r="GTM337" s="1"/>
      <c r="GTN337" s="1"/>
      <c r="GTO337" s="1"/>
      <c r="GTP337" s="1"/>
      <c r="GTQ337" s="1"/>
      <c r="GTR337" s="1"/>
      <c r="GTS337" s="1"/>
      <c r="GTT337" s="1"/>
      <c r="GTU337" s="1"/>
      <c r="GTV337" s="1"/>
      <c r="GTW337" s="1"/>
      <c r="GTX337" s="1"/>
      <c r="GTY337" s="1"/>
      <c r="GTZ337" s="1"/>
      <c r="GUA337" s="1"/>
      <c r="GUB337" s="1"/>
      <c r="GUC337" s="1"/>
      <c r="GUD337" s="1"/>
      <c r="GUE337" s="1"/>
      <c r="GUF337" s="1"/>
      <c r="GUG337" s="1"/>
      <c r="GUH337" s="1"/>
      <c r="GUI337" s="1"/>
      <c r="GUJ337" s="1"/>
      <c r="GUK337" s="1"/>
      <c r="GUL337" s="1"/>
      <c r="GUM337" s="1"/>
      <c r="GUN337" s="1"/>
      <c r="GUO337" s="1"/>
      <c r="GUP337" s="1"/>
      <c r="GUQ337" s="1"/>
      <c r="GUR337" s="1"/>
      <c r="GUS337" s="1"/>
      <c r="GUT337" s="1"/>
      <c r="GUU337" s="1"/>
      <c r="GUV337" s="1"/>
      <c r="GUW337" s="1"/>
      <c r="GUX337" s="1"/>
      <c r="GUY337" s="1"/>
      <c r="GUZ337" s="1"/>
      <c r="GVA337" s="1"/>
      <c r="GVB337" s="1"/>
      <c r="GVC337" s="1"/>
      <c r="GVD337" s="1"/>
      <c r="GVE337" s="1"/>
      <c r="GVF337" s="1"/>
      <c r="GVG337" s="1"/>
      <c r="GVH337" s="1"/>
      <c r="GVI337" s="1"/>
      <c r="GVJ337" s="1"/>
      <c r="GVK337" s="1"/>
      <c r="GVL337" s="1"/>
      <c r="GVM337" s="1"/>
      <c r="GVN337" s="1"/>
      <c r="GVO337" s="1"/>
      <c r="GVP337" s="1"/>
      <c r="GVQ337" s="1"/>
      <c r="GVR337" s="1"/>
      <c r="GVS337" s="1"/>
      <c r="GVT337" s="1"/>
      <c r="GVU337" s="1"/>
      <c r="GVV337" s="1"/>
      <c r="GVW337" s="1"/>
      <c r="GVX337" s="1"/>
      <c r="GVY337" s="1"/>
      <c r="GVZ337" s="1"/>
      <c r="GWA337" s="1"/>
      <c r="GWB337" s="1"/>
      <c r="GWC337" s="1"/>
      <c r="GWD337" s="1"/>
      <c r="GWE337" s="1"/>
      <c r="GWF337" s="1"/>
      <c r="GWG337" s="1"/>
      <c r="GWH337" s="1"/>
      <c r="GWI337" s="1"/>
      <c r="GWJ337" s="1"/>
      <c r="GWK337" s="1"/>
      <c r="GWL337" s="1"/>
      <c r="GWM337" s="1"/>
      <c r="GWN337" s="1"/>
      <c r="GWO337" s="1"/>
      <c r="GWP337" s="1"/>
      <c r="GWQ337" s="1"/>
      <c r="GWR337" s="1"/>
      <c r="GWS337" s="1"/>
      <c r="GWT337" s="1"/>
      <c r="GWU337" s="1"/>
      <c r="GWV337" s="1"/>
      <c r="GWW337" s="1"/>
      <c r="GWX337" s="1"/>
      <c r="GWY337" s="1"/>
      <c r="GWZ337" s="1"/>
      <c r="GXA337" s="1"/>
      <c r="GXB337" s="1"/>
      <c r="GXC337" s="1"/>
      <c r="GXD337" s="1"/>
      <c r="GXE337" s="1"/>
      <c r="GXF337" s="1"/>
      <c r="GXG337" s="1"/>
      <c r="GXH337" s="1"/>
      <c r="GXI337" s="1"/>
      <c r="GXJ337" s="1"/>
      <c r="GXK337" s="1"/>
      <c r="GXL337" s="1"/>
      <c r="GXM337" s="1"/>
      <c r="GXN337" s="1"/>
      <c r="GXO337" s="1"/>
      <c r="GXP337" s="1"/>
      <c r="GXQ337" s="1"/>
      <c r="GXR337" s="1"/>
      <c r="GXS337" s="1"/>
      <c r="GXT337" s="1"/>
      <c r="GXU337" s="1"/>
      <c r="GXV337" s="1"/>
      <c r="GXW337" s="1"/>
      <c r="GXX337" s="1"/>
      <c r="GXY337" s="1"/>
      <c r="GXZ337" s="1"/>
      <c r="GYA337" s="1"/>
      <c r="GYB337" s="1"/>
      <c r="GYC337" s="1"/>
      <c r="GYD337" s="1"/>
      <c r="GYE337" s="1"/>
      <c r="GYF337" s="1"/>
      <c r="GYG337" s="1"/>
      <c r="GYH337" s="1"/>
      <c r="GYI337" s="1"/>
      <c r="GYJ337" s="1"/>
      <c r="GYK337" s="1"/>
      <c r="GYL337" s="1"/>
      <c r="GYM337" s="1"/>
      <c r="GYN337" s="1"/>
      <c r="GYO337" s="1"/>
      <c r="GYP337" s="1"/>
      <c r="GYQ337" s="1"/>
      <c r="GYR337" s="1"/>
      <c r="GYS337" s="1"/>
      <c r="GYT337" s="1"/>
      <c r="GYU337" s="1"/>
      <c r="GYV337" s="1"/>
      <c r="GYW337" s="1"/>
      <c r="GYX337" s="1"/>
      <c r="GYY337" s="1"/>
      <c r="GYZ337" s="1"/>
      <c r="GZA337" s="1"/>
      <c r="GZB337" s="1"/>
      <c r="GZC337" s="1"/>
      <c r="GZD337" s="1"/>
      <c r="GZE337" s="1"/>
      <c r="GZF337" s="1"/>
      <c r="GZG337" s="1"/>
      <c r="GZH337" s="1"/>
      <c r="GZI337" s="1"/>
      <c r="GZJ337" s="1"/>
      <c r="GZK337" s="1"/>
      <c r="GZL337" s="1"/>
      <c r="GZM337" s="1"/>
      <c r="GZN337" s="1"/>
      <c r="GZO337" s="1"/>
      <c r="GZP337" s="1"/>
      <c r="GZQ337" s="1"/>
      <c r="GZR337" s="1"/>
      <c r="GZS337" s="1"/>
      <c r="GZT337" s="1"/>
      <c r="GZU337" s="1"/>
      <c r="GZV337" s="1"/>
      <c r="GZW337" s="1"/>
      <c r="GZX337" s="1"/>
      <c r="GZY337" s="1"/>
      <c r="GZZ337" s="1"/>
      <c r="HAA337" s="1"/>
      <c r="HAB337" s="1"/>
      <c r="HAC337" s="1"/>
      <c r="HAD337" s="1"/>
      <c r="HAE337" s="1"/>
      <c r="HAF337" s="1"/>
      <c r="HAG337" s="1"/>
      <c r="HAH337" s="1"/>
      <c r="HAI337" s="1"/>
      <c r="HAJ337" s="1"/>
      <c r="HAK337" s="1"/>
      <c r="HAL337" s="1"/>
      <c r="HAM337" s="1"/>
      <c r="HAN337" s="1"/>
      <c r="HAO337" s="1"/>
      <c r="HAP337" s="1"/>
      <c r="HAQ337" s="1"/>
      <c r="HAR337" s="1"/>
      <c r="HAS337" s="1"/>
      <c r="HAT337" s="1"/>
      <c r="HAU337" s="1"/>
      <c r="HAV337" s="1"/>
      <c r="HAW337" s="1"/>
      <c r="HAX337" s="1"/>
      <c r="HAY337" s="1"/>
      <c r="HAZ337" s="1"/>
      <c r="HBA337" s="1"/>
      <c r="HBB337" s="1"/>
      <c r="HBC337" s="1"/>
      <c r="HBD337" s="1"/>
      <c r="HBE337" s="1"/>
      <c r="HBF337" s="1"/>
      <c r="HBG337" s="1"/>
      <c r="HBH337" s="1"/>
      <c r="HBI337" s="1"/>
      <c r="HBJ337" s="1"/>
      <c r="HBK337" s="1"/>
      <c r="HBL337" s="1"/>
      <c r="HBM337" s="1"/>
      <c r="HBN337" s="1"/>
      <c r="HBO337" s="1"/>
      <c r="HBP337" s="1"/>
      <c r="HBQ337" s="1"/>
      <c r="HBR337" s="1"/>
      <c r="HBS337" s="1"/>
      <c r="HBT337" s="1"/>
      <c r="HBU337" s="1"/>
      <c r="HBV337" s="1"/>
      <c r="HBW337" s="1"/>
      <c r="HBX337" s="1"/>
      <c r="HBY337" s="1"/>
      <c r="HBZ337" s="1"/>
      <c r="HCA337" s="1"/>
      <c r="HCB337" s="1"/>
      <c r="HCC337" s="1"/>
      <c r="HCD337" s="1"/>
      <c r="HCE337" s="1"/>
      <c r="HCF337" s="1"/>
      <c r="HCG337" s="1"/>
      <c r="HCH337" s="1"/>
      <c r="HCI337" s="1"/>
      <c r="HCJ337" s="1"/>
      <c r="HCK337" s="1"/>
      <c r="HCL337" s="1"/>
      <c r="HCM337" s="1"/>
      <c r="HCN337" s="1"/>
      <c r="HCO337" s="1"/>
      <c r="HCP337" s="1"/>
      <c r="HCQ337" s="1"/>
      <c r="HCR337" s="1"/>
      <c r="HCS337" s="1"/>
      <c r="HCT337" s="1"/>
      <c r="HCU337" s="1"/>
      <c r="HCV337" s="1"/>
      <c r="HCW337" s="1"/>
      <c r="HCX337" s="1"/>
      <c r="HCY337" s="1"/>
      <c r="HCZ337" s="1"/>
      <c r="HDA337" s="1"/>
      <c r="HDB337" s="1"/>
      <c r="HDC337" s="1"/>
      <c r="HDD337" s="1"/>
      <c r="HDE337" s="1"/>
      <c r="HDF337" s="1"/>
      <c r="HDG337" s="1"/>
      <c r="HDH337" s="1"/>
      <c r="HDI337" s="1"/>
      <c r="HDJ337" s="1"/>
      <c r="HDK337" s="1"/>
      <c r="HDL337" s="1"/>
      <c r="HDM337" s="1"/>
      <c r="HDN337" s="1"/>
      <c r="HDO337" s="1"/>
      <c r="HDP337" s="1"/>
      <c r="HDQ337" s="1"/>
      <c r="HDR337" s="1"/>
      <c r="HDS337" s="1"/>
      <c r="HDT337" s="1"/>
      <c r="HDU337" s="1"/>
      <c r="HDV337" s="1"/>
      <c r="HDW337" s="1"/>
      <c r="HDX337" s="1"/>
      <c r="HDY337" s="1"/>
      <c r="HDZ337" s="1"/>
      <c r="HEA337" s="1"/>
      <c r="HEB337" s="1"/>
      <c r="HEC337" s="1"/>
      <c r="HED337" s="1"/>
      <c r="HEE337" s="1"/>
      <c r="HEF337" s="1"/>
      <c r="HEG337" s="1"/>
      <c r="HEH337" s="1"/>
      <c r="HEI337" s="1"/>
      <c r="HEJ337" s="1"/>
      <c r="HEK337" s="1"/>
      <c r="HEL337" s="1"/>
      <c r="HEM337" s="1"/>
      <c r="HEN337" s="1"/>
      <c r="HEO337" s="1"/>
      <c r="HEP337" s="1"/>
      <c r="HEQ337" s="1"/>
      <c r="HER337" s="1"/>
      <c r="HES337" s="1"/>
      <c r="HET337" s="1"/>
      <c r="HEU337" s="1"/>
      <c r="HEV337" s="1"/>
      <c r="HEW337" s="1"/>
      <c r="HEX337" s="1"/>
      <c r="HEY337" s="1"/>
      <c r="HEZ337" s="1"/>
      <c r="HFA337" s="1"/>
      <c r="HFB337" s="1"/>
      <c r="HFC337" s="1"/>
      <c r="HFD337" s="1"/>
      <c r="HFE337" s="1"/>
      <c r="HFF337" s="1"/>
      <c r="HFG337" s="1"/>
      <c r="HFH337" s="1"/>
      <c r="HFI337" s="1"/>
      <c r="HFJ337" s="1"/>
      <c r="HFK337" s="1"/>
      <c r="HFL337" s="1"/>
      <c r="HFM337" s="1"/>
      <c r="HFN337" s="1"/>
      <c r="HFO337" s="1"/>
      <c r="HFP337" s="1"/>
      <c r="HFQ337" s="1"/>
      <c r="HFR337" s="1"/>
      <c r="HFS337" s="1"/>
      <c r="HFT337" s="1"/>
      <c r="HFU337" s="1"/>
      <c r="HFV337" s="1"/>
      <c r="HFW337" s="1"/>
      <c r="HFX337" s="1"/>
      <c r="HFY337" s="1"/>
      <c r="HFZ337" s="1"/>
      <c r="HGA337" s="1"/>
      <c r="HGB337" s="1"/>
      <c r="HGC337" s="1"/>
      <c r="HGD337" s="1"/>
      <c r="HGE337" s="1"/>
      <c r="HGF337" s="1"/>
      <c r="HGG337" s="1"/>
      <c r="HGH337" s="1"/>
      <c r="HGI337" s="1"/>
      <c r="HGJ337" s="1"/>
      <c r="HGK337" s="1"/>
      <c r="HGL337" s="1"/>
      <c r="HGM337" s="1"/>
      <c r="HGN337" s="1"/>
      <c r="HGO337" s="1"/>
      <c r="HGP337" s="1"/>
      <c r="HGQ337" s="1"/>
      <c r="HGR337" s="1"/>
      <c r="HGS337" s="1"/>
      <c r="HGT337" s="1"/>
      <c r="HGU337" s="1"/>
      <c r="HGV337" s="1"/>
      <c r="HGW337" s="1"/>
      <c r="HGX337" s="1"/>
      <c r="HGY337" s="1"/>
      <c r="HGZ337" s="1"/>
      <c r="HHA337" s="1"/>
      <c r="HHB337" s="1"/>
      <c r="HHC337" s="1"/>
      <c r="HHD337" s="1"/>
      <c r="HHE337" s="1"/>
      <c r="HHF337" s="1"/>
      <c r="HHG337" s="1"/>
      <c r="HHH337" s="1"/>
      <c r="HHI337" s="1"/>
      <c r="HHJ337" s="1"/>
      <c r="HHK337" s="1"/>
      <c r="HHL337" s="1"/>
      <c r="HHM337" s="1"/>
      <c r="HHN337" s="1"/>
      <c r="HHO337" s="1"/>
      <c r="HHP337" s="1"/>
      <c r="HHQ337" s="1"/>
      <c r="HHR337" s="1"/>
      <c r="HHS337" s="1"/>
      <c r="HHT337" s="1"/>
      <c r="HHU337" s="1"/>
      <c r="HHV337" s="1"/>
      <c r="HHW337" s="1"/>
      <c r="HHX337" s="1"/>
      <c r="HHY337" s="1"/>
      <c r="HHZ337" s="1"/>
      <c r="HIA337" s="1"/>
      <c r="HIB337" s="1"/>
      <c r="HIC337" s="1"/>
      <c r="HID337" s="1"/>
      <c r="HIE337" s="1"/>
      <c r="HIF337" s="1"/>
      <c r="HIG337" s="1"/>
      <c r="HIH337" s="1"/>
      <c r="HII337" s="1"/>
      <c r="HIJ337" s="1"/>
      <c r="HIK337" s="1"/>
      <c r="HIL337" s="1"/>
      <c r="HIM337" s="1"/>
      <c r="HIN337" s="1"/>
      <c r="HIO337" s="1"/>
      <c r="HIP337" s="1"/>
      <c r="HIQ337" s="1"/>
      <c r="HIR337" s="1"/>
      <c r="HIS337" s="1"/>
      <c r="HIT337" s="1"/>
      <c r="HIU337" s="1"/>
      <c r="HIV337" s="1"/>
      <c r="HIW337" s="1"/>
      <c r="HIX337" s="1"/>
      <c r="HIY337" s="1"/>
      <c r="HIZ337" s="1"/>
      <c r="HJA337" s="1"/>
      <c r="HJB337" s="1"/>
      <c r="HJC337" s="1"/>
      <c r="HJD337" s="1"/>
      <c r="HJE337" s="1"/>
      <c r="HJF337" s="1"/>
      <c r="HJG337" s="1"/>
      <c r="HJH337" s="1"/>
      <c r="HJI337" s="1"/>
      <c r="HJJ337" s="1"/>
      <c r="HJK337" s="1"/>
      <c r="HJL337" s="1"/>
      <c r="HJM337" s="1"/>
      <c r="HJN337" s="1"/>
      <c r="HJO337" s="1"/>
      <c r="HJP337" s="1"/>
      <c r="HJQ337" s="1"/>
      <c r="HJR337" s="1"/>
      <c r="HJS337" s="1"/>
      <c r="HJT337" s="1"/>
      <c r="HJU337" s="1"/>
      <c r="HJV337" s="1"/>
      <c r="HJW337" s="1"/>
      <c r="HJX337" s="1"/>
      <c r="HJY337" s="1"/>
      <c r="HJZ337" s="1"/>
      <c r="HKA337" s="1"/>
      <c r="HKB337" s="1"/>
      <c r="HKC337" s="1"/>
      <c r="HKD337" s="1"/>
      <c r="HKE337" s="1"/>
      <c r="HKF337" s="1"/>
      <c r="HKG337" s="1"/>
      <c r="HKH337" s="1"/>
      <c r="HKI337" s="1"/>
      <c r="HKJ337" s="1"/>
      <c r="HKK337" s="1"/>
      <c r="HKL337" s="1"/>
      <c r="HKM337" s="1"/>
      <c r="HKN337" s="1"/>
      <c r="HKO337" s="1"/>
      <c r="HKP337" s="1"/>
      <c r="HKQ337" s="1"/>
      <c r="HKR337" s="1"/>
      <c r="HKS337" s="1"/>
      <c r="HKT337" s="1"/>
      <c r="HKU337" s="1"/>
      <c r="HKV337" s="1"/>
      <c r="HKW337" s="1"/>
      <c r="HKX337" s="1"/>
      <c r="HKY337" s="1"/>
      <c r="HKZ337" s="1"/>
      <c r="HLA337" s="1"/>
      <c r="HLB337" s="1"/>
      <c r="HLC337" s="1"/>
      <c r="HLD337" s="1"/>
      <c r="HLE337" s="1"/>
      <c r="HLF337" s="1"/>
      <c r="HLG337" s="1"/>
      <c r="HLH337" s="1"/>
      <c r="HLI337" s="1"/>
      <c r="HLJ337" s="1"/>
      <c r="HLK337" s="1"/>
      <c r="HLL337" s="1"/>
      <c r="HLM337" s="1"/>
      <c r="HLN337" s="1"/>
      <c r="HLO337" s="1"/>
      <c r="HLP337" s="1"/>
      <c r="HLQ337" s="1"/>
      <c r="HLR337" s="1"/>
      <c r="HLS337" s="1"/>
      <c r="HLT337" s="1"/>
      <c r="HLU337" s="1"/>
      <c r="HLV337" s="1"/>
      <c r="HLW337" s="1"/>
      <c r="HLX337" s="1"/>
      <c r="HLY337" s="1"/>
      <c r="HLZ337" s="1"/>
      <c r="HMA337" s="1"/>
      <c r="HMB337" s="1"/>
      <c r="HMC337" s="1"/>
      <c r="HMD337" s="1"/>
      <c r="HME337" s="1"/>
      <c r="HMF337" s="1"/>
      <c r="HMG337" s="1"/>
      <c r="HMH337" s="1"/>
      <c r="HMI337" s="1"/>
      <c r="HMJ337" s="1"/>
      <c r="HMK337" s="1"/>
      <c r="HML337" s="1"/>
      <c r="HMM337" s="1"/>
      <c r="HMN337" s="1"/>
      <c r="HMO337" s="1"/>
      <c r="HMP337" s="1"/>
      <c r="HMQ337" s="1"/>
      <c r="HMR337" s="1"/>
      <c r="HMS337" s="1"/>
      <c r="HMT337" s="1"/>
      <c r="HMU337" s="1"/>
      <c r="HMV337" s="1"/>
      <c r="HMW337" s="1"/>
      <c r="HMX337" s="1"/>
      <c r="HMY337" s="1"/>
      <c r="HMZ337" s="1"/>
      <c r="HNA337" s="1"/>
      <c r="HNB337" s="1"/>
      <c r="HNC337" s="1"/>
      <c r="HND337" s="1"/>
      <c r="HNE337" s="1"/>
      <c r="HNF337" s="1"/>
      <c r="HNG337" s="1"/>
      <c r="HNH337" s="1"/>
      <c r="HNI337" s="1"/>
      <c r="HNJ337" s="1"/>
      <c r="HNK337" s="1"/>
      <c r="HNL337" s="1"/>
      <c r="HNM337" s="1"/>
      <c r="HNN337" s="1"/>
      <c r="HNO337" s="1"/>
      <c r="HNP337" s="1"/>
      <c r="HNQ337" s="1"/>
      <c r="HNR337" s="1"/>
      <c r="HNS337" s="1"/>
      <c r="HNT337" s="1"/>
      <c r="HNU337" s="1"/>
      <c r="HNV337" s="1"/>
      <c r="HNW337" s="1"/>
      <c r="HNX337" s="1"/>
      <c r="HNY337" s="1"/>
      <c r="HNZ337" s="1"/>
      <c r="HOA337" s="1"/>
      <c r="HOB337" s="1"/>
      <c r="HOC337" s="1"/>
      <c r="HOD337" s="1"/>
      <c r="HOE337" s="1"/>
      <c r="HOF337" s="1"/>
      <c r="HOG337" s="1"/>
      <c r="HOH337" s="1"/>
      <c r="HOI337" s="1"/>
      <c r="HOJ337" s="1"/>
      <c r="HOK337" s="1"/>
      <c r="HOL337" s="1"/>
      <c r="HOM337" s="1"/>
      <c r="HON337" s="1"/>
      <c r="HOO337" s="1"/>
      <c r="HOP337" s="1"/>
      <c r="HOQ337" s="1"/>
      <c r="HOR337" s="1"/>
      <c r="HOS337" s="1"/>
      <c r="HOT337" s="1"/>
      <c r="HOU337" s="1"/>
      <c r="HOV337" s="1"/>
      <c r="HOW337" s="1"/>
      <c r="HOX337" s="1"/>
      <c r="HOY337" s="1"/>
      <c r="HOZ337" s="1"/>
      <c r="HPA337" s="1"/>
      <c r="HPB337" s="1"/>
      <c r="HPC337" s="1"/>
      <c r="HPD337" s="1"/>
      <c r="HPE337" s="1"/>
      <c r="HPF337" s="1"/>
      <c r="HPG337" s="1"/>
      <c r="HPH337" s="1"/>
      <c r="HPI337" s="1"/>
      <c r="HPJ337" s="1"/>
      <c r="HPK337" s="1"/>
      <c r="HPL337" s="1"/>
      <c r="HPM337" s="1"/>
      <c r="HPN337" s="1"/>
      <c r="HPO337" s="1"/>
      <c r="HPP337" s="1"/>
      <c r="HPQ337" s="1"/>
      <c r="HPR337" s="1"/>
      <c r="HPS337" s="1"/>
      <c r="HPT337" s="1"/>
      <c r="HPU337" s="1"/>
      <c r="HPV337" s="1"/>
      <c r="HPW337" s="1"/>
      <c r="HPX337" s="1"/>
      <c r="HPY337" s="1"/>
      <c r="HPZ337" s="1"/>
      <c r="HQA337" s="1"/>
      <c r="HQB337" s="1"/>
      <c r="HQC337" s="1"/>
      <c r="HQD337" s="1"/>
      <c r="HQE337" s="1"/>
      <c r="HQF337" s="1"/>
      <c r="HQG337" s="1"/>
      <c r="HQH337" s="1"/>
      <c r="HQI337" s="1"/>
      <c r="HQJ337" s="1"/>
      <c r="HQK337" s="1"/>
      <c r="HQL337" s="1"/>
      <c r="HQM337" s="1"/>
      <c r="HQN337" s="1"/>
      <c r="HQO337" s="1"/>
      <c r="HQP337" s="1"/>
      <c r="HQQ337" s="1"/>
      <c r="HQR337" s="1"/>
      <c r="HQS337" s="1"/>
      <c r="HQT337" s="1"/>
      <c r="HQU337" s="1"/>
      <c r="HQV337" s="1"/>
      <c r="HQW337" s="1"/>
      <c r="HQX337" s="1"/>
      <c r="HQY337" s="1"/>
      <c r="HQZ337" s="1"/>
      <c r="HRA337" s="1"/>
      <c r="HRB337" s="1"/>
      <c r="HRC337" s="1"/>
      <c r="HRD337" s="1"/>
      <c r="HRE337" s="1"/>
      <c r="HRF337" s="1"/>
      <c r="HRG337" s="1"/>
      <c r="HRH337" s="1"/>
      <c r="HRI337" s="1"/>
      <c r="HRJ337" s="1"/>
      <c r="HRK337" s="1"/>
      <c r="HRL337" s="1"/>
      <c r="HRM337" s="1"/>
      <c r="HRN337" s="1"/>
      <c r="HRO337" s="1"/>
      <c r="HRP337" s="1"/>
      <c r="HRQ337" s="1"/>
      <c r="HRR337" s="1"/>
      <c r="HRS337" s="1"/>
      <c r="HRT337" s="1"/>
      <c r="HRU337" s="1"/>
      <c r="HRV337" s="1"/>
      <c r="HRW337" s="1"/>
      <c r="HRX337" s="1"/>
      <c r="HRY337" s="1"/>
      <c r="HRZ337" s="1"/>
      <c r="HSA337" s="1"/>
      <c r="HSB337" s="1"/>
      <c r="HSC337" s="1"/>
      <c r="HSD337" s="1"/>
      <c r="HSE337" s="1"/>
      <c r="HSF337" s="1"/>
      <c r="HSG337" s="1"/>
      <c r="HSH337" s="1"/>
      <c r="HSI337" s="1"/>
      <c r="HSJ337" s="1"/>
      <c r="HSK337" s="1"/>
      <c r="HSL337" s="1"/>
      <c r="HSM337" s="1"/>
      <c r="HSN337" s="1"/>
      <c r="HSO337" s="1"/>
      <c r="HSP337" s="1"/>
      <c r="HSQ337" s="1"/>
      <c r="HSR337" s="1"/>
      <c r="HSS337" s="1"/>
      <c r="HST337" s="1"/>
      <c r="HSU337" s="1"/>
      <c r="HSV337" s="1"/>
      <c r="HSW337" s="1"/>
      <c r="HSX337" s="1"/>
      <c r="HSY337" s="1"/>
      <c r="HSZ337" s="1"/>
      <c r="HTA337" s="1"/>
      <c r="HTB337" s="1"/>
      <c r="HTC337" s="1"/>
      <c r="HTD337" s="1"/>
      <c r="HTE337" s="1"/>
      <c r="HTF337" s="1"/>
      <c r="HTG337" s="1"/>
      <c r="HTH337" s="1"/>
      <c r="HTI337" s="1"/>
      <c r="HTJ337" s="1"/>
      <c r="HTK337" s="1"/>
      <c r="HTL337" s="1"/>
      <c r="HTM337" s="1"/>
      <c r="HTN337" s="1"/>
      <c r="HTO337" s="1"/>
      <c r="HTP337" s="1"/>
      <c r="HTQ337" s="1"/>
      <c r="HTR337" s="1"/>
      <c r="HTS337" s="1"/>
      <c r="HTT337" s="1"/>
      <c r="HTU337" s="1"/>
      <c r="HTV337" s="1"/>
      <c r="HTW337" s="1"/>
      <c r="HTX337" s="1"/>
      <c r="HTY337" s="1"/>
      <c r="HTZ337" s="1"/>
      <c r="HUA337" s="1"/>
      <c r="HUB337" s="1"/>
      <c r="HUC337" s="1"/>
      <c r="HUD337" s="1"/>
      <c r="HUE337" s="1"/>
      <c r="HUF337" s="1"/>
      <c r="HUG337" s="1"/>
      <c r="HUH337" s="1"/>
      <c r="HUI337" s="1"/>
      <c r="HUJ337" s="1"/>
      <c r="HUK337" s="1"/>
      <c r="HUL337" s="1"/>
      <c r="HUM337" s="1"/>
      <c r="HUN337" s="1"/>
      <c r="HUO337" s="1"/>
      <c r="HUP337" s="1"/>
      <c r="HUQ337" s="1"/>
      <c r="HUR337" s="1"/>
      <c r="HUS337" s="1"/>
      <c r="HUT337" s="1"/>
      <c r="HUU337" s="1"/>
      <c r="HUV337" s="1"/>
      <c r="HUW337" s="1"/>
      <c r="HUX337" s="1"/>
      <c r="HUY337" s="1"/>
      <c r="HUZ337" s="1"/>
      <c r="HVA337" s="1"/>
      <c r="HVB337" s="1"/>
      <c r="HVC337" s="1"/>
      <c r="HVD337" s="1"/>
      <c r="HVE337" s="1"/>
      <c r="HVF337" s="1"/>
      <c r="HVG337" s="1"/>
      <c r="HVH337" s="1"/>
      <c r="HVI337" s="1"/>
      <c r="HVJ337" s="1"/>
      <c r="HVK337" s="1"/>
      <c r="HVL337" s="1"/>
      <c r="HVM337" s="1"/>
      <c r="HVN337" s="1"/>
      <c r="HVO337" s="1"/>
      <c r="HVP337" s="1"/>
      <c r="HVQ337" s="1"/>
      <c r="HVR337" s="1"/>
      <c r="HVS337" s="1"/>
      <c r="HVT337" s="1"/>
      <c r="HVU337" s="1"/>
      <c r="HVV337" s="1"/>
      <c r="HVW337" s="1"/>
      <c r="HVX337" s="1"/>
      <c r="HVY337" s="1"/>
      <c r="HVZ337" s="1"/>
      <c r="HWA337" s="1"/>
      <c r="HWB337" s="1"/>
      <c r="HWC337" s="1"/>
      <c r="HWD337" s="1"/>
      <c r="HWE337" s="1"/>
      <c r="HWF337" s="1"/>
      <c r="HWG337" s="1"/>
      <c r="HWH337" s="1"/>
      <c r="HWI337" s="1"/>
      <c r="HWJ337" s="1"/>
      <c r="HWK337" s="1"/>
      <c r="HWL337" s="1"/>
      <c r="HWM337" s="1"/>
      <c r="HWN337" s="1"/>
      <c r="HWO337" s="1"/>
      <c r="HWP337" s="1"/>
      <c r="HWQ337" s="1"/>
      <c r="HWR337" s="1"/>
      <c r="HWS337" s="1"/>
      <c r="HWT337" s="1"/>
      <c r="HWU337" s="1"/>
      <c r="HWV337" s="1"/>
      <c r="HWW337" s="1"/>
      <c r="HWX337" s="1"/>
      <c r="HWY337" s="1"/>
      <c r="HWZ337" s="1"/>
      <c r="HXA337" s="1"/>
      <c r="HXB337" s="1"/>
      <c r="HXC337" s="1"/>
      <c r="HXD337" s="1"/>
      <c r="HXE337" s="1"/>
      <c r="HXF337" s="1"/>
      <c r="HXG337" s="1"/>
      <c r="HXH337" s="1"/>
      <c r="HXI337" s="1"/>
      <c r="HXJ337" s="1"/>
      <c r="HXK337" s="1"/>
      <c r="HXL337" s="1"/>
      <c r="HXM337" s="1"/>
      <c r="HXN337" s="1"/>
      <c r="HXO337" s="1"/>
      <c r="HXP337" s="1"/>
      <c r="HXQ337" s="1"/>
      <c r="HXR337" s="1"/>
      <c r="HXS337" s="1"/>
      <c r="HXT337" s="1"/>
      <c r="HXU337" s="1"/>
      <c r="HXV337" s="1"/>
      <c r="HXW337" s="1"/>
      <c r="HXX337" s="1"/>
      <c r="HXY337" s="1"/>
      <c r="HXZ337" s="1"/>
      <c r="HYA337" s="1"/>
      <c r="HYB337" s="1"/>
      <c r="HYC337" s="1"/>
      <c r="HYD337" s="1"/>
      <c r="HYE337" s="1"/>
      <c r="HYF337" s="1"/>
      <c r="HYG337" s="1"/>
      <c r="HYH337" s="1"/>
      <c r="HYI337" s="1"/>
      <c r="HYJ337" s="1"/>
      <c r="HYK337" s="1"/>
      <c r="HYL337" s="1"/>
      <c r="HYM337" s="1"/>
      <c r="HYN337" s="1"/>
      <c r="HYO337" s="1"/>
      <c r="HYP337" s="1"/>
      <c r="HYQ337" s="1"/>
      <c r="HYR337" s="1"/>
      <c r="HYS337" s="1"/>
      <c r="HYT337" s="1"/>
      <c r="HYU337" s="1"/>
      <c r="HYV337" s="1"/>
      <c r="HYW337" s="1"/>
      <c r="HYX337" s="1"/>
      <c r="HYY337" s="1"/>
      <c r="HYZ337" s="1"/>
      <c r="HZA337" s="1"/>
      <c r="HZB337" s="1"/>
      <c r="HZC337" s="1"/>
      <c r="HZD337" s="1"/>
      <c r="HZE337" s="1"/>
      <c r="HZF337" s="1"/>
      <c r="HZG337" s="1"/>
      <c r="HZH337" s="1"/>
      <c r="HZI337" s="1"/>
      <c r="HZJ337" s="1"/>
      <c r="HZK337" s="1"/>
      <c r="HZL337" s="1"/>
      <c r="HZM337" s="1"/>
      <c r="HZN337" s="1"/>
      <c r="HZO337" s="1"/>
      <c r="HZP337" s="1"/>
      <c r="HZQ337" s="1"/>
      <c r="HZR337" s="1"/>
      <c r="HZS337" s="1"/>
      <c r="HZT337" s="1"/>
      <c r="HZU337" s="1"/>
      <c r="HZV337" s="1"/>
      <c r="HZW337" s="1"/>
      <c r="HZX337" s="1"/>
      <c r="HZY337" s="1"/>
      <c r="HZZ337" s="1"/>
      <c r="IAA337" s="1"/>
      <c r="IAB337" s="1"/>
      <c r="IAC337" s="1"/>
      <c r="IAD337" s="1"/>
      <c r="IAE337" s="1"/>
      <c r="IAF337" s="1"/>
      <c r="IAG337" s="1"/>
      <c r="IAH337" s="1"/>
      <c r="IAI337" s="1"/>
      <c r="IAJ337" s="1"/>
      <c r="IAK337" s="1"/>
      <c r="IAL337" s="1"/>
      <c r="IAM337" s="1"/>
      <c r="IAN337" s="1"/>
      <c r="IAO337" s="1"/>
      <c r="IAP337" s="1"/>
      <c r="IAQ337" s="1"/>
      <c r="IAR337" s="1"/>
      <c r="IAS337" s="1"/>
      <c r="IAT337" s="1"/>
      <c r="IAU337" s="1"/>
      <c r="IAV337" s="1"/>
      <c r="IAW337" s="1"/>
      <c r="IAX337" s="1"/>
      <c r="IAY337" s="1"/>
      <c r="IAZ337" s="1"/>
      <c r="IBA337" s="1"/>
      <c r="IBB337" s="1"/>
      <c r="IBC337" s="1"/>
      <c r="IBD337" s="1"/>
      <c r="IBE337" s="1"/>
      <c r="IBF337" s="1"/>
      <c r="IBG337" s="1"/>
      <c r="IBH337" s="1"/>
      <c r="IBI337" s="1"/>
      <c r="IBJ337" s="1"/>
      <c r="IBK337" s="1"/>
      <c r="IBL337" s="1"/>
      <c r="IBM337" s="1"/>
      <c r="IBN337" s="1"/>
      <c r="IBO337" s="1"/>
      <c r="IBP337" s="1"/>
      <c r="IBQ337" s="1"/>
      <c r="IBR337" s="1"/>
      <c r="IBS337" s="1"/>
      <c r="IBT337" s="1"/>
      <c r="IBU337" s="1"/>
      <c r="IBV337" s="1"/>
      <c r="IBW337" s="1"/>
      <c r="IBX337" s="1"/>
      <c r="IBY337" s="1"/>
      <c r="IBZ337" s="1"/>
      <c r="ICA337" s="1"/>
      <c r="ICB337" s="1"/>
      <c r="ICC337" s="1"/>
      <c r="ICD337" s="1"/>
      <c r="ICE337" s="1"/>
      <c r="ICF337" s="1"/>
      <c r="ICG337" s="1"/>
      <c r="ICH337" s="1"/>
      <c r="ICI337" s="1"/>
      <c r="ICJ337" s="1"/>
      <c r="ICK337" s="1"/>
      <c r="ICL337" s="1"/>
      <c r="ICM337" s="1"/>
      <c r="ICN337" s="1"/>
      <c r="ICO337" s="1"/>
      <c r="ICP337" s="1"/>
      <c r="ICQ337" s="1"/>
      <c r="ICR337" s="1"/>
      <c r="ICS337" s="1"/>
      <c r="ICT337" s="1"/>
      <c r="ICU337" s="1"/>
      <c r="ICV337" s="1"/>
      <c r="ICW337" s="1"/>
      <c r="ICX337" s="1"/>
      <c r="ICY337" s="1"/>
      <c r="ICZ337" s="1"/>
      <c r="IDA337" s="1"/>
      <c r="IDB337" s="1"/>
      <c r="IDC337" s="1"/>
      <c r="IDD337" s="1"/>
      <c r="IDE337" s="1"/>
      <c r="IDF337" s="1"/>
      <c r="IDG337" s="1"/>
      <c r="IDH337" s="1"/>
      <c r="IDI337" s="1"/>
      <c r="IDJ337" s="1"/>
      <c r="IDK337" s="1"/>
      <c r="IDL337" s="1"/>
      <c r="IDM337" s="1"/>
      <c r="IDN337" s="1"/>
      <c r="IDO337" s="1"/>
      <c r="IDP337" s="1"/>
      <c r="IDQ337" s="1"/>
      <c r="IDR337" s="1"/>
      <c r="IDS337" s="1"/>
      <c r="IDT337" s="1"/>
      <c r="IDU337" s="1"/>
      <c r="IDV337" s="1"/>
      <c r="IDW337" s="1"/>
      <c r="IDX337" s="1"/>
      <c r="IDY337" s="1"/>
      <c r="IDZ337" s="1"/>
      <c r="IEA337" s="1"/>
      <c r="IEB337" s="1"/>
      <c r="IEC337" s="1"/>
      <c r="IED337" s="1"/>
      <c r="IEE337" s="1"/>
      <c r="IEF337" s="1"/>
      <c r="IEG337" s="1"/>
      <c r="IEH337" s="1"/>
      <c r="IEI337" s="1"/>
      <c r="IEJ337" s="1"/>
      <c r="IEK337" s="1"/>
      <c r="IEL337" s="1"/>
      <c r="IEM337" s="1"/>
      <c r="IEN337" s="1"/>
      <c r="IEO337" s="1"/>
      <c r="IEP337" s="1"/>
      <c r="IEQ337" s="1"/>
      <c r="IER337" s="1"/>
      <c r="IES337" s="1"/>
      <c r="IET337" s="1"/>
      <c r="IEU337" s="1"/>
      <c r="IEV337" s="1"/>
      <c r="IEW337" s="1"/>
      <c r="IEX337" s="1"/>
      <c r="IEY337" s="1"/>
      <c r="IEZ337" s="1"/>
      <c r="IFA337" s="1"/>
      <c r="IFB337" s="1"/>
      <c r="IFC337" s="1"/>
      <c r="IFD337" s="1"/>
      <c r="IFE337" s="1"/>
      <c r="IFF337" s="1"/>
      <c r="IFG337" s="1"/>
      <c r="IFH337" s="1"/>
      <c r="IFI337" s="1"/>
      <c r="IFJ337" s="1"/>
      <c r="IFK337" s="1"/>
      <c r="IFL337" s="1"/>
      <c r="IFM337" s="1"/>
      <c r="IFN337" s="1"/>
      <c r="IFO337" s="1"/>
      <c r="IFP337" s="1"/>
      <c r="IFQ337" s="1"/>
      <c r="IFR337" s="1"/>
      <c r="IFS337" s="1"/>
      <c r="IFT337" s="1"/>
      <c r="IFU337" s="1"/>
      <c r="IFV337" s="1"/>
      <c r="IFW337" s="1"/>
      <c r="IFX337" s="1"/>
      <c r="IFY337" s="1"/>
      <c r="IFZ337" s="1"/>
      <c r="IGA337" s="1"/>
      <c r="IGB337" s="1"/>
      <c r="IGC337" s="1"/>
      <c r="IGD337" s="1"/>
      <c r="IGE337" s="1"/>
      <c r="IGF337" s="1"/>
      <c r="IGG337" s="1"/>
      <c r="IGH337" s="1"/>
      <c r="IGI337" s="1"/>
      <c r="IGJ337" s="1"/>
      <c r="IGK337" s="1"/>
      <c r="IGL337" s="1"/>
      <c r="IGM337" s="1"/>
      <c r="IGN337" s="1"/>
      <c r="IGO337" s="1"/>
      <c r="IGP337" s="1"/>
      <c r="IGQ337" s="1"/>
      <c r="IGR337" s="1"/>
      <c r="IGS337" s="1"/>
      <c r="IGT337" s="1"/>
      <c r="IGU337" s="1"/>
      <c r="IGV337" s="1"/>
      <c r="IGW337" s="1"/>
      <c r="IGX337" s="1"/>
      <c r="IGY337" s="1"/>
      <c r="IGZ337" s="1"/>
      <c r="IHA337" s="1"/>
      <c r="IHB337" s="1"/>
      <c r="IHC337" s="1"/>
      <c r="IHD337" s="1"/>
      <c r="IHE337" s="1"/>
      <c r="IHF337" s="1"/>
      <c r="IHG337" s="1"/>
      <c r="IHH337" s="1"/>
      <c r="IHI337" s="1"/>
      <c r="IHJ337" s="1"/>
      <c r="IHK337" s="1"/>
      <c r="IHL337" s="1"/>
      <c r="IHM337" s="1"/>
      <c r="IHN337" s="1"/>
      <c r="IHO337" s="1"/>
      <c r="IHP337" s="1"/>
      <c r="IHQ337" s="1"/>
      <c r="IHR337" s="1"/>
      <c r="IHS337" s="1"/>
      <c r="IHT337" s="1"/>
      <c r="IHU337" s="1"/>
      <c r="IHV337" s="1"/>
      <c r="IHW337" s="1"/>
      <c r="IHX337" s="1"/>
      <c r="IHY337" s="1"/>
      <c r="IHZ337" s="1"/>
      <c r="IIA337" s="1"/>
      <c r="IIB337" s="1"/>
      <c r="IIC337" s="1"/>
      <c r="IID337" s="1"/>
      <c r="IIE337" s="1"/>
      <c r="IIF337" s="1"/>
      <c r="IIG337" s="1"/>
      <c r="IIH337" s="1"/>
      <c r="III337" s="1"/>
      <c r="IIJ337" s="1"/>
      <c r="IIK337" s="1"/>
      <c r="IIL337" s="1"/>
      <c r="IIM337" s="1"/>
      <c r="IIN337" s="1"/>
      <c r="IIO337" s="1"/>
      <c r="IIP337" s="1"/>
      <c r="IIQ337" s="1"/>
      <c r="IIR337" s="1"/>
      <c r="IIS337" s="1"/>
      <c r="IIT337" s="1"/>
      <c r="IIU337" s="1"/>
      <c r="IIV337" s="1"/>
      <c r="IIW337" s="1"/>
      <c r="IIX337" s="1"/>
      <c r="IIY337" s="1"/>
      <c r="IIZ337" s="1"/>
      <c r="IJA337" s="1"/>
      <c r="IJB337" s="1"/>
      <c r="IJC337" s="1"/>
      <c r="IJD337" s="1"/>
      <c r="IJE337" s="1"/>
      <c r="IJF337" s="1"/>
      <c r="IJG337" s="1"/>
      <c r="IJH337" s="1"/>
      <c r="IJI337" s="1"/>
      <c r="IJJ337" s="1"/>
      <c r="IJK337" s="1"/>
      <c r="IJL337" s="1"/>
      <c r="IJM337" s="1"/>
      <c r="IJN337" s="1"/>
      <c r="IJO337" s="1"/>
      <c r="IJP337" s="1"/>
      <c r="IJQ337" s="1"/>
      <c r="IJR337" s="1"/>
      <c r="IJS337" s="1"/>
      <c r="IJT337" s="1"/>
      <c r="IJU337" s="1"/>
      <c r="IJV337" s="1"/>
      <c r="IJW337" s="1"/>
      <c r="IJX337" s="1"/>
      <c r="IJY337" s="1"/>
      <c r="IJZ337" s="1"/>
      <c r="IKA337" s="1"/>
      <c r="IKB337" s="1"/>
      <c r="IKC337" s="1"/>
      <c r="IKD337" s="1"/>
      <c r="IKE337" s="1"/>
      <c r="IKF337" s="1"/>
      <c r="IKG337" s="1"/>
      <c r="IKH337" s="1"/>
      <c r="IKI337" s="1"/>
      <c r="IKJ337" s="1"/>
      <c r="IKK337" s="1"/>
      <c r="IKL337" s="1"/>
      <c r="IKM337" s="1"/>
      <c r="IKN337" s="1"/>
      <c r="IKO337" s="1"/>
      <c r="IKP337" s="1"/>
      <c r="IKQ337" s="1"/>
      <c r="IKR337" s="1"/>
      <c r="IKS337" s="1"/>
      <c r="IKT337" s="1"/>
      <c r="IKU337" s="1"/>
      <c r="IKV337" s="1"/>
      <c r="IKW337" s="1"/>
      <c r="IKX337" s="1"/>
      <c r="IKY337" s="1"/>
      <c r="IKZ337" s="1"/>
      <c r="ILA337" s="1"/>
      <c r="ILB337" s="1"/>
      <c r="ILC337" s="1"/>
      <c r="ILD337" s="1"/>
      <c r="ILE337" s="1"/>
      <c r="ILF337" s="1"/>
      <c r="ILG337" s="1"/>
      <c r="ILH337" s="1"/>
      <c r="ILI337" s="1"/>
      <c r="ILJ337" s="1"/>
      <c r="ILK337" s="1"/>
      <c r="ILL337" s="1"/>
      <c r="ILM337" s="1"/>
      <c r="ILN337" s="1"/>
      <c r="ILO337" s="1"/>
      <c r="ILP337" s="1"/>
      <c r="ILQ337" s="1"/>
      <c r="ILR337" s="1"/>
      <c r="ILS337" s="1"/>
      <c r="ILT337" s="1"/>
      <c r="ILU337" s="1"/>
      <c r="ILV337" s="1"/>
      <c r="ILW337" s="1"/>
      <c r="ILX337" s="1"/>
      <c r="ILY337" s="1"/>
      <c r="ILZ337" s="1"/>
      <c r="IMA337" s="1"/>
      <c r="IMB337" s="1"/>
      <c r="IMC337" s="1"/>
      <c r="IMD337" s="1"/>
      <c r="IME337" s="1"/>
      <c r="IMF337" s="1"/>
      <c r="IMG337" s="1"/>
      <c r="IMH337" s="1"/>
      <c r="IMI337" s="1"/>
      <c r="IMJ337" s="1"/>
      <c r="IMK337" s="1"/>
      <c r="IML337" s="1"/>
      <c r="IMM337" s="1"/>
      <c r="IMN337" s="1"/>
      <c r="IMO337" s="1"/>
      <c r="IMP337" s="1"/>
      <c r="IMQ337" s="1"/>
      <c r="IMR337" s="1"/>
      <c r="IMS337" s="1"/>
      <c r="IMT337" s="1"/>
      <c r="IMU337" s="1"/>
      <c r="IMV337" s="1"/>
      <c r="IMW337" s="1"/>
      <c r="IMX337" s="1"/>
      <c r="IMY337" s="1"/>
      <c r="IMZ337" s="1"/>
      <c r="INA337" s="1"/>
      <c r="INB337" s="1"/>
      <c r="INC337" s="1"/>
      <c r="IND337" s="1"/>
      <c r="INE337" s="1"/>
      <c r="INF337" s="1"/>
      <c r="ING337" s="1"/>
      <c r="INH337" s="1"/>
      <c r="INI337" s="1"/>
      <c r="INJ337" s="1"/>
      <c r="INK337" s="1"/>
      <c r="INL337" s="1"/>
      <c r="INM337" s="1"/>
      <c r="INN337" s="1"/>
      <c r="INO337" s="1"/>
      <c r="INP337" s="1"/>
      <c r="INQ337" s="1"/>
      <c r="INR337" s="1"/>
      <c r="INS337" s="1"/>
      <c r="INT337" s="1"/>
      <c r="INU337" s="1"/>
      <c r="INV337" s="1"/>
      <c r="INW337" s="1"/>
      <c r="INX337" s="1"/>
      <c r="INY337" s="1"/>
      <c r="INZ337" s="1"/>
      <c r="IOA337" s="1"/>
      <c r="IOB337" s="1"/>
      <c r="IOC337" s="1"/>
      <c r="IOD337" s="1"/>
      <c r="IOE337" s="1"/>
      <c r="IOF337" s="1"/>
      <c r="IOG337" s="1"/>
      <c r="IOH337" s="1"/>
      <c r="IOI337" s="1"/>
      <c r="IOJ337" s="1"/>
      <c r="IOK337" s="1"/>
      <c r="IOL337" s="1"/>
      <c r="IOM337" s="1"/>
      <c r="ION337" s="1"/>
      <c r="IOO337" s="1"/>
      <c r="IOP337" s="1"/>
      <c r="IOQ337" s="1"/>
      <c r="IOR337" s="1"/>
      <c r="IOS337" s="1"/>
      <c r="IOT337" s="1"/>
      <c r="IOU337" s="1"/>
      <c r="IOV337" s="1"/>
      <c r="IOW337" s="1"/>
      <c r="IOX337" s="1"/>
      <c r="IOY337" s="1"/>
      <c r="IOZ337" s="1"/>
      <c r="IPA337" s="1"/>
      <c r="IPB337" s="1"/>
      <c r="IPC337" s="1"/>
      <c r="IPD337" s="1"/>
      <c r="IPE337" s="1"/>
      <c r="IPF337" s="1"/>
      <c r="IPG337" s="1"/>
      <c r="IPH337" s="1"/>
      <c r="IPI337" s="1"/>
      <c r="IPJ337" s="1"/>
      <c r="IPK337" s="1"/>
      <c r="IPL337" s="1"/>
      <c r="IPM337" s="1"/>
      <c r="IPN337" s="1"/>
      <c r="IPO337" s="1"/>
      <c r="IPP337" s="1"/>
      <c r="IPQ337" s="1"/>
      <c r="IPR337" s="1"/>
      <c r="IPS337" s="1"/>
      <c r="IPT337" s="1"/>
      <c r="IPU337" s="1"/>
      <c r="IPV337" s="1"/>
      <c r="IPW337" s="1"/>
      <c r="IPX337" s="1"/>
      <c r="IPY337" s="1"/>
      <c r="IPZ337" s="1"/>
      <c r="IQA337" s="1"/>
      <c r="IQB337" s="1"/>
      <c r="IQC337" s="1"/>
      <c r="IQD337" s="1"/>
      <c r="IQE337" s="1"/>
      <c r="IQF337" s="1"/>
      <c r="IQG337" s="1"/>
      <c r="IQH337" s="1"/>
      <c r="IQI337" s="1"/>
      <c r="IQJ337" s="1"/>
      <c r="IQK337" s="1"/>
      <c r="IQL337" s="1"/>
      <c r="IQM337" s="1"/>
      <c r="IQN337" s="1"/>
      <c r="IQO337" s="1"/>
      <c r="IQP337" s="1"/>
      <c r="IQQ337" s="1"/>
      <c r="IQR337" s="1"/>
      <c r="IQS337" s="1"/>
      <c r="IQT337" s="1"/>
      <c r="IQU337" s="1"/>
      <c r="IQV337" s="1"/>
      <c r="IQW337" s="1"/>
      <c r="IQX337" s="1"/>
      <c r="IQY337" s="1"/>
      <c r="IQZ337" s="1"/>
      <c r="IRA337" s="1"/>
      <c r="IRB337" s="1"/>
      <c r="IRC337" s="1"/>
      <c r="IRD337" s="1"/>
      <c r="IRE337" s="1"/>
      <c r="IRF337" s="1"/>
      <c r="IRG337" s="1"/>
      <c r="IRH337" s="1"/>
      <c r="IRI337" s="1"/>
      <c r="IRJ337" s="1"/>
      <c r="IRK337" s="1"/>
      <c r="IRL337" s="1"/>
      <c r="IRM337" s="1"/>
      <c r="IRN337" s="1"/>
      <c r="IRO337" s="1"/>
      <c r="IRP337" s="1"/>
      <c r="IRQ337" s="1"/>
      <c r="IRR337" s="1"/>
      <c r="IRS337" s="1"/>
      <c r="IRT337" s="1"/>
      <c r="IRU337" s="1"/>
      <c r="IRV337" s="1"/>
      <c r="IRW337" s="1"/>
      <c r="IRX337" s="1"/>
      <c r="IRY337" s="1"/>
      <c r="IRZ337" s="1"/>
      <c r="ISA337" s="1"/>
      <c r="ISB337" s="1"/>
      <c r="ISC337" s="1"/>
      <c r="ISD337" s="1"/>
      <c r="ISE337" s="1"/>
      <c r="ISF337" s="1"/>
      <c r="ISG337" s="1"/>
      <c r="ISH337" s="1"/>
      <c r="ISI337" s="1"/>
      <c r="ISJ337" s="1"/>
      <c r="ISK337" s="1"/>
      <c r="ISL337" s="1"/>
      <c r="ISM337" s="1"/>
      <c r="ISN337" s="1"/>
      <c r="ISO337" s="1"/>
      <c r="ISP337" s="1"/>
      <c r="ISQ337" s="1"/>
      <c r="ISR337" s="1"/>
      <c r="ISS337" s="1"/>
      <c r="IST337" s="1"/>
      <c r="ISU337" s="1"/>
      <c r="ISV337" s="1"/>
      <c r="ISW337" s="1"/>
      <c r="ISX337" s="1"/>
      <c r="ISY337" s="1"/>
      <c r="ISZ337" s="1"/>
      <c r="ITA337" s="1"/>
      <c r="ITB337" s="1"/>
      <c r="ITC337" s="1"/>
      <c r="ITD337" s="1"/>
      <c r="ITE337" s="1"/>
      <c r="ITF337" s="1"/>
      <c r="ITG337" s="1"/>
      <c r="ITH337" s="1"/>
      <c r="ITI337" s="1"/>
      <c r="ITJ337" s="1"/>
      <c r="ITK337" s="1"/>
      <c r="ITL337" s="1"/>
      <c r="ITM337" s="1"/>
      <c r="ITN337" s="1"/>
      <c r="ITO337" s="1"/>
      <c r="ITP337" s="1"/>
      <c r="ITQ337" s="1"/>
      <c r="ITR337" s="1"/>
      <c r="ITS337" s="1"/>
      <c r="ITT337" s="1"/>
      <c r="ITU337" s="1"/>
      <c r="ITV337" s="1"/>
      <c r="ITW337" s="1"/>
      <c r="ITX337" s="1"/>
      <c r="ITY337" s="1"/>
      <c r="ITZ337" s="1"/>
      <c r="IUA337" s="1"/>
      <c r="IUB337" s="1"/>
      <c r="IUC337" s="1"/>
      <c r="IUD337" s="1"/>
      <c r="IUE337" s="1"/>
      <c r="IUF337" s="1"/>
      <c r="IUG337" s="1"/>
      <c r="IUH337" s="1"/>
      <c r="IUI337" s="1"/>
      <c r="IUJ337" s="1"/>
      <c r="IUK337" s="1"/>
      <c r="IUL337" s="1"/>
      <c r="IUM337" s="1"/>
      <c r="IUN337" s="1"/>
      <c r="IUO337" s="1"/>
      <c r="IUP337" s="1"/>
      <c r="IUQ337" s="1"/>
      <c r="IUR337" s="1"/>
      <c r="IUS337" s="1"/>
      <c r="IUT337" s="1"/>
      <c r="IUU337" s="1"/>
      <c r="IUV337" s="1"/>
      <c r="IUW337" s="1"/>
      <c r="IUX337" s="1"/>
      <c r="IUY337" s="1"/>
      <c r="IUZ337" s="1"/>
      <c r="IVA337" s="1"/>
      <c r="IVB337" s="1"/>
      <c r="IVC337" s="1"/>
      <c r="IVD337" s="1"/>
      <c r="IVE337" s="1"/>
      <c r="IVF337" s="1"/>
      <c r="IVG337" s="1"/>
      <c r="IVH337" s="1"/>
      <c r="IVI337" s="1"/>
      <c r="IVJ337" s="1"/>
      <c r="IVK337" s="1"/>
      <c r="IVL337" s="1"/>
      <c r="IVM337" s="1"/>
      <c r="IVN337" s="1"/>
      <c r="IVO337" s="1"/>
      <c r="IVP337" s="1"/>
      <c r="IVQ337" s="1"/>
      <c r="IVR337" s="1"/>
      <c r="IVS337" s="1"/>
      <c r="IVT337" s="1"/>
      <c r="IVU337" s="1"/>
      <c r="IVV337" s="1"/>
      <c r="IVW337" s="1"/>
      <c r="IVX337" s="1"/>
      <c r="IVY337" s="1"/>
      <c r="IVZ337" s="1"/>
      <c r="IWA337" s="1"/>
      <c r="IWB337" s="1"/>
      <c r="IWC337" s="1"/>
      <c r="IWD337" s="1"/>
      <c r="IWE337" s="1"/>
      <c r="IWF337" s="1"/>
      <c r="IWG337" s="1"/>
      <c r="IWH337" s="1"/>
      <c r="IWI337" s="1"/>
      <c r="IWJ337" s="1"/>
      <c r="IWK337" s="1"/>
      <c r="IWL337" s="1"/>
      <c r="IWM337" s="1"/>
      <c r="IWN337" s="1"/>
      <c r="IWO337" s="1"/>
      <c r="IWP337" s="1"/>
      <c r="IWQ337" s="1"/>
      <c r="IWR337" s="1"/>
      <c r="IWS337" s="1"/>
      <c r="IWT337" s="1"/>
      <c r="IWU337" s="1"/>
      <c r="IWV337" s="1"/>
      <c r="IWW337" s="1"/>
      <c r="IWX337" s="1"/>
      <c r="IWY337" s="1"/>
      <c r="IWZ337" s="1"/>
      <c r="IXA337" s="1"/>
      <c r="IXB337" s="1"/>
      <c r="IXC337" s="1"/>
      <c r="IXD337" s="1"/>
      <c r="IXE337" s="1"/>
      <c r="IXF337" s="1"/>
      <c r="IXG337" s="1"/>
      <c r="IXH337" s="1"/>
      <c r="IXI337" s="1"/>
      <c r="IXJ337" s="1"/>
      <c r="IXK337" s="1"/>
      <c r="IXL337" s="1"/>
      <c r="IXM337" s="1"/>
      <c r="IXN337" s="1"/>
      <c r="IXO337" s="1"/>
      <c r="IXP337" s="1"/>
      <c r="IXQ337" s="1"/>
      <c r="IXR337" s="1"/>
      <c r="IXS337" s="1"/>
      <c r="IXT337" s="1"/>
      <c r="IXU337" s="1"/>
      <c r="IXV337" s="1"/>
      <c r="IXW337" s="1"/>
      <c r="IXX337" s="1"/>
      <c r="IXY337" s="1"/>
      <c r="IXZ337" s="1"/>
      <c r="IYA337" s="1"/>
      <c r="IYB337" s="1"/>
      <c r="IYC337" s="1"/>
      <c r="IYD337" s="1"/>
      <c r="IYE337" s="1"/>
      <c r="IYF337" s="1"/>
      <c r="IYG337" s="1"/>
      <c r="IYH337" s="1"/>
      <c r="IYI337" s="1"/>
      <c r="IYJ337" s="1"/>
      <c r="IYK337" s="1"/>
      <c r="IYL337" s="1"/>
      <c r="IYM337" s="1"/>
      <c r="IYN337" s="1"/>
      <c r="IYO337" s="1"/>
      <c r="IYP337" s="1"/>
      <c r="IYQ337" s="1"/>
      <c r="IYR337" s="1"/>
      <c r="IYS337" s="1"/>
      <c r="IYT337" s="1"/>
      <c r="IYU337" s="1"/>
      <c r="IYV337" s="1"/>
      <c r="IYW337" s="1"/>
      <c r="IYX337" s="1"/>
      <c r="IYY337" s="1"/>
      <c r="IYZ337" s="1"/>
      <c r="IZA337" s="1"/>
      <c r="IZB337" s="1"/>
      <c r="IZC337" s="1"/>
      <c r="IZD337" s="1"/>
      <c r="IZE337" s="1"/>
      <c r="IZF337" s="1"/>
      <c r="IZG337" s="1"/>
      <c r="IZH337" s="1"/>
      <c r="IZI337" s="1"/>
      <c r="IZJ337" s="1"/>
      <c r="IZK337" s="1"/>
      <c r="IZL337" s="1"/>
      <c r="IZM337" s="1"/>
      <c r="IZN337" s="1"/>
      <c r="IZO337" s="1"/>
      <c r="IZP337" s="1"/>
      <c r="IZQ337" s="1"/>
      <c r="IZR337" s="1"/>
      <c r="IZS337" s="1"/>
      <c r="IZT337" s="1"/>
      <c r="IZU337" s="1"/>
      <c r="IZV337" s="1"/>
      <c r="IZW337" s="1"/>
      <c r="IZX337" s="1"/>
      <c r="IZY337" s="1"/>
      <c r="IZZ337" s="1"/>
      <c r="JAA337" s="1"/>
      <c r="JAB337" s="1"/>
      <c r="JAC337" s="1"/>
      <c r="JAD337" s="1"/>
      <c r="JAE337" s="1"/>
      <c r="JAF337" s="1"/>
      <c r="JAG337" s="1"/>
      <c r="JAH337" s="1"/>
      <c r="JAI337" s="1"/>
      <c r="JAJ337" s="1"/>
      <c r="JAK337" s="1"/>
      <c r="JAL337" s="1"/>
      <c r="JAM337" s="1"/>
      <c r="JAN337" s="1"/>
      <c r="JAO337" s="1"/>
      <c r="JAP337" s="1"/>
      <c r="JAQ337" s="1"/>
      <c r="JAR337" s="1"/>
      <c r="JAS337" s="1"/>
      <c r="JAT337" s="1"/>
      <c r="JAU337" s="1"/>
      <c r="JAV337" s="1"/>
      <c r="JAW337" s="1"/>
      <c r="JAX337" s="1"/>
      <c r="JAY337" s="1"/>
      <c r="JAZ337" s="1"/>
      <c r="JBA337" s="1"/>
      <c r="JBB337" s="1"/>
      <c r="JBC337" s="1"/>
      <c r="JBD337" s="1"/>
      <c r="JBE337" s="1"/>
      <c r="JBF337" s="1"/>
      <c r="JBG337" s="1"/>
      <c r="JBH337" s="1"/>
      <c r="JBI337" s="1"/>
      <c r="JBJ337" s="1"/>
      <c r="JBK337" s="1"/>
      <c r="JBL337" s="1"/>
      <c r="JBM337" s="1"/>
      <c r="JBN337" s="1"/>
      <c r="JBO337" s="1"/>
      <c r="JBP337" s="1"/>
      <c r="JBQ337" s="1"/>
      <c r="JBR337" s="1"/>
      <c r="JBS337" s="1"/>
      <c r="JBT337" s="1"/>
      <c r="JBU337" s="1"/>
      <c r="JBV337" s="1"/>
      <c r="JBW337" s="1"/>
      <c r="JBX337" s="1"/>
      <c r="JBY337" s="1"/>
      <c r="JBZ337" s="1"/>
      <c r="JCA337" s="1"/>
      <c r="JCB337" s="1"/>
      <c r="JCC337" s="1"/>
      <c r="JCD337" s="1"/>
      <c r="JCE337" s="1"/>
      <c r="JCF337" s="1"/>
      <c r="JCG337" s="1"/>
      <c r="JCH337" s="1"/>
      <c r="JCI337" s="1"/>
      <c r="JCJ337" s="1"/>
      <c r="JCK337" s="1"/>
      <c r="JCL337" s="1"/>
      <c r="JCM337" s="1"/>
      <c r="JCN337" s="1"/>
      <c r="JCO337" s="1"/>
      <c r="JCP337" s="1"/>
      <c r="JCQ337" s="1"/>
      <c r="JCR337" s="1"/>
      <c r="JCS337" s="1"/>
      <c r="JCT337" s="1"/>
      <c r="JCU337" s="1"/>
      <c r="JCV337" s="1"/>
      <c r="JCW337" s="1"/>
      <c r="JCX337" s="1"/>
      <c r="JCY337" s="1"/>
      <c r="JCZ337" s="1"/>
      <c r="JDA337" s="1"/>
      <c r="JDB337" s="1"/>
      <c r="JDC337" s="1"/>
      <c r="JDD337" s="1"/>
      <c r="JDE337" s="1"/>
      <c r="JDF337" s="1"/>
      <c r="JDG337" s="1"/>
      <c r="JDH337" s="1"/>
      <c r="JDI337" s="1"/>
      <c r="JDJ337" s="1"/>
      <c r="JDK337" s="1"/>
      <c r="JDL337" s="1"/>
      <c r="JDM337" s="1"/>
      <c r="JDN337" s="1"/>
      <c r="JDO337" s="1"/>
      <c r="JDP337" s="1"/>
      <c r="JDQ337" s="1"/>
      <c r="JDR337" s="1"/>
      <c r="JDS337" s="1"/>
      <c r="JDT337" s="1"/>
      <c r="JDU337" s="1"/>
      <c r="JDV337" s="1"/>
      <c r="JDW337" s="1"/>
      <c r="JDX337" s="1"/>
      <c r="JDY337" s="1"/>
      <c r="JDZ337" s="1"/>
      <c r="JEA337" s="1"/>
      <c r="JEB337" s="1"/>
      <c r="JEC337" s="1"/>
      <c r="JED337" s="1"/>
      <c r="JEE337" s="1"/>
      <c r="JEF337" s="1"/>
      <c r="JEG337" s="1"/>
      <c r="JEH337" s="1"/>
      <c r="JEI337" s="1"/>
      <c r="JEJ337" s="1"/>
      <c r="JEK337" s="1"/>
      <c r="JEL337" s="1"/>
      <c r="JEM337" s="1"/>
      <c r="JEN337" s="1"/>
      <c r="JEO337" s="1"/>
      <c r="JEP337" s="1"/>
      <c r="JEQ337" s="1"/>
      <c r="JER337" s="1"/>
      <c r="JES337" s="1"/>
      <c r="JET337" s="1"/>
      <c r="JEU337" s="1"/>
      <c r="JEV337" s="1"/>
      <c r="JEW337" s="1"/>
      <c r="JEX337" s="1"/>
      <c r="JEY337" s="1"/>
      <c r="JEZ337" s="1"/>
      <c r="JFA337" s="1"/>
      <c r="JFB337" s="1"/>
      <c r="JFC337" s="1"/>
      <c r="JFD337" s="1"/>
      <c r="JFE337" s="1"/>
      <c r="JFF337" s="1"/>
      <c r="JFG337" s="1"/>
      <c r="JFH337" s="1"/>
      <c r="JFI337" s="1"/>
      <c r="JFJ337" s="1"/>
      <c r="JFK337" s="1"/>
      <c r="JFL337" s="1"/>
      <c r="JFM337" s="1"/>
      <c r="JFN337" s="1"/>
      <c r="JFO337" s="1"/>
      <c r="JFP337" s="1"/>
      <c r="JFQ337" s="1"/>
      <c r="JFR337" s="1"/>
      <c r="JFS337" s="1"/>
      <c r="JFT337" s="1"/>
      <c r="JFU337" s="1"/>
      <c r="JFV337" s="1"/>
      <c r="JFW337" s="1"/>
      <c r="JFX337" s="1"/>
      <c r="JFY337" s="1"/>
      <c r="JFZ337" s="1"/>
      <c r="JGA337" s="1"/>
      <c r="JGB337" s="1"/>
      <c r="JGC337" s="1"/>
      <c r="JGD337" s="1"/>
      <c r="JGE337" s="1"/>
      <c r="JGF337" s="1"/>
      <c r="JGG337" s="1"/>
      <c r="JGH337" s="1"/>
      <c r="JGI337" s="1"/>
      <c r="JGJ337" s="1"/>
      <c r="JGK337" s="1"/>
      <c r="JGL337" s="1"/>
      <c r="JGM337" s="1"/>
      <c r="JGN337" s="1"/>
      <c r="JGO337" s="1"/>
      <c r="JGP337" s="1"/>
      <c r="JGQ337" s="1"/>
      <c r="JGR337" s="1"/>
      <c r="JGS337" s="1"/>
      <c r="JGT337" s="1"/>
      <c r="JGU337" s="1"/>
      <c r="JGV337" s="1"/>
      <c r="JGW337" s="1"/>
      <c r="JGX337" s="1"/>
      <c r="JGY337" s="1"/>
      <c r="JGZ337" s="1"/>
      <c r="JHA337" s="1"/>
      <c r="JHB337" s="1"/>
      <c r="JHC337" s="1"/>
      <c r="JHD337" s="1"/>
      <c r="JHE337" s="1"/>
      <c r="JHF337" s="1"/>
      <c r="JHG337" s="1"/>
      <c r="JHH337" s="1"/>
      <c r="JHI337" s="1"/>
      <c r="JHJ337" s="1"/>
      <c r="JHK337" s="1"/>
      <c r="JHL337" s="1"/>
      <c r="JHM337" s="1"/>
      <c r="JHN337" s="1"/>
      <c r="JHO337" s="1"/>
      <c r="JHP337" s="1"/>
      <c r="JHQ337" s="1"/>
      <c r="JHR337" s="1"/>
      <c r="JHS337" s="1"/>
      <c r="JHT337" s="1"/>
      <c r="JHU337" s="1"/>
      <c r="JHV337" s="1"/>
      <c r="JHW337" s="1"/>
      <c r="JHX337" s="1"/>
      <c r="JHY337" s="1"/>
      <c r="JHZ337" s="1"/>
      <c r="JIA337" s="1"/>
      <c r="JIB337" s="1"/>
      <c r="JIC337" s="1"/>
      <c r="JID337" s="1"/>
      <c r="JIE337" s="1"/>
      <c r="JIF337" s="1"/>
      <c r="JIG337" s="1"/>
      <c r="JIH337" s="1"/>
      <c r="JII337" s="1"/>
      <c r="JIJ337" s="1"/>
      <c r="JIK337" s="1"/>
      <c r="JIL337" s="1"/>
      <c r="JIM337" s="1"/>
      <c r="JIN337" s="1"/>
      <c r="JIO337" s="1"/>
      <c r="JIP337" s="1"/>
      <c r="JIQ337" s="1"/>
      <c r="JIR337" s="1"/>
      <c r="JIS337" s="1"/>
      <c r="JIT337" s="1"/>
      <c r="JIU337" s="1"/>
      <c r="JIV337" s="1"/>
      <c r="JIW337" s="1"/>
      <c r="JIX337" s="1"/>
      <c r="JIY337" s="1"/>
      <c r="JIZ337" s="1"/>
      <c r="JJA337" s="1"/>
      <c r="JJB337" s="1"/>
      <c r="JJC337" s="1"/>
      <c r="JJD337" s="1"/>
      <c r="JJE337" s="1"/>
      <c r="JJF337" s="1"/>
      <c r="JJG337" s="1"/>
      <c r="JJH337" s="1"/>
      <c r="JJI337" s="1"/>
      <c r="JJJ337" s="1"/>
      <c r="JJK337" s="1"/>
      <c r="JJL337" s="1"/>
      <c r="JJM337" s="1"/>
      <c r="JJN337" s="1"/>
      <c r="JJO337" s="1"/>
      <c r="JJP337" s="1"/>
      <c r="JJQ337" s="1"/>
      <c r="JJR337" s="1"/>
      <c r="JJS337" s="1"/>
      <c r="JJT337" s="1"/>
      <c r="JJU337" s="1"/>
      <c r="JJV337" s="1"/>
      <c r="JJW337" s="1"/>
      <c r="JJX337" s="1"/>
      <c r="JJY337" s="1"/>
      <c r="JJZ337" s="1"/>
      <c r="JKA337" s="1"/>
      <c r="JKB337" s="1"/>
      <c r="JKC337" s="1"/>
      <c r="JKD337" s="1"/>
      <c r="JKE337" s="1"/>
      <c r="JKF337" s="1"/>
      <c r="JKG337" s="1"/>
      <c r="JKH337" s="1"/>
      <c r="JKI337" s="1"/>
      <c r="JKJ337" s="1"/>
      <c r="JKK337" s="1"/>
      <c r="JKL337" s="1"/>
      <c r="JKM337" s="1"/>
      <c r="JKN337" s="1"/>
      <c r="JKO337" s="1"/>
      <c r="JKP337" s="1"/>
      <c r="JKQ337" s="1"/>
      <c r="JKR337" s="1"/>
      <c r="JKS337" s="1"/>
      <c r="JKT337" s="1"/>
      <c r="JKU337" s="1"/>
      <c r="JKV337" s="1"/>
      <c r="JKW337" s="1"/>
      <c r="JKX337" s="1"/>
      <c r="JKY337" s="1"/>
      <c r="JKZ337" s="1"/>
      <c r="JLA337" s="1"/>
      <c r="JLB337" s="1"/>
      <c r="JLC337" s="1"/>
      <c r="JLD337" s="1"/>
      <c r="JLE337" s="1"/>
      <c r="JLF337" s="1"/>
      <c r="JLG337" s="1"/>
      <c r="JLH337" s="1"/>
      <c r="JLI337" s="1"/>
      <c r="JLJ337" s="1"/>
      <c r="JLK337" s="1"/>
      <c r="JLL337" s="1"/>
      <c r="JLM337" s="1"/>
      <c r="JLN337" s="1"/>
      <c r="JLO337" s="1"/>
      <c r="JLP337" s="1"/>
      <c r="JLQ337" s="1"/>
      <c r="JLR337" s="1"/>
      <c r="JLS337" s="1"/>
      <c r="JLT337" s="1"/>
      <c r="JLU337" s="1"/>
      <c r="JLV337" s="1"/>
      <c r="JLW337" s="1"/>
      <c r="JLX337" s="1"/>
      <c r="JLY337" s="1"/>
      <c r="JLZ337" s="1"/>
      <c r="JMA337" s="1"/>
      <c r="JMB337" s="1"/>
      <c r="JMC337" s="1"/>
      <c r="JMD337" s="1"/>
      <c r="JME337" s="1"/>
      <c r="JMF337" s="1"/>
      <c r="JMG337" s="1"/>
      <c r="JMH337" s="1"/>
      <c r="JMI337" s="1"/>
      <c r="JMJ337" s="1"/>
      <c r="JMK337" s="1"/>
      <c r="JML337" s="1"/>
      <c r="JMM337" s="1"/>
      <c r="JMN337" s="1"/>
      <c r="JMO337" s="1"/>
      <c r="JMP337" s="1"/>
      <c r="JMQ337" s="1"/>
      <c r="JMR337" s="1"/>
      <c r="JMS337" s="1"/>
      <c r="JMT337" s="1"/>
      <c r="JMU337" s="1"/>
      <c r="JMV337" s="1"/>
      <c r="JMW337" s="1"/>
      <c r="JMX337" s="1"/>
      <c r="JMY337" s="1"/>
      <c r="JMZ337" s="1"/>
      <c r="JNA337" s="1"/>
      <c r="JNB337" s="1"/>
      <c r="JNC337" s="1"/>
      <c r="JND337" s="1"/>
      <c r="JNE337" s="1"/>
      <c r="JNF337" s="1"/>
      <c r="JNG337" s="1"/>
      <c r="JNH337" s="1"/>
      <c r="JNI337" s="1"/>
      <c r="JNJ337" s="1"/>
      <c r="JNK337" s="1"/>
      <c r="JNL337" s="1"/>
      <c r="JNM337" s="1"/>
      <c r="JNN337" s="1"/>
      <c r="JNO337" s="1"/>
      <c r="JNP337" s="1"/>
      <c r="JNQ337" s="1"/>
      <c r="JNR337" s="1"/>
      <c r="JNS337" s="1"/>
      <c r="JNT337" s="1"/>
      <c r="JNU337" s="1"/>
      <c r="JNV337" s="1"/>
      <c r="JNW337" s="1"/>
      <c r="JNX337" s="1"/>
      <c r="JNY337" s="1"/>
      <c r="JNZ337" s="1"/>
      <c r="JOA337" s="1"/>
      <c r="JOB337" s="1"/>
      <c r="JOC337" s="1"/>
      <c r="JOD337" s="1"/>
      <c r="JOE337" s="1"/>
      <c r="JOF337" s="1"/>
      <c r="JOG337" s="1"/>
      <c r="JOH337" s="1"/>
      <c r="JOI337" s="1"/>
      <c r="JOJ337" s="1"/>
      <c r="JOK337" s="1"/>
      <c r="JOL337" s="1"/>
      <c r="JOM337" s="1"/>
      <c r="JON337" s="1"/>
      <c r="JOO337" s="1"/>
      <c r="JOP337" s="1"/>
      <c r="JOQ337" s="1"/>
      <c r="JOR337" s="1"/>
      <c r="JOS337" s="1"/>
      <c r="JOT337" s="1"/>
      <c r="JOU337" s="1"/>
      <c r="JOV337" s="1"/>
      <c r="JOW337" s="1"/>
      <c r="JOX337" s="1"/>
      <c r="JOY337" s="1"/>
      <c r="JOZ337" s="1"/>
      <c r="JPA337" s="1"/>
      <c r="JPB337" s="1"/>
      <c r="JPC337" s="1"/>
      <c r="JPD337" s="1"/>
      <c r="JPE337" s="1"/>
      <c r="JPF337" s="1"/>
      <c r="JPG337" s="1"/>
      <c r="JPH337" s="1"/>
      <c r="JPI337" s="1"/>
      <c r="JPJ337" s="1"/>
      <c r="JPK337" s="1"/>
      <c r="JPL337" s="1"/>
      <c r="JPM337" s="1"/>
      <c r="JPN337" s="1"/>
      <c r="JPO337" s="1"/>
      <c r="JPP337" s="1"/>
      <c r="JPQ337" s="1"/>
      <c r="JPR337" s="1"/>
      <c r="JPS337" s="1"/>
      <c r="JPT337" s="1"/>
      <c r="JPU337" s="1"/>
      <c r="JPV337" s="1"/>
      <c r="JPW337" s="1"/>
      <c r="JPX337" s="1"/>
      <c r="JPY337" s="1"/>
      <c r="JPZ337" s="1"/>
      <c r="JQA337" s="1"/>
      <c r="JQB337" s="1"/>
      <c r="JQC337" s="1"/>
      <c r="JQD337" s="1"/>
      <c r="JQE337" s="1"/>
      <c r="JQF337" s="1"/>
      <c r="JQG337" s="1"/>
      <c r="JQH337" s="1"/>
      <c r="JQI337" s="1"/>
      <c r="JQJ337" s="1"/>
      <c r="JQK337" s="1"/>
      <c r="JQL337" s="1"/>
      <c r="JQM337" s="1"/>
      <c r="JQN337" s="1"/>
      <c r="JQO337" s="1"/>
      <c r="JQP337" s="1"/>
      <c r="JQQ337" s="1"/>
      <c r="JQR337" s="1"/>
      <c r="JQS337" s="1"/>
      <c r="JQT337" s="1"/>
      <c r="JQU337" s="1"/>
      <c r="JQV337" s="1"/>
      <c r="JQW337" s="1"/>
      <c r="JQX337" s="1"/>
      <c r="JQY337" s="1"/>
      <c r="JQZ337" s="1"/>
      <c r="JRA337" s="1"/>
      <c r="JRB337" s="1"/>
      <c r="JRC337" s="1"/>
      <c r="JRD337" s="1"/>
      <c r="JRE337" s="1"/>
      <c r="JRF337" s="1"/>
      <c r="JRG337" s="1"/>
      <c r="JRH337" s="1"/>
      <c r="JRI337" s="1"/>
      <c r="JRJ337" s="1"/>
      <c r="JRK337" s="1"/>
      <c r="JRL337" s="1"/>
      <c r="JRM337" s="1"/>
      <c r="JRN337" s="1"/>
      <c r="JRO337" s="1"/>
      <c r="JRP337" s="1"/>
      <c r="JRQ337" s="1"/>
      <c r="JRR337" s="1"/>
      <c r="JRS337" s="1"/>
      <c r="JRT337" s="1"/>
      <c r="JRU337" s="1"/>
      <c r="JRV337" s="1"/>
      <c r="JRW337" s="1"/>
      <c r="JRX337" s="1"/>
      <c r="JRY337" s="1"/>
      <c r="JRZ337" s="1"/>
      <c r="JSA337" s="1"/>
      <c r="JSB337" s="1"/>
      <c r="JSC337" s="1"/>
      <c r="JSD337" s="1"/>
      <c r="JSE337" s="1"/>
      <c r="JSF337" s="1"/>
      <c r="JSG337" s="1"/>
      <c r="JSH337" s="1"/>
      <c r="JSI337" s="1"/>
      <c r="JSJ337" s="1"/>
      <c r="JSK337" s="1"/>
      <c r="JSL337" s="1"/>
      <c r="JSM337" s="1"/>
      <c r="JSN337" s="1"/>
      <c r="JSO337" s="1"/>
      <c r="JSP337" s="1"/>
      <c r="JSQ337" s="1"/>
      <c r="JSR337" s="1"/>
      <c r="JSS337" s="1"/>
      <c r="JST337" s="1"/>
      <c r="JSU337" s="1"/>
      <c r="JSV337" s="1"/>
      <c r="JSW337" s="1"/>
      <c r="JSX337" s="1"/>
      <c r="JSY337" s="1"/>
      <c r="JSZ337" s="1"/>
      <c r="JTA337" s="1"/>
      <c r="JTB337" s="1"/>
      <c r="JTC337" s="1"/>
      <c r="JTD337" s="1"/>
      <c r="JTE337" s="1"/>
      <c r="JTF337" s="1"/>
      <c r="JTG337" s="1"/>
      <c r="JTH337" s="1"/>
      <c r="JTI337" s="1"/>
      <c r="JTJ337" s="1"/>
      <c r="JTK337" s="1"/>
      <c r="JTL337" s="1"/>
      <c r="JTM337" s="1"/>
      <c r="JTN337" s="1"/>
      <c r="JTO337" s="1"/>
      <c r="JTP337" s="1"/>
      <c r="JTQ337" s="1"/>
      <c r="JTR337" s="1"/>
      <c r="JTS337" s="1"/>
      <c r="JTT337" s="1"/>
      <c r="JTU337" s="1"/>
      <c r="JTV337" s="1"/>
      <c r="JTW337" s="1"/>
      <c r="JTX337" s="1"/>
      <c r="JTY337" s="1"/>
      <c r="JTZ337" s="1"/>
      <c r="JUA337" s="1"/>
      <c r="JUB337" s="1"/>
      <c r="JUC337" s="1"/>
      <c r="JUD337" s="1"/>
      <c r="JUE337" s="1"/>
      <c r="JUF337" s="1"/>
      <c r="JUG337" s="1"/>
      <c r="JUH337" s="1"/>
      <c r="JUI337" s="1"/>
      <c r="JUJ337" s="1"/>
      <c r="JUK337" s="1"/>
      <c r="JUL337" s="1"/>
      <c r="JUM337" s="1"/>
      <c r="JUN337" s="1"/>
      <c r="JUO337" s="1"/>
      <c r="JUP337" s="1"/>
      <c r="JUQ337" s="1"/>
      <c r="JUR337" s="1"/>
      <c r="JUS337" s="1"/>
      <c r="JUT337" s="1"/>
      <c r="JUU337" s="1"/>
      <c r="JUV337" s="1"/>
      <c r="JUW337" s="1"/>
      <c r="JUX337" s="1"/>
      <c r="JUY337" s="1"/>
      <c r="JUZ337" s="1"/>
      <c r="JVA337" s="1"/>
      <c r="JVB337" s="1"/>
      <c r="JVC337" s="1"/>
      <c r="JVD337" s="1"/>
      <c r="JVE337" s="1"/>
      <c r="JVF337" s="1"/>
      <c r="JVG337" s="1"/>
      <c r="JVH337" s="1"/>
      <c r="JVI337" s="1"/>
      <c r="JVJ337" s="1"/>
      <c r="JVK337" s="1"/>
      <c r="JVL337" s="1"/>
      <c r="JVM337" s="1"/>
      <c r="JVN337" s="1"/>
      <c r="JVO337" s="1"/>
      <c r="JVP337" s="1"/>
      <c r="JVQ337" s="1"/>
      <c r="JVR337" s="1"/>
      <c r="JVS337" s="1"/>
      <c r="JVT337" s="1"/>
      <c r="JVU337" s="1"/>
      <c r="JVV337" s="1"/>
      <c r="JVW337" s="1"/>
      <c r="JVX337" s="1"/>
      <c r="JVY337" s="1"/>
      <c r="JVZ337" s="1"/>
      <c r="JWA337" s="1"/>
      <c r="JWB337" s="1"/>
      <c r="JWC337" s="1"/>
      <c r="JWD337" s="1"/>
      <c r="JWE337" s="1"/>
      <c r="JWF337" s="1"/>
      <c r="JWG337" s="1"/>
      <c r="JWH337" s="1"/>
      <c r="JWI337" s="1"/>
      <c r="JWJ337" s="1"/>
      <c r="JWK337" s="1"/>
      <c r="JWL337" s="1"/>
      <c r="JWM337" s="1"/>
      <c r="JWN337" s="1"/>
      <c r="JWO337" s="1"/>
      <c r="JWP337" s="1"/>
      <c r="JWQ337" s="1"/>
      <c r="JWR337" s="1"/>
      <c r="JWS337" s="1"/>
      <c r="JWT337" s="1"/>
      <c r="JWU337" s="1"/>
      <c r="JWV337" s="1"/>
      <c r="JWW337" s="1"/>
      <c r="JWX337" s="1"/>
      <c r="JWY337" s="1"/>
      <c r="JWZ337" s="1"/>
      <c r="JXA337" s="1"/>
      <c r="JXB337" s="1"/>
      <c r="JXC337" s="1"/>
      <c r="JXD337" s="1"/>
      <c r="JXE337" s="1"/>
      <c r="JXF337" s="1"/>
      <c r="JXG337" s="1"/>
      <c r="JXH337" s="1"/>
      <c r="JXI337" s="1"/>
      <c r="JXJ337" s="1"/>
      <c r="JXK337" s="1"/>
      <c r="JXL337" s="1"/>
      <c r="JXM337" s="1"/>
      <c r="JXN337" s="1"/>
      <c r="JXO337" s="1"/>
      <c r="JXP337" s="1"/>
      <c r="JXQ337" s="1"/>
      <c r="JXR337" s="1"/>
      <c r="JXS337" s="1"/>
      <c r="JXT337" s="1"/>
      <c r="JXU337" s="1"/>
      <c r="JXV337" s="1"/>
      <c r="JXW337" s="1"/>
      <c r="JXX337" s="1"/>
      <c r="JXY337" s="1"/>
      <c r="JXZ337" s="1"/>
      <c r="JYA337" s="1"/>
      <c r="JYB337" s="1"/>
      <c r="JYC337" s="1"/>
      <c r="JYD337" s="1"/>
      <c r="JYE337" s="1"/>
      <c r="JYF337" s="1"/>
      <c r="JYG337" s="1"/>
      <c r="JYH337" s="1"/>
      <c r="JYI337" s="1"/>
      <c r="JYJ337" s="1"/>
      <c r="JYK337" s="1"/>
      <c r="JYL337" s="1"/>
      <c r="JYM337" s="1"/>
      <c r="JYN337" s="1"/>
      <c r="JYO337" s="1"/>
      <c r="JYP337" s="1"/>
      <c r="JYQ337" s="1"/>
      <c r="JYR337" s="1"/>
      <c r="JYS337" s="1"/>
      <c r="JYT337" s="1"/>
      <c r="JYU337" s="1"/>
      <c r="JYV337" s="1"/>
      <c r="JYW337" s="1"/>
      <c r="JYX337" s="1"/>
      <c r="JYY337" s="1"/>
      <c r="JYZ337" s="1"/>
      <c r="JZA337" s="1"/>
      <c r="JZB337" s="1"/>
      <c r="JZC337" s="1"/>
      <c r="JZD337" s="1"/>
      <c r="JZE337" s="1"/>
      <c r="JZF337" s="1"/>
      <c r="JZG337" s="1"/>
      <c r="JZH337" s="1"/>
      <c r="JZI337" s="1"/>
      <c r="JZJ337" s="1"/>
      <c r="JZK337" s="1"/>
      <c r="JZL337" s="1"/>
      <c r="JZM337" s="1"/>
      <c r="JZN337" s="1"/>
      <c r="JZO337" s="1"/>
      <c r="JZP337" s="1"/>
      <c r="JZQ337" s="1"/>
      <c r="JZR337" s="1"/>
      <c r="JZS337" s="1"/>
      <c r="JZT337" s="1"/>
      <c r="JZU337" s="1"/>
      <c r="JZV337" s="1"/>
      <c r="JZW337" s="1"/>
      <c r="JZX337" s="1"/>
      <c r="JZY337" s="1"/>
      <c r="JZZ337" s="1"/>
      <c r="KAA337" s="1"/>
      <c r="KAB337" s="1"/>
      <c r="KAC337" s="1"/>
      <c r="KAD337" s="1"/>
      <c r="KAE337" s="1"/>
      <c r="KAF337" s="1"/>
      <c r="KAG337" s="1"/>
      <c r="KAH337" s="1"/>
      <c r="KAI337" s="1"/>
      <c r="KAJ337" s="1"/>
      <c r="KAK337" s="1"/>
      <c r="KAL337" s="1"/>
      <c r="KAM337" s="1"/>
      <c r="KAN337" s="1"/>
      <c r="KAO337" s="1"/>
      <c r="KAP337" s="1"/>
      <c r="KAQ337" s="1"/>
      <c r="KAR337" s="1"/>
      <c r="KAS337" s="1"/>
      <c r="KAT337" s="1"/>
      <c r="KAU337" s="1"/>
      <c r="KAV337" s="1"/>
      <c r="KAW337" s="1"/>
      <c r="KAX337" s="1"/>
      <c r="KAY337" s="1"/>
      <c r="KAZ337" s="1"/>
      <c r="KBA337" s="1"/>
      <c r="KBB337" s="1"/>
      <c r="KBC337" s="1"/>
      <c r="KBD337" s="1"/>
      <c r="KBE337" s="1"/>
      <c r="KBF337" s="1"/>
      <c r="KBG337" s="1"/>
      <c r="KBH337" s="1"/>
      <c r="KBI337" s="1"/>
      <c r="KBJ337" s="1"/>
      <c r="KBK337" s="1"/>
      <c r="KBL337" s="1"/>
      <c r="KBM337" s="1"/>
      <c r="KBN337" s="1"/>
      <c r="KBO337" s="1"/>
      <c r="KBP337" s="1"/>
      <c r="KBQ337" s="1"/>
      <c r="KBR337" s="1"/>
      <c r="KBS337" s="1"/>
      <c r="KBT337" s="1"/>
      <c r="KBU337" s="1"/>
      <c r="KBV337" s="1"/>
      <c r="KBW337" s="1"/>
      <c r="KBX337" s="1"/>
      <c r="KBY337" s="1"/>
      <c r="KBZ337" s="1"/>
      <c r="KCA337" s="1"/>
      <c r="KCB337" s="1"/>
      <c r="KCC337" s="1"/>
      <c r="KCD337" s="1"/>
      <c r="KCE337" s="1"/>
      <c r="KCF337" s="1"/>
      <c r="KCG337" s="1"/>
      <c r="KCH337" s="1"/>
      <c r="KCI337" s="1"/>
      <c r="KCJ337" s="1"/>
      <c r="KCK337" s="1"/>
      <c r="KCL337" s="1"/>
      <c r="KCM337" s="1"/>
      <c r="KCN337" s="1"/>
      <c r="KCO337" s="1"/>
      <c r="KCP337" s="1"/>
      <c r="KCQ337" s="1"/>
      <c r="KCR337" s="1"/>
      <c r="KCS337" s="1"/>
      <c r="KCT337" s="1"/>
      <c r="KCU337" s="1"/>
      <c r="KCV337" s="1"/>
      <c r="KCW337" s="1"/>
      <c r="KCX337" s="1"/>
      <c r="KCY337" s="1"/>
      <c r="KCZ337" s="1"/>
      <c r="KDA337" s="1"/>
      <c r="KDB337" s="1"/>
      <c r="KDC337" s="1"/>
      <c r="KDD337" s="1"/>
      <c r="KDE337" s="1"/>
      <c r="KDF337" s="1"/>
      <c r="KDG337" s="1"/>
      <c r="KDH337" s="1"/>
      <c r="KDI337" s="1"/>
      <c r="KDJ337" s="1"/>
      <c r="KDK337" s="1"/>
      <c r="KDL337" s="1"/>
      <c r="KDM337" s="1"/>
      <c r="KDN337" s="1"/>
      <c r="KDO337" s="1"/>
      <c r="KDP337" s="1"/>
      <c r="KDQ337" s="1"/>
      <c r="KDR337" s="1"/>
      <c r="KDS337" s="1"/>
      <c r="KDT337" s="1"/>
      <c r="KDU337" s="1"/>
      <c r="KDV337" s="1"/>
      <c r="KDW337" s="1"/>
      <c r="KDX337" s="1"/>
      <c r="KDY337" s="1"/>
      <c r="KDZ337" s="1"/>
      <c r="KEA337" s="1"/>
      <c r="KEB337" s="1"/>
      <c r="KEC337" s="1"/>
      <c r="KED337" s="1"/>
      <c r="KEE337" s="1"/>
      <c r="KEF337" s="1"/>
      <c r="KEG337" s="1"/>
      <c r="KEH337" s="1"/>
      <c r="KEI337" s="1"/>
      <c r="KEJ337" s="1"/>
      <c r="KEK337" s="1"/>
      <c r="KEL337" s="1"/>
      <c r="KEM337" s="1"/>
      <c r="KEN337" s="1"/>
      <c r="KEO337" s="1"/>
      <c r="KEP337" s="1"/>
      <c r="KEQ337" s="1"/>
      <c r="KER337" s="1"/>
      <c r="KES337" s="1"/>
      <c r="KET337" s="1"/>
      <c r="KEU337" s="1"/>
      <c r="KEV337" s="1"/>
      <c r="KEW337" s="1"/>
      <c r="KEX337" s="1"/>
      <c r="KEY337" s="1"/>
      <c r="KEZ337" s="1"/>
      <c r="KFA337" s="1"/>
      <c r="KFB337" s="1"/>
      <c r="KFC337" s="1"/>
      <c r="KFD337" s="1"/>
      <c r="KFE337" s="1"/>
      <c r="KFF337" s="1"/>
      <c r="KFG337" s="1"/>
      <c r="KFH337" s="1"/>
      <c r="KFI337" s="1"/>
      <c r="KFJ337" s="1"/>
      <c r="KFK337" s="1"/>
      <c r="KFL337" s="1"/>
      <c r="KFM337" s="1"/>
      <c r="KFN337" s="1"/>
      <c r="KFO337" s="1"/>
      <c r="KFP337" s="1"/>
      <c r="KFQ337" s="1"/>
      <c r="KFR337" s="1"/>
      <c r="KFS337" s="1"/>
      <c r="KFT337" s="1"/>
      <c r="KFU337" s="1"/>
      <c r="KFV337" s="1"/>
      <c r="KFW337" s="1"/>
      <c r="KFX337" s="1"/>
      <c r="KFY337" s="1"/>
      <c r="KFZ337" s="1"/>
      <c r="KGA337" s="1"/>
      <c r="KGB337" s="1"/>
      <c r="KGC337" s="1"/>
      <c r="KGD337" s="1"/>
      <c r="KGE337" s="1"/>
      <c r="KGF337" s="1"/>
      <c r="KGG337" s="1"/>
      <c r="KGH337" s="1"/>
      <c r="KGI337" s="1"/>
      <c r="KGJ337" s="1"/>
      <c r="KGK337" s="1"/>
      <c r="KGL337" s="1"/>
      <c r="KGM337" s="1"/>
      <c r="KGN337" s="1"/>
      <c r="KGO337" s="1"/>
      <c r="KGP337" s="1"/>
      <c r="KGQ337" s="1"/>
      <c r="KGR337" s="1"/>
      <c r="KGS337" s="1"/>
      <c r="KGT337" s="1"/>
      <c r="KGU337" s="1"/>
      <c r="KGV337" s="1"/>
      <c r="KGW337" s="1"/>
      <c r="KGX337" s="1"/>
      <c r="KGY337" s="1"/>
      <c r="KGZ337" s="1"/>
      <c r="KHA337" s="1"/>
      <c r="KHB337" s="1"/>
      <c r="KHC337" s="1"/>
      <c r="KHD337" s="1"/>
      <c r="KHE337" s="1"/>
      <c r="KHF337" s="1"/>
      <c r="KHG337" s="1"/>
      <c r="KHH337" s="1"/>
      <c r="KHI337" s="1"/>
      <c r="KHJ337" s="1"/>
      <c r="KHK337" s="1"/>
      <c r="KHL337" s="1"/>
      <c r="KHM337" s="1"/>
      <c r="KHN337" s="1"/>
      <c r="KHO337" s="1"/>
      <c r="KHP337" s="1"/>
      <c r="KHQ337" s="1"/>
      <c r="KHR337" s="1"/>
      <c r="KHS337" s="1"/>
      <c r="KHT337" s="1"/>
      <c r="KHU337" s="1"/>
      <c r="KHV337" s="1"/>
      <c r="KHW337" s="1"/>
      <c r="KHX337" s="1"/>
      <c r="KHY337" s="1"/>
      <c r="KHZ337" s="1"/>
      <c r="KIA337" s="1"/>
      <c r="KIB337" s="1"/>
      <c r="KIC337" s="1"/>
      <c r="KID337" s="1"/>
      <c r="KIE337" s="1"/>
      <c r="KIF337" s="1"/>
      <c r="KIG337" s="1"/>
      <c r="KIH337" s="1"/>
      <c r="KII337" s="1"/>
      <c r="KIJ337" s="1"/>
      <c r="KIK337" s="1"/>
      <c r="KIL337" s="1"/>
      <c r="KIM337" s="1"/>
      <c r="KIN337" s="1"/>
      <c r="KIO337" s="1"/>
      <c r="KIP337" s="1"/>
      <c r="KIQ337" s="1"/>
      <c r="KIR337" s="1"/>
      <c r="KIS337" s="1"/>
      <c r="KIT337" s="1"/>
      <c r="KIU337" s="1"/>
      <c r="KIV337" s="1"/>
      <c r="KIW337" s="1"/>
      <c r="KIX337" s="1"/>
      <c r="KIY337" s="1"/>
      <c r="KIZ337" s="1"/>
      <c r="KJA337" s="1"/>
      <c r="KJB337" s="1"/>
      <c r="KJC337" s="1"/>
      <c r="KJD337" s="1"/>
      <c r="KJE337" s="1"/>
      <c r="KJF337" s="1"/>
      <c r="KJG337" s="1"/>
      <c r="KJH337" s="1"/>
      <c r="KJI337" s="1"/>
      <c r="KJJ337" s="1"/>
      <c r="KJK337" s="1"/>
      <c r="KJL337" s="1"/>
      <c r="KJM337" s="1"/>
      <c r="KJN337" s="1"/>
      <c r="KJO337" s="1"/>
      <c r="KJP337" s="1"/>
      <c r="KJQ337" s="1"/>
      <c r="KJR337" s="1"/>
      <c r="KJS337" s="1"/>
      <c r="KJT337" s="1"/>
      <c r="KJU337" s="1"/>
      <c r="KJV337" s="1"/>
      <c r="KJW337" s="1"/>
      <c r="KJX337" s="1"/>
      <c r="KJY337" s="1"/>
      <c r="KJZ337" s="1"/>
      <c r="KKA337" s="1"/>
      <c r="KKB337" s="1"/>
      <c r="KKC337" s="1"/>
      <c r="KKD337" s="1"/>
      <c r="KKE337" s="1"/>
      <c r="KKF337" s="1"/>
      <c r="KKG337" s="1"/>
      <c r="KKH337" s="1"/>
      <c r="KKI337" s="1"/>
      <c r="KKJ337" s="1"/>
      <c r="KKK337" s="1"/>
      <c r="KKL337" s="1"/>
      <c r="KKM337" s="1"/>
      <c r="KKN337" s="1"/>
      <c r="KKO337" s="1"/>
      <c r="KKP337" s="1"/>
      <c r="KKQ337" s="1"/>
      <c r="KKR337" s="1"/>
      <c r="KKS337" s="1"/>
      <c r="KKT337" s="1"/>
      <c r="KKU337" s="1"/>
      <c r="KKV337" s="1"/>
      <c r="KKW337" s="1"/>
      <c r="KKX337" s="1"/>
      <c r="KKY337" s="1"/>
      <c r="KKZ337" s="1"/>
      <c r="KLA337" s="1"/>
      <c r="KLB337" s="1"/>
      <c r="KLC337" s="1"/>
      <c r="KLD337" s="1"/>
      <c r="KLE337" s="1"/>
      <c r="KLF337" s="1"/>
      <c r="KLG337" s="1"/>
      <c r="KLH337" s="1"/>
      <c r="KLI337" s="1"/>
      <c r="KLJ337" s="1"/>
      <c r="KLK337" s="1"/>
      <c r="KLL337" s="1"/>
      <c r="KLM337" s="1"/>
      <c r="KLN337" s="1"/>
      <c r="KLO337" s="1"/>
      <c r="KLP337" s="1"/>
      <c r="KLQ337" s="1"/>
      <c r="KLR337" s="1"/>
      <c r="KLS337" s="1"/>
      <c r="KLT337" s="1"/>
      <c r="KLU337" s="1"/>
      <c r="KLV337" s="1"/>
      <c r="KLW337" s="1"/>
      <c r="KLX337" s="1"/>
      <c r="KLY337" s="1"/>
      <c r="KLZ337" s="1"/>
      <c r="KMA337" s="1"/>
      <c r="KMB337" s="1"/>
      <c r="KMC337" s="1"/>
      <c r="KMD337" s="1"/>
      <c r="KME337" s="1"/>
      <c r="KMF337" s="1"/>
      <c r="KMG337" s="1"/>
      <c r="KMH337" s="1"/>
      <c r="KMI337" s="1"/>
      <c r="KMJ337" s="1"/>
      <c r="KMK337" s="1"/>
      <c r="KML337" s="1"/>
      <c r="KMM337" s="1"/>
      <c r="KMN337" s="1"/>
      <c r="KMO337" s="1"/>
      <c r="KMP337" s="1"/>
      <c r="KMQ337" s="1"/>
      <c r="KMR337" s="1"/>
      <c r="KMS337" s="1"/>
      <c r="KMT337" s="1"/>
      <c r="KMU337" s="1"/>
      <c r="KMV337" s="1"/>
      <c r="KMW337" s="1"/>
      <c r="KMX337" s="1"/>
      <c r="KMY337" s="1"/>
      <c r="KMZ337" s="1"/>
      <c r="KNA337" s="1"/>
      <c r="KNB337" s="1"/>
      <c r="KNC337" s="1"/>
      <c r="KND337" s="1"/>
      <c r="KNE337" s="1"/>
      <c r="KNF337" s="1"/>
      <c r="KNG337" s="1"/>
      <c r="KNH337" s="1"/>
      <c r="KNI337" s="1"/>
      <c r="KNJ337" s="1"/>
      <c r="KNK337" s="1"/>
      <c r="KNL337" s="1"/>
      <c r="KNM337" s="1"/>
      <c r="KNN337" s="1"/>
      <c r="KNO337" s="1"/>
      <c r="KNP337" s="1"/>
      <c r="KNQ337" s="1"/>
      <c r="KNR337" s="1"/>
      <c r="KNS337" s="1"/>
      <c r="KNT337" s="1"/>
      <c r="KNU337" s="1"/>
      <c r="KNV337" s="1"/>
      <c r="KNW337" s="1"/>
      <c r="KNX337" s="1"/>
      <c r="KNY337" s="1"/>
      <c r="KNZ337" s="1"/>
      <c r="KOA337" s="1"/>
      <c r="KOB337" s="1"/>
      <c r="KOC337" s="1"/>
      <c r="KOD337" s="1"/>
      <c r="KOE337" s="1"/>
      <c r="KOF337" s="1"/>
      <c r="KOG337" s="1"/>
      <c r="KOH337" s="1"/>
      <c r="KOI337" s="1"/>
      <c r="KOJ337" s="1"/>
      <c r="KOK337" s="1"/>
      <c r="KOL337" s="1"/>
      <c r="KOM337" s="1"/>
      <c r="KON337" s="1"/>
      <c r="KOO337" s="1"/>
      <c r="KOP337" s="1"/>
      <c r="KOQ337" s="1"/>
      <c r="KOR337" s="1"/>
      <c r="KOS337" s="1"/>
      <c r="KOT337" s="1"/>
      <c r="KOU337" s="1"/>
      <c r="KOV337" s="1"/>
      <c r="KOW337" s="1"/>
      <c r="KOX337" s="1"/>
      <c r="KOY337" s="1"/>
      <c r="KOZ337" s="1"/>
      <c r="KPA337" s="1"/>
      <c r="KPB337" s="1"/>
      <c r="KPC337" s="1"/>
      <c r="KPD337" s="1"/>
      <c r="KPE337" s="1"/>
      <c r="KPF337" s="1"/>
      <c r="KPG337" s="1"/>
      <c r="KPH337" s="1"/>
      <c r="KPI337" s="1"/>
      <c r="KPJ337" s="1"/>
      <c r="KPK337" s="1"/>
      <c r="KPL337" s="1"/>
      <c r="KPM337" s="1"/>
      <c r="KPN337" s="1"/>
      <c r="KPO337" s="1"/>
      <c r="KPP337" s="1"/>
      <c r="KPQ337" s="1"/>
      <c r="KPR337" s="1"/>
      <c r="KPS337" s="1"/>
      <c r="KPT337" s="1"/>
      <c r="KPU337" s="1"/>
      <c r="KPV337" s="1"/>
      <c r="KPW337" s="1"/>
      <c r="KPX337" s="1"/>
      <c r="KPY337" s="1"/>
      <c r="KPZ337" s="1"/>
      <c r="KQA337" s="1"/>
      <c r="KQB337" s="1"/>
      <c r="KQC337" s="1"/>
      <c r="KQD337" s="1"/>
      <c r="KQE337" s="1"/>
      <c r="KQF337" s="1"/>
      <c r="KQG337" s="1"/>
      <c r="KQH337" s="1"/>
      <c r="KQI337" s="1"/>
      <c r="KQJ337" s="1"/>
      <c r="KQK337" s="1"/>
      <c r="KQL337" s="1"/>
      <c r="KQM337" s="1"/>
      <c r="KQN337" s="1"/>
      <c r="KQO337" s="1"/>
      <c r="KQP337" s="1"/>
      <c r="KQQ337" s="1"/>
      <c r="KQR337" s="1"/>
      <c r="KQS337" s="1"/>
      <c r="KQT337" s="1"/>
      <c r="KQU337" s="1"/>
      <c r="KQV337" s="1"/>
      <c r="KQW337" s="1"/>
      <c r="KQX337" s="1"/>
      <c r="KQY337" s="1"/>
      <c r="KQZ337" s="1"/>
      <c r="KRA337" s="1"/>
      <c r="KRB337" s="1"/>
      <c r="KRC337" s="1"/>
      <c r="KRD337" s="1"/>
      <c r="KRE337" s="1"/>
      <c r="KRF337" s="1"/>
      <c r="KRG337" s="1"/>
      <c r="KRH337" s="1"/>
      <c r="KRI337" s="1"/>
      <c r="KRJ337" s="1"/>
      <c r="KRK337" s="1"/>
      <c r="KRL337" s="1"/>
      <c r="KRM337" s="1"/>
      <c r="KRN337" s="1"/>
      <c r="KRO337" s="1"/>
      <c r="KRP337" s="1"/>
      <c r="KRQ337" s="1"/>
      <c r="KRR337" s="1"/>
      <c r="KRS337" s="1"/>
      <c r="KRT337" s="1"/>
      <c r="KRU337" s="1"/>
      <c r="KRV337" s="1"/>
      <c r="KRW337" s="1"/>
      <c r="KRX337" s="1"/>
      <c r="KRY337" s="1"/>
      <c r="KRZ337" s="1"/>
      <c r="KSA337" s="1"/>
      <c r="KSB337" s="1"/>
      <c r="KSC337" s="1"/>
      <c r="KSD337" s="1"/>
      <c r="KSE337" s="1"/>
      <c r="KSF337" s="1"/>
      <c r="KSG337" s="1"/>
      <c r="KSH337" s="1"/>
      <c r="KSI337" s="1"/>
      <c r="KSJ337" s="1"/>
      <c r="KSK337" s="1"/>
      <c r="KSL337" s="1"/>
      <c r="KSM337" s="1"/>
      <c r="KSN337" s="1"/>
      <c r="KSO337" s="1"/>
      <c r="KSP337" s="1"/>
      <c r="KSQ337" s="1"/>
      <c r="KSR337" s="1"/>
      <c r="KSS337" s="1"/>
      <c r="KST337" s="1"/>
      <c r="KSU337" s="1"/>
      <c r="KSV337" s="1"/>
      <c r="KSW337" s="1"/>
      <c r="KSX337" s="1"/>
      <c r="KSY337" s="1"/>
      <c r="KSZ337" s="1"/>
      <c r="KTA337" s="1"/>
      <c r="KTB337" s="1"/>
      <c r="KTC337" s="1"/>
      <c r="KTD337" s="1"/>
      <c r="KTE337" s="1"/>
      <c r="KTF337" s="1"/>
      <c r="KTG337" s="1"/>
      <c r="KTH337" s="1"/>
      <c r="KTI337" s="1"/>
      <c r="KTJ337" s="1"/>
      <c r="KTK337" s="1"/>
      <c r="KTL337" s="1"/>
      <c r="KTM337" s="1"/>
      <c r="KTN337" s="1"/>
      <c r="KTO337" s="1"/>
      <c r="KTP337" s="1"/>
      <c r="KTQ337" s="1"/>
      <c r="KTR337" s="1"/>
      <c r="KTS337" s="1"/>
      <c r="KTT337" s="1"/>
      <c r="KTU337" s="1"/>
      <c r="KTV337" s="1"/>
      <c r="KTW337" s="1"/>
      <c r="KTX337" s="1"/>
      <c r="KTY337" s="1"/>
      <c r="KTZ337" s="1"/>
      <c r="KUA337" s="1"/>
      <c r="KUB337" s="1"/>
      <c r="KUC337" s="1"/>
      <c r="KUD337" s="1"/>
      <c r="KUE337" s="1"/>
      <c r="KUF337" s="1"/>
      <c r="KUG337" s="1"/>
      <c r="KUH337" s="1"/>
      <c r="KUI337" s="1"/>
      <c r="KUJ337" s="1"/>
      <c r="KUK337" s="1"/>
      <c r="KUL337" s="1"/>
      <c r="KUM337" s="1"/>
      <c r="KUN337" s="1"/>
      <c r="KUO337" s="1"/>
      <c r="KUP337" s="1"/>
      <c r="KUQ337" s="1"/>
      <c r="KUR337" s="1"/>
      <c r="KUS337" s="1"/>
      <c r="KUT337" s="1"/>
      <c r="KUU337" s="1"/>
      <c r="KUV337" s="1"/>
      <c r="KUW337" s="1"/>
      <c r="KUX337" s="1"/>
      <c r="KUY337" s="1"/>
      <c r="KUZ337" s="1"/>
      <c r="KVA337" s="1"/>
      <c r="KVB337" s="1"/>
      <c r="KVC337" s="1"/>
      <c r="KVD337" s="1"/>
      <c r="KVE337" s="1"/>
      <c r="KVF337" s="1"/>
      <c r="KVG337" s="1"/>
      <c r="KVH337" s="1"/>
      <c r="KVI337" s="1"/>
      <c r="KVJ337" s="1"/>
      <c r="KVK337" s="1"/>
      <c r="KVL337" s="1"/>
      <c r="KVM337" s="1"/>
      <c r="KVN337" s="1"/>
      <c r="KVO337" s="1"/>
      <c r="KVP337" s="1"/>
      <c r="KVQ337" s="1"/>
      <c r="KVR337" s="1"/>
      <c r="KVS337" s="1"/>
      <c r="KVT337" s="1"/>
      <c r="KVU337" s="1"/>
      <c r="KVV337" s="1"/>
      <c r="KVW337" s="1"/>
      <c r="KVX337" s="1"/>
      <c r="KVY337" s="1"/>
      <c r="KVZ337" s="1"/>
      <c r="KWA337" s="1"/>
      <c r="KWB337" s="1"/>
      <c r="KWC337" s="1"/>
      <c r="KWD337" s="1"/>
      <c r="KWE337" s="1"/>
      <c r="KWF337" s="1"/>
      <c r="KWG337" s="1"/>
      <c r="KWH337" s="1"/>
      <c r="KWI337" s="1"/>
      <c r="KWJ337" s="1"/>
      <c r="KWK337" s="1"/>
      <c r="KWL337" s="1"/>
      <c r="KWM337" s="1"/>
      <c r="KWN337" s="1"/>
      <c r="KWO337" s="1"/>
      <c r="KWP337" s="1"/>
      <c r="KWQ337" s="1"/>
      <c r="KWR337" s="1"/>
      <c r="KWS337" s="1"/>
      <c r="KWT337" s="1"/>
      <c r="KWU337" s="1"/>
      <c r="KWV337" s="1"/>
      <c r="KWW337" s="1"/>
      <c r="KWX337" s="1"/>
      <c r="KWY337" s="1"/>
      <c r="KWZ337" s="1"/>
      <c r="KXA337" s="1"/>
      <c r="KXB337" s="1"/>
      <c r="KXC337" s="1"/>
      <c r="KXD337" s="1"/>
      <c r="KXE337" s="1"/>
      <c r="KXF337" s="1"/>
      <c r="KXG337" s="1"/>
      <c r="KXH337" s="1"/>
      <c r="KXI337" s="1"/>
      <c r="KXJ337" s="1"/>
      <c r="KXK337" s="1"/>
      <c r="KXL337" s="1"/>
      <c r="KXM337" s="1"/>
      <c r="KXN337" s="1"/>
      <c r="KXO337" s="1"/>
      <c r="KXP337" s="1"/>
      <c r="KXQ337" s="1"/>
      <c r="KXR337" s="1"/>
      <c r="KXS337" s="1"/>
      <c r="KXT337" s="1"/>
      <c r="KXU337" s="1"/>
      <c r="KXV337" s="1"/>
      <c r="KXW337" s="1"/>
      <c r="KXX337" s="1"/>
      <c r="KXY337" s="1"/>
      <c r="KXZ337" s="1"/>
      <c r="KYA337" s="1"/>
      <c r="KYB337" s="1"/>
      <c r="KYC337" s="1"/>
      <c r="KYD337" s="1"/>
      <c r="KYE337" s="1"/>
      <c r="KYF337" s="1"/>
      <c r="KYG337" s="1"/>
      <c r="KYH337" s="1"/>
      <c r="KYI337" s="1"/>
      <c r="KYJ337" s="1"/>
      <c r="KYK337" s="1"/>
      <c r="KYL337" s="1"/>
      <c r="KYM337" s="1"/>
      <c r="KYN337" s="1"/>
      <c r="KYO337" s="1"/>
      <c r="KYP337" s="1"/>
      <c r="KYQ337" s="1"/>
      <c r="KYR337" s="1"/>
      <c r="KYS337" s="1"/>
      <c r="KYT337" s="1"/>
      <c r="KYU337" s="1"/>
      <c r="KYV337" s="1"/>
      <c r="KYW337" s="1"/>
      <c r="KYX337" s="1"/>
      <c r="KYY337" s="1"/>
      <c r="KYZ337" s="1"/>
      <c r="KZA337" s="1"/>
      <c r="KZB337" s="1"/>
      <c r="KZC337" s="1"/>
      <c r="KZD337" s="1"/>
      <c r="KZE337" s="1"/>
      <c r="KZF337" s="1"/>
      <c r="KZG337" s="1"/>
      <c r="KZH337" s="1"/>
      <c r="KZI337" s="1"/>
      <c r="KZJ337" s="1"/>
      <c r="KZK337" s="1"/>
      <c r="KZL337" s="1"/>
      <c r="KZM337" s="1"/>
      <c r="KZN337" s="1"/>
      <c r="KZO337" s="1"/>
      <c r="KZP337" s="1"/>
      <c r="KZQ337" s="1"/>
      <c r="KZR337" s="1"/>
      <c r="KZS337" s="1"/>
      <c r="KZT337" s="1"/>
      <c r="KZU337" s="1"/>
      <c r="KZV337" s="1"/>
      <c r="KZW337" s="1"/>
      <c r="KZX337" s="1"/>
      <c r="KZY337" s="1"/>
      <c r="KZZ337" s="1"/>
      <c r="LAA337" s="1"/>
      <c r="LAB337" s="1"/>
      <c r="LAC337" s="1"/>
      <c r="LAD337" s="1"/>
      <c r="LAE337" s="1"/>
      <c r="LAF337" s="1"/>
      <c r="LAG337" s="1"/>
      <c r="LAH337" s="1"/>
      <c r="LAI337" s="1"/>
      <c r="LAJ337" s="1"/>
      <c r="LAK337" s="1"/>
      <c r="LAL337" s="1"/>
      <c r="LAM337" s="1"/>
      <c r="LAN337" s="1"/>
      <c r="LAO337" s="1"/>
      <c r="LAP337" s="1"/>
      <c r="LAQ337" s="1"/>
      <c r="LAR337" s="1"/>
      <c r="LAS337" s="1"/>
      <c r="LAT337" s="1"/>
      <c r="LAU337" s="1"/>
      <c r="LAV337" s="1"/>
      <c r="LAW337" s="1"/>
      <c r="LAX337" s="1"/>
      <c r="LAY337" s="1"/>
      <c r="LAZ337" s="1"/>
      <c r="LBA337" s="1"/>
      <c r="LBB337" s="1"/>
      <c r="LBC337" s="1"/>
      <c r="LBD337" s="1"/>
      <c r="LBE337" s="1"/>
      <c r="LBF337" s="1"/>
      <c r="LBG337" s="1"/>
      <c r="LBH337" s="1"/>
      <c r="LBI337" s="1"/>
      <c r="LBJ337" s="1"/>
      <c r="LBK337" s="1"/>
      <c r="LBL337" s="1"/>
      <c r="LBM337" s="1"/>
      <c r="LBN337" s="1"/>
      <c r="LBO337" s="1"/>
      <c r="LBP337" s="1"/>
      <c r="LBQ337" s="1"/>
      <c r="LBR337" s="1"/>
      <c r="LBS337" s="1"/>
      <c r="LBT337" s="1"/>
      <c r="LBU337" s="1"/>
      <c r="LBV337" s="1"/>
      <c r="LBW337" s="1"/>
      <c r="LBX337" s="1"/>
      <c r="LBY337" s="1"/>
      <c r="LBZ337" s="1"/>
      <c r="LCA337" s="1"/>
      <c r="LCB337" s="1"/>
      <c r="LCC337" s="1"/>
      <c r="LCD337" s="1"/>
      <c r="LCE337" s="1"/>
      <c r="LCF337" s="1"/>
      <c r="LCG337" s="1"/>
      <c r="LCH337" s="1"/>
      <c r="LCI337" s="1"/>
      <c r="LCJ337" s="1"/>
      <c r="LCK337" s="1"/>
      <c r="LCL337" s="1"/>
      <c r="LCM337" s="1"/>
      <c r="LCN337" s="1"/>
      <c r="LCO337" s="1"/>
      <c r="LCP337" s="1"/>
      <c r="LCQ337" s="1"/>
      <c r="LCR337" s="1"/>
      <c r="LCS337" s="1"/>
      <c r="LCT337" s="1"/>
      <c r="LCU337" s="1"/>
      <c r="LCV337" s="1"/>
      <c r="LCW337" s="1"/>
      <c r="LCX337" s="1"/>
      <c r="LCY337" s="1"/>
      <c r="LCZ337" s="1"/>
      <c r="LDA337" s="1"/>
      <c r="LDB337" s="1"/>
      <c r="LDC337" s="1"/>
      <c r="LDD337" s="1"/>
      <c r="LDE337" s="1"/>
      <c r="LDF337" s="1"/>
      <c r="LDG337" s="1"/>
      <c r="LDH337" s="1"/>
      <c r="LDI337" s="1"/>
      <c r="LDJ337" s="1"/>
      <c r="LDK337" s="1"/>
      <c r="LDL337" s="1"/>
      <c r="LDM337" s="1"/>
      <c r="LDN337" s="1"/>
      <c r="LDO337" s="1"/>
      <c r="LDP337" s="1"/>
      <c r="LDQ337" s="1"/>
      <c r="LDR337" s="1"/>
      <c r="LDS337" s="1"/>
      <c r="LDT337" s="1"/>
      <c r="LDU337" s="1"/>
      <c r="LDV337" s="1"/>
      <c r="LDW337" s="1"/>
      <c r="LDX337" s="1"/>
      <c r="LDY337" s="1"/>
      <c r="LDZ337" s="1"/>
      <c r="LEA337" s="1"/>
      <c r="LEB337" s="1"/>
      <c r="LEC337" s="1"/>
      <c r="LED337" s="1"/>
      <c r="LEE337" s="1"/>
      <c r="LEF337" s="1"/>
      <c r="LEG337" s="1"/>
      <c r="LEH337" s="1"/>
      <c r="LEI337" s="1"/>
      <c r="LEJ337" s="1"/>
      <c r="LEK337" s="1"/>
      <c r="LEL337" s="1"/>
      <c r="LEM337" s="1"/>
      <c r="LEN337" s="1"/>
      <c r="LEO337" s="1"/>
      <c r="LEP337" s="1"/>
      <c r="LEQ337" s="1"/>
      <c r="LER337" s="1"/>
      <c r="LES337" s="1"/>
      <c r="LET337" s="1"/>
      <c r="LEU337" s="1"/>
      <c r="LEV337" s="1"/>
      <c r="LEW337" s="1"/>
      <c r="LEX337" s="1"/>
      <c r="LEY337" s="1"/>
      <c r="LEZ337" s="1"/>
      <c r="LFA337" s="1"/>
      <c r="LFB337" s="1"/>
      <c r="LFC337" s="1"/>
      <c r="LFD337" s="1"/>
      <c r="LFE337" s="1"/>
      <c r="LFF337" s="1"/>
      <c r="LFG337" s="1"/>
      <c r="LFH337" s="1"/>
      <c r="LFI337" s="1"/>
      <c r="LFJ337" s="1"/>
      <c r="LFK337" s="1"/>
      <c r="LFL337" s="1"/>
      <c r="LFM337" s="1"/>
      <c r="LFN337" s="1"/>
      <c r="LFO337" s="1"/>
      <c r="LFP337" s="1"/>
      <c r="LFQ337" s="1"/>
      <c r="LFR337" s="1"/>
      <c r="LFS337" s="1"/>
      <c r="LFT337" s="1"/>
      <c r="LFU337" s="1"/>
      <c r="LFV337" s="1"/>
      <c r="LFW337" s="1"/>
      <c r="LFX337" s="1"/>
      <c r="LFY337" s="1"/>
      <c r="LFZ337" s="1"/>
      <c r="LGA337" s="1"/>
      <c r="LGB337" s="1"/>
      <c r="LGC337" s="1"/>
      <c r="LGD337" s="1"/>
      <c r="LGE337" s="1"/>
      <c r="LGF337" s="1"/>
      <c r="LGG337" s="1"/>
      <c r="LGH337" s="1"/>
      <c r="LGI337" s="1"/>
      <c r="LGJ337" s="1"/>
      <c r="LGK337" s="1"/>
      <c r="LGL337" s="1"/>
      <c r="LGM337" s="1"/>
      <c r="LGN337" s="1"/>
      <c r="LGO337" s="1"/>
      <c r="LGP337" s="1"/>
      <c r="LGQ337" s="1"/>
      <c r="LGR337" s="1"/>
      <c r="LGS337" s="1"/>
      <c r="LGT337" s="1"/>
      <c r="LGU337" s="1"/>
      <c r="LGV337" s="1"/>
      <c r="LGW337" s="1"/>
      <c r="LGX337" s="1"/>
      <c r="LGY337" s="1"/>
      <c r="LGZ337" s="1"/>
      <c r="LHA337" s="1"/>
      <c r="LHB337" s="1"/>
      <c r="LHC337" s="1"/>
      <c r="LHD337" s="1"/>
      <c r="LHE337" s="1"/>
      <c r="LHF337" s="1"/>
      <c r="LHG337" s="1"/>
      <c r="LHH337" s="1"/>
      <c r="LHI337" s="1"/>
      <c r="LHJ337" s="1"/>
      <c r="LHK337" s="1"/>
      <c r="LHL337" s="1"/>
      <c r="LHM337" s="1"/>
      <c r="LHN337" s="1"/>
      <c r="LHO337" s="1"/>
      <c r="LHP337" s="1"/>
      <c r="LHQ337" s="1"/>
      <c r="LHR337" s="1"/>
      <c r="LHS337" s="1"/>
      <c r="LHT337" s="1"/>
      <c r="LHU337" s="1"/>
      <c r="LHV337" s="1"/>
      <c r="LHW337" s="1"/>
      <c r="LHX337" s="1"/>
      <c r="LHY337" s="1"/>
      <c r="LHZ337" s="1"/>
      <c r="LIA337" s="1"/>
      <c r="LIB337" s="1"/>
      <c r="LIC337" s="1"/>
      <c r="LID337" s="1"/>
      <c r="LIE337" s="1"/>
      <c r="LIF337" s="1"/>
      <c r="LIG337" s="1"/>
      <c r="LIH337" s="1"/>
      <c r="LII337" s="1"/>
      <c r="LIJ337" s="1"/>
      <c r="LIK337" s="1"/>
      <c r="LIL337" s="1"/>
      <c r="LIM337" s="1"/>
      <c r="LIN337" s="1"/>
      <c r="LIO337" s="1"/>
      <c r="LIP337" s="1"/>
      <c r="LIQ337" s="1"/>
      <c r="LIR337" s="1"/>
      <c r="LIS337" s="1"/>
      <c r="LIT337" s="1"/>
      <c r="LIU337" s="1"/>
      <c r="LIV337" s="1"/>
      <c r="LIW337" s="1"/>
      <c r="LIX337" s="1"/>
      <c r="LIY337" s="1"/>
      <c r="LIZ337" s="1"/>
      <c r="LJA337" s="1"/>
      <c r="LJB337" s="1"/>
      <c r="LJC337" s="1"/>
      <c r="LJD337" s="1"/>
      <c r="LJE337" s="1"/>
      <c r="LJF337" s="1"/>
      <c r="LJG337" s="1"/>
      <c r="LJH337" s="1"/>
      <c r="LJI337" s="1"/>
      <c r="LJJ337" s="1"/>
      <c r="LJK337" s="1"/>
      <c r="LJL337" s="1"/>
      <c r="LJM337" s="1"/>
      <c r="LJN337" s="1"/>
      <c r="LJO337" s="1"/>
      <c r="LJP337" s="1"/>
      <c r="LJQ337" s="1"/>
      <c r="LJR337" s="1"/>
      <c r="LJS337" s="1"/>
      <c r="LJT337" s="1"/>
      <c r="LJU337" s="1"/>
      <c r="LJV337" s="1"/>
      <c r="LJW337" s="1"/>
      <c r="LJX337" s="1"/>
      <c r="LJY337" s="1"/>
      <c r="LJZ337" s="1"/>
      <c r="LKA337" s="1"/>
      <c r="LKB337" s="1"/>
      <c r="LKC337" s="1"/>
      <c r="LKD337" s="1"/>
      <c r="LKE337" s="1"/>
      <c r="LKF337" s="1"/>
      <c r="LKG337" s="1"/>
      <c r="LKH337" s="1"/>
      <c r="LKI337" s="1"/>
      <c r="LKJ337" s="1"/>
      <c r="LKK337" s="1"/>
      <c r="LKL337" s="1"/>
      <c r="LKM337" s="1"/>
      <c r="LKN337" s="1"/>
      <c r="LKO337" s="1"/>
      <c r="LKP337" s="1"/>
      <c r="LKQ337" s="1"/>
      <c r="LKR337" s="1"/>
      <c r="LKS337" s="1"/>
      <c r="LKT337" s="1"/>
      <c r="LKU337" s="1"/>
      <c r="LKV337" s="1"/>
      <c r="LKW337" s="1"/>
      <c r="LKX337" s="1"/>
      <c r="LKY337" s="1"/>
      <c r="LKZ337" s="1"/>
      <c r="LLA337" s="1"/>
      <c r="LLB337" s="1"/>
      <c r="LLC337" s="1"/>
      <c r="LLD337" s="1"/>
      <c r="LLE337" s="1"/>
      <c r="LLF337" s="1"/>
      <c r="LLG337" s="1"/>
      <c r="LLH337" s="1"/>
      <c r="LLI337" s="1"/>
      <c r="LLJ337" s="1"/>
      <c r="LLK337" s="1"/>
      <c r="LLL337" s="1"/>
      <c r="LLM337" s="1"/>
      <c r="LLN337" s="1"/>
      <c r="LLO337" s="1"/>
      <c r="LLP337" s="1"/>
      <c r="LLQ337" s="1"/>
      <c r="LLR337" s="1"/>
      <c r="LLS337" s="1"/>
      <c r="LLT337" s="1"/>
      <c r="LLU337" s="1"/>
      <c r="LLV337" s="1"/>
      <c r="LLW337" s="1"/>
      <c r="LLX337" s="1"/>
      <c r="LLY337" s="1"/>
      <c r="LLZ337" s="1"/>
      <c r="LMA337" s="1"/>
      <c r="LMB337" s="1"/>
      <c r="LMC337" s="1"/>
      <c r="LMD337" s="1"/>
      <c r="LME337" s="1"/>
      <c r="LMF337" s="1"/>
      <c r="LMG337" s="1"/>
      <c r="LMH337" s="1"/>
      <c r="LMI337" s="1"/>
      <c r="LMJ337" s="1"/>
      <c r="LMK337" s="1"/>
      <c r="LML337" s="1"/>
      <c r="LMM337" s="1"/>
      <c r="LMN337" s="1"/>
      <c r="LMO337" s="1"/>
      <c r="LMP337" s="1"/>
      <c r="LMQ337" s="1"/>
      <c r="LMR337" s="1"/>
      <c r="LMS337" s="1"/>
      <c r="LMT337" s="1"/>
      <c r="LMU337" s="1"/>
      <c r="LMV337" s="1"/>
      <c r="LMW337" s="1"/>
      <c r="LMX337" s="1"/>
      <c r="LMY337" s="1"/>
      <c r="LMZ337" s="1"/>
      <c r="LNA337" s="1"/>
      <c r="LNB337" s="1"/>
      <c r="LNC337" s="1"/>
      <c r="LND337" s="1"/>
      <c r="LNE337" s="1"/>
      <c r="LNF337" s="1"/>
      <c r="LNG337" s="1"/>
      <c r="LNH337" s="1"/>
      <c r="LNI337" s="1"/>
      <c r="LNJ337" s="1"/>
      <c r="LNK337" s="1"/>
      <c r="LNL337" s="1"/>
      <c r="LNM337" s="1"/>
      <c r="LNN337" s="1"/>
      <c r="LNO337" s="1"/>
      <c r="LNP337" s="1"/>
      <c r="LNQ337" s="1"/>
      <c r="LNR337" s="1"/>
      <c r="LNS337" s="1"/>
      <c r="LNT337" s="1"/>
      <c r="LNU337" s="1"/>
      <c r="LNV337" s="1"/>
      <c r="LNW337" s="1"/>
      <c r="LNX337" s="1"/>
      <c r="LNY337" s="1"/>
      <c r="LNZ337" s="1"/>
      <c r="LOA337" s="1"/>
      <c r="LOB337" s="1"/>
      <c r="LOC337" s="1"/>
      <c r="LOD337" s="1"/>
      <c r="LOE337" s="1"/>
      <c r="LOF337" s="1"/>
      <c r="LOG337" s="1"/>
      <c r="LOH337" s="1"/>
      <c r="LOI337" s="1"/>
      <c r="LOJ337" s="1"/>
      <c r="LOK337" s="1"/>
      <c r="LOL337" s="1"/>
      <c r="LOM337" s="1"/>
      <c r="LON337" s="1"/>
      <c r="LOO337" s="1"/>
      <c r="LOP337" s="1"/>
      <c r="LOQ337" s="1"/>
      <c r="LOR337" s="1"/>
      <c r="LOS337" s="1"/>
      <c r="LOT337" s="1"/>
      <c r="LOU337" s="1"/>
      <c r="LOV337" s="1"/>
      <c r="LOW337" s="1"/>
      <c r="LOX337" s="1"/>
      <c r="LOY337" s="1"/>
      <c r="LOZ337" s="1"/>
      <c r="LPA337" s="1"/>
      <c r="LPB337" s="1"/>
      <c r="LPC337" s="1"/>
      <c r="LPD337" s="1"/>
      <c r="LPE337" s="1"/>
      <c r="LPF337" s="1"/>
      <c r="LPG337" s="1"/>
      <c r="LPH337" s="1"/>
      <c r="LPI337" s="1"/>
      <c r="LPJ337" s="1"/>
      <c r="LPK337" s="1"/>
      <c r="LPL337" s="1"/>
      <c r="LPM337" s="1"/>
      <c r="LPN337" s="1"/>
      <c r="LPO337" s="1"/>
      <c r="LPP337" s="1"/>
      <c r="LPQ337" s="1"/>
      <c r="LPR337" s="1"/>
      <c r="LPS337" s="1"/>
      <c r="LPT337" s="1"/>
      <c r="LPU337" s="1"/>
      <c r="LPV337" s="1"/>
      <c r="LPW337" s="1"/>
      <c r="LPX337" s="1"/>
      <c r="LPY337" s="1"/>
      <c r="LPZ337" s="1"/>
      <c r="LQA337" s="1"/>
      <c r="LQB337" s="1"/>
      <c r="LQC337" s="1"/>
      <c r="LQD337" s="1"/>
      <c r="LQE337" s="1"/>
      <c r="LQF337" s="1"/>
      <c r="LQG337" s="1"/>
      <c r="LQH337" s="1"/>
      <c r="LQI337" s="1"/>
      <c r="LQJ337" s="1"/>
      <c r="LQK337" s="1"/>
      <c r="LQL337" s="1"/>
      <c r="LQM337" s="1"/>
      <c r="LQN337" s="1"/>
      <c r="LQO337" s="1"/>
      <c r="LQP337" s="1"/>
      <c r="LQQ337" s="1"/>
      <c r="LQR337" s="1"/>
      <c r="LQS337" s="1"/>
      <c r="LQT337" s="1"/>
      <c r="LQU337" s="1"/>
      <c r="LQV337" s="1"/>
      <c r="LQW337" s="1"/>
      <c r="LQX337" s="1"/>
      <c r="LQY337" s="1"/>
      <c r="LQZ337" s="1"/>
      <c r="LRA337" s="1"/>
      <c r="LRB337" s="1"/>
      <c r="LRC337" s="1"/>
      <c r="LRD337" s="1"/>
      <c r="LRE337" s="1"/>
      <c r="LRF337" s="1"/>
      <c r="LRG337" s="1"/>
      <c r="LRH337" s="1"/>
      <c r="LRI337" s="1"/>
      <c r="LRJ337" s="1"/>
      <c r="LRK337" s="1"/>
      <c r="LRL337" s="1"/>
      <c r="LRM337" s="1"/>
      <c r="LRN337" s="1"/>
      <c r="LRO337" s="1"/>
      <c r="LRP337" s="1"/>
      <c r="LRQ337" s="1"/>
      <c r="LRR337" s="1"/>
      <c r="LRS337" s="1"/>
      <c r="LRT337" s="1"/>
      <c r="LRU337" s="1"/>
      <c r="LRV337" s="1"/>
      <c r="LRW337" s="1"/>
      <c r="LRX337" s="1"/>
      <c r="LRY337" s="1"/>
      <c r="LRZ337" s="1"/>
      <c r="LSA337" s="1"/>
      <c r="LSB337" s="1"/>
      <c r="LSC337" s="1"/>
      <c r="LSD337" s="1"/>
      <c r="LSE337" s="1"/>
      <c r="LSF337" s="1"/>
      <c r="LSG337" s="1"/>
      <c r="LSH337" s="1"/>
      <c r="LSI337" s="1"/>
      <c r="LSJ337" s="1"/>
      <c r="LSK337" s="1"/>
      <c r="LSL337" s="1"/>
      <c r="LSM337" s="1"/>
      <c r="LSN337" s="1"/>
      <c r="LSO337" s="1"/>
      <c r="LSP337" s="1"/>
      <c r="LSQ337" s="1"/>
      <c r="LSR337" s="1"/>
      <c r="LSS337" s="1"/>
      <c r="LST337" s="1"/>
      <c r="LSU337" s="1"/>
      <c r="LSV337" s="1"/>
      <c r="LSW337" s="1"/>
      <c r="LSX337" s="1"/>
      <c r="LSY337" s="1"/>
      <c r="LSZ337" s="1"/>
      <c r="LTA337" s="1"/>
      <c r="LTB337" s="1"/>
      <c r="LTC337" s="1"/>
      <c r="LTD337" s="1"/>
      <c r="LTE337" s="1"/>
      <c r="LTF337" s="1"/>
      <c r="LTG337" s="1"/>
      <c r="LTH337" s="1"/>
      <c r="LTI337" s="1"/>
      <c r="LTJ337" s="1"/>
      <c r="LTK337" s="1"/>
      <c r="LTL337" s="1"/>
      <c r="LTM337" s="1"/>
      <c r="LTN337" s="1"/>
      <c r="LTO337" s="1"/>
      <c r="LTP337" s="1"/>
      <c r="LTQ337" s="1"/>
      <c r="LTR337" s="1"/>
      <c r="LTS337" s="1"/>
      <c r="LTT337" s="1"/>
      <c r="LTU337" s="1"/>
      <c r="LTV337" s="1"/>
      <c r="LTW337" s="1"/>
      <c r="LTX337" s="1"/>
      <c r="LTY337" s="1"/>
      <c r="LTZ337" s="1"/>
      <c r="LUA337" s="1"/>
      <c r="LUB337" s="1"/>
      <c r="LUC337" s="1"/>
      <c r="LUD337" s="1"/>
      <c r="LUE337" s="1"/>
      <c r="LUF337" s="1"/>
      <c r="LUG337" s="1"/>
      <c r="LUH337" s="1"/>
      <c r="LUI337" s="1"/>
      <c r="LUJ337" s="1"/>
      <c r="LUK337" s="1"/>
      <c r="LUL337" s="1"/>
      <c r="LUM337" s="1"/>
      <c r="LUN337" s="1"/>
      <c r="LUO337" s="1"/>
      <c r="LUP337" s="1"/>
      <c r="LUQ337" s="1"/>
      <c r="LUR337" s="1"/>
      <c r="LUS337" s="1"/>
      <c r="LUT337" s="1"/>
      <c r="LUU337" s="1"/>
      <c r="LUV337" s="1"/>
      <c r="LUW337" s="1"/>
      <c r="LUX337" s="1"/>
      <c r="LUY337" s="1"/>
      <c r="LUZ337" s="1"/>
      <c r="LVA337" s="1"/>
      <c r="LVB337" s="1"/>
      <c r="LVC337" s="1"/>
      <c r="LVD337" s="1"/>
      <c r="LVE337" s="1"/>
      <c r="LVF337" s="1"/>
      <c r="LVG337" s="1"/>
      <c r="LVH337" s="1"/>
      <c r="LVI337" s="1"/>
      <c r="LVJ337" s="1"/>
      <c r="LVK337" s="1"/>
      <c r="LVL337" s="1"/>
      <c r="LVM337" s="1"/>
      <c r="LVN337" s="1"/>
      <c r="LVO337" s="1"/>
      <c r="LVP337" s="1"/>
      <c r="LVQ337" s="1"/>
      <c r="LVR337" s="1"/>
      <c r="LVS337" s="1"/>
      <c r="LVT337" s="1"/>
      <c r="LVU337" s="1"/>
      <c r="LVV337" s="1"/>
      <c r="LVW337" s="1"/>
      <c r="LVX337" s="1"/>
      <c r="LVY337" s="1"/>
      <c r="LVZ337" s="1"/>
      <c r="LWA337" s="1"/>
      <c r="LWB337" s="1"/>
      <c r="LWC337" s="1"/>
      <c r="LWD337" s="1"/>
      <c r="LWE337" s="1"/>
      <c r="LWF337" s="1"/>
      <c r="LWG337" s="1"/>
      <c r="LWH337" s="1"/>
      <c r="LWI337" s="1"/>
      <c r="LWJ337" s="1"/>
      <c r="LWK337" s="1"/>
      <c r="LWL337" s="1"/>
      <c r="LWM337" s="1"/>
      <c r="LWN337" s="1"/>
      <c r="LWO337" s="1"/>
      <c r="LWP337" s="1"/>
      <c r="LWQ337" s="1"/>
      <c r="LWR337" s="1"/>
      <c r="LWS337" s="1"/>
      <c r="LWT337" s="1"/>
      <c r="LWU337" s="1"/>
      <c r="LWV337" s="1"/>
      <c r="LWW337" s="1"/>
      <c r="LWX337" s="1"/>
      <c r="LWY337" s="1"/>
      <c r="LWZ337" s="1"/>
      <c r="LXA337" s="1"/>
      <c r="LXB337" s="1"/>
      <c r="LXC337" s="1"/>
      <c r="LXD337" s="1"/>
      <c r="LXE337" s="1"/>
      <c r="LXF337" s="1"/>
      <c r="LXG337" s="1"/>
      <c r="LXH337" s="1"/>
      <c r="LXI337" s="1"/>
      <c r="LXJ337" s="1"/>
      <c r="LXK337" s="1"/>
      <c r="LXL337" s="1"/>
      <c r="LXM337" s="1"/>
      <c r="LXN337" s="1"/>
      <c r="LXO337" s="1"/>
      <c r="LXP337" s="1"/>
      <c r="LXQ337" s="1"/>
      <c r="LXR337" s="1"/>
      <c r="LXS337" s="1"/>
      <c r="LXT337" s="1"/>
      <c r="LXU337" s="1"/>
      <c r="LXV337" s="1"/>
      <c r="LXW337" s="1"/>
      <c r="LXX337" s="1"/>
      <c r="LXY337" s="1"/>
      <c r="LXZ337" s="1"/>
      <c r="LYA337" s="1"/>
      <c r="LYB337" s="1"/>
      <c r="LYC337" s="1"/>
      <c r="LYD337" s="1"/>
      <c r="LYE337" s="1"/>
      <c r="LYF337" s="1"/>
      <c r="LYG337" s="1"/>
      <c r="LYH337" s="1"/>
      <c r="LYI337" s="1"/>
      <c r="LYJ337" s="1"/>
      <c r="LYK337" s="1"/>
      <c r="LYL337" s="1"/>
      <c r="LYM337" s="1"/>
      <c r="LYN337" s="1"/>
      <c r="LYO337" s="1"/>
      <c r="LYP337" s="1"/>
      <c r="LYQ337" s="1"/>
      <c r="LYR337" s="1"/>
      <c r="LYS337" s="1"/>
      <c r="LYT337" s="1"/>
      <c r="LYU337" s="1"/>
      <c r="LYV337" s="1"/>
      <c r="LYW337" s="1"/>
      <c r="LYX337" s="1"/>
      <c r="LYY337" s="1"/>
      <c r="LYZ337" s="1"/>
      <c r="LZA337" s="1"/>
      <c r="LZB337" s="1"/>
      <c r="LZC337" s="1"/>
      <c r="LZD337" s="1"/>
      <c r="LZE337" s="1"/>
      <c r="LZF337" s="1"/>
      <c r="LZG337" s="1"/>
      <c r="LZH337" s="1"/>
      <c r="LZI337" s="1"/>
      <c r="LZJ337" s="1"/>
      <c r="LZK337" s="1"/>
      <c r="LZL337" s="1"/>
      <c r="LZM337" s="1"/>
      <c r="LZN337" s="1"/>
      <c r="LZO337" s="1"/>
      <c r="LZP337" s="1"/>
      <c r="LZQ337" s="1"/>
      <c r="LZR337" s="1"/>
      <c r="LZS337" s="1"/>
      <c r="LZT337" s="1"/>
      <c r="LZU337" s="1"/>
      <c r="LZV337" s="1"/>
      <c r="LZW337" s="1"/>
      <c r="LZX337" s="1"/>
      <c r="LZY337" s="1"/>
      <c r="LZZ337" s="1"/>
      <c r="MAA337" s="1"/>
      <c r="MAB337" s="1"/>
      <c r="MAC337" s="1"/>
      <c r="MAD337" s="1"/>
      <c r="MAE337" s="1"/>
      <c r="MAF337" s="1"/>
      <c r="MAG337" s="1"/>
      <c r="MAH337" s="1"/>
      <c r="MAI337" s="1"/>
      <c r="MAJ337" s="1"/>
      <c r="MAK337" s="1"/>
      <c r="MAL337" s="1"/>
      <c r="MAM337" s="1"/>
      <c r="MAN337" s="1"/>
      <c r="MAO337" s="1"/>
      <c r="MAP337" s="1"/>
      <c r="MAQ337" s="1"/>
      <c r="MAR337" s="1"/>
      <c r="MAS337" s="1"/>
      <c r="MAT337" s="1"/>
      <c r="MAU337" s="1"/>
      <c r="MAV337" s="1"/>
      <c r="MAW337" s="1"/>
      <c r="MAX337" s="1"/>
      <c r="MAY337" s="1"/>
      <c r="MAZ337" s="1"/>
      <c r="MBA337" s="1"/>
      <c r="MBB337" s="1"/>
      <c r="MBC337" s="1"/>
      <c r="MBD337" s="1"/>
      <c r="MBE337" s="1"/>
      <c r="MBF337" s="1"/>
      <c r="MBG337" s="1"/>
      <c r="MBH337" s="1"/>
      <c r="MBI337" s="1"/>
      <c r="MBJ337" s="1"/>
      <c r="MBK337" s="1"/>
      <c r="MBL337" s="1"/>
      <c r="MBM337" s="1"/>
      <c r="MBN337" s="1"/>
      <c r="MBO337" s="1"/>
      <c r="MBP337" s="1"/>
      <c r="MBQ337" s="1"/>
      <c r="MBR337" s="1"/>
      <c r="MBS337" s="1"/>
      <c r="MBT337" s="1"/>
      <c r="MBU337" s="1"/>
      <c r="MBV337" s="1"/>
      <c r="MBW337" s="1"/>
      <c r="MBX337" s="1"/>
      <c r="MBY337" s="1"/>
      <c r="MBZ337" s="1"/>
      <c r="MCA337" s="1"/>
      <c r="MCB337" s="1"/>
      <c r="MCC337" s="1"/>
      <c r="MCD337" s="1"/>
      <c r="MCE337" s="1"/>
      <c r="MCF337" s="1"/>
      <c r="MCG337" s="1"/>
      <c r="MCH337" s="1"/>
      <c r="MCI337" s="1"/>
      <c r="MCJ337" s="1"/>
      <c r="MCK337" s="1"/>
      <c r="MCL337" s="1"/>
      <c r="MCM337" s="1"/>
      <c r="MCN337" s="1"/>
      <c r="MCO337" s="1"/>
      <c r="MCP337" s="1"/>
      <c r="MCQ337" s="1"/>
      <c r="MCR337" s="1"/>
      <c r="MCS337" s="1"/>
      <c r="MCT337" s="1"/>
      <c r="MCU337" s="1"/>
      <c r="MCV337" s="1"/>
      <c r="MCW337" s="1"/>
      <c r="MCX337" s="1"/>
      <c r="MCY337" s="1"/>
      <c r="MCZ337" s="1"/>
      <c r="MDA337" s="1"/>
      <c r="MDB337" s="1"/>
      <c r="MDC337" s="1"/>
      <c r="MDD337" s="1"/>
      <c r="MDE337" s="1"/>
      <c r="MDF337" s="1"/>
      <c r="MDG337" s="1"/>
      <c r="MDH337" s="1"/>
      <c r="MDI337" s="1"/>
      <c r="MDJ337" s="1"/>
      <c r="MDK337" s="1"/>
      <c r="MDL337" s="1"/>
      <c r="MDM337" s="1"/>
      <c r="MDN337" s="1"/>
      <c r="MDO337" s="1"/>
      <c r="MDP337" s="1"/>
      <c r="MDQ337" s="1"/>
      <c r="MDR337" s="1"/>
      <c r="MDS337" s="1"/>
      <c r="MDT337" s="1"/>
      <c r="MDU337" s="1"/>
      <c r="MDV337" s="1"/>
      <c r="MDW337" s="1"/>
      <c r="MDX337" s="1"/>
      <c r="MDY337" s="1"/>
      <c r="MDZ337" s="1"/>
      <c r="MEA337" s="1"/>
      <c r="MEB337" s="1"/>
      <c r="MEC337" s="1"/>
      <c r="MED337" s="1"/>
      <c r="MEE337" s="1"/>
      <c r="MEF337" s="1"/>
      <c r="MEG337" s="1"/>
      <c r="MEH337" s="1"/>
      <c r="MEI337" s="1"/>
      <c r="MEJ337" s="1"/>
      <c r="MEK337" s="1"/>
      <c r="MEL337" s="1"/>
      <c r="MEM337" s="1"/>
      <c r="MEN337" s="1"/>
      <c r="MEO337" s="1"/>
      <c r="MEP337" s="1"/>
      <c r="MEQ337" s="1"/>
      <c r="MER337" s="1"/>
      <c r="MES337" s="1"/>
      <c r="MET337" s="1"/>
      <c r="MEU337" s="1"/>
      <c r="MEV337" s="1"/>
      <c r="MEW337" s="1"/>
      <c r="MEX337" s="1"/>
      <c r="MEY337" s="1"/>
      <c r="MEZ337" s="1"/>
      <c r="MFA337" s="1"/>
      <c r="MFB337" s="1"/>
      <c r="MFC337" s="1"/>
      <c r="MFD337" s="1"/>
      <c r="MFE337" s="1"/>
      <c r="MFF337" s="1"/>
      <c r="MFG337" s="1"/>
      <c r="MFH337" s="1"/>
      <c r="MFI337" s="1"/>
      <c r="MFJ337" s="1"/>
      <c r="MFK337" s="1"/>
      <c r="MFL337" s="1"/>
      <c r="MFM337" s="1"/>
      <c r="MFN337" s="1"/>
      <c r="MFO337" s="1"/>
      <c r="MFP337" s="1"/>
      <c r="MFQ337" s="1"/>
      <c r="MFR337" s="1"/>
      <c r="MFS337" s="1"/>
      <c r="MFT337" s="1"/>
      <c r="MFU337" s="1"/>
      <c r="MFV337" s="1"/>
      <c r="MFW337" s="1"/>
      <c r="MFX337" s="1"/>
      <c r="MFY337" s="1"/>
      <c r="MFZ337" s="1"/>
      <c r="MGA337" s="1"/>
      <c r="MGB337" s="1"/>
      <c r="MGC337" s="1"/>
      <c r="MGD337" s="1"/>
      <c r="MGE337" s="1"/>
      <c r="MGF337" s="1"/>
      <c r="MGG337" s="1"/>
      <c r="MGH337" s="1"/>
      <c r="MGI337" s="1"/>
      <c r="MGJ337" s="1"/>
      <c r="MGK337" s="1"/>
      <c r="MGL337" s="1"/>
      <c r="MGM337" s="1"/>
      <c r="MGN337" s="1"/>
      <c r="MGO337" s="1"/>
      <c r="MGP337" s="1"/>
      <c r="MGQ337" s="1"/>
      <c r="MGR337" s="1"/>
      <c r="MGS337" s="1"/>
      <c r="MGT337" s="1"/>
      <c r="MGU337" s="1"/>
      <c r="MGV337" s="1"/>
      <c r="MGW337" s="1"/>
      <c r="MGX337" s="1"/>
      <c r="MGY337" s="1"/>
      <c r="MGZ337" s="1"/>
      <c r="MHA337" s="1"/>
      <c r="MHB337" s="1"/>
      <c r="MHC337" s="1"/>
      <c r="MHD337" s="1"/>
      <c r="MHE337" s="1"/>
      <c r="MHF337" s="1"/>
      <c r="MHG337" s="1"/>
      <c r="MHH337" s="1"/>
      <c r="MHI337" s="1"/>
      <c r="MHJ337" s="1"/>
      <c r="MHK337" s="1"/>
      <c r="MHL337" s="1"/>
      <c r="MHM337" s="1"/>
      <c r="MHN337" s="1"/>
      <c r="MHO337" s="1"/>
      <c r="MHP337" s="1"/>
      <c r="MHQ337" s="1"/>
      <c r="MHR337" s="1"/>
      <c r="MHS337" s="1"/>
      <c r="MHT337" s="1"/>
      <c r="MHU337" s="1"/>
      <c r="MHV337" s="1"/>
      <c r="MHW337" s="1"/>
      <c r="MHX337" s="1"/>
      <c r="MHY337" s="1"/>
      <c r="MHZ337" s="1"/>
      <c r="MIA337" s="1"/>
      <c r="MIB337" s="1"/>
      <c r="MIC337" s="1"/>
      <c r="MID337" s="1"/>
      <c r="MIE337" s="1"/>
      <c r="MIF337" s="1"/>
      <c r="MIG337" s="1"/>
      <c r="MIH337" s="1"/>
      <c r="MII337" s="1"/>
      <c r="MIJ337" s="1"/>
      <c r="MIK337" s="1"/>
      <c r="MIL337" s="1"/>
      <c r="MIM337" s="1"/>
      <c r="MIN337" s="1"/>
      <c r="MIO337" s="1"/>
      <c r="MIP337" s="1"/>
      <c r="MIQ337" s="1"/>
      <c r="MIR337" s="1"/>
      <c r="MIS337" s="1"/>
      <c r="MIT337" s="1"/>
      <c r="MIU337" s="1"/>
      <c r="MIV337" s="1"/>
      <c r="MIW337" s="1"/>
      <c r="MIX337" s="1"/>
      <c r="MIY337" s="1"/>
      <c r="MIZ337" s="1"/>
      <c r="MJA337" s="1"/>
      <c r="MJB337" s="1"/>
      <c r="MJC337" s="1"/>
      <c r="MJD337" s="1"/>
      <c r="MJE337" s="1"/>
      <c r="MJF337" s="1"/>
      <c r="MJG337" s="1"/>
      <c r="MJH337" s="1"/>
      <c r="MJI337" s="1"/>
      <c r="MJJ337" s="1"/>
      <c r="MJK337" s="1"/>
      <c r="MJL337" s="1"/>
      <c r="MJM337" s="1"/>
      <c r="MJN337" s="1"/>
      <c r="MJO337" s="1"/>
      <c r="MJP337" s="1"/>
      <c r="MJQ337" s="1"/>
      <c r="MJR337" s="1"/>
      <c r="MJS337" s="1"/>
      <c r="MJT337" s="1"/>
      <c r="MJU337" s="1"/>
      <c r="MJV337" s="1"/>
      <c r="MJW337" s="1"/>
      <c r="MJX337" s="1"/>
      <c r="MJY337" s="1"/>
      <c r="MJZ337" s="1"/>
      <c r="MKA337" s="1"/>
      <c r="MKB337" s="1"/>
      <c r="MKC337" s="1"/>
      <c r="MKD337" s="1"/>
      <c r="MKE337" s="1"/>
      <c r="MKF337" s="1"/>
      <c r="MKG337" s="1"/>
      <c r="MKH337" s="1"/>
      <c r="MKI337" s="1"/>
      <c r="MKJ337" s="1"/>
      <c r="MKK337" s="1"/>
      <c r="MKL337" s="1"/>
      <c r="MKM337" s="1"/>
      <c r="MKN337" s="1"/>
      <c r="MKO337" s="1"/>
      <c r="MKP337" s="1"/>
      <c r="MKQ337" s="1"/>
      <c r="MKR337" s="1"/>
      <c r="MKS337" s="1"/>
      <c r="MKT337" s="1"/>
      <c r="MKU337" s="1"/>
      <c r="MKV337" s="1"/>
      <c r="MKW337" s="1"/>
      <c r="MKX337" s="1"/>
      <c r="MKY337" s="1"/>
      <c r="MKZ337" s="1"/>
      <c r="MLA337" s="1"/>
      <c r="MLB337" s="1"/>
      <c r="MLC337" s="1"/>
      <c r="MLD337" s="1"/>
      <c r="MLE337" s="1"/>
      <c r="MLF337" s="1"/>
      <c r="MLG337" s="1"/>
      <c r="MLH337" s="1"/>
      <c r="MLI337" s="1"/>
      <c r="MLJ337" s="1"/>
      <c r="MLK337" s="1"/>
      <c r="MLL337" s="1"/>
      <c r="MLM337" s="1"/>
      <c r="MLN337" s="1"/>
      <c r="MLO337" s="1"/>
      <c r="MLP337" s="1"/>
      <c r="MLQ337" s="1"/>
      <c r="MLR337" s="1"/>
      <c r="MLS337" s="1"/>
      <c r="MLT337" s="1"/>
      <c r="MLU337" s="1"/>
      <c r="MLV337" s="1"/>
      <c r="MLW337" s="1"/>
      <c r="MLX337" s="1"/>
      <c r="MLY337" s="1"/>
      <c r="MLZ337" s="1"/>
      <c r="MMA337" s="1"/>
      <c r="MMB337" s="1"/>
      <c r="MMC337" s="1"/>
      <c r="MMD337" s="1"/>
      <c r="MME337" s="1"/>
      <c r="MMF337" s="1"/>
      <c r="MMG337" s="1"/>
      <c r="MMH337" s="1"/>
      <c r="MMI337" s="1"/>
      <c r="MMJ337" s="1"/>
      <c r="MMK337" s="1"/>
      <c r="MML337" s="1"/>
      <c r="MMM337" s="1"/>
      <c r="MMN337" s="1"/>
      <c r="MMO337" s="1"/>
      <c r="MMP337" s="1"/>
      <c r="MMQ337" s="1"/>
      <c r="MMR337" s="1"/>
      <c r="MMS337" s="1"/>
      <c r="MMT337" s="1"/>
      <c r="MMU337" s="1"/>
      <c r="MMV337" s="1"/>
      <c r="MMW337" s="1"/>
      <c r="MMX337" s="1"/>
      <c r="MMY337" s="1"/>
      <c r="MMZ337" s="1"/>
      <c r="MNA337" s="1"/>
      <c r="MNB337" s="1"/>
      <c r="MNC337" s="1"/>
      <c r="MND337" s="1"/>
      <c r="MNE337" s="1"/>
      <c r="MNF337" s="1"/>
      <c r="MNG337" s="1"/>
      <c r="MNH337" s="1"/>
      <c r="MNI337" s="1"/>
      <c r="MNJ337" s="1"/>
      <c r="MNK337" s="1"/>
      <c r="MNL337" s="1"/>
      <c r="MNM337" s="1"/>
      <c r="MNN337" s="1"/>
      <c r="MNO337" s="1"/>
      <c r="MNP337" s="1"/>
      <c r="MNQ337" s="1"/>
      <c r="MNR337" s="1"/>
      <c r="MNS337" s="1"/>
      <c r="MNT337" s="1"/>
      <c r="MNU337" s="1"/>
      <c r="MNV337" s="1"/>
      <c r="MNW337" s="1"/>
      <c r="MNX337" s="1"/>
      <c r="MNY337" s="1"/>
      <c r="MNZ337" s="1"/>
      <c r="MOA337" s="1"/>
      <c r="MOB337" s="1"/>
      <c r="MOC337" s="1"/>
      <c r="MOD337" s="1"/>
      <c r="MOE337" s="1"/>
      <c r="MOF337" s="1"/>
      <c r="MOG337" s="1"/>
      <c r="MOH337" s="1"/>
      <c r="MOI337" s="1"/>
      <c r="MOJ337" s="1"/>
      <c r="MOK337" s="1"/>
      <c r="MOL337" s="1"/>
      <c r="MOM337" s="1"/>
      <c r="MON337" s="1"/>
      <c r="MOO337" s="1"/>
      <c r="MOP337" s="1"/>
      <c r="MOQ337" s="1"/>
      <c r="MOR337" s="1"/>
      <c r="MOS337" s="1"/>
      <c r="MOT337" s="1"/>
      <c r="MOU337" s="1"/>
      <c r="MOV337" s="1"/>
      <c r="MOW337" s="1"/>
      <c r="MOX337" s="1"/>
      <c r="MOY337" s="1"/>
      <c r="MOZ337" s="1"/>
      <c r="MPA337" s="1"/>
      <c r="MPB337" s="1"/>
      <c r="MPC337" s="1"/>
      <c r="MPD337" s="1"/>
      <c r="MPE337" s="1"/>
      <c r="MPF337" s="1"/>
      <c r="MPG337" s="1"/>
      <c r="MPH337" s="1"/>
      <c r="MPI337" s="1"/>
      <c r="MPJ337" s="1"/>
      <c r="MPK337" s="1"/>
      <c r="MPL337" s="1"/>
      <c r="MPM337" s="1"/>
      <c r="MPN337" s="1"/>
      <c r="MPO337" s="1"/>
      <c r="MPP337" s="1"/>
      <c r="MPQ337" s="1"/>
      <c r="MPR337" s="1"/>
      <c r="MPS337" s="1"/>
      <c r="MPT337" s="1"/>
      <c r="MPU337" s="1"/>
      <c r="MPV337" s="1"/>
      <c r="MPW337" s="1"/>
      <c r="MPX337" s="1"/>
      <c r="MPY337" s="1"/>
      <c r="MPZ337" s="1"/>
      <c r="MQA337" s="1"/>
      <c r="MQB337" s="1"/>
      <c r="MQC337" s="1"/>
      <c r="MQD337" s="1"/>
      <c r="MQE337" s="1"/>
      <c r="MQF337" s="1"/>
      <c r="MQG337" s="1"/>
      <c r="MQH337" s="1"/>
      <c r="MQI337" s="1"/>
      <c r="MQJ337" s="1"/>
      <c r="MQK337" s="1"/>
      <c r="MQL337" s="1"/>
      <c r="MQM337" s="1"/>
      <c r="MQN337" s="1"/>
      <c r="MQO337" s="1"/>
      <c r="MQP337" s="1"/>
      <c r="MQQ337" s="1"/>
      <c r="MQR337" s="1"/>
      <c r="MQS337" s="1"/>
      <c r="MQT337" s="1"/>
      <c r="MQU337" s="1"/>
      <c r="MQV337" s="1"/>
      <c r="MQW337" s="1"/>
      <c r="MQX337" s="1"/>
      <c r="MQY337" s="1"/>
      <c r="MQZ337" s="1"/>
      <c r="MRA337" s="1"/>
      <c r="MRB337" s="1"/>
      <c r="MRC337" s="1"/>
      <c r="MRD337" s="1"/>
      <c r="MRE337" s="1"/>
      <c r="MRF337" s="1"/>
      <c r="MRG337" s="1"/>
      <c r="MRH337" s="1"/>
      <c r="MRI337" s="1"/>
      <c r="MRJ337" s="1"/>
      <c r="MRK337" s="1"/>
      <c r="MRL337" s="1"/>
      <c r="MRM337" s="1"/>
      <c r="MRN337" s="1"/>
      <c r="MRO337" s="1"/>
      <c r="MRP337" s="1"/>
      <c r="MRQ337" s="1"/>
      <c r="MRR337" s="1"/>
      <c r="MRS337" s="1"/>
      <c r="MRT337" s="1"/>
      <c r="MRU337" s="1"/>
      <c r="MRV337" s="1"/>
      <c r="MRW337" s="1"/>
      <c r="MRX337" s="1"/>
      <c r="MRY337" s="1"/>
      <c r="MRZ337" s="1"/>
      <c r="MSA337" s="1"/>
      <c r="MSB337" s="1"/>
      <c r="MSC337" s="1"/>
      <c r="MSD337" s="1"/>
      <c r="MSE337" s="1"/>
      <c r="MSF337" s="1"/>
      <c r="MSG337" s="1"/>
      <c r="MSH337" s="1"/>
      <c r="MSI337" s="1"/>
      <c r="MSJ337" s="1"/>
      <c r="MSK337" s="1"/>
      <c r="MSL337" s="1"/>
      <c r="MSM337" s="1"/>
      <c r="MSN337" s="1"/>
      <c r="MSO337" s="1"/>
      <c r="MSP337" s="1"/>
      <c r="MSQ337" s="1"/>
      <c r="MSR337" s="1"/>
      <c r="MSS337" s="1"/>
      <c r="MST337" s="1"/>
      <c r="MSU337" s="1"/>
      <c r="MSV337" s="1"/>
      <c r="MSW337" s="1"/>
      <c r="MSX337" s="1"/>
      <c r="MSY337" s="1"/>
      <c r="MSZ337" s="1"/>
      <c r="MTA337" s="1"/>
      <c r="MTB337" s="1"/>
      <c r="MTC337" s="1"/>
      <c r="MTD337" s="1"/>
      <c r="MTE337" s="1"/>
      <c r="MTF337" s="1"/>
      <c r="MTG337" s="1"/>
      <c r="MTH337" s="1"/>
      <c r="MTI337" s="1"/>
      <c r="MTJ337" s="1"/>
      <c r="MTK337" s="1"/>
      <c r="MTL337" s="1"/>
      <c r="MTM337" s="1"/>
      <c r="MTN337" s="1"/>
      <c r="MTO337" s="1"/>
      <c r="MTP337" s="1"/>
      <c r="MTQ337" s="1"/>
      <c r="MTR337" s="1"/>
      <c r="MTS337" s="1"/>
      <c r="MTT337" s="1"/>
      <c r="MTU337" s="1"/>
      <c r="MTV337" s="1"/>
      <c r="MTW337" s="1"/>
      <c r="MTX337" s="1"/>
      <c r="MTY337" s="1"/>
      <c r="MTZ337" s="1"/>
      <c r="MUA337" s="1"/>
      <c r="MUB337" s="1"/>
      <c r="MUC337" s="1"/>
      <c r="MUD337" s="1"/>
      <c r="MUE337" s="1"/>
      <c r="MUF337" s="1"/>
      <c r="MUG337" s="1"/>
      <c r="MUH337" s="1"/>
      <c r="MUI337" s="1"/>
      <c r="MUJ337" s="1"/>
      <c r="MUK337" s="1"/>
      <c r="MUL337" s="1"/>
      <c r="MUM337" s="1"/>
      <c r="MUN337" s="1"/>
      <c r="MUO337" s="1"/>
      <c r="MUP337" s="1"/>
      <c r="MUQ337" s="1"/>
      <c r="MUR337" s="1"/>
      <c r="MUS337" s="1"/>
      <c r="MUT337" s="1"/>
      <c r="MUU337" s="1"/>
      <c r="MUV337" s="1"/>
      <c r="MUW337" s="1"/>
      <c r="MUX337" s="1"/>
      <c r="MUY337" s="1"/>
      <c r="MUZ337" s="1"/>
      <c r="MVA337" s="1"/>
      <c r="MVB337" s="1"/>
      <c r="MVC337" s="1"/>
      <c r="MVD337" s="1"/>
      <c r="MVE337" s="1"/>
      <c r="MVF337" s="1"/>
      <c r="MVG337" s="1"/>
      <c r="MVH337" s="1"/>
      <c r="MVI337" s="1"/>
      <c r="MVJ337" s="1"/>
      <c r="MVK337" s="1"/>
      <c r="MVL337" s="1"/>
      <c r="MVM337" s="1"/>
      <c r="MVN337" s="1"/>
      <c r="MVO337" s="1"/>
      <c r="MVP337" s="1"/>
      <c r="MVQ337" s="1"/>
      <c r="MVR337" s="1"/>
      <c r="MVS337" s="1"/>
      <c r="MVT337" s="1"/>
      <c r="MVU337" s="1"/>
      <c r="MVV337" s="1"/>
      <c r="MVW337" s="1"/>
      <c r="MVX337" s="1"/>
      <c r="MVY337" s="1"/>
      <c r="MVZ337" s="1"/>
      <c r="MWA337" s="1"/>
      <c r="MWB337" s="1"/>
      <c r="MWC337" s="1"/>
      <c r="MWD337" s="1"/>
      <c r="MWE337" s="1"/>
      <c r="MWF337" s="1"/>
      <c r="MWG337" s="1"/>
      <c r="MWH337" s="1"/>
      <c r="MWI337" s="1"/>
      <c r="MWJ337" s="1"/>
      <c r="MWK337" s="1"/>
      <c r="MWL337" s="1"/>
      <c r="MWM337" s="1"/>
      <c r="MWN337" s="1"/>
      <c r="MWO337" s="1"/>
      <c r="MWP337" s="1"/>
      <c r="MWQ337" s="1"/>
      <c r="MWR337" s="1"/>
      <c r="MWS337" s="1"/>
      <c r="MWT337" s="1"/>
      <c r="MWU337" s="1"/>
      <c r="MWV337" s="1"/>
      <c r="MWW337" s="1"/>
      <c r="MWX337" s="1"/>
      <c r="MWY337" s="1"/>
      <c r="MWZ337" s="1"/>
      <c r="MXA337" s="1"/>
      <c r="MXB337" s="1"/>
      <c r="MXC337" s="1"/>
      <c r="MXD337" s="1"/>
      <c r="MXE337" s="1"/>
      <c r="MXF337" s="1"/>
      <c r="MXG337" s="1"/>
      <c r="MXH337" s="1"/>
      <c r="MXI337" s="1"/>
      <c r="MXJ337" s="1"/>
      <c r="MXK337" s="1"/>
      <c r="MXL337" s="1"/>
      <c r="MXM337" s="1"/>
      <c r="MXN337" s="1"/>
      <c r="MXO337" s="1"/>
      <c r="MXP337" s="1"/>
      <c r="MXQ337" s="1"/>
      <c r="MXR337" s="1"/>
      <c r="MXS337" s="1"/>
      <c r="MXT337" s="1"/>
      <c r="MXU337" s="1"/>
      <c r="MXV337" s="1"/>
      <c r="MXW337" s="1"/>
      <c r="MXX337" s="1"/>
      <c r="MXY337" s="1"/>
      <c r="MXZ337" s="1"/>
      <c r="MYA337" s="1"/>
      <c r="MYB337" s="1"/>
      <c r="MYC337" s="1"/>
      <c r="MYD337" s="1"/>
      <c r="MYE337" s="1"/>
      <c r="MYF337" s="1"/>
      <c r="MYG337" s="1"/>
      <c r="MYH337" s="1"/>
      <c r="MYI337" s="1"/>
      <c r="MYJ337" s="1"/>
      <c r="MYK337" s="1"/>
      <c r="MYL337" s="1"/>
      <c r="MYM337" s="1"/>
      <c r="MYN337" s="1"/>
      <c r="MYO337" s="1"/>
      <c r="MYP337" s="1"/>
      <c r="MYQ337" s="1"/>
      <c r="MYR337" s="1"/>
      <c r="MYS337" s="1"/>
      <c r="MYT337" s="1"/>
      <c r="MYU337" s="1"/>
      <c r="MYV337" s="1"/>
      <c r="MYW337" s="1"/>
      <c r="MYX337" s="1"/>
      <c r="MYY337" s="1"/>
      <c r="MYZ337" s="1"/>
      <c r="MZA337" s="1"/>
      <c r="MZB337" s="1"/>
      <c r="MZC337" s="1"/>
      <c r="MZD337" s="1"/>
      <c r="MZE337" s="1"/>
      <c r="MZF337" s="1"/>
      <c r="MZG337" s="1"/>
      <c r="MZH337" s="1"/>
      <c r="MZI337" s="1"/>
      <c r="MZJ337" s="1"/>
      <c r="MZK337" s="1"/>
      <c r="MZL337" s="1"/>
      <c r="MZM337" s="1"/>
      <c r="MZN337" s="1"/>
      <c r="MZO337" s="1"/>
      <c r="MZP337" s="1"/>
      <c r="MZQ337" s="1"/>
      <c r="MZR337" s="1"/>
      <c r="MZS337" s="1"/>
      <c r="MZT337" s="1"/>
      <c r="MZU337" s="1"/>
      <c r="MZV337" s="1"/>
      <c r="MZW337" s="1"/>
      <c r="MZX337" s="1"/>
      <c r="MZY337" s="1"/>
      <c r="MZZ337" s="1"/>
      <c r="NAA337" s="1"/>
      <c r="NAB337" s="1"/>
      <c r="NAC337" s="1"/>
      <c r="NAD337" s="1"/>
      <c r="NAE337" s="1"/>
      <c r="NAF337" s="1"/>
      <c r="NAG337" s="1"/>
      <c r="NAH337" s="1"/>
      <c r="NAI337" s="1"/>
      <c r="NAJ337" s="1"/>
      <c r="NAK337" s="1"/>
      <c r="NAL337" s="1"/>
      <c r="NAM337" s="1"/>
      <c r="NAN337" s="1"/>
      <c r="NAO337" s="1"/>
      <c r="NAP337" s="1"/>
      <c r="NAQ337" s="1"/>
      <c r="NAR337" s="1"/>
      <c r="NAS337" s="1"/>
      <c r="NAT337" s="1"/>
      <c r="NAU337" s="1"/>
      <c r="NAV337" s="1"/>
      <c r="NAW337" s="1"/>
      <c r="NAX337" s="1"/>
      <c r="NAY337" s="1"/>
      <c r="NAZ337" s="1"/>
      <c r="NBA337" s="1"/>
      <c r="NBB337" s="1"/>
      <c r="NBC337" s="1"/>
      <c r="NBD337" s="1"/>
      <c r="NBE337" s="1"/>
      <c r="NBF337" s="1"/>
      <c r="NBG337" s="1"/>
      <c r="NBH337" s="1"/>
      <c r="NBI337" s="1"/>
      <c r="NBJ337" s="1"/>
      <c r="NBK337" s="1"/>
      <c r="NBL337" s="1"/>
      <c r="NBM337" s="1"/>
      <c r="NBN337" s="1"/>
      <c r="NBO337" s="1"/>
      <c r="NBP337" s="1"/>
      <c r="NBQ337" s="1"/>
      <c r="NBR337" s="1"/>
      <c r="NBS337" s="1"/>
      <c r="NBT337" s="1"/>
      <c r="NBU337" s="1"/>
      <c r="NBV337" s="1"/>
      <c r="NBW337" s="1"/>
      <c r="NBX337" s="1"/>
      <c r="NBY337" s="1"/>
      <c r="NBZ337" s="1"/>
      <c r="NCA337" s="1"/>
      <c r="NCB337" s="1"/>
      <c r="NCC337" s="1"/>
      <c r="NCD337" s="1"/>
      <c r="NCE337" s="1"/>
      <c r="NCF337" s="1"/>
      <c r="NCG337" s="1"/>
      <c r="NCH337" s="1"/>
      <c r="NCI337" s="1"/>
      <c r="NCJ337" s="1"/>
      <c r="NCK337" s="1"/>
      <c r="NCL337" s="1"/>
      <c r="NCM337" s="1"/>
      <c r="NCN337" s="1"/>
      <c r="NCO337" s="1"/>
      <c r="NCP337" s="1"/>
      <c r="NCQ337" s="1"/>
      <c r="NCR337" s="1"/>
      <c r="NCS337" s="1"/>
      <c r="NCT337" s="1"/>
      <c r="NCU337" s="1"/>
      <c r="NCV337" s="1"/>
      <c r="NCW337" s="1"/>
      <c r="NCX337" s="1"/>
      <c r="NCY337" s="1"/>
      <c r="NCZ337" s="1"/>
      <c r="NDA337" s="1"/>
      <c r="NDB337" s="1"/>
      <c r="NDC337" s="1"/>
      <c r="NDD337" s="1"/>
      <c r="NDE337" s="1"/>
      <c r="NDF337" s="1"/>
      <c r="NDG337" s="1"/>
      <c r="NDH337" s="1"/>
      <c r="NDI337" s="1"/>
      <c r="NDJ337" s="1"/>
      <c r="NDK337" s="1"/>
      <c r="NDL337" s="1"/>
      <c r="NDM337" s="1"/>
      <c r="NDN337" s="1"/>
      <c r="NDO337" s="1"/>
      <c r="NDP337" s="1"/>
      <c r="NDQ337" s="1"/>
      <c r="NDR337" s="1"/>
      <c r="NDS337" s="1"/>
      <c r="NDT337" s="1"/>
      <c r="NDU337" s="1"/>
      <c r="NDV337" s="1"/>
      <c r="NDW337" s="1"/>
      <c r="NDX337" s="1"/>
      <c r="NDY337" s="1"/>
      <c r="NDZ337" s="1"/>
      <c r="NEA337" s="1"/>
      <c r="NEB337" s="1"/>
      <c r="NEC337" s="1"/>
      <c r="NED337" s="1"/>
      <c r="NEE337" s="1"/>
      <c r="NEF337" s="1"/>
      <c r="NEG337" s="1"/>
      <c r="NEH337" s="1"/>
      <c r="NEI337" s="1"/>
      <c r="NEJ337" s="1"/>
      <c r="NEK337" s="1"/>
      <c r="NEL337" s="1"/>
      <c r="NEM337" s="1"/>
      <c r="NEN337" s="1"/>
      <c r="NEO337" s="1"/>
      <c r="NEP337" s="1"/>
      <c r="NEQ337" s="1"/>
      <c r="NER337" s="1"/>
      <c r="NES337" s="1"/>
      <c r="NET337" s="1"/>
      <c r="NEU337" s="1"/>
      <c r="NEV337" s="1"/>
      <c r="NEW337" s="1"/>
      <c r="NEX337" s="1"/>
      <c r="NEY337" s="1"/>
      <c r="NEZ337" s="1"/>
      <c r="NFA337" s="1"/>
      <c r="NFB337" s="1"/>
      <c r="NFC337" s="1"/>
      <c r="NFD337" s="1"/>
      <c r="NFE337" s="1"/>
      <c r="NFF337" s="1"/>
      <c r="NFG337" s="1"/>
      <c r="NFH337" s="1"/>
      <c r="NFI337" s="1"/>
      <c r="NFJ337" s="1"/>
      <c r="NFK337" s="1"/>
      <c r="NFL337" s="1"/>
      <c r="NFM337" s="1"/>
      <c r="NFN337" s="1"/>
      <c r="NFO337" s="1"/>
      <c r="NFP337" s="1"/>
      <c r="NFQ337" s="1"/>
      <c r="NFR337" s="1"/>
      <c r="NFS337" s="1"/>
      <c r="NFT337" s="1"/>
      <c r="NFU337" s="1"/>
      <c r="NFV337" s="1"/>
      <c r="NFW337" s="1"/>
      <c r="NFX337" s="1"/>
      <c r="NFY337" s="1"/>
      <c r="NFZ337" s="1"/>
      <c r="NGA337" s="1"/>
      <c r="NGB337" s="1"/>
      <c r="NGC337" s="1"/>
      <c r="NGD337" s="1"/>
      <c r="NGE337" s="1"/>
      <c r="NGF337" s="1"/>
      <c r="NGG337" s="1"/>
      <c r="NGH337" s="1"/>
      <c r="NGI337" s="1"/>
      <c r="NGJ337" s="1"/>
      <c r="NGK337" s="1"/>
      <c r="NGL337" s="1"/>
      <c r="NGM337" s="1"/>
      <c r="NGN337" s="1"/>
      <c r="NGO337" s="1"/>
      <c r="NGP337" s="1"/>
      <c r="NGQ337" s="1"/>
      <c r="NGR337" s="1"/>
      <c r="NGS337" s="1"/>
      <c r="NGT337" s="1"/>
      <c r="NGU337" s="1"/>
      <c r="NGV337" s="1"/>
      <c r="NGW337" s="1"/>
      <c r="NGX337" s="1"/>
      <c r="NGY337" s="1"/>
      <c r="NGZ337" s="1"/>
      <c r="NHA337" s="1"/>
      <c r="NHB337" s="1"/>
      <c r="NHC337" s="1"/>
      <c r="NHD337" s="1"/>
      <c r="NHE337" s="1"/>
      <c r="NHF337" s="1"/>
      <c r="NHG337" s="1"/>
      <c r="NHH337" s="1"/>
      <c r="NHI337" s="1"/>
      <c r="NHJ337" s="1"/>
      <c r="NHK337" s="1"/>
      <c r="NHL337" s="1"/>
      <c r="NHM337" s="1"/>
      <c r="NHN337" s="1"/>
      <c r="NHO337" s="1"/>
      <c r="NHP337" s="1"/>
      <c r="NHQ337" s="1"/>
      <c r="NHR337" s="1"/>
      <c r="NHS337" s="1"/>
      <c r="NHT337" s="1"/>
      <c r="NHU337" s="1"/>
      <c r="NHV337" s="1"/>
      <c r="NHW337" s="1"/>
      <c r="NHX337" s="1"/>
      <c r="NHY337" s="1"/>
      <c r="NHZ337" s="1"/>
      <c r="NIA337" s="1"/>
      <c r="NIB337" s="1"/>
      <c r="NIC337" s="1"/>
      <c r="NID337" s="1"/>
      <c r="NIE337" s="1"/>
      <c r="NIF337" s="1"/>
      <c r="NIG337" s="1"/>
      <c r="NIH337" s="1"/>
      <c r="NII337" s="1"/>
      <c r="NIJ337" s="1"/>
      <c r="NIK337" s="1"/>
      <c r="NIL337" s="1"/>
      <c r="NIM337" s="1"/>
      <c r="NIN337" s="1"/>
      <c r="NIO337" s="1"/>
      <c r="NIP337" s="1"/>
      <c r="NIQ337" s="1"/>
      <c r="NIR337" s="1"/>
      <c r="NIS337" s="1"/>
      <c r="NIT337" s="1"/>
      <c r="NIU337" s="1"/>
      <c r="NIV337" s="1"/>
      <c r="NIW337" s="1"/>
      <c r="NIX337" s="1"/>
      <c r="NIY337" s="1"/>
      <c r="NIZ337" s="1"/>
      <c r="NJA337" s="1"/>
      <c r="NJB337" s="1"/>
      <c r="NJC337" s="1"/>
      <c r="NJD337" s="1"/>
      <c r="NJE337" s="1"/>
      <c r="NJF337" s="1"/>
      <c r="NJG337" s="1"/>
      <c r="NJH337" s="1"/>
      <c r="NJI337" s="1"/>
      <c r="NJJ337" s="1"/>
      <c r="NJK337" s="1"/>
      <c r="NJL337" s="1"/>
      <c r="NJM337" s="1"/>
      <c r="NJN337" s="1"/>
      <c r="NJO337" s="1"/>
      <c r="NJP337" s="1"/>
      <c r="NJQ337" s="1"/>
      <c r="NJR337" s="1"/>
      <c r="NJS337" s="1"/>
      <c r="NJT337" s="1"/>
      <c r="NJU337" s="1"/>
      <c r="NJV337" s="1"/>
      <c r="NJW337" s="1"/>
      <c r="NJX337" s="1"/>
      <c r="NJY337" s="1"/>
      <c r="NJZ337" s="1"/>
      <c r="NKA337" s="1"/>
      <c r="NKB337" s="1"/>
      <c r="NKC337" s="1"/>
      <c r="NKD337" s="1"/>
      <c r="NKE337" s="1"/>
      <c r="NKF337" s="1"/>
      <c r="NKG337" s="1"/>
      <c r="NKH337" s="1"/>
      <c r="NKI337" s="1"/>
      <c r="NKJ337" s="1"/>
      <c r="NKK337" s="1"/>
      <c r="NKL337" s="1"/>
      <c r="NKM337" s="1"/>
      <c r="NKN337" s="1"/>
      <c r="NKO337" s="1"/>
      <c r="NKP337" s="1"/>
      <c r="NKQ337" s="1"/>
      <c r="NKR337" s="1"/>
      <c r="NKS337" s="1"/>
      <c r="NKT337" s="1"/>
      <c r="NKU337" s="1"/>
      <c r="NKV337" s="1"/>
      <c r="NKW337" s="1"/>
      <c r="NKX337" s="1"/>
      <c r="NKY337" s="1"/>
      <c r="NKZ337" s="1"/>
      <c r="NLA337" s="1"/>
      <c r="NLB337" s="1"/>
      <c r="NLC337" s="1"/>
      <c r="NLD337" s="1"/>
      <c r="NLE337" s="1"/>
      <c r="NLF337" s="1"/>
      <c r="NLG337" s="1"/>
      <c r="NLH337" s="1"/>
      <c r="NLI337" s="1"/>
      <c r="NLJ337" s="1"/>
      <c r="NLK337" s="1"/>
      <c r="NLL337" s="1"/>
      <c r="NLM337" s="1"/>
      <c r="NLN337" s="1"/>
      <c r="NLO337" s="1"/>
      <c r="NLP337" s="1"/>
      <c r="NLQ337" s="1"/>
      <c r="NLR337" s="1"/>
      <c r="NLS337" s="1"/>
      <c r="NLT337" s="1"/>
      <c r="NLU337" s="1"/>
      <c r="NLV337" s="1"/>
      <c r="NLW337" s="1"/>
      <c r="NLX337" s="1"/>
      <c r="NLY337" s="1"/>
      <c r="NLZ337" s="1"/>
      <c r="NMA337" s="1"/>
      <c r="NMB337" s="1"/>
      <c r="NMC337" s="1"/>
      <c r="NMD337" s="1"/>
      <c r="NME337" s="1"/>
      <c r="NMF337" s="1"/>
      <c r="NMG337" s="1"/>
      <c r="NMH337" s="1"/>
      <c r="NMI337" s="1"/>
      <c r="NMJ337" s="1"/>
      <c r="NMK337" s="1"/>
      <c r="NML337" s="1"/>
      <c r="NMM337" s="1"/>
      <c r="NMN337" s="1"/>
      <c r="NMO337" s="1"/>
      <c r="NMP337" s="1"/>
      <c r="NMQ337" s="1"/>
      <c r="NMR337" s="1"/>
      <c r="NMS337" s="1"/>
      <c r="NMT337" s="1"/>
      <c r="NMU337" s="1"/>
      <c r="NMV337" s="1"/>
      <c r="NMW337" s="1"/>
      <c r="NMX337" s="1"/>
      <c r="NMY337" s="1"/>
      <c r="NMZ337" s="1"/>
      <c r="NNA337" s="1"/>
      <c r="NNB337" s="1"/>
      <c r="NNC337" s="1"/>
      <c r="NND337" s="1"/>
      <c r="NNE337" s="1"/>
      <c r="NNF337" s="1"/>
      <c r="NNG337" s="1"/>
      <c r="NNH337" s="1"/>
      <c r="NNI337" s="1"/>
      <c r="NNJ337" s="1"/>
      <c r="NNK337" s="1"/>
      <c r="NNL337" s="1"/>
      <c r="NNM337" s="1"/>
      <c r="NNN337" s="1"/>
      <c r="NNO337" s="1"/>
      <c r="NNP337" s="1"/>
      <c r="NNQ337" s="1"/>
      <c r="NNR337" s="1"/>
      <c r="NNS337" s="1"/>
      <c r="NNT337" s="1"/>
      <c r="NNU337" s="1"/>
      <c r="NNV337" s="1"/>
      <c r="NNW337" s="1"/>
      <c r="NNX337" s="1"/>
      <c r="NNY337" s="1"/>
      <c r="NNZ337" s="1"/>
      <c r="NOA337" s="1"/>
      <c r="NOB337" s="1"/>
      <c r="NOC337" s="1"/>
      <c r="NOD337" s="1"/>
      <c r="NOE337" s="1"/>
      <c r="NOF337" s="1"/>
      <c r="NOG337" s="1"/>
      <c r="NOH337" s="1"/>
      <c r="NOI337" s="1"/>
      <c r="NOJ337" s="1"/>
      <c r="NOK337" s="1"/>
      <c r="NOL337" s="1"/>
      <c r="NOM337" s="1"/>
      <c r="NON337" s="1"/>
      <c r="NOO337" s="1"/>
      <c r="NOP337" s="1"/>
      <c r="NOQ337" s="1"/>
      <c r="NOR337" s="1"/>
      <c r="NOS337" s="1"/>
      <c r="NOT337" s="1"/>
      <c r="NOU337" s="1"/>
      <c r="NOV337" s="1"/>
      <c r="NOW337" s="1"/>
      <c r="NOX337" s="1"/>
      <c r="NOY337" s="1"/>
      <c r="NOZ337" s="1"/>
      <c r="NPA337" s="1"/>
      <c r="NPB337" s="1"/>
      <c r="NPC337" s="1"/>
      <c r="NPD337" s="1"/>
      <c r="NPE337" s="1"/>
      <c r="NPF337" s="1"/>
      <c r="NPG337" s="1"/>
      <c r="NPH337" s="1"/>
      <c r="NPI337" s="1"/>
      <c r="NPJ337" s="1"/>
      <c r="NPK337" s="1"/>
      <c r="NPL337" s="1"/>
      <c r="NPM337" s="1"/>
      <c r="NPN337" s="1"/>
      <c r="NPO337" s="1"/>
      <c r="NPP337" s="1"/>
      <c r="NPQ337" s="1"/>
      <c r="NPR337" s="1"/>
      <c r="NPS337" s="1"/>
      <c r="NPT337" s="1"/>
      <c r="NPU337" s="1"/>
      <c r="NPV337" s="1"/>
      <c r="NPW337" s="1"/>
      <c r="NPX337" s="1"/>
      <c r="NPY337" s="1"/>
      <c r="NPZ337" s="1"/>
      <c r="NQA337" s="1"/>
      <c r="NQB337" s="1"/>
      <c r="NQC337" s="1"/>
      <c r="NQD337" s="1"/>
      <c r="NQE337" s="1"/>
      <c r="NQF337" s="1"/>
      <c r="NQG337" s="1"/>
      <c r="NQH337" s="1"/>
      <c r="NQI337" s="1"/>
      <c r="NQJ337" s="1"/>
      <c r="NQK337" s="1"/>
      <c r="NQL337" s="1"/>
      <c r="NQM337" s="1"/>
      <c r="NQN337" s="1"/>
      <c r="NQO337" s="1"/>
      <c r="NQP337" s="1"/>
      <c r="NQQ337" s="1"/>
      <c r="NQR337" s="1"/>
      <c r="NQS337" s="1"/>
      <c r="NQT337" s="1"/>
      <c r="NQU337" s="1"/>
      <c r="NQV337" s="1"/>
      <c r="NQW337" s="1"/>
      <c r="NQX337" s="1"/>
      <c r="NQY337" s="1"/>
      <c r="NQZ337" s="1"/>
      <c r="NRA337" s="1"/>
      <c r="NRB337" s="1"/>
      <c r="NRC337" s="1"/>
      <c r="NRD337" s="1"/>
      <c r="NRE337" s="1"/>
      <c r="NRF337" s="1"/>
      <c r="NRG337" s="1"/>
      <c r="NRH337" s="1"/>
      <c r="NRI337" s="1"/>
      <c r="NRJ337" s="1"/>
      <c r="NRK337" s="1"/>
      <c r="NRL337" s="1"/>
      <c r="NRM337" s="1"/>
      <c r="NRN337" s="1"/>
      <c r="NRO337" s="1"/>
      <c r="NRP337" s="1"/>
      <c r="NRQ337" s="1"/>
      <c r="NRR337" s="1"/>
      <c r="NRS337" s="1"/>
      <c r="NRT337" s="1"/>
      <c r="NRU337" s="1"/>
      <c r="NRV337" s="1"/>
      <c r="NRW337" s="1"/>
      <c r="NRX337" s="1"/>
      <c r="NRY337" s="1"/>
      <c r="NRZ337" s="1"/>
      <c r="NSA337" s="1"/>
      <c r="NSB337" s="1"/>
      <c r="NSC337" s="1"/>
      <c r="NSD337" s="1"/>
      <c r="NSE337" s="1"/>
      <c r="NSF337" s="1"/>
      <c r="NSG337" s="1"/>
      <c r="NSH337" s="1"/>
      <c r="NSI337" s="1"/>
      <c r="NSJ337" s="1"/>
      <c r="NSK337" s="1"/>
      <c r="NSL337" s="1"/>
      <c r="NSM337" s="1"/>
      <c r="NSN337" s="1"/>
      <c r="NSO337" s="1"/>
      <c r="NSP337" s="1"/>
      <c r="NSQ337" s="1"/>
      <c r="NSR337" s="1"/>
      <c r="NSS337" s="1"/>
      <c r="NST337" s="1"/>
      <c r="NSU337" s="1"/>
      <c r="NSV337" s="1"/>
      <c r="NSW337" s="1"/>
      <c r="NSX337" s="1"/>
      <c r="NSY337" s="1"/>
      <c r="NSZ337" s="1"/>
      <c r="NTA337" s="1"/>
      <c r="NTB337" s="1"/>
      <c r="NTC337" s="1"/>
      <c r="NTD337" s="1"/>
      <c r="NTE337" s="1"/>
      <c r="NTF337" s="1"/>
      <c r="NTG337" s="1"/>
      <c r="NTH337" s="1"/>
      <c r="NTI337" s="1"/>
      <c r="NTJ337" s="1"/>
      <c r="NTK337" s="1"/>
      <c r="NTL337" s="1"/>
      <c r="NTM337" s="1"/>
      <c r="NTN337" s="1"/>
      <c r="NTO337" s="1"/>
      <c r="NTP337" s="1"/>
      <c r="NTQ337" s="1"/>
      <c r="NTR337" s="1"/>
      <c r="NTS337" s="1"/>
      <c r="NTT337" s="1"/>
      <c r="NTU337" s="1"/>
      <c r="NTV337" s="1"/>
      <c r="NTW337" s="1"/>
      <c r="NTX337" s="1"/>
      <c r="NTY337" s="1"/>
      <c r="NTZ337" s="1"/>
      <c r="NUA337" s="1"/>
      <c r="NUB337" s="1"/>
      <c r="NUC337" s="1"/>
      <c r="NUD337" s="1"/>
      <c r="NUE337" s="1"/>
      <c r="NUF337" s="1"/>
      <c r="NUG337" s="1"/>
      <c r="NUH337" s="1"/>
      <c r="NUI337" s="1"/>
      <c r="NUJ337" s="1"/>
      <c r="NUK337" s="1"/>
      <c r="NUL337" s="1"/>
      <c r="NUM337" s="1"/>
      <c r="NUN337" s="1"/>
      <c r="NUO337" s="1"/>
      <c r="NUP337" s="1"/>
      <c r="NUQ337" s="1"/>
      <c r="NUR337" s="1"/>
      <c r="NUS337" s="1"/>
      <c r="NUT337" s="1"/>
      <c r="NUU337" s="1"/>
      <c r="NUV337" s="1"/>
      <c r="NUW337" s="1"/>
      <c r="NUX337" s="1"/>
      <c r="NUY337" s="1"/>
      <c r="NUZ337" s="1"/>
      <c r="NVA337" s="1"/>
      <c r="NVB337" s="1"/>
      <c r="NVC337" s="1"/>
      <c r="NVD337" s="1"/>
      <c r="NVE337" s="1"/>
      <c r="NVF337" s="1"/>
      <c r="NVG337" s="1"/>
      <c r="NVH337" s="1"/>
      <c r="NVI337" s="1"/>
      <c r="NVJ337" s="1"/>
      <c r="NVK337" s="1"/>
      <c r="NVL337" s="1"/>
      <c r="NVM337" s="1"/>
      <c r="NVN337" s="1"/>
      <c r="NVO337" s="1"/>
      <c r="NVP337" s="1"/>
      <c r="NVQ337" s="1"/>
      <c r="NVR337" s="1"/>
      <c r="NVS337" s="1"/>
      <c r="NVT337" s="1"/>
      <c r="NVU337" s="1"/>
      <c r="NVV337" s="1"/>
      <c r="NVW337" s="1"/>
      <c r="NVX337" s="1"/>
      <c r="NVY337" s="1"/>
      <c r="NVZ337" s="1"/>
      <c r="NWA337" s="1"/>
      <c r="NWB337" s="1"/>
      <c r="NWC337" s="1"/>
      <c r="NWD337" s="1"/>
      <c r="NWE337" s="1"/>
      <c r="NWF337" s="1"/>
      <c r="NWG337" s="1"/>
      <c r="NWH337" s="1"/>
      <c r="NWI337" s="1"/>
      <c r="NWJ337" s="1"/>
      <c r="NWK337" s="1"/>
      <c r="NWL337" s="1"/>
      <c r="NWM337" s="1"/>
      <c r="NWN337" s="1"/>
      <c r="NWO337" s="1"/>
      <c r="NWP337" s="1"/>
      <c r="NWQ337" s="1"/>
      <c r="NWR337" s="1"/>
      <c r="NWS337" s="1"/>
      <c r="NWT337" s="1"/>
      <c r="NWU337" s="1"/>
      <c r="NWV337" s="1"/>
      <c r="NWW337" s="1"/>
      <c r="NWX337" s="1"/>
      <c r="NWY337" s="1"/>
      <c r="NWZ337" s="1"/>
      <c r="NXA337" s="1"/>
      <c r="NXB337" s="1"/>
      <c r="NXC337" s="1"/>
      <c r="NXD337" s="1"/>
      <c r="NXE337" s="1"/>
      <c r="NXF337" s="1"/>
      <c r="NXG337" s="1"/>
      <c r="NXH337" s="1"/>
      <c r="NXI337" s="1"/>
      <c r="NXJ337" s="1"/>
      <c r="NXK337" s="1"/>
      <c r="NXL337" s="1"/>
      <c r="NXM337" s="1"/>
      <c r="NXN337" s="1"/>
      <c r="NXO337" s="1"/>
      <c r="NXP337" s="1"/>
      <c r="NXQ337" s="1"/>
      <c r="NXR337" s="1"/>
      <c r="NXS337" s="1"/>
      <c r="NXT337" s="1"/>
      <c r="NXU337" s="1"/>
      <c r="NXV337" s="1"/>
      <c r="NXW337" s="1"/>
      <c r="NXX337" s="1"/>
      <c r="NXY337" s="1"/>
      <c r="NXZ337" s="1"/>
      <c r="NYA337" s="1"/>
      <c r="NYB337" s="1"/>
      <c r="NYC337" s="1"/>
      <c r="NYD337" s="1"/>
      <c r="NYE337" s="1"/>
      <c r="NYF337" s="1"/>
      <c r="NYG337" s="1"/>
      <c r="NYH337" s="1"/>
      <c r="NYI337" s="1"/>
      <c r="NYJ337" s="1"/>
      <c r="NYK337" s="1"/>
      <c r="NYL337" s="1"/>
      <c r="NYM337" s="1"/>
      <c r="NYN337" s="1"/>
      <c r="NYO337" s="1"/>
      <c r="NYP337" s="1"/>
      <c r="NYQ337" s="1"/>
      <c r="NYR337" s="1"/>
      <c r="NYS337" s="1"/>
      <c r="NYT337" s="1"/>
      <c r="NYU337" s="1"/>
      <c r="NYV337" s="1"/>
      <c r="NYW337" s="1"/>
      <c r="NYX337" s="1"/>
      <c r="NYY337" s="1"/>
      <c r="NYZ337" s="1"/>
      <c r="NZA337" s="1"/>
      <c r="NZB337" s="1"/>
      <c r="NZC337" s="1"/>
      <c r="NZD337" s="1"/>
      <c r="NZE337" s="1"/>
      <c r="NZF337" s="1"/>
      <c r="NZG337" s="1"/>
      <c r="NZH337" s="1"/>
      <c r="NZI337" s="1"/>
      <c r="NZJ337" s="1"/>
      <c r="NZK337" s="1"/>
      <c r="NZL337" s="1"/>
      <c r="NZM337" s="1"/>
      <c r="NZN337" s="1"/>
      <c r="NZO337" s="1"/>
      <c r="NZP337" s="1"/>
      <c r="NZQ337" s="1"/>
      <c r="NZR337" s="1"/>
      <c r="NZS337" s="1"/>
      <c r="NZT337" s="1"/>
      <c r="NZU337" s="1"/>
      <c r="NZV337" s="1"/>
      <c r="NZW337" s="1"/>
      <c r="NZX337" s="1"/>
      <c r="NZY337" s="1"/>
      <c r="NZZ337" s="1"/>
      <c r="OAA337" s="1"/>
      <c r="OAB337" s="1"/>
      <c r="OAC337" s="1"/>
      <c r="OAD337" s="1"/>
      <c r="OAE337" s="1"/>
      <c r="OAF337" s="1"/>
      <c r="OAG337" s="1"/>
      <c r="OAH337" s="1"/>
      <c r="OAI337" s="1"/>
      <c r="OAJ337" s="1"/>
      <c r="OAK337" s="1"/>
      <c r="OAL337" s="1"/>
      <c r="OAM337" s="1"/>
      <c r="OAN337" s="1"/>
      <c r="OAO337" s="1"/>
      <c r="OAP337" s="1"/>
      <c r="OAQ337" s="1"/>
      <c r="OAR337" s="1"/>
      <c r="OAS337" s="1"/>
      <c r="OAT337" s="1"/>
      <c r="OAU337" s="1"/>
      <c r="OAV337" s="1"/>
      <c r="OAW337" s="1"/>
      <c r="OAX337" s="1"/>
      <c r="OAY337" s="1"/>
      <c r="OAZ337" s="1"/>
      <c r="OBA337" s="1"/>
      <c r="OBB337" s="1"/>
      <c r="OBC337" s="1"/>
      <c r="OBD337" s="1"/>
      <c r="OBE337" s="1"/>
      <c r="OBF337" s="1"/>
      <c r="OBG337" s="1"/>
      <c r="OBH337" s="1"/>
      <c r="OBI337" s="1"/>
      <c r="OBJ337" s="1"/>
      <c r="OBK337" s="1"/>
      <c r="OBL337" s="1"/>
      <c r="OBM337" s="1"/>
      <c r="OBN337" s="1"/>
      <c r="OBO337" s="1"/>
      <c r="OBP337" s="1"/>
      <c r="OBQ337" s="1"/>
      <c r="OBR337" s="1"/>
      <c r="OBS337" s="1"/>
      <c r="OBT337" s="1"/>
      <c r="OBU337" s="1"/>
      <c r="OBV337" s="1"/>
      <c r="OBW337" s="1"/>
      <c r="OBX337" s="1"/>
      <c r="OBY337" s="1"/>
      <c r="OBZ337" s="1"/>
      <c r="OCA337" s="1"/>
      <c r="OCB337" s="1"/>
      <c r="OCC337" s="1"/>
      <c r="OCD337" s="1"/>
      <c r="OCE337" s="1"/>
      <c r="OCF337" s="1"/>
      <c r="OCG337" s="1"/>
      <c r="OCH337" s="1"/>
      <c r="OCI337" s="1"/>
      <c r="OCJ337" s="1"/>
      <c r="OCK337" s="1"/>
      <c r="OCL337" s="1"/>
      <c r="OCM337" s="1"/>
      <c r="OCN337" s="1"/>
      <c r="OCO337" s="1"/>
      <c r="OCP337" s="1"/>
      <c r="OCQ337" s="1"/>
      <c r="OCR337" s="1"/>
      <c r="OCS337" s="1"/>
      <c r="OCT337" s="1"/>
      <c r="OCU337" s="1"/>
      <c r="OCV337" s="1"/>
      <c r="OCW337" s="1"/>
      <c r="OCX337" s="1"/>
      <c r="OCY337" s="1"/>
      <c r="OCZ337" s="1"/>
      <c r="ODA337" s="1"/>
      <c r="ODB337" s="1"/>
      <c r="ODC337" s="1"/>
      <c r="ODD337" s="1"/>
      <c r="ODE337" s="1"/>
      <c r="ODF337" s="1"/>
      <c r="ODG337" s="1"/>
      <c r="ODH337" s="1"/>
      <c r="ODI337" s="1"/>
      <c r="ODJ337" s="1"/>
      <c r="ODK337" s="1"/>
      <c r="ODL337" s="1"/>
      <c r="ODM337" s="1"/>
      <c r="ODN337" s="1"/>
      <c r="ODO337" s="1"/>
      <c r="ODP337" s="1"/>
      <c r="ODQ337" s="1"/>
      <c r="ODR337" s="1"/>
      <c r="ODS337" s="1"/>
      <c r="ODT337" s="1"/>
      <c r="ODU337" s="1"/>
      <c r="ODV337" s="1"/>
      <c r="ODW337" s="1"/>
      <c r="ODX337" s="1"/>
      <c r="ODY337" s="1"/>
      <c r="ODZ337" s="1"/>
      <c r="OEA337" s="1"/>
      <c r="OEB337" s="1"/>
      <c r="OEC337" s="1"/>
      <c r="OED337" s="1"/>
      <c r="OEE337" s="1"/>
      <c r="OEF337" s="1"/>
      <c r="OEG337" s="1"/>
      <c r="OEH337" s="1"/>
      <c r="OEI337" s="1"/>
      <c r="OEJ337" s="1"/>
      <c r="OEK337" s="1"/>
      <c r="OEL337" s="1"/>
      <c r="OEM337" s="1"/>
      <c r="OEN337" s="1"/>
      <c r="OEO337" s="1"/>
      <c r="OEP337" s="1"/>
      <c r="OEQ337" s="1"/>
      <c r="OER337" s="1"/>
      <c r="OES337" s="1"/>
      <c r="OET337" s="1"/>
      <c r="OEU337" s="1"/>
      <c r="OEV337" s="1"/>
      <c r="OEW337" s="1"/>
      <c r="OEX337" s="1"/>
      <c r="OEY337" s="1"/>
      <c r="OEZ337" s="1"/>
      <c r="OFA337" s="1"/>
      <c r="OFB337" s="1"/>
      <c r="OFC337" s="1"/>
      <c r="OFD337" s="1"/>
      <c r="OFE337" s="1"/>
      <c r="OFF337" s="1"/>
      <c r="OFG337" s="1"/>
      <c r="OFH337" s="1"/>
      <c r="OFI337" s="1"/>
      <c r="OFJ337" s="1"/>
      <c r="OFK337" s="1"/>
      <c r="OFL337" s="1"/>
      <c r="OFM337" s="1"/>
      <c r="OFN337" s="1"/>
      <c r="OFO337" s="1"/>
      <c r="OFP337" s="1"/>
      <c r="OFQ337" s="1"/>
      <c r="OFR337" s="1"/>
      <c r="OFS337" s="1"/>
      <c r="OFT337" s="1"/>
      <c r="OFU337" s="1"/>
      <c r="OFV337" s="1"/>
      <c r="OFW337" s="1"/>
      <c r="OFX337" s="1"/>
      <c r="OFY337" s="1"/>
      <c r="OFZ337" s="1"/>
      <c r="OGA337" s="1"/>
      <c r="OGB337" s="1"/>
      <c r="OGC337" s="1"/>
      <c r="OGD337" s="1"/>
      <c r="OGE337" s="1"/>
      <c r="OGF337" s="1"/>
      <c r="OGG337" s="1"/>
      <c r="OGH337" s="1"/>
      <c r="OGI337" s="1"/>
      <c r="OGJ337" s="1"/>
      <c r="OGK337" s="1"/>
      <c r="OGL337" s="1"/>
      <c r="OGM337" s="1"/>
      <c r="OGN337" s="1"/>
      <c r="OGO337" s="1"/>
      <c r="OGP337" s="1"/>
      <c r="OGQ337" s="1"/>
      <c r="OGR337" s="1"/>
      <c r="OGS337" s="1"/>
      <c r="OGT337" s="1"/>
      <c r="OGU337" s="1"/>
      <c r="OGV337" s="1"/>
      <c r="OGW337" s="1"/>
      <c r="OGX337" s="1"/>
      <c r="OGY337" s="1"/>
      <c r="OGZ337" s="1"/>
      <c r="OHA337" s="1"/>
      <c r="OHB337" s="1"/>
      <c r="OHC337" s="1"/>
      <c r="OHD337" s="1"/>
      <c r="OHE337" s="1"/>
      <c r="OHF337" s="1"/>
      <c r="OHG337" s="1"/>
      <c r="OHH337" s="1"/>
      <c r="OHI337" s="1"/>
      <c r="OHJ337" s="1"/>
      <c r="OHK337" s="1"/>
      <c r="OHL337" s="1"/>
      <c r="OHM337" s="1"/>
      <c r="OHN337" s="1"/>
      <c r="OHO337" s="1"/>
      <c r="OHP337" s="1"/>
      <c r="OHQ337" s="1"/>
      <c r="OHR337" s="1"/>
      <c r="OHS337" s="1"/>
      <c r="OHT337" s="1"/>
      <c r="OHU337" s="1"/>
      <c r="OHV337" s="1"/>
      <c r="OHW337" s="1"/>
      <c r="OHX337" s="1"/>
      <c r="OHY337" s="1"/>
      <c r="OHZ337" s="1"/>
      <c r="OIA337" s="1"/>
      <c r="OIB337" s="1"/>
      <c r="OIC337" s="1"/>
      <c r="OID337" s="1"/>
      <c r="OIE337" s="1"/>
      <c r="OIF337" s="1"/>
      <c r="OIG337" s="1"/>
      <c r="OIH337" s="1"/>
      <c r="OII337" s="1"/>
      <c r="OIJ337" s="1"/>
      <c r="OIK337" s="1"/>
      <c r="OIL337" s="1"/>
      <c r="OIM337" s="1"/>
      <c r="OIN337" s="1"/>
      <c r="OIO337" s="1"/>
      <c r="OIP337" s="1"/>
      <c r="OIQ337" s="1"/>
      <c r="OIR337" s="1"/>
      <c r="OIS337" s="1"/>
      <c r="OIT337" s="1"/>
      <c r="OIU337" s="1"/>
      <c r="OIV337" s="1"/>
      <c r="OIW337" s="1"/>
      <c r="OIX337" s="1"/>
      <c r="OIY337" s="1"/>
      <c r="OIZ337" s="1"/>
      <c r="OJA337" s="1"/>
      <c r="OJB337" s="1"/>
      <c r="OJC337" s="1"/>
      <c r="OJD337" s="1"/>
      <c r="OJE337" s="1"/>
      <c r="OJF337" s="1"/>
      <c r="OJG337" s="1"/>
      <c r="OJH337" s="1"/>
      <c r="OJI337" s="1"/>
      <c r="OJJ337" s="1"/>
      <c r="OJK337" s="1"/>
      <c r="OJL337" s="1"/>
      <c r="OJM337" s="1"/>
      <c r="OJN337" s="1"/>
      <c r="OJO337" s="1"/>
      <c r="OJP337" s="1"/>
      <c r="OJQ337" s="1"/>
      <c r="OJR337" s="1"/>
      <c r="OJS337" s="1"/>
      <c r="OJT337" s="1"/>
      <c r="OJU337" s="1"/>
      <c r="OJV337" s="1"/>
      <c r="OJW337" s="1"/>
      <c r="OJX337" s="1"/>
      <c r="OJY337" s="1"/>
      <c r="OJZ337" s="1"/>
      <c r="OKA337" s="1"/>
      <c r="OKB337" s="1"/>
      <c r="OKC337" s="1"/>
      <c r="OKD337" s="1"/>
      <c r="OKE337" s="1"/>
      <c r="OKF337" s="1"/>
      <c r="OKG337" s="1"/>
      <c r="OKH337" s="1"/>
      <c r="OKI337" s="1"/>
      <c r="OKJ337" s="1"/>
      <c r="OKK337" s="1"/>
      <c r="OKL337" s="1"/>
      <c r="OKM337" s="1"/>
      <c r="OKN337" s="1"/>
      <c r="OKO337" s="1"/>
      <c r="OKP337" s="1"/>
      <c r="OKQ337" s="1"/>
      <c r="OKR337" s="1"/>
      <c r="OKS337" s="1"/>
      <c r="OKT337" s="1"/>
      <c r="OKU337" s="1"/>
      <c r="OKV337" s="1"/>
      <c r="OKW337" s="1"/>
      <c r="OKX337" s="1"/>
      <c r="OKY337" s="1"/>
      <c r="OKZ337" s="1"/>
      <c r="OLA337" s="1"/>
      <c r="OLB337" s="1"/>
      <c r="OLC337" s="1"/>
      <c r="OLD337" s="1"/>
      <c r="OLE337" s="1"/>
      <c r="OLF337" s="1"/>
      <c r="OLG337" s="1"/>
      <c r="OLH337" s="1"/>
      <c r="OLI337" s="1"/>
      <c r="OLJ337" s="1"/>
      <c r="OLK337" s="1"/>
      <c r="OLL337" s="1"/>
      <c r="OLM337" s="1"/>
      <c r="OLN337" s="1"/>
      <c r="OLO337" s="1"/>
      <c r="OLP337" s="1"/>
      <c r="OLQ337" s="1"/>
      <c r="OLR337" s="1"/>
      <c r="OLS337" s="1"/>
      <c r="OLT337" s="1"/>
      <c r="OLU337" s="1"/>
      <c r="OLV337" s="1"/>
      <c r="OLW337" s="1"/>
      <c r="OLX337" s="1"/>
      <c r="OLY337" s="1"/>
      <c r="OLZ337" s="1"/>
      <c r="OMA337" s="1"/>
      <c r="OMB337" s="1"/>
      <c r="OMC337" s="1"/>
      <c r="OMD337" s="1"/>
      <c r="OME337" s="1"/>
      <c r="OMF337" s="1"/>
      <c r="OMG337" s="1"/>
      <c r="OMH337" s="1"/>
      <c r="OMI337" s="1"/>
      <c r="OMJ337" s="1"/>
      <c r="OMK337" s="1"/>
      <c r="OML337" s="1"/>
      <c r="OMM337" s="1"/>
      <c r="OMN337" s="1"/>
      <c r="OMO337" s="1"/>
      <c r="OMP337" s="1"/>
      <c r="OMQ337" s="1"/>
      <c r="OMR337" s="1"/>
      <c r="OMS337" s="1"/>
      <c r="OMT337" s="1"/>
      <c r="OMU337" s="1"/>
      <c r="OMV337" s="1"/>
      <c r="OMW337" s="1"/>
      <c r="OMX337" s="1"/>
      <c r="OMY337" s="1"/>
      <c r="OMZ337" s="1"/>
      <c r="ONA337" s="1"/>
      <c r="ONB337" s="1"/>
      <c r="ONC337" s="1"/>
      <c r="OND337" s="1"/>
      <c r="ONE337" s="1"/>
      <c r="ONF337" s="1"/>
      <c r="ONG337" s="1"/>
      <c r="ONH337" s="1"/>
      <c r="ONI337" s="1"/>
      <c r="ONJ337" s="1"/>
      <c r="ONK337" s="1"/>
      <c r="ONL337" s="1"/>
      <c r="ONM337" s="1"/>
      <c r="ONN337" s="1"/>
      <c r="ONO337" s="1"/>
      <c r="ONP337" s="1"/>
      <c r="ONQ337" s="1"/>
      <c r="ONR337" s="1"/>
      <c r="ONS337" s="1"/>
      <c r="ONT337" s="1"/>
      <c r="ONU337" s="1"/>
      <c r="ONV337" s="1"/>
      <c r="ONW337" s="1"/>
      <c r="ONX337" s="1"/>
      <c r="ONY337" s="1"/>
      <c r="ONZ337" s="1"/>
      <c r="OOA337" s="1"/>
      <c r="OOB337" s="1"/>
      <c r="OOC337" s="1"/>
      <c r="OOD337" s="1"/>
      <c r="OOE337" s="1"/>
      <c r="OOF337" s="1"/>
      <c r="OOG337" s="1"/>
      <c r="OOH337" s="1"/>
      <c r="OOI337" s="1"/>
      <c r="OOJ337" s="1"/>
      <c r="OOK337" s="1"/>
      <c r="OOL337" s="1"/>
      <c r="OOM337" s="1"/>
      <c r="OON337" s="1"/>
      <c r="OOO337" s="1"/>
      <c r="OOP337" s="1"/>
      <c r="OOQ337" s="1"/>
      <c r="OOR337" s="1"/>
      <c r="OOS337" s="1"/>
      <c r="OOT337" s="1"/>
      <c r="OOU337" s="1"/>
      <c r="OOV337" s="1"/>
      <c r="OOW337" s="1"/>
      <c r="OOX337" s="1"/>
      <c r="OOY337" s="1"/>
      <c r="OOZ337" s="1"/>
      <c r="OPA337" s="1"/>
      <c r="OPB337" s="1"/>
      <c r="OPC337" s="1"/>
      <c r="OPD337" s="1"/>
      <c r="OPE337" s="1"/>
      <c r="OPF337" s="1"/>
      <c r="OPG337" s="1"/>
      <c r="OPH337" s="1"/>
      <c r="OPI337" s="1"/>
      <c r="OPJ337" s="1"/>
      <c r="OPK337" s="1"/>
      <c r="OPL337" s="1"/>
      <c r="OPM337" s="1"/>
      <c r="OPN337" s="1"/>
      <c r="OPO337" s="1"/>
      <c r="OPP337" s="1"/>
      <c r="OPQ337" s="1"/>
      <c r="OPR337" s="1"/>
      <c r="OPS337" s="1"/>
      <c r="OPT337" s="1"/>
      <c r="OPU337" s="1"/>
      <c r="OPV337" s="1"/>
      <c r="OPW337" s="1"/>
      <c r="OPX337" s="1"/>
      <c r="OPY337" s="1"/>
      <c r="OPZ337" s="1"/>
      <c r="OQA337" s="1"/>
      <c r="OQB337" s="1"/>
      <c r="OQC337" s="1"/>
      <c r="OQD337" s="1"/>
      <c r="OQE337" s="1"/>
      <c r="OQF337" s="1"/>
      <c r="OQG337" s="1"/>
      <c r="OQH337" s="1"/>
      <c r="OQI337" s="1"/>
      <c r="OQJ337" s="1"/>
      <c r="OQK337" s="1"/>
      <c r="OQL337" s="1"/>
      <c r="OQM337" s="1"/>
      <c r="OQN337" s="1"/>
      <c r="OQO337" s="1"/>
      <c r="OQP337" s="1"/>
      <c r="OQQ337" s="1"/>
      <c r="OQR337" s="1"/>
      <c r="OQS337" s="1"/>
      <c r="OQT337" s="1"/>
      <c r="OQU337" s="1"/>
      <c r="OQV337" s="1"/>
      <c r="OQW337" s="1"/>
      <c r="OQX337" s="1"/>
      <c r="OQY337" s="1"/>
      <c r="OQZ337" s="1"/>
      <c r="ORA337" s="1"/>
      <c r="ORB337" s="1"/>
      <c r="ORC337" s="1"/>
      <c r="ORD337" s="1"/>
      <c r="ORE337" s="1"/>
      <c r="ORF337" s="1"/>
      <c r="ORG337" s="1"/>
      <c r="ORH337" s="1"/>
      <c r="ORI337" s="1"/>
      <c r="ORJ337" s="1"/>
      <c r="ORK337" s="1"/>
      <c r="ORL337" s="1"/>
      <c r="ORM337" s="1"/>
      <c r="ORN337" s="1"/>
      <c r="ORO337" s="1"/>
      <c r="ORP337" s="1"/>
      <c r="ORQ337" s="1"/>
      <c r="ORR337" s="1"/>
      <c r="ORS337" s="1"/>
      <c r="ORT337" s="1"/>
      <c r="ORU337" s="1"/>
      <c r="ORV337" s="1"/>
      <c r="ORW337" s="1"/>
      <c r="ORX337" s="1"/>
      <c r="ORY337" s="1"/>
      <c r="ORZ337" s="1"/>
      <c r="OSA337" s="1"/>
      <c r="OSB337" s="1"/>
      <c r="OSC337" s="1"/>
      <c r="OSD337" s="1"/>
      <c r="OSE337" s="1"/>
      <c r="OSF337" s="1"/>
      <c r="OSG337" s="1"/>
      <c r="OSH337" s="1"/>
      <c r="OSI337" s="1"/>
      <c r="OSJ337" s="1"/>
      <c r="OSK337" s="1"/>
      <c r="OSL337" s="1"/>
      <c r="OSM337" s="1"/>
      <c r="OSN337" s="1"/>
      <c r="OSO337" s="1"/>
      <c r="OSP337" s="1"/>
      <c r="OSQ337" s="1"/>
      <c r="OSR337" s="1"/>
      <c r="OSS337" s="1"/>
      <c r="OST337" s="1"/>
      <c r="OSU337" s="1"/>
      <c r="OSV337" s="1"/>
      <c r="OSW337" s="1"/>
      <c r="OSX337" s="1"/>
      <c r="OSY337" s="1"/>
      <c r="OSZ337" s="1"/>
      <c r="OTA337" s="1"/>
      <c r="OTB337" s="1"/>
      <c r="OTC337" s="1"/>
      <c r="OTD337" s="1"/>
      <c r="OTE337" s="1"/>
      <c r="OTF337" s="1"/>
      <c r="OTG337" s="1"/>
      <c r="OTH337" s="1"/>
      <c r="OTI337" s="1"/>
      <c r="OTJ337" s="1"/>
      <c r="OTK337" s="1"/>
      <c r="OTL337" s="1"/>
      <c r="OTM337" s="1"/>
      <c r="OTN337" s="1"/>
      <c r="OTO337" s="1"/>
      <c r="OTP337" s="1"/>
      <c r="OTQ337" s="1"/>
      <c r="OTR337" s="1"/>
      <c r="OTS337" s="1"/>
      <c r="OTT337" s="1"/>
      <c r="OTU337" s="1"/>
      <c r="OTV337" s="1"/>
      <c r="OTW337" s="1"/>
      <c r="OTX337" s="1"/>
      <c r="OTY337" s="1"/>
      <c r="OTZ337" s="1"/>
      <c r="OUA337" s="1"/>
      <c r="OUB337" s="1"/>
      <c r="OUC337" s="1"/>
      <c r="OUD337" s="1"/>
      <c r="OUE337" s="1"/>
      <c r="OUF337" s="1"/>
      <c r="OUG337" s="1"/>
      <c r="OUH337" s="1"/>
      <c r="OUI337" s="1"/>
      <c r="OUJ337" s="1"/>
      <c r="OUK337" s="1"/>
      <c r="OUL337" s="1"/>
      <c r="OUM337" s="1"/>
      <c r="OUN337" s="1"/>
      <c r="OUO337" s="1"/>
      <c r="OUP337" s="1"/>
      <c r="OUQ337" s="1"/>
      <c r="OUR337" s="1"/>
      <c r="OUS337" s="1"/>
      <c r="OUT337" s="1"/>
      <c r="OUU337" s="1"/>
      <c r="OUV337" s="1"/>
      <c r="OUW337" s="1"/>
      <c r="OUX337" s="1"/>
      <c r="OUY337" s="1"/>
      <c r="OUZ337" s="1"/>
      <c r="OVA337" s="1"/>
      <c r="OVB337" s="1"/>
      <c r="OVC337" s="1"/>
      <c r="OVD337" s="1"/>
      <c r="OVE337" s="1"/>
      <c r="OVF337" s="1"/>
      <c r="OVG337" s="1"/>
      <c r="OVH337" s="1"/>
      <c r="OVI337" s="1"/>
      <c r="OVJ337" s="1"/>
      <c r="OVK337" s="1"/>
      <c r="OVL337" s="1"/>
      <c r="OVM337" s="1"/>
      <c r="OVN337" s="1"/>
      <c r="OVO337" s="1"/>
      <c r="OVP337" s="1"/>
      <c r="OVQ337" s="1"/>
      <c r="OVR337" s="1"/>
      <c r="OVS337" s="1"/>
      <c r="OVT337" s="1"/>
      <c r="OVU337" s="1"/>
      <c r="OVV337" s="1"/>
      <c r="OVW337" s="1"/>
      <c r="OVX337" s="1"/>
      <c r="OVY337" s="1"/>
      <c r="OVZ337" s="1"/>
      <c r="OWA337" s="1"/>
      <c r="OWB337" s="1"/>
      <c r="OWC337" s="1"/>
      <c r="OWD337" s="1"/>
      <c r="OWE337" s="1"/>
      <c r="OWF337" s="1"/>
      <c r="OWG337" s="1"/>
      <c r="OWH337" s="1"/>
      <c r="OWI337" s="1"/>
      <c r="OWJ337" s="1"/>
      <c r="OWK337" s="1"/>
      <c r="OWL337" s="1"/>
      <c r="OWM337" s="1"/>
      <c r="OWN337" s="1"/>
      <c r="OWO337" s="1"/>
      <c r="OWP337" s="1"/>
      <c r="OWQ337" s="1"/>
      <c r="OWR337" s="1"/>
      <c r="OWS337" s="1"/>
      <c r="OWT337" s="1"/>
      <c r="OWU337" s="1"/>
      <c r="OWV337" s="1"/>
      <c r="OWW337" s="1"/>
      <c r="OWX337" s="1"/>
      <c r="OWY337" s="1"/>
      <c r="OWZ337" s="1"/>
      <c r="OXA337" s="1"/>
      <c r="OXB337" s="1"/>
      <c r="OXC337" s="1"/>
      <c r="OXD337" s="1"/>
      <c r="OXE337" s="1"/>
      <c r="OXF337" s="1"/>
      <c r="OXG337" s="1"/>
      <c r="OXH337" s="1"/>
      <c r="OXI337" s="1"/>
      <c r="OXJ337" s="1"/>
      <c r="OXK337" s="1"/>
      <c r="OXL337" s="1"/>
      <c r="OXM337" s="1"/>
      <c r="OXN337" s="1"/>
      <c r="OXO337" s="1"/>
      <c r="OXP337" s="1"/>
      <c r="OXQ337" s="1"/>
      <c r="OXR337" s="1"/>
      <c r="OXS337" s="1"/>
      <c r="OXT337" s="1"/>
      <c r="OXU337" s="1"/>
      <c r="OXV337" s="1"/>
      <c r="OXW337" s="1"/>
      <c r="OXX337" s="1"/>
      <c r="OXY337" s="1"/>
      <c r="OXZ337" s="1"/>
      <c r="OYA337" s="1"/>
      <c r="OYB337" s="1"/>
      <c r="OYC337" s="1"/>
      <c r="OYD337" s="1"/>
      <c r="OYE337" s="1"/>
      <c r="OYF337" s="1"/>
      <c r="OYG337" s="1"/>
      <c r="OYH337" s="1"/>
      <c r="OYI337" s="1"/>
      <c r="OYJ337" s="1"/>
      <c r="OYK337" s="1"/>
      <c r="OYL337" s="1"/>
      <c r="OYM337" s="1"/>
      <c r="OYN337" s="1"/>
      <c r="OYO337" s="1"/>
      <c r="OYP337" s="1"/>
      <c r="OYQ337" s="1"/>
      <c r="OYR337" s="1"/>
      <c r="OYS337" s="1"/>
      <c r="OYT337" s="1"/>
      <c r="OYU337" s="1"/>
      <c r="OYV337" s="1"/>
      <c r="OYW337" s="1"/>
      <c r="OYX337" s="1"/>
      <c r="OYY337" s="1"/>
      <c r="OYZ337" s="1"/>
      <c r="OZA337" s="1"/>
      <c r="OZB337" s="1"/>
      <c r="OZC337" s="1"/>
      <c r="OZD337" s="1"/>
      <c r="OZE337" s="1"/>
      <c r="OZF337" s="1"/>
      <c r="OZG337" s="1"/>
      <c r="OZH337" s="1"/>
      <c r="OZI337" s="1"/>
      <c r="OZJ337" s="1"/>
      <c r="OZK337" s="1"/>
      <c r="OZL337" s="1"/>
      <c r="OZM337" s="1"/>
      <c r="OZN337" s="1"/>
      <c r="OZO337" s="1"/>
      <c r="OZP337" s="1"/>
      <c r="OZQ337" s="1"/>
      <c r="OZR337" s="1"/>
      <c r="OZS337" s="1"/>
      <c r="OZT337" s="1"/>
      <c r="OZU337" s="1"/>
      <c r="OZV337" s="1"/>
      <c r="OZW337" s="1"/>
      <c r="OZX337" s="1"/>
      <c r="OZY337" s="1"/>
      <c r="OZZ337" s="1"/>
      <c r="PAA337" s="1"/>
      <c r="PAB337" s="1"/>
      <c r="PAC337" s="1"/>
      <c r="PAD337" s="1"/>
      <c r="PAE337" s="1"/>
      <c r="PAF337" s="1"/>
      <c r="PAG337" s="1"/>
      <c r="PAH337" s="1"/>
      <c r="PAI337" s="1"/>
      <c r="PAJ337" s="1"/>
      <c r="PAK337" s="1"/>
      <c r="PAL337" s="1"/>
      <c r="PAM337" s="1"/>
      <c r="PAN337" s="1"/>
      <c r="PAO337" s="1"/>
      <c r="PAP337" s="1"/>
      <c r="PAQ337" s="1"/>
      <c r="PAR337" s="1"/>
      <c r="PAS337" s="1"/>
      <c r="PAT337" s="1"/>
      <c r="PAU337" s="1"/>
      <c r="PAV337" s="1"/>
      <c r="PAW337" s="1"/>
      <c r="PAX337" s="1"/>
      <c r="PAY337" s="1"/>
      <c r="PAZ337" s="1"/>
      <c r="PBA337" s="1"/>
      <c r="PBB337" s="1"/>
      <c r="PBC337" s="1"/>
      <c r="PBD337" s="1"/>
      <c r="PBE337" s="1"/>
      <c r="PBF337" s="1"/>
      <c r="PBG337" s="1"/>
      <c r="PBH337" s="1"/>
      <c r="PBI337" s="1"/>
      <c r="PBJ337" s="1"/>
      <c r="PBK337" s="1"/>
      <c r="PBL337" s="1"/>
      <c r="PBM337" s="1"/>
      <c r="PBN337" s="1"/>
      <c r="PBO337" s="1"/>
      <c r="PBP337" s="1"/>
      <c r="PBQ337" s="1"/>
      <c r="PBR337" s="1"/>
      <c r="PBS337" s="1"/>
      <c r="PBT337" s="1"/>
      <c r="PBU337" s="1"/>
      <c r="PBV337" s="1"/>
      <c r="PBW337" s="1"/>
      <c r="PBX337" s="1"/>
      <c r="PBY337" s="1"/>
      <c r="PBZ337" s="1"/>
      <c r="PCA337" s="1"/>
      <c r="PCB337" s="1"/>
      <c r="PCC337" s="1"/>
      <c r="PCD337" s="1"/>
      <c r="PCE337" s="1"/>
      <c r="PCF337" s="1"/>
      <c r="PCG337" s="1"/>
      <c r="PCH337" s="1"/>
      <c r="PCI337" s="1"/>
      <c r="PCJ337" s="1"/>
      <c r="PCK337" s="1"/>
      <c r="PCL337" s="1"/>
      <c r="PCM337" s="1"/>
      <c r="PCN337" s="1"/>
      <c r="PCO337" s="1"/>
      <c r="PCP337" s="1"/>
      <c r="PCQ337" s="1"/>
      <c r="PCR337" s="1"/>
      <c r="PCS337" s="1"/>
      <c r="PCT337" s="1"/>
      <c r="PCU337" s="1"/>
      <c r="PCV337" s="1"/>
      <c r="PCW337" s="1"/>
      <c r="PCX337" s="1"/>
      <c r="PCY337" s="1"/>
      <c r="PCZ337" s="1"/>
      <c r="PDA337" s="1"/>
      <c r="PDB337" s="1"/>
      <c r="PDC337" s="1"/>
      <c r="PDD337" s="1"/>
      <c r="PDE337" s="1"/>
      <c r="PDF337" s="1"/>
      <c r="PDG337" s="1"/>
      <c r="PDH337" s="1"/>
      <c r="PDI337" s="1"/>
      <c r="PDJ337" s="1"/>
      <c r="PDK337" s="1"/>
      <c r="PDL337" s="1"/>
      <c r="PDM337" s="1"/>
      <c r="PDN337" s="1"/>
      <c r="PDO337" s="1"/>
      <c r="PDP337" s="1"/>
      <c r="PDQ337" s="1"/>
      <c r="PDR337" s="1"/>
      <c r="PDS337" s="1"/>
      <c r="PDT337" s="1"/>
      <c r="PDU337" s="1"/>
      <c r="PDV337" s="1"/>
      <c r="PDW337" s="1"/>
      <c r="PDX337" s="1"/>
      <c r="PDY337" s="1"/>
      <c r="PDZ337" s="1"/>
      <c r="PEA337" s="1"/>
      <c r="PEB337" s="1"/>
      <c r="PEC337" s="1"/>
      <c r="PED337" s="1"/>
      <c r="PEE337" s="1"/>
      <c r="PEF337" s="1"/>
      <c r="PEG337" s="1"/>
      <c r="PEH337" s="1"/>
      <c r="PEI337" s="1"/>
      <c r="PEJ337" s="1"/>
      <c r="PEK337" s="1"/>
      <c r="PEL337" s="1"/>
      <c r="PEM337" s="1"/>
      <c r="PEN337" s="1"/>
      <c r="PEO337" s="1"/>
      <c r="PEP337" s="1"/>
      <c r="PEQ337" s="1"/>
      <c r="PER337" s="1"/>
      <c r="PES337" s="1"/>
      <c r="PET337" s="1"/>
      <c r="PEU337" s="1"/>
      <c r="PEV337" s="1"/>
      <c r="PEW337" s="1"/>
      <c r="PEX337" s="1"/>
      <c r="PEY337" s="1"/>
      <c r="PEZ337" s="1"/>
      <c r="PFA337" s="1"/>
      <c r="PFB337" s="1"/>
      <c r="PFC337" s="1"/>
      <c r="PFD337" s="1"/>
      <c r="PFE337" s="1"/>
      <c r="PFF337" s="1"/>
      <c r="PFG337" s="1"/>
      <c r="PFH337" s="1"/>
      <c r="PFI337" s="1"/>
      <c r="PFJ337" s="1"/>
      <c r="PFK337" s="1"/>
      <c r="PFL337" s="1"/>
      <c r="PFM337" s="1"/>
      <c r="PFN337" s="1"/>
      <c r="PFO337" s="1"/>
      <c r="PFP337" s="1"/>
      <c r="PFQ337" s="1"/>
      <c r="PFR337" s="1"/>
      <c r="PFS337" s="1"/>
      <c r="PFT337" s="1"/>
      <c r="PFU337" s="1"/>
      <c r="PFV337" s="1"/>
      <c r="PFW337" s="1"/>
      <c r="PFX337" s="1"/>
      <c r="PFY337" s="1"/>
      <c r="PFZ337" s="1"/>
      <c r="PGA337" s="1"/>
      <c r="PGB337" s="1"/>
      <c r="PGC337" s="1"/>
      <c r="PGD337" s="1"/>
      <c r="PGE337" s="1"/>
      <c r="PGF337" s="1"/>
      <c r="PGG337" s="1"/>
      <c r="PGH337" s="1"/>
      <c r="PGI337" s="1"/>
      <c r="PGJ337" s="1"/>
      <c r="PGK337" s="1"/>
      <c r="PGL337" s="1"/>
      <c r="PGM337" s="1"/>
      <c r="PGN337" s="1"/>
      <c r="PGO337" s="1"/>
      <c r="PGP337" s="1"/>
      <c r="PGQ337" s="1"/>
      <c r="PGR337" s="1"/>
      <c r="PGS337" s="1"/>
      <c r="PGT337" s="1"/>
      <c r="PGU337" s="1"/>
      <c r="PGV337" s="1"/>
      <c r="PGW337" s="1"/>
      <c r="PGX337" s="1"/>
      <c r="PGY337" s="1"/>
      <c r="PGZ337" s="1"/>
      <c r="PHA337" s="1"/>
      <c r="PHB337" s="1"/>
      <c r="PHC337" s="1"/>
      <c r="PHD337" s="1"/>
      <c r="PHE337" s="1"/>
      <c r="PHF337" s="1"/>
      <c r="PHG337" s="1"/>
      <c r="PHH337" s="1"/>
      <c r="PHI337" s="1"/>
      <c r="PHJ337" s="1"/>
      <c r="PHK337" s="1"/>
      <c r="PHL337" s="1"/>
      <c r="PHM337" s="1"/>
      <c r="PHN337" s="1"/>
      <c r="PHO337" s="1"/>
      <c r="PHP337" s="1"/>
      <c r="PHQ337" s="1"/>
      <c r="PHR337" s="1"/>
      <c r="PHS337" s="1"/>
      <c r="PHT337" s="1"/>
      <c r="PHU337" s="1"/>
      <c r="PHV337" s="1"/>
      <c r="PHW337" s="1"/>
      <c r="PHX337" s="1"/>
      <c r="PHY337" s="1"/>
      <c r="PHZ337" s="1"/>
      <c r="PIA337" s="1"/>
      <c r="PIB337" s="1"/>
      <c r="PIC337" s="1"/>
      <c r="PID337" s="1"/>
      <c r="PIE337" s="1"/>
      <c r="PIF337" s="1"/>
      <c r="PIG337" s="1"/>
      <c r="PIH337" s="1"/>
      <c r="PII337" s="1"/>
      <c r="PIJ337" s="1"/>
      <c r="PIK337" s="1"/>
      <c r="PIL337" s="1"/>
      <c r="PIM337" s="1"/>
      <c r="PIN337" s="1"/>
      <c r="PIO337" s="1"/>
      <c r="PIP337" s="1"/>
      <c r="PIQ337" s="1"/>
      <c r="PIR337" s="1"/>
      <c r="PIS337" s="1"/>
      <c r="PIT337" s="1"/>
      <c r="PIU337" s="1"/>
      <c r="PIV337" s="1"/>
      <c r="PIW337" s="1"/>
      <c r="PIX337" s="1"/>
      <c r="PIY337" s="1"/>
      <c r="PIZ337" s="1"/>
      <c r="PJA337" s="1"/>
      <c r="PJB337" s="1"/>
      <c r="PJC337" s="1"/>
      <c r="PJD337" s="1"/>
      <c r="PJE337" s="1"/>
      <c r="PJF337" s="1"/>
      <c r="PJG337" s="1"/>
      <c r="PJH337" s="1"/>
      <c r="PJI337" s="1"/>
      <c r="PJJ337" s="1"/>
      <c r="PJK337" s="1"/>
      <c r="PJL337" s="1"/>
      <c r="PJM337" s="1"/>
      <c r="PJN337" s="1"/>
      <c r="PJO337" s="1"/>
      <c r="PJP337" s="1"/>
      <c r="PJQ337" s="1"/>
      <c r="PJR337" s="1"/>
      <c r="PJS337" s="1"/>
      <c r="PJT337" s="1"/>
      <c r="PJU337" s="1"/>
      <c r="PJV337" s="1"/>
      <c r="PJW337" s="1"/>
      <c r="PJX337" s="1"/>
      <c r="PJY337" s="1"/>
      <c r="PJZ337" s="1"/>
      <c r="PKA337" s="1"/>
      <c r="PKB337" s="1"/>
      <c r="PKC337" s="1"/>
      <c r="PKD337" s="1"/>
      <c r="PKE337" s="1"/>
      <c r="PKF337" s="1"/>
      <c r="PKG337" s="1"/>
      <c r="PKH337" s="1"/>
      <c r="PKI337" s="1"/>
      <c r="PKJ337" s="1"/>
      <c r="PKK337" s="1"/>
      <c r="PKL337" s="1"/>
      <c r="PKM337" s="1"/>
      <c r="PKN337" s="1"/>
      <c r="PKO337" s="1"/>
      <c r="PKP337" s="1"/>
      <c r="PKQ337" s="1"/>
      <c r="PKR337" s="1"/>
      <c r="PKS337" s="1"/>
      <c r="PKT337" s="1"/>
      <c r="PKU337" s="1"/>
      <c r="PKV337" s="1"/>
      <c r="PKW337" s="1"/>
      <c r="PKX337" s="1"/>
      <c r="PKY337" s="1"/>
      <c r="PKZ337" s="1"/>
      <c r="PLA337" s="1"/>
      <c r="PLB337" s="1"/>
      <c r="PLC337" s="1"/>
      <c r="PLD337" s="1"/>
      <c r="PLE337" s="1"/>
      <c r="PLF337" s="1"/>
      <c r="PLG337" s="1"/>
      <c r="PLH337" s="1"/>
      <c r="PLI337" s="1"/>
      <c r="PLJ337" s="1"/>
      <c r="PLK337" s="1"/>
      <c r="PLL337" s="1"/>
      <c r="PLM337" s="1"/>
      <c r="PLN337" s="1"/>
      <c r="PLO337" s="1"/>
      <c r="PLP337" s="1"/>
      <c r="PLQ337" s="1"/>
      <c r="PLR337" s="1"/>
      <c r="PLS337" s="1"/>
      <c r="PLT337" s="1"/>
      <c r="PLU337" s="1"/>
      <c r="PLV337" s="1"/>
      <c r="PLW337" s="1"/>
      <c r="PLX337" s="1"/>
      <c r="PLY337" s="1"/>
      <c r="PLZ337" s="1"/>
      <c r="PMA337" s="1"/>
      <c r="PMB337" s="1"/>
      <c r="PMC337" s="1"/>
      <c r="PMD337" s="1"/>
      <c r="PME337" s="1"/>
      <c r="PMF337" s="1"/>
      <c r="PMG337" s="1"/>
      <c r="PMH337" s="1"/>
      <c r="PMI337" s="1"/>
      <c r="PMJ337" s="1"/>
      <c r="PMK337" s="1"/>
      <c r="PML337" s="1"/>
      <c r="PMM337" s="1"/>
      <c r="PMN337" s="1"/>
      <c r="PMO337" s="1"/>
      <c r="PMP337" s="1"/>
      <c r="PMQ337" s="1"/>
      <c r="PMR337" s="1"/>
      <c r="PMS337" s="1"/>
      <c r="PMT337" s="1"/>
      <c r="PMU337" s="1"/>
      <c r="PMV337" s="1"/>
      <c r="PMW337" s="1"/>
      <c r="PMX337" s="1"/>
      <c r="PMY337" s="1"/>
      <c r="PMZ337" s="1"/>
      <c r="PNA337" s="1"/>
      <c r="PNB337" s="1"/>
      <c r="PNC337" s="1"/>
      <c r="PND337" s="1"/>
      <c r="PNE337" s="1"/>
      <c r="PNF337" s="1"/>
      <c r="PNG337" s="1"/>
      <c r="PNH337" s="1"/>
      <c r="PNI337" s="1"/>
      <c r="PNJ337" s="1"/>
      <c r="PNK337" s="1"/>
      <c r="PNL337" s="1"/>
      <c r="PNM337" s="1"/>
      <c r="PNN337" s="1"/>
      <c r="PNO337" s="1"/>
      <c r="PNP337" s="1"/>
      <c r="PNQ337" s="1"/>
      <c r="PNR337" s="1"/>
      <c r="PNS337" s="1"/>
      <c r="PNT337" s="1"/>
      <c r="PNU337" s="1"/>
      <c r="PNV337" s="1"/>
      <c r="PNW337" s="1"/>
      <c r="PNX337" s="1"/>
      <c r="PNY337" s="1"/>
      <c r="PNZ337" s="1"/>
      <c r="POA337" s="1"/>
      <c r="POB337" s="1"/>
      <c r="POC337" s="1"/>
      <c r="POD337" s="1"/>
      <c r="POE337" s="1"/>
      <c r="POF337" s="1"/>
      <c r="POG337" s="1"/>
      <c r="POH337" s="1"/>
      <c r="POI337" s="1"/>
      <c r="POJ337" s="1"/>
      <c r="POK337" s="1"/>
      <c r="POL337" s="1"/>
      <c r="POM337" s="1"/>
      <c r="PON337" s="1"/>
      <c r="POO337" s="1"/>
      <c r="POP337" s="1"/>
      <c r="POQ337" s="1"/>
      <c r="POR337" s="1"/>
      <c r="POS337" s="1"/>
      <c r="POT337" s="1"/>
      <c r="POU337" s="1"/>
      <c r="POV337" s="1"/>
      <c r="POW337" s="1"/>
      <c r="POX337" s="1"/>
      <c r="POY337" s="1"/>
      <c r="POZ337" s="1"/>
      <c r="PPA337" s="1"/>
      <c r="PPB337" s="1"/>
      <c r="PPC337" s="1"/>
      <c r="PPD337" s="1"/>
      <c r="PPE337" s="1"/>
      <c r="PPF337" s="1"/>
      <c r="PPG337" s="1"/>
      <c r="PPH337" s="1"/>
      <c r="PPI337" s="1"/>
      <c r="PPJ337" s="1"/>
      <c r="PPK337" s="1"/>
      <c r="PPL337" s="1"/>
      <c r="PPM337" s="1"/>
      <c r="PPN337" s="1"/>
      <c r="PPO337" s="1"/>
      <c r="PPP337" s="1"/>
      <c r="PPQ337" s="1"/>
      <c r="PPR337" s="1"/>
      <c r="PPS337" s="1"/>
      <c r="PPT337" s="1"/>
      <c r="PPU337" s="1"/>
      <c r="PPV337" s="1"/>
      <c r="PPW337" s="1"/>
      <c r="PPX337" s="1"/>
      <c r="PPY337" s="1"/>
      <c r="PPZ337" s="1"/>
      <c r="PQA337" s="1"/>
      <c r="PQB337" s="1"/>
      <c r="PQC337" s="1"/>
      <c r="PQD337" s="1"/>
      <c r="PQE337" s="1"/>
      <c r="PQF337" s="1"/>
      <c r="PQG337" s="1"/>
      <c r="PQH337" s="1"/>
      <c r="PQI337" s="1"/>
      <c r="PQJ337" s="1"/>
      <c r="PQK337" s="1"/>
      <c r="PQL337" s="1"/>
      <c r="PQM337" s="1"/>
      <c r="PQN337" s="1"/>
      <c r="PQO337" s="1"/>
      <c r="PQP337" s="1"/>
      <c r="PQQ337" s="1"/>
      <c r="PQR337" s="1"/>
      <c r="PQS337" s="1"/>
      <c r="PQT337" s="1"/>
      <c r="PQU337" s="1"/>
      <c r="PQV337" s="1"/>
      <c r="PQW337" s="1"/>
      <c r="PQX337" s="1"/>
      <c r="PQY337" s="1"/>
      <c r="PQZ337" s="1"/>
      <c r="PRA337" s="1"/>
      <c r="PRB337" s="1"/>
      <c r="PRC337" s="1"/>
      <c r="PRD337" s="1"/>
      <c r="PRE337" s="1"/>
      <c r="PRF337" s="1"/>
      <c r="PRG337" s="1"/>
      <c r="PRH337" s="1"/>
      <c r="PRI337" s="1"/>
      <c r="PRJ337" s="1"/>
      <c r="PRK337" s="1"/>
      <c r="PRL337" s="1"/>
      <c r="PRM337" s="1"/>
      <c r="PRN337" s="1"/>
      <c r="PRO337" s="1"/>
      <c r="PRP337" s="1"/>
      <c r="PRQ337" s="1"/>
      <c r="PRR337" s="1"/>
      <c r="PRS337" s="1"/>
      <c r="PRT337" s="1"/>
      <c r="PRU337" s="1"/>
      <c r="PRV337" s="1"/>
      <c r="PRW337" s="1"/>
      <c r="PRX337" s="1"/>
      <c r="PRY337" s="1"/>
      <c r="PRZ337" s="1"/>
      <c r="PSA337" s="1"/>
      <c r="PSB337" s="1"/>
      <c r="PSC337" s="1"/>
      <c r="PSD337" s="1"/>
      <c r="PSE337" s="1"/>
      <c r="PSF337" s="1"/>
      <c r="PSG337" s="1"/>
      <c r="PSH337" s="1"/>
      <c r="PSI337" s="1"/>
      <c r="PSJ337" s="1"/>
      <c r="PSK337" s="1"/>
      <c r="PSL337" s="1"/>
      <c r="PSM337" s="1"/>
      <c r="PSN337" s="1"/>
      <c r="PSO337" s="1"/>
      <c r="PSP337" s="1"/>
      <c r="PSQ337" s="1"/>
      <c r="PSR337" s="1"/>
      <c r="PSS337" s="1"/>
      <c r="PST337" s="1"/>
      <c r="PSU337" s="1"/>
      <c r="PSV337" s="1"/>
      <c r="PSW337" s="1"/>
      <c r="PSX337" s="1"/>
      <c r="PSY337" s="1"/>
      <c r="PSZ337" s="1"/>
      <c r="PTA337" s="1"/>
      <c r="PTB337" s="1"/>
      <c r="PTC337" s="1"/>
      <c r="PTD337" s="1"/>
      <c r="PTE337" s="1"/>
      <c r="PTF337" s="1"/>
      <c r="PTG337" s="1"/>
      <c r="PTH337" s="1"/>
      <c r="PTI337" s="1"/>
      <c r="PTJ337" s="1"/>
      <c r="PTK337" s="1"/>
      <c r="PTL337" s="1"/>
      <c r="PTM337" s="1"/>
      <c r="PTN337" s="1"/>
      <c r="PTO337" s="1"/>
      <c r="PTP337" s="1"/>
      <c r="PTQ337" s="1"/>
      <c r="PTR337" s="1"/>
      <c r="PTS337" s="1"/>
      <c r="PTT337" s="1"/>
      <c r="PTU337" s="1"/>
      <c r="PTV337" s="1"/>
      <c r="PTW337" s="1"/>
      <c r="PTX337" s="1"/>
      <c r="PTY337" s="1"/>
      <c r="PTZ337" s="1"/>
      <c r="PUA337" s="1"/>
      <c r="PUB337" s="1"/>
      <c r="PUC337" s="1"/>
      <c r="PUD337" s="1"/>
      <c r="PUE337" s="1"/>
      <c r="PUF337" s="1"/>
      <c r="PUG337" s="1"/>
      <c r="PUH337" s="1"/>
      <c r="PUI337" s="1"/>
      <c r="PUJ337" s="1"/>
      <c r="PUK337" s="1"/>
      <c r="PUL337" s="1"/>
      <c r="PUM337" s="1"/>
      <c r="PUN337" s="1"/>
      <c r="PUO337" s="1"/>
      <c r="PUP337" s="1"/>
      <c r="PUQ337" s="1"/>
      <c r="PUR337" s="1"/>
      <c r="PUS337" s="1"/>
      <c r="PUT337" s="1"/>
      <c r="PUU337" s="1"/>
      <c r="PUV337" s="1"/>
      <c r="PUW337" s="1"/>
      <c r="PUX337" s="1"/>
      <c r="PUY337" s="1"/>
      <c r="PUZ337" s="1"/>
      <c r="PVA337" s="1"/>
      <c r="PVB337" s="1"/>
      <c r="PVC337" s="1"/>
      <c r="PVD337" s="1"/>
      <c r="PVE337" s="1"/>
      <c r="PVF337" s="1"/>
      <c r="PVG337" s="1"/>
      <c r="PVH337" s="1"/>
      <c r="PVI337" s="1"/>
      <c r="PVJ337" s="1"/>
      <c r="PVK337" s="1"/>
      <c r="PVL337" s="1"/>
      <c r="PVM337" s="1"/>
      <c r="PVN337" s="1"/>
      <c r="PVO337" s="1"/>
      <c r="PVP337" s="1"/>
      <c r="PVQ337" s="1"/>
      <c r="PVR337" s="1"/>
      <c r="PVS337" s="1"/>
      <c r="PVT337" s="1"/>
      <c r="PVU337" s="1"/>
      <c r="PVV337" s="1"/>
      <c r="PVW337" s="1"/>
      <c r="PVX337" s="1"/>
      <c r="PVY337" s="1"/>
      <c r="PVZ337" s="1"/>
      <c r="PWA337" s="1"/>
      <c r="PWB337" s="1"/>
      <c r="PWC337" s="1"/>
      <c r="PWD337" s="1"/>
      <c r="PWE337" s="1"/>
      <c r="PWF337" s="1"/>
      <c r="PWG337" s="1"/>
      <c r="PWH337" s="1"/>
      <c r="PWI337" s="1"/>
      <c r="PWJ337" s="1"/>
      <c r="PWK337" s="1"/>
      <c r="PWL337" s="1"/>
      <c r="PWM337" s="1"/>
      <c r="PWN337" s="1"/>
      <c r="PWO337" s="1"/>
      <c r="PWP337" s="1"/>
      <c r="PWQ337" s="1"/>
      <c r="PWR337" s="1"/>
      <c r="PWS337" s="1"/>
      <c r="PWT337" s="1"/>
      <c r="PWU337" s="1"/>
      <c r="PWV337" s="1"/>
      <c r="PWW337" s="1"/>
      <c r="PWX337" s="1"/>
      <c r="PWY337" s="1"/>
      <c r="PWZ337" s="1"/>
      <c r="PXA337" s="1"/>
      <c r="PXB337" s="1"/>
      <c r="PXC337" s="1"/>
      <c r="PXD337" s="1"/>
      <c r="PXE337" s="1"/>
      <c r="PXF337" s="1"/>
      <c r="PXG337" s="1"/>
      <c r="PXH337" s="1"/>
      <c r="PXI337" s="1"/>
      <c r="PXJ337" s="1"/>
      <c r="PXK337" s="1"/>
      <c r="PXL337" s="1"/>
      <c r="PXM337" s="1"/>
      <c r="PXN337" s="1"/>
      <c r="PXO337" s="1"/>
      <c r="PXP337" s="1"/>
      <c r="PXQ337" s="1"/>
      <c r="PXR337" s="1"/>
      <c r="PXS337" s="1"/>
      <c r="PXT337" s="1"/>
      <c r="PXU337" s="1"/>
      <c r="PXV337" s="1"/>
      <c r="PXW337" s="1"/>
      <c r="PXX337" s="1"/>
      <c r="PXY337" s="1"/>
      <c r="PXZ337" s="1"/>
      <c r="PYA337" s="1"/>
      <c r="PYB337" s="1"/>
      <c r="PYC337" s="1"/>
      <c r="PYD337" s="1"/>
      <c r="PYE337" s="1"/>
      <c r="PYF337" s="1"/>
      <c r="PYG337" s="1"/>
      <c r="PYH337" s="1"/>
      <c r="PYI337" s="1"/>
      <c r="PYJ337" s="1"/>
      <c r="PYK337" s="1"/>
      <c r="PYL337" s="1"/>
      <c r="PYM337" s="1"/>
      <c r="PYN337" s="1"/>
      <c r="PYO337" s="1"/>
      <c r="PYP337" s="1"/>
      <c r="PYQ337" s="1"/>
      <c r="PYR337" s="1"/>
      <c r="PYS337" s="1"/>
      <c r="PYT337" s="1"/>
      <c r="PYU337" s="1"/>
      <c r="PYV337" s="1"/>
      <c r="PYW337" s="1"/>
      <c r="PYX337" s="1"/>
      <c r="PYY337" s="1"/>
      <c r="PYZ337" s="1"/>
      <c r="PZA337" s="1"/>
      <c r="PZB337" s="1"/>
      <c r="PZC337" s="1"/>
      <c r="PZD337" s="1"/>
      <c r="PZE337" s="1"/>
      <c r="PZF337" s="1"/>
      <c r="PZG337" s="1"/>
      <c r="PZH337" s="1"/>
      <c r="PZI337" s="1"/>
      <c r="PZJ337" s="1"/>
      <c r="PZK337" s="1"/>
      <c r="PZL337" s="1"/>
      <c r="PZM337" s="1"/>
      <c r="PZN337" s="1"/>
      <c r="PZO337" s="1"/>
      <c r="PZP337" s="1"/>
      <c r="PZQ337" s="1"/>
      <c r="PZR337" s="1"/>
      <c r="PZS337" s="1"/>
      <c r="PZT337" s="1"/>
      <c r="PZU337" s="1"/>
      <c r="PZV337" s="1"/>
      <c r="PZW337" s="1"/>
      <c r="PZX337" s="1"/>
      <c r="PZY337" s="1"/>
      <c r="PZZ337" s="1"/>
      <c r="QAA337" s="1"/>
      <c r="QAB337" s="1"/>
      <c r="QAC337" s="1"/>
      <c r="QAD337" s="1"/>
      <c r="QAE337" s="1"/>
      <c r="QAF337" s="1"/>
      <c r="QAG337" s="1"/>
      <c r="QAH337" s="1"/>
      <c r="QAI337" s="1"/>
      <c r="QAJ337" s="1"/>
      <c r="QAK337" s="1"/>
      <c r="QAL337" s="1"/>
      <c r="QAM337" s="1"/>
      <c r="QAN337" s="1"/>
      <c r="QAO337" s="1"/>
      <c r="QAP337" s="1"/>
      <c r="QAQ337" s="1"/>
      <c r="QAR337" s="1"/>
      <c r="QAS337" s="1"/>
      <c r="QAT337" s="1"/>
      <c r="QAU337" s="1"/>
      <c r="QAV337" s="1"/>
      <c r="QAW337" s="1"/>
      <c r="QAX337" s="1"/>
      <c r="QAY337" s="1"/>
      <c r="QAZ337" s="1"/>
      <c r="QBA337" s="1"/>
      <c r="QBB337" s="1"/>
      <c r="QBC337" s="1"/>
      <c r="QBD337" s="1"/>
      <c r="QBE337" s="1"/>
      <c r="QBF337" s="1"/>
      <c r="QBG337" s="1"/>
      <c r="QBH337" s="1"/>
      <c r="QBI337" s="1"/>
      <c r="QBJ337" s="1"/>
      <c r="QBK337" s="1"/>
      <c r="QBL337" s="1"/>
      <c r="QBM337" s="1"/>
      <c r="QBN337" s="1"/>
      <c r="QBO337" s="1"/>
      <c r="QBP337" s="1"/>
      <c r="QBQ337" s="1"/>
      <c r="QBR337" s="1"/>
      <c r="QBS337" s="1"/>
      <c r="QBT337" s="1"/>
      <c r="QBU337" s="1"/>
      <c r="QBV337" s="1"/>
      <c r="QBW337" s="1"/>
      <c r="QBX337" s="1"/>
      <c r="QBY337" s="1"/>
      <c r="QBZ337" s="1"/>
      <c r="QCA337" s="1"/>
      <c r="QCB337" s="1"/>
      <c r="QCC337" s="1"/>
      <c r="QCD337" s="1"/>
      <c r="QCE337" s="1"/>
      <c r="QCF337" s="1"/>
      <c r="QCG337" s="1"/>
      <c r="QCH337" s="1"/>
      <c r="QCI337" s="1"/>
      <c r="QCJ337" s="1"/>
      <c r="QCK337" s="1"/>
      <c r="QCL337" s="1"/>
      <c r="QCM337" s="1"/>
      <c r="QCN337" s="1"/>
      <c r="QCO337" s="1"/>
      <c r="QCP337" s="1"/>
      <c r="QCQ337" s="1"/>
      <c r="QCR337" s="1"/>
      <c r="QCS337" s="1"/>
      <c r="QCT337" s="1"/>
      <c r="QCU337" s="1"/>
      <c r="QCV337" s="1"/>
      <c r="QCW337" s="1"/>
      <c r="QCX337" s="1"/>
      <c r="QCY337" s="1"/>
      <c r="QCZ337" s="1"/>
      <c r="QDA337" s="1"/>
      <c r="QDB337" s="1"/>
      <c r="QDC337" s="1"/>
      <c r="QDD337" s="1"/>
      <c r="QDE337" s="1"/>
      <c r="QDF337" s="1"/>
      <c r="QDG337" s="1"/>
      <c r="QDH337" s="1"/>
      <c r="QDI337" s="1"/>
      <c r="QDJ337" s="1"/>
      <c r="QDK337" s="1"/>
      <c r="QDL337" s="1"/>
      <c r="QDM337" s="1"/>
      <c r="QDN337" s="1"/>
      <c r="QDO337" s="1"/>
      <c r="QDP337" s="1"/>
      <c r="QDQ337" s="1"/>
      <c r="QDR337" s="1"/>
      <c r="QDS337" s="1"/>
      <c r="QDT337" s="1"/>
      <c r="QDU337" s="1"/>
      <c r="QDV337" s="1"/>
      <c r="QDW337" s="1"/>
      <c r="QDX337" s="1"/>
      <c r="QDY337" s="1"/>
      <c r="QDZ337" s="1"/>
      <c r="QEA337" s="1"/>
      <c r="QEB337" s="1"/>
      <c r="QEC337" s="1"/>
      <c r="QED337" s="1"/>
      <c r="QEE337" s="1"/>
      <c r="QEF337" s="1"/>
      <c r="QEG337" s="1"/>
      <c r="QEH337" s="1"/>
      <c r="QEI337" s="1"/>
      <c r="QEJ337" s="1"/>
      <c r="QEK337" s="1"/>
      <c r="QEL337" s="1"/>
      <c r="QEM337" s="1"/>
      <c r="QEN337" s="1"/>
      <c r="QEO337" s="1"/>
      <c r="QEP337" s="1"/>
      <c r="QEQ337" s="1"/>
      <c r="QER337" s="1"/>
      <c r="QES337" s="1"/>
      <c r="QET337" s="1"/>
      <c r="QEU337" s="1"/>
      <c r="QEV337" s="1"/>
      <c r="QEW337" s="1"/>
      <c r="QEX337" s="1"/>
      <c r="QEY337" s="1"/>
      <c r="QEZ337" s="1"/>
      <c r="QFA337" s="1"/>
      <c r="QFB337" s="1"/>
      <c r="QFC337" s="1"/>
      <c r="QFD337" s="1"/>
      <c r="QFE337" s="1"/>
      <c r="QFF337" s="1"/>
      <c r="QFG337" s="1"/>
      <c r="QFH337" s="1"/>
      <c r="QFI337" s="1"/>
      <c r="QFJ337" s="1"/>
      <c r="QFK337" s="1"/>
      <c r="QFL337" s="1"/>
      <c r="QFM337" s="1"/>
      <c r="QFN337" s="1"/>
      <c r="QFO337" s="1"/>
      <c r="QFP337" s="1"/>
      <c r="QFQ337" s="1"/>
      <c r="QFR337" s="1"/>
      <c r="QFS337" s="1"/>
      <c r="QFT337" s="1"/>
      <c r="QFU337" s="1"/>
      <c r="QFV337" s="1"/>
      <c r="QFW337" s="1"/>
      <c r="QFX337" s="1"/>
      <c r="QFY337" s="1"/>
      <c r="QFZ337" s="1"/>
      <c r="QGA337" s="1"/>
      <c r="QGB337" s="1"/>
      <c r="QGC337" s="1"/>
      <c r="QGD337" s="1"/>
      <c r="QGE337" s="1"/>
      <c r="QGF337" s="1"/>
      <c r="QGG337" s="1"/>
      <c r="QGH337" s="1"/>
      <c r="QGI337" s="1"/>
      <c r="QGJ337" s="1"/>
      <c r="QGK337" s="1"/>
      <c r="QGL337" s="1"/>
      <c r="QGM337" s="1"/>
      <c r="QGN337" s="1"/>
      <c r="QGO337" s="1"/>
      <c r="QGP337" s="1"/>
      <c r="QGQ337" s="1"/>
      <c r="QGR337" s="1"/>
      <c r="QGS337" s="1"/>
      <c r="QGT337" s="1"/>
      <c r="QGU337" s="1"/>
      <c r="QGV337" s="1"/>
      <c r="QGW337" s="1"/>
      <c r="QGX337" s="1"/>
      <c r="QGY337" s="1"/>
      <c r="QGZ337" s="1"/>
      <c r="QHA337" s="1"/>
      <c r="QHB337" s="1"/>
      <c r="QHC337" s="1"/>
      <c r="QHD337" s="1"/>
      <c r="QHE337" s="1"/>
      <c r="QHF337" s="1"/>
      <c r="QHG337" s="1"/>
      <c r="QHH337" s="1"/>
      <c r="QHI337" s="1"/>
      <c r="QHJ337" s="1"/>
      <c r="QHK337" s="1"/>
      <c r="QHL337" s="1"/>
      <c r="QHM337" s="1"/>
      <c r="QHN337" s="1"/>
      <c r="QHO337" s="1"/>
      <c r="QHP337" s="1"/>
      <c r="QHQ337" s="1"/>
      <c r="QHR337" s="1"/>
      <c r="QHS337" s="1"/>
      <c r="QHT337" s="1"/>
      <c r="QHU337" s="1"/>
      <c r="QHV337" s="1"/>
      <c r="QHW337" s="1"/>
      <c r="QHX337" s="1"/>
      <c r="QHY337" s="1"/>
      <c r="QHZ337" s="1"/>
      <c r="QIA337" s="1"/>
      <c r="QIB337" s="1"/>
      <c r="QIC337" s="1"/>
      <c r="QID337" s="1"/>
      <c r="QIE337" s="1"/>
      <c r="QIF337" s="1"/>
      <c r="QIG337" s="1"/>
      <c r="QIH337" s="1"/>
      <c r="QII337" s="1"/>
      <c r="QIJ337" s="1"/>
      <c r="QIK337" s="1"/>
      <c r="QIL337" s="1"/>
      <c r="QIM337" s="1"/>
      <c r="QIN337" s="1"/>
      <c r="QIO337" s="1"/>
      <c r="QIP337" s="1"/>
      <c r="QIQ337" s="1"/>
      <c r="QIR337" s="1"/>
      <c r="QIS337" s="1"/>
      <c r="QIT337" s="1"/>
      <c r="QIU337" s="1"/>
      <c r="QIV337" s="1"/>
      <c r="QIW337" s="1"/>
      <c r="QIX337" s="1"/>
      <c r="QIY337" s="1"/>
      <c r="QIZ337" s="1"/>
      <c r="QJA337" s="1"/>
      <c r="QJB337" s="1"/>
      <c r="QJC337" s="1"/>
      <c r="QJD337" s="1"/>
      <c r="QJE337" s="1"/>
      <c r="QJF337" s="1"/>
      <c r="QJG337" s="1"/>
      <c r="QJH337" s="1"/>
      <c r="QJI337" s="1"/>
      <c r="QJJ337" s="1"/>
      <c r="QJK337" s="1"/>
      <c r="QJL337" s="1"/>
      <c r="QJM337" s="1"/>
      <c r="QJN337" s="1"/>
      <c r="QJO337" s="1"/>
      <c r="QJP337" s="1"/>
      <c r="QJQ337" s="1"/>
      <c r="QJR337" s="1"/>
      <c r="QJS337" s="1"/>
      <c r="QJT337" s="1"/>
      <c r="QJU337" s="1"/>
      <c r="QJV337" s="1"/>
      <c r="QJW337" s="1"/>
      <c r="QJX337" s="1"/>
      <c r="QJY337" s="1"/>
      <c r="QJZ337" s="1"/>
      <c r="QKA337" s="1"/>
      <c r="QKB337" s="1"/>
      <c r="QKC337" s="1"/>
      <c r="QKD337" s="1"/>
      <c r="QKE337" s="1"/>
      <c r="QKF337" s="1"/>
      <c r="QKG337" s="1"/>
      <c r="QKH337" s="1"/>
      <c r="QKI337" s="1"/>
      <c r="QKJ337" s="1"/>
      <c r="QKK337" s="1"/>
      <c r="QKL337" s="1"/>
      <c r="QKM337" s="1"/>
      <c r="QKN337" s="1"/>
      <c r="QKO337" s="1"/>
      <c r="QKP337" s="1"/>
      <c r="QKQ337" s="1"/>
      <c r="QKR337" s="1"/>
      <c r="QKS337" s="1"/>
      <c r="QKT337" s="1"/>
      <c r="QKU337" s="1"/>
      <c r="QKV337" s="1"/>
      <c r="QKW337" s="1"/>
      <c r="QKX337" s="1"/>
      <c r="QKY337" s="1"/>
      <c r="QKZ337" s="1"/>
      <c r="QLA337" s="1"/>
      <c r="QLB337" s="1"/>
      <c r="QLC337" s="1"/>
      <c r="QLD337" s="1"/>
      <c r="QLE337" s="1"/>
      <c r="QLF337" s="1"/>
      <c r="QLG337" s="1"/>
      <c r="QLH337" s="1"/>
      <c r="QLI337" s="1"/>
      <c r="QLJ337" s="1"/>
      <c r="QLK337" s="1"/>
      <c r="QLL337" s="1"/>
      <c r="QLM337" s="1"/>
      <c r="QLN337" s="1"/>
      <c r="QLO337" s="1"/>
      <c r="QLP337" s="1"/>
      <c r="QLQ337" s="1"/>
      <c r="QLR337" s="1"/>
      <c r="QLS337" s="1"/>
      <c r="QLT337" s="1"/>
      <c r="QLU337" s="1"/>
      <c r="QLV337" s="1"/>
      <c r="QLW337" s="1"/>
      <c r="QLX337" s="1"/>
      <c r="QLY337" s="1"/>
      <c r="QLZ337" s="1"/>
      <c r="QMA337" s="1"/>
      <c r="QMB337" s="1"/>
      <c r="QMC337" s="1"/>
      <c r="QMD337" s="1"/>
      <c r="QME337" s="1"/>
      <c r="QMF337" s="1"/>
      <c r="QMG337" s="1"/>
      <c r="QMH337" s="1"/>
      <c r="QMI337" s="1"/>
      <c r="QMJ337" s="1"/>
      <c r="QMK337" s="1"/>
      <c r="QML337" s="1"/>
      <c r="QMM337" s="1"/>
      <c r="QMN337" s="1"/>
      <c r="QMO337" s="1"/>
      <c r="QMP337" s="1"/>
      <c r="QMQ337" s="1"/>
      <c r="QMR337" s="1"/>
      <c r="QMS337" s="1"/>
      <c r="QMT337" s="1"/>
      <c r="QMU337" s="1"/>
      <c r="QMV337" s="1"/>
      <c r="QMW337" s="1"/>
      <c r="QMX337" s="1"/>
      <c r="QMY337" s="1"/>
      <c r="QMZ337" s="1"/>
      <c r="QNA337" s="1"/>
      <c r="QNB337" s="1"/>
      <c r="QNC337" s="1"/>
      <c r="QND337" s="1"/>
      <c r="QNE337" s="1"/>
      <c r="QNF337" s="1"/>
      <c r="QNG337" s="1"/>
      <c r="QNH337" s="1"/>
      <c r="QNI337" s="1"/>
      <c r="QNJ337" s="1"/>
      <c r="QNK337" s="1"/>
      <c r="QNL337" s="1"/>
      <c r="QNM337" s="1"/>
      <c r="QNN337" s="1"/>
      <c r="QNO337" s="1"/>
      <c r="QNP337" s="1"/>
      <c r="QNQ337" s="1"/>
      <c r="QNR337" s="1"/>
      <c r="QNS337" s="1"/>
      <c r="QNT337" s="1"/>
      <c r="QNU337" s="1"/>
      <c r="QNV337" s="1"/>
      <c r="QNW337" s="1"/>
      <c r="QNX337" s="1"/>
      <c r="QNY337" s="1"/>
      <c r="QNZ337" s="1"/>
      <c r="QOA337" s="1"/>
      <c r="QOB337" s="1"/>
      <c r="QOC337" s="1"/>
      <c r="QOD337" s="1"/>
      <c r="QOE337" s="1"/>
      <c r="QOF337" s="1"/>
      <c r="QOG337" s="1"/>
      <c r="QOH337" s="1"/>
      <c r="QOI337" s="1"/>
      <c r="QOJ337" s="1"/>
      <c r="QOK337" s="1"/>
      <c r="QOL337" s="1"/>
      <c r="QOM337" s="1"/>
      <c r="QON337" s="1"/>
      <c r="QOO337" s="1"/>
      <c r="QOP337" s="1"/>
      <c r="QOQ337" s="1"/>
      <c r="QOR337" s="1"/>
      <c r="QOS337" s="1"/>
      <c r="QOT337" s="1"/>
      <c r="QOU337" s="1"/>
      <c r="QOV337" s="1"/>
      <c r="QOW337" s="1"/>
      <c r="QOX337" s="1"/>
      <c r="QOY337" s="1"/>
      <c r="QOZ337" s="1"/>
      <c r="QPA337" s="1"/>
      <c r="QPB337" s="1"/>
      <c r="QPC337" s="1"/>
      <c r="QPD337" s="1"/>
      <c r="QPE337" s="1"/>
      <c r="QPF337" s="1"/>
      <c r="QPG337" s="1"/>
      <c r="QPH337" s="1"/>
      <c r="QPI337" s="1"/>
      <c r="QPJ337" s="1"/>
      <c r="QPK337" s="1"/>
      <c r="QPL337" s="1"/>
      <c r="QPM337" s="1"/>
      <c r="QPN337" s="1"/>
      <c r="QPO337" s="1"/>
      <c r="QPP337" s="1"/>
      <c r="QPQ337" s="1"/>
      <c r="QPR337" s="1"/>
      <c r="QPS337" s="1"/>
      <c r="QPT337" s="1"/>
      <c r="QPU337" s="1"/>
      <c r="QPV337" s="1"/>
      <c r="QPW337" s="1"/>
      <c r="QPX337" s="1"/>
      <c r="QPY337" s="1"/>
      <c r="QPZ337" s="1"/>
      <c r="QQA337" s="1"/>
      <c r="QQB337" s="1"/>
      <c r="QQC337" s="1"/>
      <c r="QQD337" s="1"/>
      <c r="QQE337" s="1"/>
      <c r="QQF337" s="1"/>
      <c r="QQG337" s="1"/>
      <c r="QQH337" s="1"/>
      <c r="QQI337" s="1"/>
      <c r="QQJ337" s="1"/>
      <c r="QQK337" s="1"/>
      <c r="QQL337" s="1"/>
      <c r="QQM337" s="1"/>
      <c r="QQN337" s="1"/>
      <c r="QQO337" s="1"/>
      <c r="QQP337" s="1"/>
      <c r="QQQ337" s="1"/>
      <c r="QQR337" s="1"/>
      <c r="QQS337" s="1"/>
      <c r="QQT337" s="1"/>
      <c r="QQU337" s="1"/>
      <c r="QQV337" s="1"/>
      <c r="QQW337" s="1"/>
      <c r="QQX337" s="1"/>
      <c r="QQY337" s="1"/>
      <c r="QQZ337" s="1"/>
      <c r="QRA337" s="1"/>
      <c r="QRB337" s="1"/>
      <c r="QRC337" s="1"/>
      <c r="QRD337" s="1"/>
      <c r="QRE337" s="1"/>
      <c r="QRF337" s="1"/>
      <c r="QRG337" s="1"/>
      <c r="QRH337" s="1"/>
      <c r="QRI337" s="1"/>
      <c r="QRJ337" s="1"/>
      <c r="QRK337" s="1"/>
      <c r="QRL337" s="1"/>
      <c r="QRM337" s="1"/>
      <c r="QRN337" s="1"/>
      <c r="QRO337" s="1"/>
      <c r="QRP337" s="1"/>
      <c r="QRQ337" s="1"/>
      <c r="QRR337" s="1"/>
      <c r="QRS337" s="1"/>
      <c r="QRT337" s="1"/>
      <c r="QRU337" s="1"/>
      <c r="QRV337" s="1"/>
      <c r="QRW337" s="1"/>
      <c r="QRX337" s="1"/>
      <c r="QRY337" s="1"/>
      <c r="QRZ337" s="1"/>
      <c r="QSA337" s="1"/>
      <c r="QSB337" s="1"/>
      <c r="QSC337" s="1"/>
      <c r="QSD337" s="1"/>
      <c r="QSE337" s="1"/>
      <c r="QSF337" s="1"/>
      <c r="QSG337" s="1"/>
      <c r="QSH337" s="1"/>
      <c r="QSI337" s="1"/>
      <c r="QSJ337" s="1"/>
      <c r="QSK337" s="1"/>
      <c r="QSL337" s="1"/>
      <c r="QSM337" s="1"/>
      <c r="QSN337" s="1"/>
      <c r="QSO337" s="1"/>
      <c r="QSP337" s="1"/>
      <c r="QSQ337" s="1"/>
      <c r="QSR337" s="1"/>
      <c r="QSS337" s="1"/>
      <c r="QST337" s="1"/>
      <c r="QSU337" s="1"/>
      <c r="QSV337" s="1"/>
      <c r="QSW337" s="1"/>
      <c r="QSX337" s="1"/>
      <c r="QSY337" s="1"/>
      <c r="QSZ337" s="1"/>
      <c r="QTA337" s="1"/>
      <c r="QTB337" s="1"/>
      <c r="QTC337" s="1"/>
      <c r="QTD337" s="1"/>
      <c r="QTE337" s="1"/>
      <c r="QTF337" s="1"/>
      <c r="QTG337" s="1"/>
      <c r="QTH337" s="1"/>
      <c r="QTI337" s="1"/>
      <c r="QTJ337" s="1"/>
      <c r="QTK337" s="1"/>
      <c r="QTL337" s="1"/>
      <c r="QTM337" s="1"/>
      <c r="QTN337" s="1"/>
      <c r="QTO337" s="1"/>
      <c r="QTP337" s="1"/>
      <c r="QTQ337" s="1"/>
      <c r="QTR337" s="1"/>
      <c r="QTS337" s="1"/>
      <c r="QTT337" s="1"/>
      <c r="QTU337" s="1"/>
      <c r="QTV337" s="1"/>
      <c r="QTW337" s="1"/>
      <c r="QTX337" s="1"/>
      <c r="QTY337" s="1"/>
      <c r="QTZ337" s="1"/>
      <c r="QUA337" s="1"/>
      <c r="QUB337" s="1"/>
      <c r="QUC337" s="1"/>
      <c r="QUD337" s="1"/>
      <c r="QUE337" s="1"/>
      <c r="QUF337" s="1"/>
      <c r="QUG337" s="1"/>
      <c r="QUH337" s="1"/>
      <c r="QUI337" s="1"/>
      <c r="QUJ337" s="1"/>
      <c r="QUK337" s="1"/>
      <c r="QUL337" s="1"/>
      <c r="QUM337" s="1"/>
      <c r="QUN337" s="1"/>
      <c r="QUO337" s="1"/>
      <c r="QUP337" s="1"/>
      <c r="QUQ337" s="1"/>
      <c r="QUR337" s="1"/>
      <c r="QUS337" s="1"/>
      <c r="QUT337" s="1"/>
      <c r="QUU337" s="1"/>
      <c r="QUV337" s="1"/>
      <c r="QUW337" s="1"/>
      <c r="QUX337" s="1"/>
      <c r="QUY337" s="1"/>
      <c r="QUZ337" s="1"/>
      <c r="QVA337" s="1"/>
      <c r="QVB337" s="1"/>
      <c r="QVC337" s="1"/>
      <c r="QVD337" s="1"/>
      <c r="QVE337" s="1"/>
      <c r="QVF337" s="1"/>
      <c r="QVG337" s="1"/>
      <c r="QVH337" s="1"/>
      <c r="QVI337" s="1"/>
      <c r="QVJ337" s="1"/>
      <c r="QVK337" s="1"/>
      <c r="QVL337" s="1"/>
      <c r="QVM337" s="1"/>
      <c r="QVN337" s="1"/>
      <c r="QVO337" s="1"/>
      <c r="QVP337" s="1"/>
      <c r="QVQ337" s="1"/>
      <c r="QVR337" s="1"/>
      <c r="QVS337" s="1"/>
      <c r="QVT337" s="1"/>
      <c r="QVU337" s="1"/>
      <c r="QVV337" s="1"/>
      <c r="QVW337" s="1"/>
      <c r="QVX337" s="1"/>
      <c r="QVY337" s="1"/>
      <c r="QVZ337" s="1"/>
      <c r="QWA337" s="1"/>
      <c r="QWB337" s="1"/>
      <c r="QWC337" s="1"/>
      <c r="QWD337" s="1"/>
      <c r="QWE337" s="1"/>
      <c r="QWF337" s="1"/>
      <c r="QWG337" s="1"/>
      <c r="QWH337" s="1"/>
      <c r="QWI337" s="1"/>
      <c r="QWJ337" s="1"/>
      <c r="QWK337" s="1"/>
      <c r="QWL337" s="1"/>
      <c r="QWM337" s="1"/>
      <c r="QWN337" s="1"/>
      <c r="QWO337" s="1"/>
      <c r="QWP337" s="1"/>
      <c r="QWQ337" s="1"/>
      <c r="QWR337" s="1"/>
      <c r="QWS337" s="1"/>
      <c r="QWT337" s="1"/>
      <c r="QWU337" s="1"/>
      <c r="QWV337" s="1"/>
      <c r="QWW337" s="1"/>
      <c r="QWX337" s="1"/>
      <c r="QWY337" s="1"/>
      <c r="QWZ337" s="1"/>
      <c r="QXA337" s="1"/>
      <c r="QXB337" s="1"/>
      <c r="QXC337" s="1"/>
      <c r="QXD337" s="1"/>
      <c r="QXE337" s="1"/>
      <c r="QXF337" s="1"/>
      <c r="QXG337" s="1"/>
      <c r="QXH337" s="1"/>
      <c r="QXI337" s="1"/>
      <c r="QXJ337" s="1"/>
      <c r="QXK337" s="1"/>
      <c r="QXL337" s="1"/>
      <c r="QXM337" s="1"/>
      <c r="QXN337" s="1"/>
      <c r="QXO337" s="1"/>
      <c r="QXP337" s="1"/>
      <c r="QXQ337" s="1"/>
      <c r="QXR337" s="1"/>
      <c r="QXS337" s="1"/>
      <c r="QXT337" s="1"/>
      <c r="QXU337" s="1"/>
      <c r="QXV337" s="1"/>
      <c r="QXW337" s="1"/>
      <c r="QXX337" s="1"/>
      <c r="QXY337" s="1"/>
      <c r="QXZ337" s="1"/>
      <c r="QYA337" s="1"/>
      <c r="QYB337" s="1"/>
      <c r="QYC337" s="1"/>
      <c r="QYD337" s="1"/>
      <c r="QYE337" s="1"/>
      <c r="QYF337" s="1"/>
      <c r="QYG337" s="1"/>
      <c r="QYH337" s="1"/>
      <c r="QYI337" s="1"/>
      <c r="QYJ337" s="1"/>
      <c r="QYK337" s="1"/>
      <c r="QYL337" s="1"/>
      <c r="QYM337" s="1"/>
      <c r="QYN337" s="1"/>
      <c r="QYO337" s="1"/>
      <c r="QYP337" s="1"/>
      <c r="QYQ337" s="1"/>
      <c r="QYR337" s="1"/>
      <c r="QYS337" s="1"/>
      <c r="QYT337" s="1"/>
      <c r="QYU337" s="1"/>
      <c r="QYV337" s="1"/>
      <c r="QYW337" s="1"/>
      <c r="QYX337" s="1"/>
      <c r="QYY337" s="1"/>
      <c r="QYZ337" s="1"/>
      <c r="QZA337" s="1"/>
      <c r="QZB337" s="1"/>
      <c r="QZC337" s="1"/>
      <c r="QZD337" s="1"/>
      <c r="QZE337" s="1"/>
      <c r="QZF337" s="1"/>
      <c r="QZG337" s="1"/>
      <c r="QZH337" s="1"/>
      <c r="QZI337" s="1"/>
      <c r="QZJ337" s="1"/>
      <c r="QZK337" s="1"/>
      <c r="QZL337" s="1"/>
      <c r="QZM337" s="1"/>
      <c r="QZN337" s="1"/>
      <c r="QZO337" s="1"/>
      <c r="QZP337" s="1"/>
      <c r="QZQ337" s="1"/>
      <c r="QZR337" s="1"/>
      <c r="QZS337" s="1"/>
      <c r="QZT337" s="1"/>
      <c r="QZU337" s="1"/>
      <c r="QZV337" s="1"/>
      <c r="QZW337" s="1"/>
      <c r="QZX337" s="1"/>
      <c r="QZY337" s="1"/>
      <c r="QZZ337" s="1"/>
      <c r="RAA337" s="1"/>
      <c r="RAB337" s="1"/>
      <c r="RAC337" s="1"/>
      <c r="RAD337" s="1"/>
      <c r="RAE337" s="1"/>
      <c r="RAF337" s="1"/>
      <c r="RAG337" s="1"/>
      <c r="RAH337" s="1"/>
      <c r="RAI337" s="1"/>
      <c r="RAJ337" s="1"/>
      <c r="RAK337" s="1"/>
      <c r="RAL337" s="1"/>
      <c r="RAM337" s="1"/>
      <c r="RAN337" s="1"/>
      <c r="RAO337" s="1"/>
      <c r="RAP337" s="1"/>
      <c r="RAQ337" s="1"/>
      <c r="RAR337" s="1"/>
      <c r="RAS337" s="1"/>
      <c r="RAT337" s="1"/>
      <c r="RAU337" s="1"/>
      <c r="RAV337" s="1"/>
      <c r="RAW337" s="1"/>
      <c r="RAX337" s="1"/>
      <c r="RAY337" s="1"/>
      <c r="RAZ337" s="1"/>
      <c r="RBA337" s="1"/>
      <c r="RBB337" s="1"/>
      <c r="RBC337" s="1"/>
      <c r="RBD337" s="1"/>
      <c r="RBE337" s="1"/>
      <c r="RBF337" s="1"/>
      <c r="RBG337" s="1"/>
      <c r="RBH337" s="1"/>
      <c r="RBI337" s="1"/>
      <c r="RBJ337" s="1"/>
      <c r="RBK337" s="1"/>
      <c r="RBL337" s="1"/>
      <c r="RBM337" s="1"/>
      <c r="RBN337" s="1"/>
      <c r="RBO337" s="1"/>
      <c r="RBP337" s="1"/>
      <c r="RBQ337" s="1"/>
      <c r="RBR337" s="1"/>
      <c r="RBS337" s="1"/>
      <c r="RBT337" s="1"/>
      <c r="RBU337" s="1"/>
      <c r="RBV337" s="1"/>
      <c r="RBW337" s="1"/>
      <c r="RBX337" s="1"/>
      <c r="RBY337" s="1"/>
      <c r="RBZ337" s="1"/>
      <c r="RCA337" s="1"/>
      <c r="RCB337" s="1"/>
      <c r="RCC337" s="1"/>
      <c r="RCD337" s="1"/>
      <c r="RCE337" s="1"/>
      <c r="RCF337" s="1"/>
      <c r="RCG337" s="1"/>
      <c r="RCH337" s="1"/>
      <c r="RCI337" s="1"/>
      <c r="RCJ337" s="1"/>
      <c r="RCK337" s="1"/>
      <c r="RCL337" s="1"/>
      <c r="RCM337" s="1"/>
      <c r="RCN337" s="1"/>
      <c r="RCO337" s="1"/>
      <c r="RCP337" s="1"/>
      <c r="RCQ337" s="1"/>
      <c r="RCR337" s="1"/>
      <c r="RCS337" s="1"/>
      <c r="RCT337" s="1"/>
      <c r="RCU337" s="1"/>
      <c r="RCV337" s="1"/>
      <c r="RCW337" s="1"/>
      <c r="RCX337" s="1"/>
      <c r="RCY337" s="1"/>
      <c r="RCZ337" s="1"/>
      <c r="RDA337" s="1"/>
      <c r="RDB337" s="1"/>
      <c r="RDC337" s="1"/>
      <c r="RDD337" s="1"/>
      <c r="RDE337" s="1"/>
      <c r="RDF337" s="1"/>
      <c r="RDG337" s="1"/>
      <c r="RDH337" s="1"/>
      <c r="RDI337" s="1"/>
      <c r="RDJ337" s="1"/>
      <c r="RDK337" s="1"/>
      <c r="RDL337" s="1"/>
      <c r="RDM337" s="1"/>
      <c r="RDN337" s="1"/>
      <c r="RDO337" s="1"/>
      <c r="RDP337" s="1"/>
      <c r="RDQ337" s="1"/>
      <c r="RDR337" s="1"/>
      <c r="RDS337" s="1"/>
      <c r="RDT337" s="1"/>
      <c r="RDU337" s="1"/>
      <c r="RDV337" s="1"/>
      <c r="RDW337" s="1"/>
      <c r="RDX337" s="1"/>
      <c r="RDY337" s="1"/>
      <c r="RDZ337" s="1"/>
      <c r="REA337" s="1"/>
      <c r="REB337" s="1"/>
      <c r="REC337" s="1"/>
      <c r="RED337" s="1"/>
      <c r="REE337" s="1"/>
      <c r="REF337" s="1"/>
      <c r="REG337" s="1"/>
      <c r="REH337" s="1"/>
      <c r="REI337" s="1"/>
      <c r="REJ337" s="1"/>
      <c r="REK337" s="1"/>
      <c r="REL337" s="1"/>
      <c r="REM337" s="1"/>
      <c r="REN337" s="1"/>
      <c r="REO337" s="1"/>
      <c r="REP337" s="1"/>
      <c r="REQ337" s="1"/>
      <c r="RER337" s="1"/>
      <c r="RES337" s="1"/>
      <c r="RET337" s="1"/>
      <c r="REU337" s="1"/>
      <c r="REV337" s="1"/>
      <c r="REW337" s="1"/>
      <c r="REX337" s="1"/>
      <c r="REY337" s="1"/>
      <c r="REZ337" s="1"/>
      <c r="RFA337" s="1"/>
      <c r="RFB337" s="1"/>
      <c r="RFC337" s="1"/>
      <c r="RFD337" s="1"/>
      <c r="RFE337" s="1"/>
      <c r="RFF337" s="1"/>
      <c r="RFG337" s="1"/>
      <c r="RFH337" s="1"/>
      <c r="RFI337" s="1"/>
      <c r="RFJ337" s="1"/>
      <c r="RFK337" s="1"/>
      <c r="RFL337" s="1"/>
      <c r="RFM337" s="1"/>
      <c r="RFN337" s="1"/>
      <c r="RFO337" s="1"/>
      <c r="RFP337" s="1"/>
      <c r="RFQ337" s="1"/>
      <c r="RFR337" s="1"/>
      <c r="RFS337" s="1"/>
      <c r="RFT337" s="1"/>
      <c r="RFU337" s="1"/>
      <c r="RFV337" s="1"/>
      <c r="RFW337" s="1"/>
      <c r="RFX337" s="1"/>
      <c r="RFY337" s="1"/>
      <c r="RFZ337" s="1"/>
      <c r="RGA337" s="1"/>
      <c r="RGB337" s="1"/>
      <c r="RGC337" s="1"/>
      <c r="RGD337" s="1"/>
      <c r="RGE337" s="1"/>
      <c r="RGF337" s="1"/>
      <c r="RGG337" s="1"/>
      <c r="RGH337" s="1"/>
      <c r="RGI337" s="1"/>
      <c r="RGJ337" s="1"/>
      <c r="RGK337" s="1"/>
      <c r="RGL337" s="1"/>
      <c r="RGM337" s="1"/>
      <c r="RGN337" s="1"/>
      <c r="RGO337" s="1"/>
      <c r="RGP337" s="1"/>
      <c r="RGQ337" s="1"/>
      <c r="RGR337" s="1"/>
      <c r="RGS337" s="1"/>
      <c r="RGT337" s="1"/>
      <c r="RGU337" s="1"/>
      <c r="RGV337" s="1"/>
      <c r="RGW337" s="1"/>
      <c r="RGX337" s="1"/>
      <c r="RGY337" s="1"/>
      <c r="RGZ337" s="1"/>
      <c r="RHA337" s="1"/>
      <c r="RHB337" s="1"/>
      <c r="RHC337" s="1"/>
      <c r="RHD337" s="1"/>
      <c r="RHE337" s="1"/>
      <c r="RHF337" s="1"/>
      <c r="RHG337" s="1"/>
      <c r="RHH337" s="1"/>
      <c r="RHI337" s="1"/>
      <c r="RHJ337" s="1"/>
      <c r="RHK337" s="1"/>
      <c r="RHL337" s="1"/>
      <c r="RHM337" s="1"/>
      <c r="RHN337" s="1"/>
      <c r="RHO337" s="1"/>
      <c r="RHP337" s="1"/>
      <c r="RHQ337" s="1"/>
      <c r="RHR337" s="1"/>
      <c r="RHS337" s="1"/>
      <c r="RHT337" s="1"/>
      <c r="RHU337" s="1"/>
      <c r="RHV337" s="1"/>
      <c r="RHW337" s="1"/>
      <c r="RHX337" s="1"/>
      <c r="RHY337" s="1"/>
      <c r="RHZ337" s="1"/>
      <c r="RIA337" s="1"/>
      <c r="RIB337" s="1"/>
      <c r="RIC337" s="1"/>
      <c r="RID337" s="1"/>
      <c r="RIE337" s="1"/>
      <c r="RIF337" s="1"/>
      <c r="RIG337" s="1"/>
      <c r="RIH337" s="1"/>
      <c r="RII337" s="1"/>
      <c r="RIJ337" s="1"/>
      <c r="RIK337" s="1"/>
      <c r="RIL337" s="1"/>
      <c r="RIM337" s="1"/>
      <c r="RIN337" s="1"/>
      <c r="RIO337" s="1"/>
      <c r="RIP337" s="1"/>
      <c r="RIQ337" s="1"/>
      <c r="RIR337" s="1"/>
      <c r="RIS337" s="1"/>
      <c r="RIT337" s="1"/>
      <c r="RIU337" s="1"/>
      <c r="RIV337" s="1"/>
      <c r="RIW337" s="1"/>
      <c r="RIX337" s="1"/>
      <c r="RIY337" s="1"/>
      <c r="RIZ337" s="1"/>
      <c r="RJA337" s="1"/>
      <c r="RJB337" s="1"/>
      <c r="RJC337" s="1"/>
      <c r="RJD337" s="1"/>
      <c r="RJE337" s="1"/>
      <c r="RJF337" s="1"/>
      <c r="RJG337" s="1"/>
      <c r="RJH337" s="1"/>
      <c r="RJI337" s="1"/>
      <c r="RJJ337" s="1"/>
      <c r="RJK337" s="1"/>
      <c r="RJL337" s="1"/>
      <c r="RJM337" s="1"/>
      <c r="RJN337" s="1"/>
      <c r="RJO337" s="1"/>
      <c r="RJP337" s="1"/>
      <c r="RJQ337" s="1"/>
      <c r="RJR337" s="1"/>
      <c r="RJS337" s="1"/>
      <c r="RJT337" s="1"/>
      <c r="RJU337" s="1"/>
      <c r="RJV337" s="1"/>
      <c r="RJW337" s="1"/>
      <c r="RJX337" s="1"/>
      <c r="RJY337" s="1"/>
      <c r="RJZ337" s="1"/>
      <c r="RKA337" s="1"/>
      <c r="RKB337" s="1"/>
      <c r="RKC337" s="1"/>
      <c r="RKD337" s="1"/>
      <c r="RKE337" s="1"/>
      <c r="RKF337" s="1"/>
      <c r="RKG337" s="1"/>
      <c r="RKH337" s="1"/>
      <c r="RKI337" s="1"/>
      <c r="RKJ337" s="1"/>
      <c r="RKK337" s="1"/>
      <c r="RKL337" s="1"/>
      <c r="RKM337" s="1"/>
      <c r="RKN337" s="1"/>
      <c r="RKO337" s="1"/>
      <c r="RKP337" s="1"/>
      <c r="RKQ337" s="1"/>
      <c r="RKR337" s="1"/>
      <c r="RKS337" s="1"/>
      <c r="RKT337" s="1"/>
      <c r="RKU337" s="1"/>
      <c r="RKV337" s="1"/>
      <c r="RKW337" s="1"/>
      <c r="RKX337" s="1"/>
      <c r="RKY337" s="1"/>
      <c r="RKZ337" s="1"/>
      <c r="RLA337" s="1"/>
      <c r="RLB337" s="1"/>
      <c r="RLC337" s="1"/>
      <c r="RLD337" s="1"/>
      <c r="RLE337" s="1"/>
      <c r="RLF337" s="1"/>
      <c r="RLG337" s="1"/>
      <c r="RLH337" s="1"/>
      <c r="RLI337" s="1"/>
      <c r="RLJ337" s="1"/>
      <c r="RLK337" s="1"/>
      <c r="RLL337" s="1"/>
      <c r="RLM337" s="1"/>
      <c r="RLN337" s="1"/>
      <c r="RLO337" s="1"/>
      <c r="RLP337" s="1"/>
      <c r="RLQ337" s="1"/>
      <c r="RLR337" s="1"/>
      <c r="RLS337" s="1"/>
      <c r="RLT337" s="1"/>
      <c r="RLU337" s="1"/>
      <c r="RLV337" s="1"/>
      <c r="RLW337" s="1"/>
      <c r="RLX337" s="1"/>
      <c r="RLY337" s="1"/>
      <c r="RLZ337" s="1"/>
      <c r="RMA337" s="1"/>
      <c r="RMB337" s="1"/>
      <c r="RMC337" s="1"/>
      <c r="RMD337" s="1"/>
      <c r="RME337" s="1"/>
      <c r="RMF337" s="1"/>
      <c r="RMG337" s="1"/>
      <c r="RMH337" s="1"/>
      <c r="RMI337" s="1"/>
      <c r="RMJ337" s="1"/>
      <c r="RMK337" s="1"/>
      <c r="RML337" s="1"/>
      <c r="RMM337" s="1"/>
      <c r="RMN337" s="1"/>
      <c r="RMO337" s="1"/>
      <c r="RMP337" s="1"/>
      <c r="RMQ337" s="1"/>
      <c r="RMR337" s="1"/>
      <c r="RMS337" s="1"/>
      <c r="RMT337" s="1"/>
      <c r="RMU337" s="1"/>
      <c r="RMV337" s="1"/>
      <c r="RMW337" s="1"/>
      <c r="RMX337" s="1"/>
      <c r="RMY337" s="1"/>
      <c r="RMZ337" s="1"/>
      <c r="RNA337" s="1"/>
      <c r="RNB337" s="1"/>
      <c r="RNC337" s="1"/>
      <c r="RND337" s="1"/>
      <c r="RNE337" s="1"/>
      <c r="RNF337" s="1"/>
      <c r="RNG337" s="1"/>
      <c r="RNH337" s="1"/>
      <c r="RNI337" s="1"/>
      <c r="RNJ337" s="1"/>
      <c r="RNK337" s="1"/>
      <c r="RNL337" s="1"/>
      <c r="RNM337" s="1"/>
      <c r="RNN337" s="1"/>
      <c r="RNO337" s="1"/>
      <c r="RNP337" s="1"/>
      <c r="RNQ337" s="1"/>
      <c r="RNR337" s="1"/>
      <c r="RNS337" s="1"/>
      <c r="RNT337" s="1"/>
      <c r="RNU337" s="1"/>
      <c r="RNV337" s="1"/>
      <c r="RNW337" s="1"/>
      <c r="RNX337" s="1"/>
      <c r="RNY337" s="1"/>
      <c r="RNZ337" s="1"/>
      <c r="ROA337" s="1"/>
      <c r="ROB337" s="1"/>
      <c r="ROC337" s="1"/>
      <c r="ROD337" s="1"/>
      <c r="ROE337" s="1"/>
      <c r="ROF337" s="1"/>
      <c r="ROG337" s="1"/>
      <c r="ROH337" s="1"/>
      <c r="ROI337" s="1"/>
      <c r="ROJ337" s="1"/>
      <c r="ROK337" s="1"/>
      <c r="ROL337" s="1"/>
      <c r="ROM337" s="1"/>
      <c r="RON337" s="1"/>
      <c r="ROO337" s="1"/>
      <c r="ROP337" s="1"/>
      <c r="ROQ337" s="1"/>
      <c r="ROR337" s="1"/>
      <c r="ROS337" s="1"/>
      <c r="ROT337" s="1"/>
      <c r="ROU337" s="1"/>
      <c r="ROV337" s="1"/>
      <c r="ROW337" s="1"/>
      <c r="ROX337" s="1"/>
      <c r="ROY337" s="1"/>
      <c r="ROZ337" s="1"/>
      <c r="RPA337" s="1"/>
      <c r="RPB337" s="1"/>
      <c r="RPC337" s="1"/>
      <c r="RPD337" s="1"/>
      <c r="RPE337" s="1"/>
      <c r="RPF337" s="1"/>
      <c r="RPG337" s="1"/>
      <c r="RPH337" s="1"/>
      <c r="RPI337" s="1"/>
      <c r="RPJ337" s="1"/>
      <c r="RPK337" s="1"/>
      <c r="RPL337" s="1"/>
      <c r="RPM337" s="1"/>
      <c r="RPN337" s="1"/>
      <c r="RPO337" s="1"/>
      <c r="RPP337" s="1"/>
      <c r="RPQ337" s="1"/>
      <c r="RPR337" s="1"/>
      <c r="RPS337" s="1"/>
      <c r="RPT337" s="1"/>
      <c r="RPU337" s="1"/>
      <c r="RPV337" s="1"/>
      <c r="RPW337" s="1"/>
      <c r="RPX337" s="1"/>
      <c r="RPY337" s="1"/>
      <c r="RPZ337" s="1"/>
      <c r="RQA337" s="1"/>
      <c r="RQB337" s="1"/>
      <c r="RQC337" s="1"/>
      <c r="RQD337" s="1"/>
      <c r="RQE337" s="1"/>
      <c r="RQF337" s="1"/>
      <c r="RQG337" s="1"/>
      <c r="RQH337" s="1"/>
      <c r="RQI337" s="1"/>
      <c r="RQJ337" s="1"/>
      <c r="RQK337" s="1"/>
      <c r="RQL337" s="1"/>
      <c r="RQM337" s="1"/>
      <c r="RQN337" s="1"/>
      <c r="RQO337" s="1"/>
      <c r="RQP337" s="1"/>
      <c r="RQQ337" s="1"/>
      <c r="RQR337" s="1"/>
      <c r="RQS337" s="1"/>
      <c r="RQT337" s="1"/>
      <c r="RQU337" s="1"/>
      <c r="RQV337" s="1"/>
      <c r="RQW337" s="1"/>
      <c r="RQX337" s="1"/>
      <c r="RQY337" s="1"/>
      <c r="RQZ337" s="1"/>
      <c r="RRA337" s="1"/>
      <c r="RRB337" s="1"/>
      <c r="RRC337" s="1"/>
      <c r="RRD337" s="1"/>
      <c r="RRE337" s="1"/>
      <c r="RRF337" s="1"/>
      <c r="RRG337" s="1"/>
      <c r="RRH337" s="1"/>
      <c r="RRI337" s="1"/>
      <c r="RRJ337" s="1"/>
      <c r="RRK337" s="1"/>
      <c r="RRL337" s="1"/>
      <c r="RRM337" s="1"/>
      <c r="RRN337" s="1"/>
      <c r="RRO337" s="1"/>
      <c r="RRP337" s="1"/>
      <c r="RRQ337" s="1"/>
      <c r="RRR337" s="1"/>
      <c r="RRS337" s="1"/>
      <c r="RRT337" s="1"/>
      <c r="RRU337" s="1"/>
      <c r="RRV337" s="1"/>
      <c r="RRW337" s="1"/>
      <c r="RRX337" s="1"/>
      <c r="RRY337" s="1"/>
      <c r="RRZ337" s="1"/>
      <c r="RSA337" s="1"/>
      <c r="RSB337" s="1"/>
      <c r="RSC337" s="1"/>
      <c r="RSD337" s="1"/>
      <c r="RSE337" s="1"/>
      <c r="RSF337" s="1"/>
      <c r="RSG337" s="1"/>
      <c r="RSH337" s="1"/>
      <c r="RSI337" s="1"/>
      <c r="RSJ337" s="1"/>
      <c r="RSK337" s="1"/>
      <c r="RSL337" s="1"/>
      <c r="RSM337" s="1"/>
      <c r="RSN337" s="1"/>
      <c r="RSO337" s="1"/>
      <c r="RSP337" s="1"/>
      <c r="RSQ337" s="1"/>
      <c r="RSR337" s="1"/>
      <c r="RSS337" s="1"/>
      <c r="RST337" s="1"/>
      <c r="RSU337" s="1"/>
      <c r="RSV337" s="1"/>
      <c r="RSW337" s="1"/>
      <c r="RSX337" s="1"/>
      <c r="RSY337" s="1"/>
      <c r="RSZ337" s="1"/>
      <c r="RTA337" s="1"/>
      <c r="RTB337" s="1"/>
      <c r="RTC337" s="1"/>
      <c r="RTD337" s="1"/>
      <c r="RTE337" s="1"/>
      <c r="RTF337" s="1"/>
      <c r="RTG337" s="1"/>
      <c r="RTH337" s="1"/>
      <c r="RTI337" s="1"/>
      <c r="RTJ337" s="1"/>
      <c r="RTK337" s="1"/>
      <c r="RTL337" s="1"/>
      <c r="RTM337" s="1"/>
      <c r="RTN337" s="1"/>
      <c r="RTO337" s="1"/>
      <c r="RTP337" s="1"/>
      <c r="RTQ337" s="1"/>
      <c r="RTR337" s="1"/>
      <c r="RTS337" s="1"/>
      <c r="RTT337" s="1"/>
      <c r="RTU337" s="1"/>
      <c r="RTV337" s="1"/>
      <c r="RTW337" s="1"/>
      <c r="RTX337" s="1"/>
      <c r="RTY337" s="1"/>
      <c r="RTZ337" s="1"/>
      <c r="RUA337" s="1"/>
      <c r="RUB337" s="1"/>
      <c r="RUC337" s="1"/>
      <c r="RUD337" s="1"/>
      <c r="RUE337" s="1"/>
      <c r="RUF337" s="1"/>
      <c r="RUG337" s="1"/>
      <c r="RUH337" s="1"/>
      <c r="RUI337" s="1"/>
      <c r="RUJ337" s="1"/>
      <c r="RUK337" s="1"/>
      <c r="RUL337" s="1"/>
      <c r="RUM337" s="1"/>
      <c r="RUN337" s="1"/>
      <c r="RUO337" s="1"/>
      <c r="RUP337" s="1"/>
      <c r="RUQ337" s="1"/>
      <c r="RUR337" s="1"/>
      <c r="RUS337" s="1"/>
      <c r="RUT337" s="1"/>
      <c r="RUU337" s="1"/>
      <c r="RUV337" s="1"/>
      <c r="RUW337" s="1"/>
      <c r="RUX337" s="1"/>
      <c r="RUY337" s="1"/>
      <c r="RUZ337" s="1"/>
      <c r="RVA337" s="1"/>
      <c r="RVB337" s="1"/>
      <c r="RVC337" s="1"/>
      <c r="RVD337" s="1"/>
      <c r="RVE337" s="1"/>
      <c r="RVF337" s="1"/>
      <c r="RVG337" s="1"/>
      <c r="RVH337" s="1"/>
      <c r="RVI337" s="1"/>
      <c r="RVJ337" s="1"/>
      <c r="RVK337" s="1"/>
      <c r="RVL337" s="1"/>
      <c r="RVM337" s="1"/>
      <c r="RVN337" s="1"/>
      <c r="RVO337" s="1"/>
      <c r="RVP337" s="1"/>
      <c r="RVQ337" s="1"/>
      <c r="RVR337" s="1"/>
      <c r="RVS337" s="1"/>
      <c r="RVT337" s="1"/>
      <c r="RVU337" s="1"/>
      <c r="RVV337" s="1"/>
      <c r="RVW337" s="1"/>
      <c r="RVX337" s="1"/>
      <c r="RVY337" s="1"/>
      <c r="RVZ337" s="1"/>
      <c r="RWA337" s="1"/>
      <c r="RWB337" s="1"/>
      <c r="RWC337" s="1"/>
      <c r="RWD337" s="1"/>
      <c r="RWE337" s="1"/>
      <c r="RWF337" s="1"/>
      <c r="RWG337" s="1"/>
      <c r="RWH337" s="1"/>
      <c r="RWI337" s="1"/>
      <c r="RWJ337" s="1"/>
      <c r="RWK337" s="1"/>
      <c r="RWL337" s="1"/>
      <c r="RWM337" s="1"/>
      <c r="RWN337" s="1"/>
      <c r="RWO337" s="1"/>
      <c r="RWP337" s="1"/>
      <c r="RWQ337" s="1"/>
      <c r="RWR337" s="1"/>
      <c r="RWS337" s="1"/>
      <c r="RWT337" s="1"/>
      <c r="RWU337" s="1"/>
      <c r="RWV337" s="1"/>
      <c r="RWW337" s="1"/>
      <c r="RWX337" s="1"/>
      <c r="RWY337" s="1"/>
      <c r="RWZ337" s="1"/>
      <c r="RXA337" s="1"/>
      <c r="RXB337" s="1"/>
      <c r="RXC337" s="1"/>
      <c r="RXD337" s="1"/>
      <c r="RXE337" s="1"/>
      <c r="RXF337" s="1"/>
      <c r="RXG337" s="1"/>
      <c r="RXH337" s="1"/>
      <c r="RXI337" s="1"/>
      <c r="RXJ337" s="1"/>
      <c r="RXK337" s="1"/>
      <c r="RXL337" s="1"/>
      <c r="RXM337" s="1"/>
      <c r="RXN337" s="1"/>
      <c r="RXO337" s="1"/>
      <c r="RXP337" s="1"/>
      <c r="RXQ337" s="1"/>
      <c r="RXR337" s="1"/>
      <c r="RXS337" s="1"/>
      <c r="RXT337" s="1"/>
      <c r="RXU337" s="1"/>
      <c r="RXV337" s="1"/>
      <c r="RXW337" s="1"/>
      <c r="RXX337" s="1"/>
      <c r="RXY337" s="1"/>
      <c r="RXZ337" s="1"/>
      <c r="RYA337" s="1"/>
      <c r="RYB337" s="1"/>
      <c r="RYC337" s="1"/>
      <c r="RYD337" s="1"/>
      <c r="RYE337" s="1"/>
      <c r="RYF337" s="1"/>
      <c r="RYG337" s="1"/>
      <c r="RYH337" s="1"/>
      <c r="RYI337" s="1"/>
      <c r="RYJ337" s="1"/>
      <c r="RYK337" s="1"/>
      <c r="RYL337" s="1"/>
      <c r="RYM337" s="1"/>
      <c r="RYN337" s="1"/>
      <c r="RYO337" s="1"/>
      <c r="RYP337" s="1"/>
      <c r="RYQ337" s="1"/>
      <c r="RYR337" s="1"/>
      <c r="RYS337" s="1"/>
      <c r="RYT337" s="1"/>
      <c r="RYU337" s="1"/>
      <c r="RYV337" s="1"/>
      <c r="RYW337" s="1"/>
      <c r="RYX337" s="1"/>
      <c r="RYY337" s="1"/>
      <c r="RYZ337" s="1"/>
      <c r="RZA337" s="1"/>
      <c r="RZB337" s="1"/>
      <c r="RZC337" s="1"/>
      <c r="RZD337" s="1"/>
      <c r="RZE337" s="1"/>
      <c r="RZF337" s="1"/>
      <c r="RZG337" s="1"/>
      <c r="RZH337" s="1"/>
      <c r="RZI337" s="1"/>
      <c r="RZJ337" s="1"/>
      <c r="RZK337" s="1"/>
      <c r="RZL337" s="1"/>
      <c r="RZM337" s="1"/>
      <c r="RZN337" s="1"/>
      <c r="RZO337" s="1"/>
      <c r="RZP337" s="1"/>
      <c r="RZQ337" s="1"/>
      <c r="RZR337" s="1"/>
      <c r="RZS337" s="1"/>
      <c r="RZT337" s="1"/>
      <c r="RZU337" s="1"/>
      <c r="RZV337" s="1"/>
      <c r="RZW337" s="1"/>
      <c r="RZX337" s="1"/>
      <c r="RZY337" s="1"/>
      <c r="RZZ337" s="1"/>
      <c r="SAA337" s="1"/>
      <c r="SAB337" s="1"/>
      <c r="SAC337" s="1"/>
      <c r="SAD337" s="1"/>
      <c r="SAE337" s="1"/>
      <c r="SAF337" s="1"/>
      <c r="SAG337" s="1"/>
      <c r="SAH337" s="1"/>
      <c r="SAI337" s="1"/>
      <c r="SAJ337" s="1"/>
      <c r="SAK337" s="1"/>
      <c r="SAL337" s="1"/>
      <c r="SAM337" s="1"/>
      <c r="SAN337" s="1"/>
      <c r="SAO337" s="1"/>
      <c r="SAP337" s="1"/>
      <c r="SAQ337" s="1"/>
      <c r="SAR337" s="1"/>
      <c r="SAS337" s="1"/>
      <c r="SAT337" s="1"/>
      <c r="SAU337" s="1"/>
      <c r="SAV337" s="1"/>
      <c r="SAW337" s="1"/>
      <c r="SAX337" s="1"/>
      <c r="SAY337" s="1"/>
      <c r="SAZ337" s="1"/>
      <c r="SBA337" s="1"/>
      <c r="SBB337" s="1"/>
      <c r="SBC337" s="1"/>
      <c r="SBD337" s="1"/>
      <c r="SBE337" s="1"/>
      <c r="SBF337" s="1"/>
      <c r="SBG337" s="1"/>
      <c r="SBH337" s="1"/>
      <c r="SBI337" s="1"/>
      <c r="SBJ337" s="1"/>
      <c r="SBK337" s="1"/>
      <c r="SBL337" s="1"/>
      <c r="SBM337" s="1"/>
      <c r="SBN337" s="1"/>
      <c r="SBO337" s="1"/>
      <c r="SBP337" s="1"/>
      <c r="SBQ337" s="1"/>
      <c r="SBR337" s="1"/>
      <c r="SBS337" s="1"/>
      <c r="SBT337" s="1"/>
      <c r="SBU337" s="1"/>
      <c r="SBV337" s="1"/>
      <c r="SBW337" s="1"/>
      <c r="SBX337" s="1"/>
      <c r="SBY337" s="1"/>
      <c r="SBZ337" s="1"/>
      <c r="SCA337" s="1"/>
      <c r="SCB337" s="1"/>
      <c r="SCC337" s="1"/>
      <c r="SCD337" s="1"/>
      <c r="SCE337" s="1"/>
      <c r="SCF337" s="1"/>
      <c r="SCG337" s="1"/>
      <c r="SCH337" s="1"/>
      <c r="SCI337" s="1"/>
      <c r="SCJ337" s="1"/>
      <c r="SCK337" s="1"/>
      <c r="SCL337" s="1"/>
      <c r="SCM337" s="1"/>
      <c r="SCN337" s="1"/>
      <c r="SCO337" s="1"/>
      <c r="SCP337" s="1"/>
      <c r="SCQ337" s="1"/>
      <c r="SCR337" s="1"/>
      <c r="SCS337" s="1"/>
      <c r="SCT337" s="1"/>
      <c r="SCU337" s="1"/>
      <c r="SCV337" s="1"/>
      <c r="SCW337" s="1"/>
      <c r="SCX337" s="1"/>
      <c r="SCY337" s="1"/>
      <c r="SCZ337" s="1"/>
      <c r="SDA337" s="1"/>
      <c r="SDB337" s="1"/>
      <c r="SDC337" s="1"/>
      <c r="SDD337" s="1"/>
      <c r="SDE337" s="1"/>
      <c r="SDF337" s="1"/>
      <c r="SDG337" s="1"/>
      <c r="SDH337" s="1"/>
      <c r="SDI337" s="1"/>
      <c r="SDJ337" s="1"/>
      <c r="SDK337" s="1"/>
      <c r="SDL337" s="1"/>
      <c r="SDM337" s="1"/>
      <c r="SDN337" s="1"/>
      <c r="SDO337" s="1"/>
      <c r="SDP337" s="1"/>
      <c r="SDQ337" s="1"/>
      <c r="SDR337" s="1"/>
      <c r="SDS337" s="1"/>
      <c r="SDT337" s="1"/>
      <c r="SDU337" s="1"/>
      <c r="SDV337" s="1"/>
      <c r="SDW337" s="1"/>
      <c r="SDX337" s="1"/>
      <c r="SDY337" s="1"/>
      <c r="SDZ337" s="1"/>
      <c r="SEA337" s="1"/>
      <c r="SEB337" s="1"/>
      <c r="SEC337" s="1"/>
      <c r="SED337" s="1"/>
      <c r="SEE337" s="1"/>
      <c r="SEF337" s="1"/>
      <c r="SEG337" s="1"/>
      <c r="SEH337" s="1"/>
      <c r="SEI337" s="1"/>
      <c r="SEJ337" s="1"/>
      <c r="SEK337" s="1"/>
      <c r="SEL337" s="1"/>
      <c r="SEM337" s="1"/>
      <c r="SEN337" s="1"/>
      <c r="SEO337" s="1"/>
      <c r="SEP337" s="1"/>
      <c r="SEQ337" s="1"/>
      <c r="SER337" s="1"/>
      <c r="SES337" s="1"/>
      <c r="SET337" s="1"/>
      <c r="SEU337" s="1"/>
      <c r="SEV337" s="1"/>
      <c r="SEW337" s="1"/>
      <c r="SEX337" s="1"/>
      <c r="SEY337" s="1"/>
      <c r="SEZ337" s="1"/>
      <c r="SFA337" s="1"/>
      <c r="SFB337" s="1"/>
      <c r="SFC337" s="1"/>
      <c r="SFD337" s="1"/>
      <c r="SFE337" s="1"/>
      <c r="SFF337" s="1"/>
      <c r="SFG337" s="1"/>
      <c r="SFH337" s="1"/>
      <c r="SFI337" s="1"/>
      <c r="SFJ337" s="1"/>
      <c r="SFK337" s="1"/>
      <c r="SFL337" s="1"/>
      <c r="SFM337" s="1"/>
      <c r="SFN337" s="1"/>
      <c r="SFO337" s="1"/>
      <c r="SFP337" s="1"/>
      <c r="SFQ337" s="1"/>
      <c r="SFR337" s="1"/>
      <c r="SFS337" s="1"/>
      <c r="SFT337" s="1"/>
      <c r="SFU337" s="1"/>
      <c r="SFV337" s="1"/>
      <c r="SFW337" s="1"/>
      <c r="SFX337" s="1"/>
      <c r="SFY337" s="1"/>
      <c r="SFZ337" s="1"/>
      <c r="SGA337" s="1"/>
      <c r="SGB337" s="1"/>
      <c r="SGC337" s="1"/>
      <c r="SGD337" s="1"/>
      <c r="SGE337" s="1"/>
      <c r="SGF337" s="1"/>
      <c r="SGG337" s="1"/>
      <c r="SGH337" s="1"/>
      <c r="SGI337" s="1"/>
      <c r="SGJ337" s="1"/>
      <c r="SGK337" s="1"/>
      <c r="SGL337" s="1"/>
      <c r="SGM337" s="1"/>
      <c r="SGN337" s="1"/>
      <c r="SGO337" s="1"/>
      <c r="SGP337" s="1"/>
      <c r="SGQ337" s="1"/>
      <c r="SGR337" s="1"/>
      <c r="SGS337" s="1"/>
      <c r="SGT337" s="1"/>
      <c r="SGU337" s="1"/>
      <c r="SGV337" s="1"/>
      <c r="SGW337" s="1"/>
      <c r="SGX337" s="1"/>
      <c r="SGY337" s="1"/>
      <c r="SGZ337" s="1"/>
      <c r="SHA337" s="1"/>
      <c r="SHB337" s="1"/>
      <c r="SHC337" s="1"/>
      <c r="SHD337" s="1"/>
      <c r="SHE337" s="1"/>
      <c r="SHF337" s="1"/>
      <c r="SHG337" s="1"/>
      <c r="SHH337" s="1"/>
      <c r="SHI337" s="1"/>
      <c r="SHJ337" s="1"/>
      <c r="SHK337" s="1"/>
      <c r="SHL337" s="1"/>
      <c r="SHM337" s="1"/>
      <c r="SHN337" s="1"/>
      <c r="SHO337" s="1"/>
      <c r="SHP337" s="1"/>
      <c r="SHQ337" s="1"/>
      <c r="SHR337" s="1"/>
      <c r="SHS337" s="1"/>
      <c r="SHT337" s="1"/>
      <c r="SHU337" s="1"/>
      <c r="SHV337" s="1"/>
      <c r="SHW337" s="1"/>
      <c r="SHX337" s="1"/>
      <c r="SHY337" s="1"/>
      <c r="SHZ337" s="1"/>
      <c r="SIA337" s="1"/>
      <c r="SIB337" s="1"/>
      <c r="SIC337" s="1"/>
      <c r="SID337" s="1"/>
      <c r="SIE337" s="1"/>
      <c r="SIF337" s="1"/>
      <c r="SIG337" s="1"/>
      <c r="SIH337" s="1"/>
      <c r="SII337" s="1"/>
      <c r="SIJ337" s="1"/>
      <c r="SIK337" s="1"/>
      <c r="SIL337" s="1"/>
      <c r="SIM337" s="1"/>
      <c r="SIN337" s="1"/>
      <c r="SIO337" s="1"/>
      <c r="SIP337" s="1"/>
      <c r="SIQ337" s="1"/>
      <c r="SIR337" s="1"/>
      <c r="SIS337" s="1"/>
      <c r="SIT337" s="1"/>
      <c r="SIU337" s="1"/>
      <c r="SIV337" s="1"/>
      <c r="SIW337" s="1"/>
      <c r="SIX337" s="1"/>
      <c r="SIY337" s="1"/>
      <c r="SIZ337" s="1"/>
      <c r="SJA337" s="1"/>
      <c r="SJB337" s="1"/>
      <c r="SJC337" s="1"/>
      <c r="SJD337" s="1"/>
      <c r="SJE337" s="1"/>
      <c r="SJF337" s="1"/>
      <c r="SJG337" s="1"/>
      <c r="SJH337" s="1"/>
      <c r="SJI337" s="1"/>
      <c r="SJJ337" s="1"/>
      <c r="SJK337" s="1"/>
      <c r="SJL337" s="1"/>
      <c r="SJM337" s="1"/>
      <c r="SJN337" s="1"/>
      <c r="SJO337" s="1"/>
      <c r="SJP337" s="1"/>
      <c r="SJQ337" s="1"/>
      <c r="SJR337" s="1"/>
      <c r="SJS337" s="1"/>
      <c r="SJT337" s="1"/>
      <c r="SJU337" s="1"/>
      <c r="SJV337" s="1"/>
      <c r="SJW337" s="1"/>
      <c r="SJX337" s="1"/>
      <c r="SJY337" s="1"/>
      <c r="SJZ337" s="1"/>
      <c r="SKA337" s="1"/>
      <c r="SKB337" s="1"/>
      <c r="SKC337" s="1"/>
      <c r="SKD337" s="1"/>
      <c r="SKE337" s="1"/>
      <c r="SKF337" s="1"/>
      <c r="SKG337" s="1"/>
      <c r="SKH337" s="1"/>
      <c r="SKI337" s="1"/>
      <c r="SKJ337" s="1"/>
      <c r="SKK337" s="1"/>
      <c r="SKL337" s="1"/>
      <c r="SKM337" s="1"/>
      <c r="SKN337" s="1"/>
      <c r="SKO337" s="1"/>
      <c r="SKP337" s="1"/>
      <c r="SKQ337" s="1"/>
      <c r="SKR337" s="1"/>
      <c r="SKS337" s="1"/>
      <c r="SKT337" s="1"/>
      <c r="SKU337" s="1"/>
      <c r="SKV337" s="1"/>
      <c r="SKW337" s="1"/>
      <c r="SKX337" s="1"/>
      <c r="SKY337" s="1"/>
      <c r="SKZ337" s="1"/>
      <c r="SLA337" s="1"/>
      <c r="SLB337" s="1"/>
      <c r="SLC337" s="1"/>
      <c r="SLD337" s="1"/>
      <c r="SLE337" s="1"/>
      <c r="SLF337" s="1"/>
      <c r="SLG337" s="1"/>
      <c r="SLH337" s="1"/>
      <c r="SLI337" s="1"/>
      <c r="SLJ337" s="1"/>
      <c r="SLK337" s="1"/>
      <c r="SLL337" s="1"/>
      <c r="SLM337" s="1"/>
      <c r="SLN337" s="1"/>
      <c r="SLO337" s="1"/>
      <c r="SLP337" s="1"/>
      <c r="SLQ337" s="1"/>
      <c r="SLR337" s="1"/>
      <c r="SLS337" s="1"/>
      <c r="SLT337" s="1"/>
      <c r="SLU337" s="1"/>
      <c r="SLV337" s="1"/>
      <c r="SLW337" s="1"/>
      <c r="SLX337" s="1"/>
      <c r="SLY337" s="1"/>
      <c r="SLZ337" s="1"/>
      <c r="SMA337" s="1"/>
      <c r="SMB337" s="1"/>
      <c r="SMC337" s="1"/>
      <c r="SMD337" s="1"/>
      <c r="SME337" s="1"/>
      <c r="SMF337" s="1"/>
      <c r="SMG337" s="1"/>
      <c r="SMH337" s="1"/>
      <c r="SMI337" s="1"/>
      <c r="SMJ337" s="1"/>
      <c r="SMK337" s="1"/>
      <c r="SML337" s="1"/>
      <c r="SMM337" s="1"/>
      <c r="SMN337" s="1"/>
      <c r="SMO337" s="1"/>
      <c r="SMP337" s="1"/>
      <c r="SMQ337" s="1"/>
      <c r="SMR337" s="1"/>
      <c r="SMS337" s="1"/>
      <c r="SMT337" s="1"/>
      <c r="SMU337" s="1"/>
      <c r="SMV337" s="1"/>
      <c r="SMW337" s="1"/>
      <c r="SMX337" s="1"/>
      <c r="SMY337" s="1"/>
      <c r="SMZ337" s="1"/>
      <c r="SNA337" s="1"/>
      <c r="SNB337" s="1"/>
      <c r="SNC337" s="1"/>
      <c r="SND337" s="1"/>
      <c r="SNE337" s="1"/>
      <c r="SNF337" s="1"/>
      <c r="SNG337" s="1"/>
      <c r="SNH337" s="1"/>
      <c r="SNI337" s="1"/>
      <c r="SNJ337" s="1"/>
      <c r="SNK337" s="1"/>
      <c r="SNL337" s="1"/>
      <c r="SNM337" s="1"/>
      <c r="SNN337" s="1"/>
      <c r="SNO337" s="1"/>
      <c r="SNP337" s="1"/>
      <c r="SNQ337" s="1"/>
      <c r="SNR337" s="1"/>
      <c r="SNS337" s="1"/>
      <c r="SNT337" s="1"/>
      <c r="SNU337" s="1"/>
      <c r="SNV337" s="1"/>
      <c r="SNW337" s="1"/>
      <c r="SNX337" s="1"/>
      <c r="SNY337" s="1"/>
      <c r="SNZ337" s="1"/>
      <c r="SOA337" s="1"/>
      <c r="SOB337" s="1"/>
      <c r="SOC337" s="1"/>
      <c r="SOD337" s="1"/>
      <c r="SOE337" s="1"/>
      <c r="SOF337" s="1"/>
      <c r="SOG337" s="1"/>
      <c r="SOH337" s="1"/>
      <c r="SOI337" s="1"/>
      <c r="SOJ337" s="1"/>
      <c r="SOK337" s="1"/>
      <c r="SOL337" s="1"/>
      <c r="SOM337" s="1"/>
      <c r="SON337" s="1"/>
      <c r="SOO337" s="1"/>
      <c r="SOP337" s="1"/>
      <c r="SOQ337" s="1"/>
      <c r="SOR337" s="1"/>
      <c r="SOS337" s="1"/>
      <c r="SOT337" s="1"/>
      <c r="SOU337" s="1"/>
      <c r="SOV337" s="1"/>
      <c r="SOW337" s="1"/>
      <c r="SOX337" s="1"/>
      <c r="SOY337" s="1"/>
      <c r="SOZ337" s="1"/>
      <c r="SPA337" s="1"/>
      <c r="SPB337" s="1"/>
      <c r="SPC337" s="1"/>
      <c r="SPD337" s="1"/>
      <c r="SPE337" s="1"/>
      <c r="SPF337" s="1"/>
      <c r="SPG337" s="1"/>
      <c r="SPH337" s="1"/>
      <c r="SPI337" s="1"/>
      <c r="SPJ337" s="1"/>
      <c r="SPK337" s="1"/>
      <c r="SPL337" s="1"/>
      <c r="SPM337" s="1"/>
      <c r="SPN337" s="1"/>
      <c r="SPO337" s="1"/>
      <c r="SPP337" s="1"/>
      <c r="SPQ337" s="1"/>
      <c r="SPR337" s="1"/>
      <c r="SPS337" s="1"/>
      <c r="SPT337" s="1"/>
      <c r="SPU337" s="1"/>
      <c r="SPV337" s="1"/>
      <c r="SPW337" s="1"/>
      <c r="SPX337" s="1"/>
      <c r="SPY337" s="1"/>
      <c r="SPZ337" s="1"/>
      <c r="SQA337" s="1"/>
      <c r="SQB337" s="1"/>
      <c r="SQC337" s="1"/>
      <c r="SQD337" s="1"/>
      <c r="SQE337" s="1"/>
      <c r="SQF337" s="1"/>
      <c r="SQG337" s="1"/>
      <c r="SQH337" s="1"/>
      <c r="SQI337" s="1"/>
      <c r="SQJ337" s="1"/>
      <c r="SQK337" s="1"/>
      <c r="SQL337" s="1"/>
      <c r="SQM337" s="1"/>
      <c r="SQN337" s="1"/>
      <c r="SQO337" s="1"/>
      <c r="SQP337" s="1"/>
      <c r="SQQ337" s="1"/>
      <c r="SQR337" s="1"/>
      <c r="SQS337" s="1"/>
      <c r="SQT337" s="1"/>
      <c r="SQU337" s="1"/>
      <c r="SQV337" s="1"/>
      <c r="SQW337" s="1"/>
      <c r="SQX337" s="1"/>
      <c r="SQY337" s="1"/>
      <c r="SQZ337" s="1"/>
      <c r="SRA337" s="1"/>
      <c r="SRB337" s="1"/>
      <c r="SRC337" s="1"/>
      <c r="SRD337" s="1"/>
      <c r="SRE337" s="1"/>
      <c r="SRF337" s="1"/>
      <c r="SRG337" s="1"/>
      <c r="SRH337" s="1"/>
      <c r="SRI337" s="1"/>
      <c r="SRJ337" s="1"/>
      <c r="SRK337" s="1"/>
      <c r="SRL337" s="1"/>
      <c r="SRM337" s="1"/>
      <c r="SRN337" s="1"/>
      <c r="SRO337" s="1"/>
      <c r="SRP337" s="1"/>
      <c r="SRQ337" s="1"/>
      <c r="SRR337" s="1"/>
      <c r="SRS337" s="1"/>
      <c r="SRT337" s="1"/>
      <c r="SRU337" s="1"/>
      <c r="SRV337" s="1"/>
      <c r="SRW337" s="1"/>
      <c r="SRX337" s="1"/>
      <c r="SRY337" s="1"/>
      <c r="SRZ337" s="1"/>
      <c r="SSA337" s="1"/>
      <c r="SSB337" s="1"/>
      <c r="SSC337" s="1"/>
      <c r="SSD337" s="1"/>
      <c r="SSE337" s="1"/>
      <c r="SSF337" s="1"/>
      <c r="SSG337" s="1"/>
      <c r="SSH337" s="1"/>
      <c r="SSI337" s="1"/>
      <c r="SSJ337" s="1"/>
      <c r="SSK337" s="1"/>
      <c r="SSL337" s="1"/>
      <c r="SSM337" s="1"/>
      <c r="SSN337" s="1"/>
      <c r="SSO337" s="1"/>
      <c r="SSP337" s="1"/>
      <c r="SSQ337" s="1"/>
      <c r="SSR337" s="1"/>
      <c r="SSS337" s="1"/>
      <c r="SST337" s="1"/>
      <c r="SSU337" s="1"/>
      <c r="SSV337" s="1"/>
      <c r="SSW337" s="1"/>
      <c r="SSX337" s="1"/>
      <c r="SSY337" s="1"/>
      <c r="SSZ337" s="1"/>
      <c r="STA337" s="1"/>
      <c r="STB337" s="1"/>
      <c r="STC337" s="1"/>
      <c r="STD337" s="1"/>
      <c r="STE337" s="1"/>
      <c r="STF337" s="1"/>
      <c r="STG337" s="1"/>
      <c r="STH337" s="1"/>
      <c r="STI337" s="1"/>
      <c r="STJ337" s="1"/>
      <c r="STK337" s="1"/>
      <c r="STL337" s="1"/>
      <c r="STM337" s="1"/>
      <c r="STN337" s="1"/>
      <c r="STO337" s="1"/>
      <c r="STP337" s="1"/>
      <c r="STQ337" s="1"/>
      <c r="STR337" s="1"/>
      <c r="STS337" s="1"/>
      <c r="STT337" s="1"/>
      <c r="STU337" s="1"/>
      <c r="STV337" s="1"/>
      <c r="STW337" s="1"/>
      <c r="STX337" s="1"/>
      <c r="STY337" s="1"/>
      <c r="STZ337" s="1"/>
      <c r="SUA337" s="1"/>
      <c r="SUB337" s="1"/>
      <c r="SUC337" s="1"/>
      <c r="SUD337" s="1"/>
      <c r="SUE337" s="1"/>
      <c r="SUF337" s="1"/>
      <c r="SUG337" s="1"/>
      <c r="SUH337" s="1"/>
      <c r="SUI337" s="1"/>
      <c r="SUJ337" s="1"/>
      <c r="SUK337" s="1"/>
      <c r="SUL337" s="1"/>
      <c r="SUM337" s="1"/>
      <c r="SUN337" s="1"/>
      <c r="SUO337" s="1"/>
      <c r="SUP337" s="1"/>
      <c r="SUQ337" s="1"/>
      <c r="SUR337" s="1"/>
      <c r="SUS337" s="1"/>
      <c r="SUT337" s="1"/>
      <c r="SUU337" s="1"/>
      <c r="SUV337" s="1"/>
      <c r="SUW337" s="1"/>
      <c r="SUX337" s="1"/>
      <c r="SUY337" s="1"/>
      <c r="SUZ337" s="1"/>
      <c r="SVA337" s="1"/>
      <c r="SVB337" s="1"/>
      <c r="SVC337" s="1"/>
      <c r="SVD337" s="1"/>
      <c r="SVE337" s="1"/>
      <c r="SVF337" s="1"/>
      <c r="SVG337" s="1"/>
      <c r="SVH337" s="1"/>
      <c r="SVI337" s="1"/>
      <c r="SVJ337" s="1"/>
      <c r="SVK337" s="1"/>
      <c r="SVL337" s="1"/>
      <c r="SVM337" s="1"/>
      <c r="SVN337" s="1"/>
      <c r="SVO337" s="1"/>
      <c r="SVP337" s="1"/>
      <c r="SVQ337" s="1"/>
      <c r="SVR337" s="1"/>
      <c r="SVS337" s="1"/>
      <c r="SVT337" s="1"/>
      <c r="SVU337" s="1"/>
      <c r="SVV337" s="1"/>
      <c r="SVW337" s="1"/>
      <c r="SVX337" s="1"/>
      <c r="SVY337" s="1"/>
      <c r="SVZ337" s="1"/>
      <c r="SWA337" s="1"/>
      <c r="SWB337" s="1"/>
      <c r="SWC337" s="1"/>
      <c r="SWD337" s="1"/>
      <c r="SWE337" s="1"/>
      <c r="SWF337" s="1"/>
      <c r="SWG337" s="1"/>
      <c r="SWH337" s="1"/>
      <c r="SWI337" s="1"/>
      <c r="SWJ337" s="1"/>
      <c r="SWK337" s="1"/>
      <c r="SWL337" s="1"/>
      <c r="SWM337" s="1"/>
      <c r="SWN337" s="1"/>
      <c r="SWO337" s="1"/>
      <c r="SWP337" s="1"/>
      <c r="SWQ337" s="1"/>
      <c r="SWR337" s="1"/>
      <c r="SWS337" s="1"/>
      <c r="SWT337" s="1"/>
      <c r="SWU337" s="1"/>
      <c r="SWV337" s="1"/>
      <c r="SWW337" s="1"/>
      <c r="SWX337" s="1"/>
      <c r="SWY337" s="1"/>
      <c r="SWZ337" s="1"/>
      <c r="SXA337" s="1"/>
      <c r="SXB337" s="1"/>
      <c r="SXC337" s="1"/>
      <c r="SXD337" s="1"/>
      <c r="SXE337" s="1"/>
      <c r="SXF337" s="1"/>
      <c r="SXG337" s="1"/>
      <c r="SXH337" s="1"/>
      <c r="SXI337" s="1"/>
      <c r="SXJ337" s="1"/>
      <c r="SXK337" s="1"/>
      <c r="SXL337" s="1"/>
      <c r="SXM337" s="1"/>
      <c r="SXN337" s="1"/>
      <c r="SXO337" s="1"/>
      <c r="SXP337" s="1"/>
      <c r="SXQ337" s="1"/>
      <c r="SXR337" s="1"/>
      <c r="SXS337" s="1"/>
      <c r="SXT337" s="1"/>
      <c r="SXU337" s="1"/>
      <c r="SXV337" s="1"/>
      <c r="SXW337" s="1"/>
      <c r="SXX337" s="1"/>
      <c r="SXY337" s="1"/>
      <c r="SXZ337" s="1"/>
      <c r="SYA337" s="1"/>
      <c r="SYB337" s="1"/>
      <c r="SYC337" s="1"/>
      <c r="SYD337" s="1"/>
      <c r="SYE337" s="1"/>
      <c r="SYF337" s="1"/>
      <c r="SYG337" s="1"/>
      <c r="SYH337" s="1"/>
      <c r="SYI337" s="1"/>
      <c r="SYJ337" s="1"/>
      <c r="SYK337" s="1"/>
      <c r="SYL337" s="1"/>
      <c r="SYM337" s="1"/>
      <c r="SYN337" s="1"/>
      <c r="SYO337" s="1"/>
      <c r="SYP337" s="1"/>
      <c r="SYQ337" s="1"/>
      <c r="SYR337" s="1"/>
      <c r="SYS337" s="1"/>
      <c r="SYT337" s="1"/>
      <c r="SYU337" s="1"/>
      <c r="SYV337" s="1"/>
      <c r="SYW337" s="1"/>
      <c r="SYX337" s="1"/>
      <c r="SYY337" s="1"/>
      <c r="SYZ337" s="1"/>
      <c r="SZA337" s="1"/>
      <c r="SZB337" s="1"/>
      <c r="SZC337" s="1"/>
      <c r="SZD337" s="1"/>
      <c r="SZE337" s="1"/>
      <c r="SZF337" s="1"/>
      <c r="SZG337" s="1"/>
      <c r="SZH337" s="1"/>
      <c r="SZI337" s="1"/>
      <c r="SZJ337" s="1"/>
      <c r="SZK337" s="1"/>
      <c r="SZL337" s="1"/>
      <c r="SZM337" s="1"/>
      <c r="SZN337" s="1"/>
      <c r="SZO337" s="1"/>
      <c r="SZP337" s="1"/>
      <c r="SZQ337" s="1"/>
      <c r="SZR337" s="1"/>
      <c r="SZS337" s="1"/>
      <c r="SZT337" s="1"/>
      <c r="SZU337" s="1"/>
      <c r="SZV337" s="1"/>
      <c r="SZW337" s="1"/>
      <c r="SZX337" s="1"/>
      <c r="SZY337" s="1"/>
      <c r="SZZ337" s="1"/>
      <c r="TAA337" s="1"/>
      <c r="TAB337" s="1"/>
      <c r="TAC337" s="1"/>
      <c r="TAD337" s="1"/>
      <c r="TAE337" s="1"/>
      <c r="TAF337" s="1"/>
      <c r="TAG337" s="1"/>
      <c r="TAH337" s="1"/>
      <c r="TAI337" s="1"/>
      <c r="TAJ337" s="1"/>
      <c r="TAK337" s="1"/>
      <c r="TAL337" s="1"/>
      <c r="TAM337" s="1"/>
      <c r="TAN337" s="1"/>
      <c r="TAO337" s="1"/>
      <c r="TAP337" s="1"/>
      <c r="TAQ337" s="1"/>
      <c r="TAR337" s="1"/>
      <c r="TAS337" s="1"/>
      <c r="TAT337" s="1"/>
      <c r="TAU337" s="1"/>
      <c r="TAV337" s="1"/>
      <c r="TAW337" s="1"/>
      <c r="TAX337" s="1"/>
      <c r="TAY337" s="1"/>
      <c r="TAZ337" s="1"/>
      <c r="TBA337" s="1"/>
      <c r="TBB337" s="1"/>
      <c r="TBC337" s="1"/>
      <c r="TBD337" s="1"/>
      <c r="TBE337" s="1"/>
      <c r="TBF337" s="1"/>
      <c r="TBG337" s="1"/>
      <c r="TBH337" s="1"/>
      <c r="TBI337" s="1"/>
      <c r="TBJ337" s="1"/>
      <c r="TBK337" s="1"/>
      <c r="TBL337" s="1"/>
      <c r="TBM337" s="1"/>
      <c r="TBN337" s="1"/>
      <c r="TBO337" s="1"/>
      <c r="TBP337" s="1"/>
      <c r="TBQ337" s="1"/>
      <c r="TBR337" s="1"/>
      <c r="TBS337" s="1"/>
      <c r="TBT337" s="1"/>
      <c r="TBU337" s="1"/>
      <c r="TBV337" s="1"/>
      <c r="TBW337" s="1"/>
      <c r="TBX337" s="1"/>
      <c r="TBY337" s="1"/>
      <c r="TBZ337" s="1"/>
      <c r="TCA337" s="1"/>
      <c r="TCB337" s="1"/>
      <c r="TCC337" s="1"/>
      <c r="TCD337" s="1"/>
      <c r="TCE337" s="1"/>
      <c r="TCF337" s="1"/>
      <c r="TCG337" s="1"/>
      <c r="TCH337" s="1"/>
      <c r="TCI337" s="1"/>
      <c r="TCJ337" s="1"/>
      <c r="TCK337" s="1"/>
      <c r="TCL337" s="1"/>
      <c r="TCM337" s="1"/>
      <c r="TCN337" s="1"/>
      <c r="TCO337" s="1"/>
      <c r="TCP337" s="1"/>
      <c r="TCQ337" s="1"/>
      <c r="TCR337" s="1"/>
      <c r="TCS337" s="1"/>
      <c r="TCT337" s="1"/>
      <c r="TCU337" s="1"/>
      <c r="TCV337" s="1"/>
      <c r="TCW337" s="1"/>
      <c r="TCX337" s="1"/>
      <c r="TCY337" s="1"/>
      <c r="TCZ337" s="1"/>
      <c r="TDA337" s="1"/>
      <c r="TDB337" s="1"/>
      <c r="TDC337" s="1"/>
      <c r="TDD337" s="1"/>
      <c r="TDE337" s="1"/>
      <c r="TDF337" s="1"/>
      <c r="TDG337" s="1"/>
      <c r="TDH337" s="1"/>
      <c r="TDI337" s="1"/>
      <c r="TDJ337" s="1"/>
      <c r="TDK337" s="1"/>
      <c r="TDL337" s="1"/>
      <c r="TDM337" s="1"/>
      <c r="TDN337" s="1"/>
      <c r="TDO337" s="1"/>
      <c r="TDP337" s="1"/>
      <c r="TDQ337" s="1"/>
      <c r="TDR337" s="1"/>
      <c r="TDS337" s="1"/>
      <c r="TDT337" s="1"/>
      <c r="TDU337" s="1"/>
      <c r="TDV337" s="1"/>
      <c r="TDW337" s="1"/>
      <c r="TDX337" s="1"/>
      <c r="TDY337" s="1"/>
      <c r="TDZ337" s="1"/>
      <c r="TEA337" s="1"/>
      <c r="TEB337" s="1"/>
      <c r="TEC337" s="1"/>
      <c r="TED337" s="1"/>
      <c r="TEE337" s="1"/>
      <c r="TEF337" s="1"/>
      <c r="TEG337" s="1"/>
      <c r="TEH337" s="1"/>
      <c r="TEI337" s="1"/>
      <c r="TEJ337" s="1"/>
      <c r="TEK337" s="1"/>
      <c r="TEL337" s="1"/>
      <c r="TEM337" s="1"/>
      <c r="TEN337" s="1"/>
      <c r="TEO337" s="1"/>
      <c r="TEP337" s="1"/>
      <c r="TEQ337" s="1"/>
      <c r="TER337" s="1"/>
      <c r="TES337" s="1"/>
      <c r="TET337" s="1"/>
      <c r="TEU337" s="1"/>
      <c r="TEV337" s="1"/>
      <c r="TEW337" s="1"/>
      <c r="TEX337" s="1"/>
      <c r="TEY337" s="1"/>
      <c r="TEZ337" s="1"/>
      <c r="TFA337" s="1"/>
      <c r="TFB337" s="1"/>
      <c r="TFC337" s="1"/>
      <c r="TFD337" s="1"/>
      <c r="TFE337" s="1"/>
      <c r="TFF337" s="1"/>
      <c r="TFG337" s="1"/>
      <c r="TFH337" s="1"/>
      <c r="TFI337" s="1"/>
      <c r="TFJ337" s="1"/>
      <c r="TFK337" s="1"/>
      <c r="TFL337" s="1"/>
      <c r="TFM337" s="1"/>
      <c r="TFN337" s="1"/>
      <c r="TFO337" s="1"/>
      <c r="TFP337" s="1"/>
      <c r="TFQ337" s="1"/>
      <c r="TFR337" s="1"/>
      <c r="TFS337" s="1"/>
      <c r="TFT337" s="1"/>
      <c r="TFU337" s="1"/>
      <c r="TFV337" s="1"/>
      <c r="TFW337" s="1"/>
      <c r="TFX337" s="1"/>
      <c r="TFY337" s="1"/>
      <c r="TFZ337" s="1"/>
      <c r="TGA337" s="1"/>
      <c r="TGB337" s="1"/>
      <c r="TGC337" s="1"/>
      <c r="TGD337" s="1"/>
      <c r="TGE337" s="1"/>
      <c r="TGF337" s="1"/>
      <c r="TGG337" s="1"/>
      <c r="TGH337" s="1"/>
      <c r="TGI337" s="1"/>
      <c r="TGJ337" s="1"/>
      <c r="TGK337" s="1"/>
      <c r="TGL337" s="1"/>
      <c r="TGM337" s="1"/>
      <c r="TGN337" s="1"/>
      <c r="TGO337" s="1"/>
      <c r="TGP337" s="1"/>
      <c r="TGQ337" s="1"/>
      <c r="TGR337" s="1"/>
      <c r="TGS337" s="1"/>
      <c r="TGT337" s="1"/>
      <c r="TGU337" s="1"/>
      <c r="TGV337" s="1"/>
      <c r="TGW337" s="1"/>
      <c r="TGX337" s="1"/>
      <c r="TGY337" s="1"/>
      <c r="TGZ337" s="1"/>
      <c r="THA337" s="1"/>
      <c r="THB337" s="1"/>
      <c r="THC337" s="1"/>
      <c r="THD337" s="1"/>
      <c r="THE337" s="1"/>
      <c r="THF337" s="1"/>
      <c r="THG337" s="1"/>
      <c r="THH337" s="1"/>
      <c r="THI337" s="1"/>
      <c r="THJ337" s="1"/>
      <c r="THK337" s="1"/>
      <c r="THL337" s="1"/>
      <c r="THM337" s="1"/>
      <c r="THN337" s="1"/>
      <c r="THO337" s="1"/>
      <c r="THP337" s="1"/>
      <c r="THQ337" s="1"/>
      <c r="THR337" s="1"/>
      <c r="THS337" s="1"/>
      <c r="THT337" s="1"/>
      <c r="THU337" s="1"/>
      <c r="THV337" s="1"/>
      <c r="THW337" s="1"/>
      <c r="THX337" s="1"/>
      <c r="THY337" s="1"/>
      <c r="THZ337" s="1"/>
      <c r="TIA337" s="1"/>
      <c r="TIB337" s="1"/>
      <c r="TIC337" s="1"/>
      <c r="TID337" s="1"/>
      <c r="TIE337" s="1"/>
      <c r="TIF337" s="1"/>
      <c r="TIG337" s="1"/>
      <c r="TIH337" s="1"/>
      <c r="TII337" s="1"/>
      <c r="TIJ337" s="1"/>
      <c r="TIK337" s="1"/>
      <c r="TIL337" s="1"/>
      <c r="TIM337" s="1"/>
      <c r="TIN337" s="1"/>
      <c r="TIO337" s="1"/>
      <c r="TIP337" s="1"/>
      <c r="TIQ337" s="1"/>
      <c r="TIR337" s="1"/>
      <c r="TIS337" s="1"/>
      <c r="TIT337" s="1"/>
      <c r="TIU337" s="1"/>
      <c r="TIV337" s="1"/>
      <c r="TIW337" s="1"/>
      <c r="TIX337" s="1"/>
      <c r="TIY337" s="1"/>
      <c r="TIZ337" s="1"/>
      <c r="TJA337" s="1"/>
      <c r="TJB337" s="1"/>
      <c r="TJC337" s="1"/>
      <c r="TJD337" s="1"/>
      <c r="TJE337" s="1"/>
      <c r="TJF337" s="1"/>
      <c r="TJG337" s="1"/>
      <c r="TJH337" s="1"/>
      <c r="TJI337" s="1"/>
      <c r="TJJ337" s="1"/>
      <c r="TJK337" s="1"/>
      <c r="TJL337" s="1"/>
      <c r="TJM337" s="1"/>
      <c r="TJN337" s="1"/>
      <c r="TJO337" s="1"/>
      <c r="TJP337" s="1"/>
      <c r="TJQ337" s="1"/>
      <c r="TJR337" s="1"/>
      <c r="TJS337" s="1"/>
      <c r="TJT337" s="1"/>
      <c r="TJU337" s="1"/>
      <c r="TJV337" s="1"/>
      <c r="TJW337" s="1"/>
      <c r="TJX337" s="1"/>
      <c r="TJY337" s="1"/>
      <c r="TJZ337" s="1"/>
      <c r="TKA337" s="1"/>
      <c r="TKB337" s="1"/>
      <c r="TKC337" s="1"/>
      <c r="TKD337" s="1"/>
      <c r="TKE337" s="1"/>
      <c r="TKF337" s="1"/>
      <c r="TKG337" s="1"/>
      <c r="TKH337" s="1"/>
      <c r="TKI337" s="1"/>
      <c r="TKJ337" s="1"/>
      <c r="TKK337" s="1"/>
      <c r="TKL337" s="1"/>
      <c r="TKM337" s="1"/>
      <c r="TKN337" s="1"/>
      <c r="TKO337" s="1"/>
      <c r="TKP337" s="1"/>
      <c r="TKQ337" s="1"/>
      <c r="TKR337" s="1"/>
      <c r="TKS337" s="1"/>
      <c r="TKT337" s="1"/>
      <c r="TKU337" s="1"/>
      <c r="TKV337" s="1"/>
      <c r="TKW337" s="1"/>
      <c r="TKX337" s="1"/>
      <c r="TKY337" s="1"/>
      <c r="TKZ337" s="1"/>
      <c r="TLA337" s="1"/>
      <c r="TLB337" s="1"/>
      <c r="TLC337" s="1"/>
      <c r="TLD337" s="1"/>
      <c r="TLE337" s="1"/>
      <c r="TLF337" s="1"/>
      <c r="TLG337" s="1"/>
      <c r="TLH337" s="1"/>
      <c r="TLI337" s="1"/>
      <c r="TLJ337" s="1"/>
      <c r="TLK337" s="1"/>
      <c r="TLL337" s="1"/>
      <c r="TLM337" s="1"/>
      <c r="TLN337" s="1"/>
      <c r="TLO337" s="1"/>
      <c r="TLP337" s="1"/>
      <c r="TLQ337" s="1"/>
      <c r="TLR337" s="1"/>
      <c r="TLS337" s="1"/>
      <c r="TLT337" s="1"/>
      <c r="TLU337" s="1"/>
      <c r="TLV337" s="1"/>
      <c r="TLW337" s="1"/>
      <c r="TLX337" s="1"/>
      <c r="TLY337" s="1"/>
      <c r="TLZ337" s="1"/>
      <c r="TMA337" s="1"/>
      <c r="TMB337" s="1"/>
      <c r="TMC337" s="1"/>
      <c r="TMD337" s="1"/>
      <c r="TME337" s="1"/>
      <c r="TMF337" s="1"/>
      <c r="TMG337" s="1"/>
      <c r="TMH337" s="1"/>
      <c r="TMI337" s="1"/>
      <c r="TMJ337" s="1"/>
      <c r="TMK337" s="1"/>
      <c r="TML337" s="1"/>
      <c r="TMM337" s="1"/>
      <c r="TMN337" s="1"/>
      <c r="TMO337" s="1"/>
      <c r="TMP337" s="1"/>
      <c r="TMQ337" s="1"/>
      <c r="TMR337" s="1"/>
      <c r="TMS337" s="1"/>
      <c r="TMT337" s="1"/>
      <c r="TMU337" s="1"/>
      <c r="TMV337" s="1"/>
      <c r="TMW337" s="1"/>
      <c r="TMX337" s="1"/>
      <c r="TMY337" s="1"/>
      <c r="TMZ337" s="1"/>
      <c r="TNA337" s="1"/>
      <c r="TNB337" s="1"/>
      <c r="TNC337" s="1"/>
      <c r="TND337" s="1"/>
      <c r="TNE337" s="1"/>
      <c r="TNF337" s="1"/>
      <c r="TNG337" s="1"/>
      <c r="TNH337" s="1"/>
      <c r="TNI337" s="1"/>
      <c r="TNJ337" s="1"/>
      <c r="TNK337" s="1"/>
      <c r="TNL337" s="1"/>
      <c r="TNM337" s="1"/>
      <c r="TNN337" s="1"/>
      <c r="TNO337" s="1"/>
      <c r="TNP337" s="1"/>
      <c r="TNQ337" s="1"/>
      <c r="TNR337" s="1"/>
      <c r="TNS337" s="1"/>
      <c r="TNT337" s="1"/>
      <c r="TNU337" s="1"/>
      <c r="TNV337" s="1"/>
      <c r="TNW337" s="1"/>
      <c r="TNX337" s="1"/>
      <c r="TNY337" s="1"/>
      <c r="TNZ337" s="1"/>
      <c r="TOA337" s="1"/>
      <c r="TOB337" s="1"/>
      <c r="TOC337" s="1"/>
      <c r="TOD337" s="1"/>
      <c r="TOE337" s="1"/>
      <c r="TOF337" s="1"/>
      <c r="TOG337" s="1"/>
      <c r="TOH337" s="1"/>
      <c r="TOI337" s="1"/>
      <c r="TOJ337" s="1"/>
      <c r="TOK337" s="1"/>
      <c r="TOL337" s="1"/>
      <c r="TOM337" s="1"/>
      <c r="TON337" s="1"/>
      <c r="TOO337" s="1"/>
      <c r="TOP337" s="1"/>
      <c r="TOQ337" s="1"/>
      <c r="TOR337" s="1"/>
      <c r="TOS337" s="1"/>
      <c r="TOT337" s="1"/>
      <c r="TOU337" s="1"/>
      <c r="TOV337" s="1"/>
      <c r="TOW337" s="1"/>
      <c r="TOX337" s="1"/>
      <c r="TOY337" s="1"/>
      <c r="TOZ337" s="1"/>
      <c r="TPA337" s="1"/>
      <c r="TPB337" s="1"/>
      <c r="TPC337" s="1"/>
      <c r="TPD337" s="1"/>
      <c r="TPE337" s="1"/>
      <c r="TPF337" s="1"/>
      <c r="TPG337" s="1"/>
      <c r="TPH337" s="1"/>
      <c r="TPI337" s="1"/>
      <c r="TPJ337" s="1"/>
      <c r="TPK337" s="1"/>
      <c r="TPL337" s="1"/>
      <c r="TPM337" s="1"/>
      <c r="TPN337" s="1"/>
      <c r="TPO337" s="1"/>
      <c r="TPP337" s="1"/>
      <c r="TPQ337" s="1"/>
      <c r="TPR337" s="1"/>
      <c r="TPS337" s="1"/>
      <c r="TPT337" s="1"/>
      <c r="TPU337" s="1"/>
      <c r="TPV337" s="1"/>
      <c r="TPW337" s="1"/>
      <c r="TPX337" s="1"/>
      <c r="TPY337" s="1"/>
      <c r="TPZ337" s="1"/>
      <c r="TQA337" s="1"/>
      <c r="TQB337" s="1"/>
      <c r="TQC337" s="1"/>
      <c r="TQD337" s="1"/>
      <c r="TQE337" s="1"/>
      <c r="TQF337" s="1"/>
      <c r="TQG337" s="1"/>
      <c r="TQH337" s="1"/>
      <c r="TQI337" s="1"/>
      <c r="TQJ337" s="1"/>
      <c r="TQK337" s="1"/>
      <c r="TQL337" s="1"/>
      <c r="TQM337" s="1"/>
      <c r="TQN337" s="1"/>
      <c r="TQO337" s="1"/>
      <c r="TQP337" s="1"/>
      <c r="TQQ337" s="1"/>
      <c r="TQR337" s="1"/>
      <c r="TQS337" s="1"/>
      <c r="TQT337" s="1"/>
      <c r="TQU337" s="1"/>
      <c r="TQV337" s="1"/>
      <c r="TQW337" s="1"/>
      <c r="TQX337" s="1"/>
      <c r="TQY337" s="1"/>
      <c r="TQZ337" s="1"/>
      <c r="TRA337" s="1"/>
      <c r="TRB337" s="1"/>
      <c r="TRC337" s="1"/>
      <c r="TRD337" s="1"/>
      <c r="TRE337" s="1"/>
      <c r="TRF337" s="1"/>
      <c r="TRG337" s="1"/>
      <c r="TRH337" s="1"/>
      <c r="TRI337" s="1"/>
      <c r="TRJ337" s="1"/>
      <c r="TRK337" s="1"/>
      <c r="TRL337" s="1"/>
      <c r="TRM337" s="1"/>
      <c r="TRN337" s="1"/>
      <c r="TRO337" s="1"/>
      <c r="TRP337" s="1"/>
      <c r="TRQ337" s="1"/>
      <c r="TRR337" s="1"/>
      <c r="TRS337" s="1"/>
      <c r="TRT337" s="1"/>
      <c r="TRU337" s="1"/>
      <c r="TRV337" s="1"/>
      <c r="TRW337" s="1"/>
      <c r="TRX337" s="1"/>
      <c r="TRY337" s="1"/>
      <c r="TRZ337" s="1"/>
      <c r="TSA337" s="1"/>
      <c r="TSB337" s="1"/>
      <c r="TSC337" s="1"/>
      <c r="TSD337" s="1"/>
      <c r="TSE337" s="1"/>
      <c r="TSF337" s="1"/>
      <c r="TSG337" s="1"/>
      <c r="TSH337" s="1"/>
      <c r="TSI337" s="1"/>
      <c r="TSJ337" s="1"/>
      <c r="TSK337" s="1"/>
      <c r="TSL337" s="1"/>
      <c r="TSM337" s="1"/>
      <c r="TSN337" s="1"/>
      <c r="TSO337" s="1"/>
      <c r="TSP337" s="1"/>
      <c r="TSQ337" s="1"/>
      <c r="TSR337" s="1"/>
      <c r="TSS337" s="1"/>
      <c r="TST337" s="1"/>
      <c r="TSU337" s="1"/>
      <c r="TSV337" s="1"/>
      <c r="TSW337" s="1"/>
      <c r="TSX337" s="1"/>
      <c r="TSY337" s="1"/>
      <c r="TSZ337" s="1"/>
      <c r="TTA337" s="1"/>
      <c r="TTB337" s="1"/>
      <c r="TTC337" s="1"/>
      <c r="TTD337" s="1"/>
      <c r="TTE337" s="1"/>
      <c r="TTF337" s="1"/>
      <c r="TTG337" s="1"/>
      <c r="TTH337" s="1"/>
      <c r="TTI337" s="1"/>
      <c r="TTJ337" s="1"/>
      <c r="TTK337" s="1"/>
      <c r="TTL337" s="1"/>
      <c r="TTM337" s="1"/>
      <c r="TTN337" s="1"/>
      <c r="TTO337" s="1"/>
      <c r="TTP337" s="1"/>
      <c r="TTQ337" s="1"/>
      <c r="TTR337" s="1"/>
      <c r="TTS337" s="1"/>
      <c r="TTT337" s="1"/>
      <c r="TTU337" s="1"/>
      <c r="TTV337" s="1"/>
      <c r="TTW337" s="1"/>
      <c r="TTX337" s="1"/>
      <c r="TTY337" s="1"/>
      <c r="TTZ337" s="1"/>
      <c r="TUA337" s="1"/>
      <c r="TUB337" s="1"/>
      <c r="TUC337" s="1"/>
      <c r="TUD337" s="1"/>
      <c r="TUE337" s="1"/>
      <c r="TUF337" s="1"/>
      <c r="TUG337" s="1"/>
      <c r="TUH337" s="1"/>
      <c r="TUI337" s="1"/>
      <c r="TUJ337" s="1"/>
      <c r="TUK337" s="1"/>
      <c r="TUL337" s="1"/>
      <c r="TUM337" s="1"/>
      <c r="TUN337" s="1"/>
      <c r="TUO337" s="1"/>
      <c r="TUP337" s="1"/>
      <c r="TUQ337" s="1"/>
      <c r="TUR337" s="1"/>
      <c r="TUS337" s="1"/>
      <c r="TUT337" s="1"/>
      <c r="TUU337" s="1"/>
      <c r="TUV337" s="1"/>
      <c r="TUW337" s="1"/>
      <c r="TUX337" s="1"/>
      <c r="TUY337" s="1"/>
      <c r="TUZ337" s="1"/>
      <c r="TVA337" s="1"/>
      <c r="TVB337" s="1"/>
      <c r="TVC337" s="1"/>
      <c r="TVD337" s="1"/>
      <c r="TVE337" s="1"/>
      <c r="TVF337" s="1"/>
      <c r="TVG337" s="1"/>
      <c r="TVH337" s="1"/>
      <c r="TVI337" s="1"/>
      <c r="TVJ337" s="1"/>
      <c r="TVK337" s="1"/>
      <c r="TVL337" s="1"/>
      <c r="TVM337" s="1"/>
      <c r="TVN337" s="1"/>
      <c r="TVO337" s="1"/>
      <c r="TVP337" s="1"/>
      <c r="TVQ337" s="1"/>
      <c r="TVR337" s="1"/>
      <c r="TVS337" s="1"/>
      <c r="TVT337" s="1"/>
      <c r="TVU337" s="1"/>
      <c r="TVV337" s="1"/>
      <c r="TVW337" s="1"/>
      <c r="TVX337" s="1"/>
      <c r="TVY337" s="1"/>
      <c r="TVZ337" s="1"/>
      <c r="TWA337" s="1"/>
      <c r="TWB337" s="1"/>
      <c r="TWC337" s="1"/>
      <c r="TWD337" s="1"/>
      <c r="TWE337" s="1"/>
      <c r="TWF337" s="1"/>
      <c r="TWG337" s="1"/>
      <c r="TWH337" s="1"/>
      <c r="TWI337" s="1"/>
      <c r="TWJ337" s="1"/>
      <c r="TWK337" s="1"/>
      <c r="TWL337" s="1"/>
      <c r="TWM337" s="1"/>
      <c r="TWN337" s="1"/>
      <c r="TWO337" s="1"/>
      <c r="TWP337" s="1"/>
      <c r="TWQ337" s="1"/>
      <c r="TWR337" s="1"/>
      <c r="TWS337" s="1"/>
      <c r="TWT337" s="1"/>
      <c r="TWU337" s="1"/>
      <c r="TWV337" s="1"/>
      <c r="TWW337" s="1"/>
      <c r="TWX337" s="1"/>
      <c r="TWY337" s="1"/>
      <c r="TWZ337" s="1"/>
      <c r="TXA337" s="1"/>
      <c r="TXB337" s="1"/>
      <c r="TXC337" s="1"/>
      <c r="TXD337" s="1"/>
      <c r="TXE337" s="1"/>
      <c r="TXF337" s="1"/>
      <c r="TXG337" s="1"/>
      <c r="TXH337" s="1"/>
      <c r="TXI337" s="1"/>
      <c r="TXJ337" s="1"/>
      <c r="TXK337" s="1"/>
      <c r="TXL337" s="1"/>
      <c r="TXM337" s="1"/>
      <c r="TXN337" s="1"/>
      <c r="TXO337" s="1"/>
      <c r="TXP337" s="1"/>
      <c r="TXQ337" s="1"/>
      <c r="TXR337" s="1"/>
      <c r="TXS337" s="1"/>
      <c r="TXT337" s="1"/>
      <c r="TXU337" s="1"/>
      <c r="TXV337" s="1"/>
      <c r="TXW337" s="1"/>
      <c r="TXX337" s="1"/>
      <c r="TXY337" s="1"/>
      <c r="TXZ337" s="1"/>
      <c r="TYA337" s="1"/>
      <c r="TYB337" s="1"/>
      <c r="TYC337" s="1"/>
      <c r="TYD337" s="1"/>
      <c r="TYE337" s="1"/>
      <c r="TYF337" s="1"/>
      <c r="TYG337" s="1"/>
      <c r="TYH337" s="1"/>
      <c r="TYI337" s="1"/>
      <c r="TYJ337" s="1"/>
      <c r="TYK337" s="1"/>
      <c r="TYL337" s="1"/>
      <c r="TYM337" s="1"/>
      <c r="TYN337" s="1"/>
      <c r="TYO337" s="1"/>
      <c r="TYP337" s="1"/>
      <c r="TYQ337" s="1"/>
      <c r="TYR337" s="1"/>
      <c r="TYS337" s="1"/>
      <c r="TYT337" s="1"/>
      <c r="TYU337" s="1"/>
      <c r="TYV337" s="1"/>
      <c r="TYW337" s="1"/>
      <c r="TYX337" s="1"/>
      <c r="TYY337" s="1"/>
      <c r="TYZ337" s="1"/>
      <c r="TZA337" s="1"/>
      <c r="TZB337" s="1"/>
      <c r="TZC337" s="1"/>
      <c r="TZD337" s="1"/>
      <c r="TZE337" s="1"/>
      <c r="TZF337" s="1"/>
      <c r="TZG337" s="1"/>
      <c r="TZH337" s="1"/>
      <c r="TZI337" s="1"/>
      <c r="TZJ337" s="1"/>
      <c r="TZK337" s="1"/>
      <c r="TZL337" s="1"/>
      <c r="TZM337" s="1"/>
      <c r="TZN337" s="1"/>
      <c r="TZO337" s="1"/>
      <c r="TZP337" s="1"/>
      <c r="TZQ337" s="1"/>
      <c r="TZR337" s="1"/>
      <c r="TZS337" s="1"/>
      <c r="TZT337" s="1"/>
      <c r="TZU337" s="1"/>
      <c r="TZV337" s="1"/>
      <c r="TZW337" s="1"/>
      <c r="TZX337" s="1"/>
      <c r="TZY337" s="1"/>
      <c r="TZZ337" s="1"/>
      <c r="UAA337" s="1"/>
      <c r="UAB337" s="1"/>
      <c r="UAC337" s="1"/>
      <c r="UAD337" s="1"/>
      <c r="UAE337" s="1"/>
      <c r="UAF337" s="1"/>
      <c r="UAG337" s="1"/>
      <c r="UAH337" s="1"/>
      <c r="UAI337" s="1"/>
      <c r="UAJ337" s="1"/>
      <c r="UAK337" s="1"/>
      <c r="UAL337" s="1"/>
      <c r="UAM337" s="1"/>
      <c r="UAN337" s="1"/>
      <c r="UAO337" s="1"/>
      <c r="UAP337" s="1"/>
      <c r="UAQ337" s="1"/>
      <c r="UAR337" s="1"/>
      <c r="UAS337" s="1"/>
      <c r="UAT337" s="1"/>
      <c r="UAU337" s="1"/>
      <c r="UAV337" s="1"/>
      <c r="UAW337" s="1"/>
      <c r="UAX337" s="1"/>
      <c r="UAY337" s="1"/>
      <c r="UAZ337" s="1"/>
      <c r="UBA337" s="1"/>
      <c r="UBB337" s="1"/>
      <c r="UBC337" s="1"/>
      <c r="UBD337" s="1"/>
      <c r="UBE337" s="1"/>
      <c r="UBF337" s="1"/>
      <c r="UBG337" s="1"/>
      <c r="UBH337" s="1"/>
      <c r="UBI337" s="1"/>
      <c r="UBJ337" s="1"/>
      <c r="UBK337" s="1"/>
      <c r="UBL337" s="1"/>
      <c r="UBM337" s="1"/>
      <c r="UBN337" s="1"/>
      <c r="UBO337" s="1"/>
      <c r="UBP337" s="1"/>
      <c r="UBQ337" s="1"/>
      <c r="UBR337" s="1"/>
      <c r="UBS337" s="1"/>
      <c r="UBT337" s="1"/>
      <c r="UBU337" s="1"/>
      <c r="UBV337" s="1"/>
      <c r="UBW337" s="1"/>
      <c r="UBX337" s="1"/>
      <c r="UBY337" s="1"/>
      <c r="UBZ337" s="1"/>
      <c r="UCA337" s="1"/>
      <c r="UCB337" s="1"/>
      <c r="UCC337" s="1"/>
      <c r="UCD337" s="1"/>
      <c r="UCE337" s="1"/>
      <c r="UCF337" s="1"/>
      <c r="UCG337" s="1"/>
      <c r="UCH337" s="1"/>
      <c r="UCI337" s="1"/>
      <c r="UCJ337" s="1"/>
      <c r="UCK337" s="1"/>
      <c r="UCL337" s="1"/>
      <c r="UCM337" s="1"/>
      <c r="UCN337" s="1"/>
      <c r="UCO337" s="1"/>
      <c r="UCP337" s="1"/>
      <c r="UCQ337" s="1"/>
      <c r="UCR337" s="1"/>
      <c r="UCS337" s="1"/>
      <c r="UCT337" s="1"/>
      <c r="UCU337" s="1"/>
      <c r="UCV337" s="1"/>
      <c r="UCW337" s="1"/>
      <c r="UCX337" s="1"/>
      <c r="UCY337" s="1"/>
      <c r="UCZ337" s="1"/>
      <c r="UDA337" s="1"/>
      <c r="UDB337" s="1"/>
      <c r="UDC337" s="1"/>
      <c r="UDD337" s="1"/>
      <c r="UDE337" s="1"/>
      <c r="UDF337" s="1"/>
      <c r="UDG337" s="1"/>
      <c r="UDH337" s="1"/>
      <c r="UDI337" s="1"/>
      <c r="UDJ337" s="1"/>
      <c r="UDK337" s="1"/>
      <c r="UDL337" s="1"/>
      <c r="UDM337" s="1"/>
      <c r="UDN337" s="1"/>
      <c r="UDO337" s="1"/>
      <c r="UDP337" s="1"/>
      <c r="UDQ337" s="1"/>
      <c r="UDR337" s="1"/>
      <c r="UDS337" s="1"/>
      <c r="UDT337" s="1"/>
      <c r="UDU337" s="1"/>
      <c r="UDV337" s="1"/>
      <c r="UDW337" s="1"/>
      <c r="UDX337" s="1"/>
      <c r="UDY337" s="1"/>
      <c r="UDZ337" s="1"/>
      <c r="UEA337" s="1"/>
      <c r="UEB337" s="1"/>
      <c r="UEC337" s="1"/>
      <c r="UED337" s="1"/>
      <c r="UEE337" s="1"/>
      <c r="UEF337" s="1"/>
      <c r="UEG337" s="1"/>
      <c r="UEH337" s="1"/>
      <c r="UEI337" s="1"/>
      <c r="UEJ337" s="1"/>
      <c r="UEK337" s="1"/>
      <c r="UEL337" s="1"/>
      <c r="UEM337" s="1"/>
      <c r="UEN337" s="1"/>
      <c r="UEO337" s="1"/>
      <c r="UEP337" s="1"/>
      <c r="UEQ337" s="1"/>
      <c r="UER337" s="1"/>
      <c r="UES337" s="1"/>
      <c r="UET337" s="1"/>
      <c r="UEU337" s="1"/>
      <c r="UEV337" s="1"/>
      <c r="UEW337" s="1"/>
      <c r="UEX337" s="1"/>
      <c r="UEY337" s="1"/>
      <c r="UEZ337" s="1"/>
      <c r="UFA337" s="1"/>
      <c r="UFB337" s="1"/>
      <c r="UFC337" s="1"/>
      <c r="UFD337" s="1"/>
      <c r="UFE337" s="1"/>
      <c r="UFF337" s="1"/>
      <c r="UFG337" s="1"/>
      <c r="UFH337" s="1"/>
      <c r="UFI337" s="1"/>
      <c r="UFJ337" s="1"/>
      <c r="UFK337" s="1"/>
      <c r="UFL337" s="1"/>
      <c r="UFM337" s="1"/>
      <c r="UFN337" s="1"/>
      <c r="UFO337" s="1"/>
      <c r="UFP337" s="1"/>
      <c r="UFQ337" s="1"/>
      <c r="UFR337" s="1"/>
      <c r="UFS337" s="1"/>
      <c r="UFT337" s="1"/>
      <c r="UFU337" s="1"/>
      <c r="UFV337" s="1"/>
      <c r="UFW337" s="1"/>
      <c r="UFX337" s="1"/>
      <c r="UFY337" s="1"/>
      <c r="UFZ337" s="1"/>
      <c r="UGA337" s="1"/>
      <c r="UGB337" s="1"/>
      <c r="UGC337" s="1"/>
      <c r="UGD337" s="1"/>
      <c r="UGE337" s="1"/>
      <c r="UGF337" s="1"/>
      <c r="UGG337" s="1"/>
      <c r="UGH337" s="1"/>
      <c r="UGI337" s="1"/>
      <c r="UGJ337" s="1"/>
      <c r="UGK337" s="1"/>
      <c r="UGL337" s="1"/>
      <c r="UGM337" s="1"/>
      <c r="UGN337" s="1"/>
      <c r="UGO337" s="1"/>
      <c r="UGP337" s="1"/>
      <c r="UGQ337" s="1"/>
      <c r="UGR337" s="1"/>
      <c r="UGS337" s="1"/>
      <c r="UGT337" s="1"/>
      <c r="UGU337" s="1"/>
      <c r="UGV337" s="1"/>
      <c r="UGW337" s="1"/>
      <c r="UGX337" s="1"/>
      <c r="UGY337" s="1"/>
      <c r="UGZ337" s="1"/>
      <c r="UHA337" s="1"/>
      <c r="UHB337" s="1"/>
      <c r="UHC337" s="1"/>
      <c r="UHD337" s="1"/>
      <c r="UHE337" s="1"/>
      <c r="UHF337" s="1"/>
      <c r="UHG337" s="1"/>
      <c r="UHH337" s="1"/>
      <c r="UHI337" s="1"/>
      <c r="UHJ337" s="1"/>
      <c r="UHK337" s="1"/>
      <c r="UHL337" s="1"/>
      <c r="UHM337" s="1"/>
      <c r="UHN337" s="1"/>
      <c r="UHO337" s="1"/>
      <c r="UHP337" s="1"/>
      <c r="UHQ337" s="1"/>
      <c r="UHR337" s="1"/>
      <c r="UHS337" s="1"/>
      <c r="UHT337" s="1"/>
      <c r="UHU337" s="1"/>
      <c r="UHV337" s="1"/>
      <c r="UHW337" s="1"/>
      <c r="UHX337" s="1"/>
      <c r="UHY337" s="1"/>
      <c r="UHZ337" s="1"/>
      <c r="UIA337" s="1"/>
      <c r="UIB337" s="1"/>
      <c r="UIC337" s="1"/>
      <c r="UID337" s="1"/>
      <c r="UIE337" s="1"/>
      <c r="UIF337" s="1"/>
      <c r="UIG337" s="1"/>
      <c r="UIH337" s="1"/>
      <c r="UII337" s="1"/>
      <c r="UIJ337" s="1"/>
      <c r="UIK337" s="1"/>
      <c r="UIL337" s="1"/>
      <c r="UIM337" s="1"/>
      <c r="UIN337" s="1"/>
      <c r="UIO337" s="1"/>
      <c r="UIP337" s="1"/>
      <c r="UIQ337" s="1"/>
      <c r="UIR337" s="1"/>
      <c r="UIS337" s="1"/>
      <c r="UIT337" s="1"/>
      <c r="UIU337" s="1"/>
      <c r="UIV337" s="1"/>
      <c r="UIW337" s="1"/>
      <c r="UIX337" s="1"/>
      <c r="UIY337" s="1"/>
      <c r="UIZ337" s="1"/>
      <c r="UJA337" s="1"/>
      <c r="UJB337" s="1"/>
      <c r="UJC337" s="1"/>
      <c r="UJD337" s="1"/>
      <c r="UJE337" s="1"/>
      <c r="UJF337" s="1"/>
      <c r="UJG337" s="1"/>
      <c r="UJH337" s="1"/>
      <c r="UJI337" s="1"/>
      <c r="UJJ337" s="1"/>
      <c r="UJK337" s="1"/>
      <c r="UJL337" s="1"/>
      <c r="UJM337" s="1"/>
      <c r="UJN337" s="1"/>
      <c r="UJO337" s="1"/>
      <c r="UJP337" s="1"/>
      <c r="UJQ337" s="1"/>
      <c r="UJR337" s="1"/>
      <c r="UJS337" s="1"/>
      <c r="UJT337" s="1"/>
      <c r="UJU337" s="1"/>
      <c r="UJV337" s="1"/>
      <c r="UJW337" s="1"/>
      <c r="UJX337" s="1"/>
      <c r="UJY337" s="1"/>
      <c r="UJZ337" s="1"/>
      <c r="UKA337" s="1"/>
      <c r="UKB337" s="1"/>
      <c r="UKC337" s="1"/>
      <c r="UKD337" s="1"/>
      <c r="UKE337" s="1"/>
      <c r="UKF337" s="1"/>
      <c r="UKG337" s="1"/>
      <c r="UKH337" s="1"/>
      <c r="UKI337" s="1"/>
      <c r="UKJ337" s="1"/>
      <c r="UKK337" s="1"/>
      <c r="UKL337" s="1"/>
      <c r="UKM337" s="1"/>
      <c r="UKN337" s="1"/>
      <c r="UKO337" s="1"/>
      <c r="UKP337" s="1"/>
      <c r="UKQ337" s="1"/>
      <c r="UKR337" s="1"/>
      <c r="UKS337" s="1"/>
      <c r="UKT337" s="1"/>
      <c r="UKU337" s="1"/>
      <c r="UKV337" s="1"/>
      <c r="UKW337" s="1"/>
      <c r="UKX337" s="1"/>
      <c r="UKY337" s="1"/>
      <c r="UKZ337" s="1"/>
      <c r="ULA337" s="1"/>
      <c r="ULB337" s="1"/>
      <c r="ULC337" s="1"/>
      <c r="ULD337" s="1"/>
      <c r="ULE337" s="1"/>
      <c r="ULF337" s="1"/>
      <c r="ULG337" s="1"/>
      <c r="ULH337" s="1"/>
      <c r="ULI337" s="1"/>
      <c r="ULJ337" s="1"/>
      <c r="ULK337" s="1"/>
      <c r="ULL337" s="1"/>
      <c r="ULM337" s="1"/>
      <c r="ULN337" s="1"/>
      <c r="ULO337" s="1"/>
      <c r="ULP337" s="1"/>
      <c r="ULQ337" s="1"/>
      <c r="ULR337" s="1"/>
      <c r="ULS337" s="1"/>
      <c r="ULT337" s="1"/>
      <c r="ULU337" s="1"/>
      <c r="ULV337" s="1"/>
      <c r="ULW337" s="1"/>
      <c r="ULX337" s="1"/>
      <c r="ULY337" s="1"/>
      <c r="ULZ337" s="1"/>
      <c r="UMA337" s="1"/>
      <c r="UMB337" s="1"/>
      <c r="UMC337" s="1"/>
      <c r="UMD337" s="1"/>
      <c r="UME337" s="1"/>
      <c r="UMF337" s="1"/>
      <c r="UMG337" s="1"/>
      <c r="UMH337" s="1"/>
      <c r="UMI337" s="1"/>
      <c r="UMJ337" s="1"/>
      <c r="UMK337" s="1"/>
      <c r="UML337" s="1"/>
      <c r="UMM337" s="1"/>
      <c r="UMN337" s="1"/>
      <c r="UMO337" s="1"/>
      <c r="UMP337" s="1"/>
      <c r="UMQ337" s="1"/>
      <c r="UMR337" s="1"/>
      <c r="UMS337" s="1"/>
      <c r="UMT337" s="1"/>
      <c r="UMU337" s="1"/>
      <c r="UMV337" s="1"/>
      <c r="UMW337" s="1"/>
      <c r="UMX337" s="1"/>
      <c r="UMY337" s="1"/>
      <c r="UMZ337" s="1"/>
      <c r="UNA337" s="1"/>
      <c r="UNB337" s="1"/>
      <c r="UNC337" s="1"/>
      <c r="UND337" s="1"/>
      <c r="UNE337" s="1"/>
      <c r="UNF337" s="1"/>
      <c r="UNG337" s="1"/>
      <c r="UNH337" s="1"/>
      <c r="UNI337" s="1"/>
      <c r="UNJ337" s="1"/>
      <c r="UNK337" s="1"/>
      <c r="UNL337" s="1"/>
      <c r="UNM337" s="1"/>
      <c r="UNN337" s="1"/>
      <c r="UNO337" s="1"/>
      <c r="UNP337" s="1"/>
      <c r="UNQ337" s="1"/>
      <c r="UNR337" s="1"/>
      <c r="UNS337" s="1"/>
      <c r="UNT337" s="1"/>
      <c r="UNU337" s="1"/>
      <c r="UNV337" s="1"/>
      <c r="UNW337" s="1"/>
      <c r="UNX337" s="1"/>
      <c r="UNY337" s="1"/>
      <c r="UNZ337" s="1"/>
      <c r="UOA337" s="1"/>
      <c r="UOB337" s="1"/>
      <c r="UOC337" s="1"/>
      <c r="UOD337" s="1"/>
      <c r="UOE337" s="1"/>
      <c r="UOF337" s="1"/>
      <c r="UOG337" s="1"/>
      <c r="UOH337" s="1"/>
      <c r="UOI337" s="1"/>
      <c r="UOJ337" s="1"/>
      <c r="UOK337" s="1"/>
      <c r="UOL337" s="1"/>
      <c r="UOM337" s="1"/>
      <c r="UON337" s="1"/>
      <c r="UOO337" s="1"/>
      <c r="UOP337" s="1"/>
      <c r="UOQ337" s="1"/>
      <c r="UOR337" s="1"/>
      <c r="UOS337" s="1"/>
      <c r="UOT337" s="1"/>
      <c r="UOU337" s="1"/>
      <c r="UOV337" s="1"/>
      <c r="UOW337" s="1"/>
      <c r="UOX337" s="1"/>
      <c r="UOY337" s="1"/>
      <c r="UOZ337" s="1"/>
      <c r="UPA337" s="1"/>
      <c r="UPB337" s="1"/>
      <c r="UPC337" s="1"/>
      <c r="UPD337" s="1"/>
      <c r="UPE337" s="1"/>
      <c r="UPF337" s="1"/>
      <c r="UPG337" s="1"/>
      <c r="UPH337" s="1"/>
      <c r="UPI337" s="1"/>
      <c r="UPJ337" s="1"/>
      <c r="UPK337" s="1"/>
      <c r="UPL337" s="1"/>
      <c r="UPM337" s="1"/>
      <c r="UPN337" s="1"/>
      <c r="UPO337" s="1"/>
      <c r="UPP337" s="1"/>
      <c r="UPQ337" s="1"/>
      <c r="UPR337" s="1"/>
      <c r="UPS337" s="1"/>
      <c r="UPT337" s="1"/>
      <c r="UPU337" s="1"/>
      <c r="UPV337" s="1"/>
      <c r="UPW337" s="1"/>
      <c r="UPX337" s="1"/>
      <c r="UPY337" s="1"/>
      <c r="UPZ337" s="1"/>
      <c r="UQA337" s="1"/>
      <c r="UQB337" s="1"/>
      <c r="UQC337" s="1"/>
      <c r="UQD337" s="1"/>
      <c r="UQE337" s="1"/>
      <c r="UQF337" s="1"/>
      <c r="UQG337" s="1"/>
      <c r="UQH337" s="1"/>
      <c r="UQI337" s="1"/>
      <c r="UQJ337" s="1"/>
      <c r="UQK337" s="1"/>
      <c r="UQL337" s="1"/>
      <c r="UQM337" s="1"/>
      <c r="UQN337" s="1"/>
      <c r="UQO337" s="1"/>
      <c r="UQP337" s="1"/>
      <c r="UQQ337" s="1"/>
      <c r="UQR337" s="1"/>
      <c r="UQS337" s="1"/>
      <c r="UQT337" s="1"/>
      <c r="UQU337" s="1"/>
      <c r="UQV337" s="1"/>
      <c r="UQW337" s="1"/>
      <c r="UQX337" s="1"/>
      <c r="UQY337" s="1"/>
      <c r="UQZ337" s="1"/>
      <c r="URA337" s="1"/>
      <c r="URB337" s="1"/>
      <c r="URC337" s="1"/>
      <c r="URD337" s="1"/>
      <c r="URE337" s="1"/>
      <c r="URF337" s="1"/>
      <c r="URG337" s="1"/>
      <c r="URH337" s="1"/>
      <c r="URI337" s="1"/>
      <c r="URJ337" s="1"/>
      <c r="URK337" s="1"/>
      <c r="URL337" s="1"/>
      <c r="URM337" s="1"/>
      <c r="URN337" s="1"/>
      <c r="URO337" s="1"/>
      <c r="URP337" s="1"/>
      <c r="URQ337" s="1"/>
      <c r="URR337" s="1"/>
      <c r="URS337" s="1"/>
      <c r="URT337" s="1"/>
      <c r="URU337" s="1"/>
      <c r="URV337" s="1"/>
      <c r="URW337" s="1"/>
      <c r="URX337" s="1"/>
      <c r="URY337" s="1"/>
      <c r="URZ337" s="1"/>
      <c r="USA337" s="1"/>
      <c r="USB337" s="1"/>
      <c r="USC337" s="1"/>
      <c r="USD337" s="1"/>
      <c r="USE337" s="1"/>
      <c r="USF337" s="1"/>
      <c r="USG337" s="1"/>
      <c r="USH337" s="1"/>
      <c r="USI337" s="1"/>
      <c r="USJ337" s="1"/>
      <c r="USK337" s="1"/>
      <c r="USL337" s="1"/>
      <c r="USM337" s="1"/>
      <c r="USN337" s="1"/>
      <c r="USO337" s="1"/>
      <c r="USP337" s="1"/>
      <c r="USQ337" s="1"/>
      <c r="USR337" s="1"/>
      <c r="USS337" s="1"/>
      <c r="UST337" s="1"/>
      <c r="USU337" s="1"/>
      <c r="USV337" s="1"/>
      <c r="USW337" s="1"/>
      <c r="USX337" s="1"/>
      <c r="USY337" s="1"/>
      <c r="USZ337" s="1"/>
      <c r="UTA337" s="1"/>
      <c r="UTB337" s="1"/>
      <c r="UTC337" s="1"/>
      <c r="UTD337" s="1"/>
      <c r="UTE337" s="1"/>
      <c r="UTF337" s="1"/>
      <c r="UTG337" s="1"/>
      <c r="UTH337" s="1"/>
      <c r="UTI337" s="1"/>
      <c r="UTJ337" s="1"/>
      <c r="UTK337" s="1"/>
      <c r="UTL337" s="1"/>
      <c r="UTM337" s="1"/>
      <c r="UTN337" s="1"/>
      <c r="UTO337" s="1"/>
      <c r="UTP337" s="1"/>
      <c r="UTQ337" s="1"/>
      <c r="UTR337" s="1"/>
      <c r="UTS337" s="1"/>
      <c r="UTT337" s="1"/>
      <c r="UTU337" s="1"/>
      <c r="UTV337" s="1"/>
      <c r="UTW337" s="1"/>
      <c r="UTX337" s="1"/>
      <c r="UTY337" s="1"/>
      <c r="UTZ337" s="1"/>
      <c r="UUA337" s="1"/>
      <c r="UUB337" s="1"/>
      <c r="UUC337" s="1"/>
      <c r="UUD337" s="1"/>
      <c r="UUE337" s="1"/>
      <c r="UUF337" s="1"/>
      <c r="UUG337" s="1"/>
      <c r="UUH337" s="1"/>
      <c r="UUI337" s="1"/>
      <c r="UUJ337" s="1"/>
      <c r="UUK337" s="1"/>
      <c r="UUL337" s="1"/>
      <c r="UUM337" s="1"/>
      <c r="UUN337" s="1"/>
      <c r="UUO337" s="1"/>
      <c r="UUP337" s="1"/>
      <c r="UUQ337" s="1"/>
      <c r="UUR337" s="1"/>
      <c r="UUS337" s="1"/>
      <c r="UUT337" s="1"/>
      <c r="UUU337" s="1"/>
      <c r="UUV337" s="1"/>
      <c r="UUW337" s="1"/>
      <c r="UUX337" s="1"/>
      <c r="UUY337" s="1"/>
      <c r="UUZ337" s="1"/>
      <c r="UVA337" s="1"/>
      <c r="UVB337" s="1"/>
      <c r="UVC337" s="1"/>
      <c r="UVD337" s="1"/>
      <c r="UVE337" s="1"/>
      <c r="UVF337" s="1"/>
      <c r="UVG337" s="1"/>
      <c r="UVH337" s="1"/>
      <c r="UVI337" s="1"/>
      <c r="UVJ337" s="1"/>
      <c r="UVK337" s="1"/>
      <c r="UVL337" s="1"/>
      <c r="UVM337" s="1"/>
      <c r="UVN337" s="1"/>
      <c r="UVO337" s="1"/>
      <c r="UVP337" s="1"/>
      <c r="UVQ337" s="1"/>
      <c r="UVR337" s="1"/>
      <c r="UVS337" s="1"/>
      <c r="UVT337" s="1"/>
      <c r="UVU337" s="1"/>
      <c r="UVV337" s="1"/>
      <c r="UVW337" s="1"/>
      <c r="UVX337" s="1"/>
      <c r="UVY337" s="1"/>
      <c r="UVZ337" s="1"/>
      <c r="UWA337" s="1"/>
      <c r="UWB337" s="1"/>
      <c r="UWC337" s="1"/>
      <c r="UWD337" s="1"/>
      <c r="UWE337" s="1"/>
      <c r="UWF337" s="1"/>
      <c r="UWG337" s="1"/>
      <c r="UWH337" s="1"/>
      <c r="UWI337" s="1"/>
      <c r="UWJ337" s="1"/>
      <c r="UWK337" s="1"/>
      <c r="UWL337" s="1"/>
      <c r="UWM337" s="1"/>
      <c r="UWN337" s="1"/>
      <c r="UWO337" s="1"/>
      <c r="UWP337" s="1"/>
      <c r="UWQ337" s="1"/>
      <c r="UWR337" s="1"/>
      <c r="UWS337" s="1"/>
      <c r="UWT337" s="1"/>
      <c r="UWU337" s="1"/>
      <c r="UWV337" s="1"/>
      <c r="UWW337" s="1"/>
      <c r="UWX337" s="1"/>
      <c r="UWY337" s="1"/>
      <c r="UWZ337" s="1"/>
      <c r="UXA337" s="1"/>
      <c r="UXB337" s="1"/>
      <c r="UXC337" s="1"/>
      <c r="UXD337" s="1"/>
      <c r="UXE337" s="1"/>
      <c r="UXF337" s="1"/>
      <c r="UXG337" s="1"/>
      <c r="UXH337" s="1"/>
      <c r="UXI337" s="1"/>
      <c r="UXJ337" s="1"/>
      <c r="UXK337" s="1"/>
      <c r="UXL337" s="1"/>
      <c r="UXM337" s="1"/>
      <c r="UXN337" s="1"/>
      <c r="UXO337" s="1"/>
      <c r="UXP337" s="1"/>
      <c r="UXQ337" s="1"/>
      <c r="UXR337" s="1"/>
      <c r="UXS337" s="1"/>
      <c r="UXT337" s="1"/>
      <c r="UXU337" s="1"/>
      <c r="UXV337" s="1"/>
      <c r="UXW337" s="1"/>
      <c r="UXX337" s="1"/>
      <c r="UXY337" s="1"/>
      <c r="UXZ337" s="1"/>
      <c r="UYA337" s="1"/>
      <c r="UYB337" s="1"/>
      <c r="UYC337" s="1"/>
      <c r="UYD337" s="1"/>
      <c r="UYE337" s="1"/>
      <c r="UYF337" s="1"/>
      <c r="UYG337" s="1"/>
      <c r="UYH337" s="1"/>
      <c r="UYI337" s="1"/>
      <c r="UYJ337" s="1"/>
      <c r="UYK337" s="1"/>
      <c r="UYL337" s="1"/>
      <c r="UYM337" s="1"/>
      <c r="UYN337" s="1"/>
      <c r="UYO337" s="1"/>
      <c r="UYP337" s="1"/>
      <c r="UYQ337" s="1"/>
      <c r="UYR337" s="1"/>
      <c r="UYS337" s="1"/>
      <c r="UYT337" s="1"/>
      <c r="UYU337" s="1"/>
      <c r="UYV337" s="1"/>
      <c r="UYW337" s="1"/>
      <c r="UYX337" s="1"/>
      <c r="UYY337" s="1"/>
      <c r="UYZ337" s="1"/>
      <c r="UZA337" s="1"/>
      <c r="UZB337" s="1"/>
      <c r="UZC337" s="1"/>
      <c r="UZD337" s="1"/>
      <c r="UZE337" s="1"/>
      <c r="UZF337" s="1"/>
      <c r="UZG337" s="1"/>
      <c r="UZH337" s="1"/>
      <c r="UZI337" s="1"/>
      <c r="UZJ337" s="1"/>
      <c r="UZK337" s="1"/>
      <c r="UZL337" s="1"/>
      <c r="UZM337" s="1"/>
      <c r="UZN337" s="1"/>
      <c r="UZO337" s="1"/>
      <c r="UZP337" s="1"/>
      <c r="UZQ337" s="1"/>
      <c r="UZR337" s="1"/>
      <c r="UZS337" s="1"/>
      <c r="UZT337" s="1"/>
      <c r="UZU337" s="1"/>
      <c r="UZV337" s="1"/>
      <c r="UZW337" s="1"/>
      <c r="UZX337" s="1"/>
      <c r="UZY337" s="1"/>
      <c r="UZZ337" s="1"/>
      <c r="VAA337" s="1"/>
      <c r="VAB337" s="1"/>
      <c r="VAC337" s="1"/>
      <c r="VAD337" s="1"/>
      <c r="VAE337" s="1"/>
      <c r="VAF337" s="1"/>
      <c r="VAG337" s="1"/>
      <c r="VAH337" s="1"/>
      <c r="VAI337" s="1"/>
      <c r="VAJ337" s="1"/>
      <c r="VAK337" s="1"/>
      <c r="VAL337" s="1"/>
      <c r="VAM337" s="1"/>
      <c r="VAN337" s="1"/>
      <c r="VAO337" s="1"/>
      <c r="VAP337" s="1"/>
      <c r="VAQ337" s="1"/>
      <c r="VAR337" s="1"/>
      <c r="VAS337" s="1"/>
      <c r="VAT337" s="1"/>
      <c r="VAU337" s="1"/>
      <c r="VAV337" s="1"/>
      <c r="VAW337" s="1"/>
      <c r="VAX337" s="1"/>
      <c r="VAY337" s="1"/>
      <c r="VAZ337" s="1"/>
      <c r="VBA337" s="1"/>
      <c r="VBB337" s="1"/>
      <c r="VBC337" s="1"/>
      <c r="VBD337" s="1"/>
      <c r="VBE337" s="1"/>
      <c r="VBF337" s="1"/>
      <c r="VBG337" s="1"/>
      <c r="VBH337" s="1"/>
      <c r="VBI337" s="1"/>
      <c r="VBJ337" s="1"/>
      <c r="VBK337" s="1"/>
      <c r="VBL337" s="1"/>
      <c r="VBM337" s="1"/>
      <c r="VBN337" s="1"/>
      <c r="VBO337" s="1"/>
      <c r="VBP337" s="1"/>
      <c r="VBQ337" s="1"/>
      <c r="VBR337" s="1"/>
      <c r="VBS337" s="1"/>
      <c r="VBT337" s="1"/>
      <c r="VBU337" s="1"/>
      <c r="VBV337" s="1"/>
      <c r="VBW337" s="1"/>
      <c r="VBX337" s="1"/>
      <c r="VBY337" s="1"/>
      <c r="VBZ337" s="1"/>
      <c r="VCA337" s="1"/>
      <c r="VCB337" s="1"/>
      <c r="VCC337" s="1"/>
      <c r="VCD337" s="1"/>
      <c r="VCE337" s="1"/>
      <c r="VCF337" s="1"/>
      <c r="VCG337" s="1"/>
      <c r="VCH337" s="1"/>
      <c r="VCI337" s="1"/>
      <c r="VCJ337" s="1"/>
      <c r="VCK337" s="1"/>
      <c r="VCL337" s="1"/>
      <c r="VCM337" s="1"/>
      <c r="VCN337" s="1"/>
      <c r="VCO337" s="1"/>
      <c r="VCP337" s="1"/>
      <c r="VCQ337" s="1"/>
      <c r="VCR337" s="1"/>
      <c r="VCS337" s="1"/>
      <c r="VCT337" s="1"/>
      <c r="VCU337" s="1"/>
      <c r="VCV337" s="1"/>
      <c r="VCW337" s="1"/>
      <c r="VCX337" s="1"/>
      <c r="VCY337" s="1"/>
      <c r="VCZ337" s="1"/>
      <c r="VDA337" s="1"/>
      <c r="VDB337" s="1"/>
      <c r="VDC337" s="1"/>
      <c r="VDD337" s="1"/>
      <c r="VDE337" s="1"/>
      <c r="VDF337" s="1"/>
      <c r="VDG337" s="1"/>
      <c r="VDH337" s="1"/>
      <c r="VDI337" s="1"/>
      <c r="VDJ337" s="1"/>
      <c r="VDK337" s="1"/>
      <c r="VDL337" s="1"/>
      <c r="VDM337" s="1"/>
      <c r="VDN337" s="1"/>
      <c r="VDO337" s="1"/>
      <c r="VDP337" s="1"/>
      <c r="VDQ337" s="1"/>
      <c r="VDR337" s="1"/>
      <c r="VDS337" s="1"/>
      <c r="VDT337" s="1"/>
      <c r="VDU337" s="1"/>
      <c r="VDV337" s="1"/>
      <c r="VDW337" s="1"/>
      <c r="VDX337" s="1"/>
      <c r="VDY337" s="1"/>
      <c r="VDZ337" s="1"/>
      <c r="VEA337" s="1"/>
      <c r="VEB337" s="1"/>
      <c r="VEC337" s="1"/>
      <c r="VED337" s="1"/>
      <c r="VEE337" s="1"/>
      <c r="VEF337" s="1"/>
      <c r="VEG337" s="1"/>
      <c r="VEH337" s="1"/>
      <c r="VEI337" s="1"/>
      <c r="VEJ337" s="1"/>
      <c r="VEK337" s="1"/>
      <c r="VEL337" s="1"/>
      <c r="VEM337" s="1"/>
      <c r="VEN337" s="1"/>
      <c r="VEO337" s="1"/>
      <c r="VEP337" s="1"/>
      <c r="VEQ337" s="1"/>
      <c r="VER337" s="1"/>
      <c r="VES337" s="1"/>
      <c r="VET337" s="1"/>
      <c r="VEU337" s="1"/>
      <c r="VEV337" s="1"/>
      <c r="VEW337" s="1"/>
      <c r="VEX337" s="1"/>
      <c r="VEY337" s="1"/>
      <c r="VEZ337" s="1"/>
      <c r="VFA337" s="1"/>
      <c r="VFB337" s="1"/>
      <c r="VFC337" s="1"/>
      <c r="VFD337" s="1"/>
      <c r="VFE337" s="1"/>
      <c r="VFF337" s="1"/>
      <c r="VFG337" s="1"/>
      <c r="VFH337" s="1"/>
      <c r="VFI337" s="1"/>
      <c r="VFJ337" s="1"/>
      <c r="VFK337" s="1"/>
      <c r="VFL337" s="1"/>
      <c r="VFM337" s="1"/>
      <c r="VFN337" s="1"/>
      <c r="VFO337" s="1"/>
      <c r="VFP337" s="1"/>
      <c r="VFQ337" s="1"/>
      <c r="VFR337" s="1"/>
      <c r="VFS337" s="1"/>
      <c r="VFT337" s="1"/>
      <c r="VFU337" s="1"/>
      <c r="VFV337" s="1"/>
      <c r="VFW337" s="1"/>
      <c r="VFX337" s="1"/>
      <c r="VFY337" s="1"/>
      <c r="VFZ337" s="1"/>
      <c r="VGA337" s="1"/>
      <c r="VGB337" s="1"/>
      <c r="VGC337" s="1"/>
      <c r="VGD337" s="1"/>
      <c r="VGE337" s="1"/>
      <c r="VGF337" s="1"/>
      <c r="VGG337" s="1"/>
      <c r="VGH337" s="1"/>
      <c r="VGI337" s="1"/>
      <c r="VGJ337" s="1"/>
      <c r="VGK337" s="1"/>
      <c r="VGL337" s="1"/>
      <c r="VGM337" s="1"/>
      <c r="VGN337" s="1"/>
      <c r="VGO337" s="1"/>
      <c r="VGP337" s="1"/>
      <c r="VGQ337" s="1"/>
      <c r="VGR337" s="1"/>
      <c r="VGS337" s="1"/>
      <c r="VGT337" s="1"/>
      <c r="VGU337" s="1"/>
      <c r="VGV337" s="1"/>
      <c r="VGW337" s="1"/>
      <c r="VGX337" s="1"/>
      <c r="VGY337" s="1"/>
      <c r="VGZ337" s="1"/>
      <c r="VHA337" s="1"/>
      <c r="VHB337" s="1"/>
      <c r="VHC337" s="1"/>
      <c r="VHD337" s="1"/>
      <c r="VHE337" s="1"/>
      <c r="VHF337" s="1"/>
      <c r="VHG337" s="1"/>
      <c r="VHH337" s="1"/>
      <c r="VHI337" s="1"/>
      <c r="VHJ337" s="1"/>
      <c r="VHK337" s="1"/>
      <c r="VHL337" s="1"/>
      <c r="VHM337" s="1"/>
      <c r="VHN337" s="1"/>
      <c r="VHO337" s="1"/>
      <c r="VHP337" s="1"/>
      <c r="VHQ337" s="1"/>
      <c r="VHR337" s="1"/>
      <c r="VHS337" s="1"/>
      <c r="VHT337" s="1"/>
      <c r="VHU337" s="1"/>
      <c r="VHV337" s="1"/>
      <c r="VHW337" s="1"/>
      <c r="VHX337" s="1"/>
      <c r="VHY337" s="1"/>
      <c r="VHZ337" s="1"/>
      <c r="VIA337" s="1"/>
      <c r="VIB337" s="1"/>
      <c r="VIC337" s="1"/>
      <c r="VID337" s="1"/>
      <c r="VIE337" s="1"/>
      <c r="VIF337" s="1"/>
      <c r="VIG337" s="1"/>
      <c r="VIH337" s="1"/>
      <c r="VII337" s="1"/>
      <c r="VIJ337" s="1"/>
      <c r="VIK337" s="1"/>
      <c r="VIL337" s="1"/>
      <c r="VIM337" s="1"/>
      <c r="VIN337" s="1"/>
      <c r="VIO337" s="1"/>
      <c r="VIP337" s="1"/>
      <c r="VIQ337" s="1"/>
      <c r="VIR337" s="1"/>
      <c r="VIS337" s="1"/>
      <c r="VIT337" s="1"/>
      <c r="VIU337" s="1"/>
      <c r="VIV337" s="1"/>
      <c r="VIW337" s="1"/>
      <c r="VIX337" s="1"/>
      <c r="VIY337" s="1"/>
      <c r="VIZ337" s="1"/>
      <c r="VJA337" s="1"/>
      <c r="VJB337" s="1"/>
      <c r="VJC337" s="1"/>
      <c r="VJD337" s="1"/>
      <c r="VJE337" s="1"/>
      <c r="VJF337" s="1"/>
      <c r="VJG337" s="1"/>
      <c r="VJH337" s="1"/>
      <c r="VJI337" s="1"/>
      <c r="VJJ337" s="1"/>
      <c r="VJK337" s="1"/>
      <c r="VJL337" s="1"/>
      <c r="VJM337" s="1"/>
      <c r="VJN337" s="1"/>
      <c r="VJO337" s="1"/>
      <c r="VJP337" s="1"/>
      <c r="VJQ337" s="1"/>
      <c r="VJR337" s="1"/>
      <c r="VJS337" s="1"/>
      <c r="VJT337" s="1"/>
      <c r="VJU337" s="1"/>
      <c r="VJV337" s="1"/>
      <c r="VJW337" s="1"/>
      <c r="VJX337" s="1"/>
      <c r="VJY337" s="1"/>
      <c r="VJZ337" s="1"/>
      <c r="VKA337" s="1"/>
      <c r="VKB337" s="1"/>
      <c r="VKC337" s="1"/>
      <c r="VKD337" s="1"/>
      <c r="VKE337" s="1"/>
      <c r="VKF337" s="1"/>
      <c r="VKG337" s="1"/>
      <c r="VKH337" s="1"/>
      <c r="VKI337" s="1"/>
      <c r="VKJ337" s="1"/>
      <c r="VKK337" s="1"/>
      <c r="VKL337" s="1"/>
      <c r="VKM337" s="1"/>
      <c r="VKN337" s="1"/>
      <c r="VKO337" s="1"/>
      <c r="VKP337" s="1"/>
      <c r="VKQ337" s="1"/>
      <c r="VKR337" s="1"/>
      <c r="VKS337" s="1"/>
      <c r="VKT337" s="1"/>
      <c r="VKU337" s="1"/>
      <c r="VKV337" s="1"/>
      <c r="VKW337" s="1"/>
      <c r="VKX337" s="1"/>
      <c r="VKY337" s="1"/>
      <c r="VKZ337" s="1"/>
      <c r="VLA337" s="1"/>
      <c r="VLB337" s="1"/>
      <c r="VLC337" s="1"/>
      <c r="VLD337" s="1"/>
      <c r="VLE337" s="1"/>
      <c r="VLF337" s="1"/>
      <c r="VLG337" s="1"/>
      <c r="VLH337" s="1"/>
      <c r="VLI337" s="1"/>
      <c r="VLJ337" s="1"/>
      <c r="VLK337" s="1"/>
      <c r="VLL337" s="1"/>
      <c r="VLM337" s="1"/>
      <c r="VLN337" s="1"/>
      <c r="VLO337" s="1"/>
      <c r="VLP337" s="1"/>
      <c r="VLQ337" s="1"/>
      <c r="VLR337" s="1"/>
      <c r="VLS337" s="1"/>
      <c r="VLT337" s="1"/>
      <c r="VLU337" s="1"/>
      <c r="VLV337" s="1"/>
      <c r="VLW337" s="1"/>
      <c r="VLX337" s="1"/>
      <c r="VLY337" s="1"/>
      <c r="VLZ337" s="1"/>
      <c r="VMA337" s="1"/>
      <c r="VMB337" s="1"/>
      <c r="VMC337" s="1"/>
      <c r="VMD337" s="1"/>
      <c r="VME337" s="1"/>
      <c r="VMF337" s="1"/>
      <c r="VMG337" s="1"/>
      <c r="VMH337" s="1"/>
      <c r="VMI337" s="1"/>
      <c r="VMJ337" s="1"/>
      <c r="VMK337" s="1"/>
      <c r="VML337" s="1"/>
      <c r="VMM337" s="1"/>
      <c r="VMN337" s="1"/>
      <c r="VMO337" s="1"/>
      <c r="VMP337" s="1"/>
      <c r="VMQ337" s="1"/>
      <c r="VMR337" s="1"/>
      <c r="VMS337" s="1"/>
      <c r="VMT337" s="1"/>
      <c r="VMU337" s="1"/>
      <c r="VMV337" s="1"/>
      <c r="VMW337" s="1"/>
      <c r="VMX337" s="1"/>
      <c r="VMY337" s="1"/>
      <c r="VMZ337" s="1"/>
      <c r="VNA337" s="1"/>
      <c r="VNB337" s="1"/>
      <c r="VNC337" s="1"/>
      <c r="VND337" s="1"/>
      <c r="VNE337" s="1"/>
      <c r="VNF337" s="1"/>
      <c r="VNG337" s="1"/>
      <c r="VNH337" s="1"/>
      <c r="VNI337" s="1"/>
      <c r="VNJ337" s="1"/>
      <c r="VNK337" s="1"/>
      <c r="VNL337" s="1"/>
      <c r="VNM337" s="1"/>
      <c r="VNN337" s="1"/>
      <c r="VNO337" s="1"/>
      <c r="VNP337" s="1"/>
      <c r="VNQ337" s="1"/>
      <c r="VNR337" s="1"/>
      <c r="VNS337" s="1"/>
      <c r="VNT337" s="1"/>
      <c r="VNU337" s="1"/>
      <c r="VNV337" s="1"/>
      <c r="VNW337" s="1"/>
      <c r="VNX337" s="1"/>
      <c r="VNY337" s="1"/>
      <c r="VNZ337" s="1"/>
      <c r="VOA337" s="1"/>
      <c r="VOB337" s="1"/>
      <c r="VOC337" s="1"/>
      <c r="VOD337" s="1"/>
      <c r="VOE337" s="1"/>
      <c r="VOF337" s="1"/>
      <c r="VOG337" s="1"/>
      <c r="VOH337" s="1"/>
      <c r="VOI337" s="1"/>
      <c r="VOJ337" s="1"/>
      <c r="VOK337" s="1"/>
      <c r="VOL337" s="1"/>
      <c r="VOM337" s="1"/>
      <c r="VON337" s="1"/>
      <c r="VOO337" s="1"/>
      <c r="VOP337" s="1"/>
      <c r="VOQ337" s="1"/>
      <c r="VOR337" s="1"/>
      <c r="VOS337" s="1"/>
      <c r="VOT337" s="1"/>
      <c r="VOU337" s="1"/>
      <c r="VOV337" s="1"/>
      <c r="VOW337" s="1"/>
      <c r="VOX337" s="1"/>
      <c r="VOY337" s="1"/>
      <c r="VOZ337" s="1"/>
      <c r="VPA337" s="1"/>
      <c r="VPB337" s="1"/>
      <c r="VPC337" s="1"/>
      <c r="VPD337" s="1"/>
      <c r="VPE337" s="1"/>
      <c r="VPF337" s="1"/>
      <c r="VPG337" s="1"/>
      <c r="VPH337" s="1"/>
      <c r="VPI337" s="1"/>
      <c r="VPJ337" s="1"/>
      <c r="VPK337" s="1"/>
      <c r="VPL337" s="1"/>
      <c r="VPM337" s="1"/>
      <c r="VPN337" s="1"/>
      <c r="VPO337" s="1"/>
      <c r="VPP337" s="1"/>
      <c r="VPQ337" s="1"/>
      <c r="VPR337" s="1"/>
      <c r="VPS337" s="1"/>
      <c r="VPT337" s="1"/>
      <c r="VPU337" s="1"/>
      <c r="VPV337" s="1"/>
      <c r="VPW337" s="1"/>
      <c r="VPX337" s="1"/>
      <c r="VPY337" s="1"/>
      <c r="VPZ337" s="1"/>
      <c r="VQA337" s="1"/>
      <c r="VQB337" s="1"/>
      <c r="VQC337" s="1"/>
      <c r="VQD337" s="1"/>
      <c r="VQE337" s="1"/>
      <c r="VQF337" s="1"/>
      <c r="VQG337" s="1"/>
      <c r="VQH337" s="1"/>
      <c r="VQI337" s="1"/>
      <c r="VQJ337" s="1"/>
      <c r="VQK337" s="1"/>
      <c r="VQL337" s="1"/>
      <c r="VQM337" s="1"/>
      <c r="VQN337" s="1"/>
      <c r="VQO337" s="1"/>
      <c r="VQP337" s="1"/>
      <c r="VQQ337" s="1"/>
      <c r="VQR337" s="1"/>
      <c r="VQS337" s="1"/>
      <c r="VQT337" s="1"/>
      <c r="VQU337" s="1"/>
      <c r="VQV337" s="1"/>
      <c r="VQW337" s="1"/>
      <c r="VQX337" s="1"/>
      <c r="VQY337" s="1"/>
      <c r="VQZ337" s="1"/>
      <c r="VRA337" s="1"/>
      <c r="VRB337" s="1"/>
      <c r="VRC337" s="1"/>
      <c r="VRD337" s="1"/>
      <c r="VRE337" s="1"/>
      <c r="VRF337" s="1"/>
      <c r="VRG337" s="1"/>
      <c r="VRH337" s="1"/>
      <c r="VRI337" s="1"/>
      <c r="VRJ337" s="1"/>
      <c r="VRK337" s="1"/>
      <c r="VRL337" s="1"/>
      <c r="VRM337" s="1"/>
      <c r="VRN337" s="1"/>
      <c r="VRO337" s="1"/>
      <c r="VRP337" s="1"/>
      <c r="VRQ337" s="1"/>
      <c r="VRR337" s="1"/>
      <c r="VRS337" s="1"/>
      <c r="VRT337" s="1"/>
      <c r="VRU337" s="1"/>
      <c r="VRV337" s="1"/>
      <c r="VRW337" s="1"/>
      <c r="VRX337" s="1"/>
      <c r="VRY337" s="1"/>
      <c r="VRZ337" s="1"/>
      <c r="VSA337" s="1"/>
      <c r="VSB337" s="1"/>
      <c r="VSC337" s="1"/>
      <c r="VSD337" s="1"/>
      <c r="VSE337" s="1"/>
      <c r="VSF337" s="1"/>
      <c r="VSG337" s="1"/>
      <c r="VSH337" s="1"/>
      <c r="VSI337" s="1"/>
      <c r="VSJ337" s="1"/>
      <c r="VSK337" s="1"/>
      <c r="VSL337" s="1"/>
      <c r="VSM337" s="1"/>
      <c r="VSN337" s="1"/>
      <c r="VSO337" s="1"/>
      <c r="VSP337" s="1"/>
      <c r="VSQ337" s="1"/>
      <c r="VSR337" s="1"/>
      <c r="VSS337" s="1"/>
      <c r="VST337" s="1"/>
      <c r="VSU337" s="1"/>
      <c r="VSV337" s="1"/>
      <c r="VSW337" s="1"/>
      <c r="VSX337" s="1"/>
      <c r="VSY337" s="1"/>
      <c r="VSZ337" s="1"/>
      <c r="VTA337" s="1"/>
      <c r="VTB337" s="1"/>
      <c r="VTC337" s="1"/>
      <c r="VTD337" s="1"/>
      <c r="VTE337" s="1"/>
      <c r="VTF337" s="1"/>
      <c r="VTG337" s="1"/>
      <c r="VTH337" s="1"/>
      <c r="VTI337" s="1"/>
      <c r="VTJ337" s="1"/>
      <c r="VTK337" s="1"/>
      <c r="VTL337" s="1"/>
      <c r="VTM337" s="1"/>
      <c r="VTN337" s="1"/>
      <c r="VTO337" s="1"/>
      <c r="VTP337" s="1"/>
      <c r="VTQ337" s="1"/>
      <c r="VTR337" s="1"/>
      <c r="VTS337" s="1"/>
      <c r="VTT337" s="1"/>
      <c r="VTU337" s="1"/>
      <c r="VTV337" s="1"/>
      <c r="VTW337" s="1"/>
      <c r="VTX337" s="1"/>
      <c r="VTY337" s="1"/>
      <c r="VTZ337" s="1"/>
      <c r="VUA337" s="1"/>
      <c r="VUB337" s="1"/>
      <c r="VUC337" s="1"/>
      <c r="VUD337" s="1"/>
      <c r="VUE337" s="1"/>
      <c r="VUF337" s="1"/>
      <c r="VUG337" s="1"/>
      <c r="VUH337" s="1"/>
      <c r="VUI337" s="1"/>
      <c r="VUJ337" s="1"/>
      <c r="VUK337" s="1"/>
      <c r="VUL337" s="1"/>
      <c r="VUM337" s="1"/>
      <c r="VUN337" s="1"/>
      <c r="VUO337" s="1"/>
      <c r="VUP337" s="1"/>
      <c r="VUQ337" s="1"/>
      <c r="VUR337" s="1"/>
      <c r="VUS337" s="1"/>
      <c r="VUT337" s="1"/>
      <c r="VUU337" s="1"/>
      <c r="VUV337" s="1"/>
      <c r="VUW337" s="1"/>
      <c r="VUX337" s="1"/>
      <c r="VUY337" s="1"/>
      <c r="VUZ337" s="1"/>
      <c r="VVA337" s="1"/>
      <c r="VVB337" s="1"/>
      <c r="VVC337" s="1"/>
      <c r="VVD337" s="1"/>
      <c r="VVE337" s="1"/>
      <c r="VVF337" s="1"/>
      <c r="VVG337" s="1"/>
      <c r="VVH337" s="1"/>
      <c r="VVI337" s="1"/>
      <c r="VVJ337" s="1"/>
      <c r="VVK337" s="1"/>
      <c r="VVL337" s="1"/>
      <c r="VVM337" s="1"/>
      <c r="VVN337" s="1"/>
      <c r="VVO337" s="1"/>
      <c r="VVP337" s="1"/>
      <c r="VVQ337" s="1"/>
      <c r="VVR337" s="1"/>
      <c r="VVS337" s="1"/>
      <c r="VVT337" s="1"/>
      <c r="VVU337" s="1"/>
      <c r="VVV337" s="1"/>
      <c r="VVW337" s="1"/>
      <c r="VVX337" s="1"/>
      <c r="VVY337" s="1"/>
      <c r="VVZ337" s="1"/>
      <c r="VWA337" s="1"/>
      <c r="VWB337" s="1"/>
      <c r="VWC337" s="1"/>
      <c r="VWD337" s="1"/>
      <c r="VWE337" s="1"/>
      <c r="VWF337" s="1"/>
      <c r="VWG337" s="1"/>
      <c r="VWH337" s="1"/>
      <c r="VWI337" s="1"/>
      <c r="VWJ337" s="1"/>
      <c r="VWK337" s="1"/>
      <c r="VWL337" s="1"/>
      <c r="VWM337" s="1"/>
      <c r="VWN337" s="1"/>
      <c r="VWO337" s="1"/>
      <c r="VWP337" s="1"/>
      <c r="VWQ337" s="1"/>
      <c r="VWR337" s="1"/>
      <c r="VWS337" s="1"/>
      <c r="VWT337" s="1"/>
      <c r="VWU337" s="1"/>
      <c r="VWV337" s="1"/>
      <c r="VWW337" s="1"/>
      <c r="VWX337" s="1"/>
      <c r="VWY337" s="1"/>
      <c r="VWZ337" s="1"/>
      <c r="VXA337" s="1"/>
      <c r="VXB337" s="1"/>
      <c r="VXC337" s="1"/>
      <c r="VXD337" s="1"/>
      <c r="VXE337" s="1"/>
      <c r="VXF337" s="1"/>
      <c r="VXG337" s="1"/>
      <c r="VXH337" s="1"/>
      <c r="VXI337" s="1"/>
      <c r="VXJ337" s="1"/>
      <c r="VXK337" s="1"/>
      <c r="VXL337" s="1"/>
      <c r="VXM337" s="1"/>
      <c r="VXN337" s="1"/>
      <c r="VXO337" s="1"/>
      <c r="VXP337" s="1"/>
      <c r="VXQ337" s="1"/>
      <c r="VXR337" s="1"/>
      <c r="VXS337" s="1"/>
      <c r="VXT337" s="1"/>
      <c r="VXU337" s="1"/>
      <c r="VXV337" s="1"/>
      <c r="VXW337" s="1"/>
      <c r="VXX337" s="1"/>
      <c r="VXY337" s="1"/>
      <c r="VXZ337" s="1"/>
      <c r="VYA337" s="1"/>
      <c r="VYB337" s="1"/>
      <c r="VYC337" s="1"/>
      <c r="VYD337" s="1"/>
      <c r="VYE337" s="1"/>
      <c r="VYF337" s="1"/>
      <c r="VYG337" s="1"/>
      <c r="VYH337" s="1"/>
      <c r="VYI337" s="1"/>
      <c r="VYJ337" s="1"/>
      <c r="VYK337" s="1"/>
      <c r="VYL337" s="1"/>
      <c r="VYM337" s="1"/>
      <c r="VYN337" s="1"/>
      <c r="VYO337" s="1"/>
      <c r="VYP337" s="1"/>
      <c r="VYQ337" s="1"/>
      <c r="VYR337" s="1"/>
      <c r="VYS337" s="1"/>
      <c r="VYT337" s="1"/>
      <c r="VYU337" s="1"/>
      <c r="VYV337" s="1"/>
      <c r="VYW337" s="1"/>
      <c r="VYX337" s="1"/>
      <c r="VYY337" s="1"/>
      <c r="VYZ337" s="1"/>
      <c r="VZA337" s="1"/>
      <c r="VZB337" s="1"/>
      <c r="VZC337" s="1"/>
      <c r="VZD337" s="1"/>
      <c r="VZE337" s="1"/>
      <c r="VZF337" s="1"/>
      <c r="VZG337" s="1"/>
      <c r="VZH337" s="1"/>
      <c r="VZI337" s="1"/>
      <c r="VZJ337" s="1"/>
      <c r="VZK337" s="1"/>
      <c r="VZL337" s="1"/>
      <c r="VZM337" s="1"/>
      <c r="VZN337" s="1"/>
      <c r="VZO337" s="1"/>
      <c r="VZP337" s="1"/>
      <c r="VZQ337" s="1"/>
      <c r="VZR337" s="1"/>
      <c r="VZS337" s="1"/>
      <c r="VZT337" s="1"/>
      <c r="VZU337" s="1"/>
      <c r="VZV337" s="1"/>
      <c r="VZW337" s="1"/>
      <c r="VZX337" s="1"/>
      <c r="VZY337" s="1"/>
      <c r="VZZ337" s="1"/>
      <c r="WAA337" s="1"/>
      <c r="WAB337" s="1"/>
      <c r="WAC337" s="1"/>
      <c r="WAD337" s="1"/>
      <c r="WAE337" s="1"/>
      <c r="WAF337" s="1"/>
      <c r="WAG337" s="1"/>
      <c r="WAH337" s="1"/>
      <c r="WAI337" s="1"/>
      <c r="WAJ337" s="1"/>
      <c r="WAK337" s="1"/>
      <c r="WAL337" s="1"/>
      <c r="WAM337" s="1"/>
      <c r="WAN337" s="1"/>
      <c r="WAO337" s="1"/>
      <c r="WAP337" s="1"/>
      <c r="WAQ337" s="1"/>
      <c r="WAR337" s="1"/>
      <c r="WAS337" s="1"/>
      <c r="WAT337" s="1"/>
      <c r="WAU337" s="1"/>
      <c r="WAV337" s="1"/>
      <c r="WAW337" s="1"/>
      <c r="WAX337" s="1"/>
      <c r="WAY337" s="1"/>
      <c r="WAZ337" s="1"/>
      <c r="WBA337" s="1"/>
      <c r="WBB337" s="1"/>
      <c r="WBC337" s="1"/>
      <c r="WBD337" s="1"/>
      <c r="WBE337" s="1"/>
      <c r="WBF337" s="1"/>
      <c r="WBG337" s="1"/>
      <c r="WBH337" s="1"/>
      <c r="WBI337" s="1"/>
      <c r="WBJ337" s="1"/>
      <c r="WBK337" s="1"/>
      <c r="WBL337" s="1"/>
      <c r="WBM337" s="1"/>
      <c r="WBN337" s="1"/>
      <c r="WBO337" s="1"/>
      <c r="WBP337" s="1"/>
      <c r="WBQ337" s="1"/>
      <c r="WBR337" s="1"/>
      <c r="WBS337" s="1"/>
      <c r="WBT337" s="1"/>
      <c r="WBU337" s="1"/>
      <c r="WBV337" s="1"/>
      <c r="WBW337" s="1"/>
      <c r="WBX337" s="1"/>
      <c r="WBY337" s="1"/>
      <c r="WBZ337" s="1"/>
      <c r="WCA337" s="1"/>
      <c r="WCB337" s="1"/>
      <c r="WCC337" s="1"/>
      <c r="WCD337" s="1"/>
      <c r="WCE337" s="1"/>
      <c r="WCF337" s="1"/>
      <c r="WCG337" s="1"/>
      <c r="WCH337" s="1"/>
      <c r="WCI337" s="1"/>
      <c r="WCJ337" s="1"/>
      <c r="WCK337" s="1"/>
      <c r="WCL337" s="1"/>
      <c r="WCM337" s="1"/>
      <c r="WCN337" s="1"/>
      <c r="WCO337" s="1"/>
      <c r="WCP337" s="1"/>
      <c r="WCQ337" s="1"/>
      <c r="WCR337" s="1"/>
      <c r="WCS337" s="1"/>
      <c r="WCT337" s="1"/>
      <c r="WCU337" s="1"/>
      <c r="WCV337" s="1"/>
      <c r="WCW337" s="1"/>
      <c r="WCX337" s="1"/>
      <c r="WCY337" s="1"/>
      <c r="WCZ337" s="1"/>
      <c r="WDA337" s="1"/>
      <c r="WDB337" s="1"/>
      <c r="WDC337" s="1"/>
      <c r="WDD337" s="1"/>
      <c r="WDE337" s="1"/>
      <c r="WDF337" s="1"/>
      <c r="WDG337" s="1"/>
      <c r="WDH337" s="1"/>
      <c r="WDI337" s="1"/>
      <c r="WDJ337" s="1"/>
      <c r="WDK337" s="1"/>
      <c r="WDL337" s="1"/>
      <c r="WDM337" s="1"/>
      <c r="WDN337" s="1"/>
      <c r="WDO337" s="1"/>
      <c r="WDP337" s="1"/>
      <c r="WDQ337" s="1"/>
      <c r="WDR337" s="1"/>
      <c r="WDS337" s="1"/>
      <c r="WDT337" s="1"/>
      <c r="WDU337" s="1"/>
      <c r="WDV337" s="1"/>
      <c r="WDW337" s="1"/>
      <c r="WDX337" s="1"/>
      <c r="WDY337" s="1"/>
      <c r="WDZ337" s="1"/>
      <c r="WEA337" s="1"/>
      <c r="WEB337" s="1"/>
      <c r="WEC337" s="1"/>
      <c r="WED337" s="1"/>
      <c r="WEE337" s="1"/>
      <c r="WEF337" s="1"/>
      <c r="WEG337" s="1"/>
      <c r="WEH337" s="1"/>
      <c r="WEI337" s="1"/>
      <c r="WEJ337" s="1"/>
      <c r="WEK337" s="1"/>
      <c r="WEL337" s="1"/>
      <c r="WEM337" s="1"/>
      <c r="WEN337" s="1"/>
      <c r="WEO337" s="1"/>
      <c r="WEP337" s="1"/>
      <c r="WEQ337" s="1"/>
      <c r="WER337" s="1"/>
      <c r="WES337" s="1"/>
      <c r="WET337" s="1"/>
      <c r="WEU337" s="1"/>
      <c r="WEV337" s="1"/>
      <c r="WEW337" s="1"/>
      <c r="WEX337" s="1"/>
      <c r="WEY337" s="1"/>
      <c r="WEZ337" s="1"/>
      <c r="WFA337" s="1"/>
      <c r="WFB337" s="1"/>
      <c r="WFC337" s="1"/>
      <c r="WFD337" s="1"/>
      <c r="WFE337" s="1"/>
      <c r="WFF337" s="1"/>
      <c r="WFG337" s="1"/>
      <c r="WFH337" s="1"/>
      <c r="WFI337" s="1"/>
      <c r="WFJ337" s="1"/>
      <c r="WFK337" s="1"/>
      <c r="WFL337" s="1"/>
      <c r="WFM337" s="1"/>
      <c r="WFN337" s="1"/>
      <c r="WFO337" s="1"/>
      <c r="WFP337" s="1"/>
      <c r="WFQ337" s="1"/>
      <c r="WFR337" s="1"/>
      <c r="WFS337" s="1"/>
      <c r="WFT337" s="1"/>
      <c r="WFU337" s="1"/>
      <c r="WFV337" s="1"/>
      <c r="WFW337" s="1"/>
      <c r="WFX337" s="1"/>
      <c r="WFY337" s="1"/>
      <c r="WFZ337" s="1"/>
      <c r="WGA337" s="1"/>
      <c r="WGB337" s="1"/>
      <c r="WGC337" s="1"/>
      <c r="WGD337" s="1"/>
      <c r="WGE337" s="1"/>
      <c r="WGF337" s="1"/>
      <c r="WGG337" s="1"/>
      <c r="WGH337" s="1"/>
      <c r="WGI337" s="1"/>
      <c r="WGJ337" s="1"/>
      <c r="WGK337" s="1"/>
      <c r="WGL337" s="1"/>
      <c r="WGM337" s="1"/>
      <c r="WGN337" s="1"/>
      <c r="WGO337" s="1"/>
      <c r="WGP337" s="1"/>
      <c r="WGQ337" s="1"/>
      <c r="WGR337" s="1"/>
      <c r="WGS337" s="1"/>
      <c r="WGT337" s="1"/>
      <c r="WGU337" s="1"/>
      <c r="WGV337" s="1"/>
      <c r="WGW337" s="1"/>
      <c r="WGX337" s="1"/>
      <c r="WGY337" s="1"/>
      <c r="WGZ337" s="1"/>
      <c r="WHA337" s="1"/>
      <c r="WHB337" s="1"/>
      <c r="WHC337" s="1"/>
      <c r="WHD337" s="1"/>
      <c r="WHE337" s="1"/>
      <c r="WHF337" s="1"/>
      <c r="WHG337" s="1"/>
      <c r="WHH337" s="1"/>
      <c r="WHI337" s="1"/>
      <c r="WHJ337" s="1"/>
      <c r="WHK337" s="1"/>
      <c r="WHL337" s="1"/>
      <c r="WHM337" s="1"/>
      <c r="WHN337" s="1"/>
      <c r="WHO337" s="1"/>
      <c r="WHP337" s="1"/>
      <c r="WHQ337" s="1"/>
      <c r="WHR337" s="1"/>
      <c r="WHS337" s="1"/>
      <c r="WHT337" s="1"/>
      <c r="WHU337" s="1"/>
      <c r="WHV337" s="1"/>
      <c r="WHW337" s="1"/>
      <c r="WHX337" s="1"/>
      <c r="WHY337" s="1"/>
      <c r="WHZ337" s="1"/>
      <c r="WIA337" s="1"/>
      <c r="WIB337" s="1"/>
      <c r="WIC337" s="1"/>
      <c r="WID337" s="1"/>
      <c r="WIE337" s="1"/>
      <c r="WIF337" s="1"/>
      <c r="WIG337" s="1"/>
      <c r="WIH337" s="1"/>
      <c r="WII337" s="1"/>
      <c r="WIJ337" s="1"/>
      <c r="WIK337" s="1"/>
      <c r="WIL337" s="1"/>
      <c r="WIM337" s="1"/>
      <c r="WIN337" s="1"/>
      <c r="WIO337" s="1"/>
      <c r="WIP337" s="1"/>
      <c r="WIQ337" s="1"/>
      <c r="WIR337" s="1"/>
      <c r="WIS337" s="1"/>
      <c r="WIT337" s="1"/>
      <c r="WIU337" s="1"/>
      <c r="WIV337" s="1"/>
      <c r="WIW337" s="1"/>
      <c r="WIX337" s="1"/>
      <c r="WIY337" s="1"/>
      <c r="WIZ337" s="1"/>
      <c r="WJA337" s="1"/>
      <c r="WJB337" s="1"/>
      <c r="WJC337" s="1"/>
      <c r="WJD337" s="1"/>
      <c r="WJE337" s="1"/>
      <c r="WJF337" s="1"/>
      <c r="WJG337" s="1"/>
      <c r="WJH337" s="1"/>
      <c r="WJI337" s="1"/>
      <c r="WJJ337" s="1"/>
      <c r="WJK337" s="1"/>
      <c r="WJL337" s="1"/>
      <c r="WJM337" s="1"/>
      <c r="WJN337" s="1"/>
      <c r="WJO337" s="1"/>
      <c r="WJP337" s="1"/>
      <c r="WJQ337" s="1"/>
      <c r="WJR337" s="1"/>
      <c r="WJS337" s="1"/>
      <c r="WJT337" s="1"/>
      <c r="WJU337" s="1"/>
      <c r="WJV337" s="1"/>
      <c r="WJW337" s="1"/>
      <c r="WJX337" s="1"/>
      <c r="WJY337" s="1"/>
      <c r="WJZ337" s="1"/>
      <c r="WKA337" s="1"/>
      <c r="WKB337" s="1"/>
      <c r="WKC337" s="1"/>
      <c r="WKD337" s="1"/>
      <c r="WKE337" s="1"/>
      <c r="WKF337" s="1"/>
      <c r="WKG337" s="1"/>
      <c r="WKH337" s="1"/>
      <c r="WKI337" s="1"/>
      <c r="WKJ337" s="1"/>
      <c r="WKK337" s="1"/>
      <c r="WKL337" s="1"/>
      <c r="WKM337" s="1"/>
      <c r="WKN337" s="1"/>
      <c r="WKO337" s="1"/>
      <c r="WKP337" s="1"/>
      <c r="WKQ337" s="1"/>
      <c r="WKR337" s="1"/>
      <c r="WKS337" s="1"/>
      <c r="WKT337" s="1"/>
      <c r="WKU337" s="1"/>
      <c r="WKV337" s="1"/>
      <c r="WKW337" s="1"/>
      <c r="WKX337" s="1"/>
      <c r="WKY337" s="1"/>
      <c r="WKZ337" s="1"/>
      <c r="WLA337" s="1"/>
      <c r="WLB337" s="1"/>
      <c r="WLC337" s="1"/>
      <c r="WLD337" s="1"/>
      <c r="WLE337" s="1"/>
      <c r="WLF337" s="1"/>
      <c r="WLG337" s="1"/>
      <c r="WLH337" s="1"/>
      <c r="WLI337" s="1"/>
      <c r="WLJ337" s="1"/>
      <c r="WLK337" s="1"/>
      <c r="WLL337" s="1"/>
      <c r="WLM337" s="1"/>
      <c r="WLN337" s="1"/>
      <c r="WLO337" s="1"/>
      <c r="WLP337" s="1"/>
      <c r="WLQ337" s="1"/>
      <c r="WLR337" s="1"/>
      <c r="WLS337" s="1"/>
      <c r="WLT337" s="1"/>
      <c r="WLU337" s="1"/>
      <c r="WLV337" s="1"/>
      <c r="WLW337" s="1"/>
      <c r="WLX337" s="1"/>
      <c r="WLY337" s="1"/>
      <c r="WLZ337" s="1"/>
      <c r="WMA337" s="1"/>
      <c r="WMB337" s="1"/>
      <c r="WMC337" s="1"/>
      <c r="WMD337" s="1"/>
      <c r="WME337" s="1"/>
      <c r="WMF337" s="1"/>
      <c r="WMG337" s="1"/>
      <c r="WMH337" s="1"/>
      <c r="WMI337" s="1"/>
      <c r="WMJ337" s="1"/>
      <c r="WMK337" s="1"/>
      <c r="WML337" s="1"/>
      <c r="WMM337" s="1"/>
      <c r="WMN337" s="1"/>
      <c r="WMO337" s="1"/>
      <c r="WMP337" s="1"/>
      <c r="WMQ337" s="1"/>
      <c r="WMR337" s="1"/>
      <c r="WMS337" s="1"/>
      <c r="WMT337" s="1"/>
      <c r="WMU337" s="1"/>
      <c r="WMV337" s="1"/>
      <c r="WMW337" s="1"/>
      <c r="WMX337" s="1"/>
      <c r="WMY337" s="1"/>
      <c r="WMZ337" s="1"/>
      <c r="WNA337" s="1"/>
      <c r="WNB337" s="1"/>
      <c r="WNC337" s="1"/>
      <c r="WND337" s="1"/>
      <c r="WNE337" s="1"/>
      <c r="WNF337" s="1"/>
      <c r="WNG337" s="1"/>
      <c r="WNH337" s="1"/>
      <c r="WNI337" s="1"/>
      <c r="WNJ337" s="1"/>
      <c r="WNK337" s="1"/>
      <c r="WNL337" s="1"/>
      <c r="WNM337" s="1"/>
      <c r="WNN337" s="1"/>
      <c r="WNO337" s="1"/>
      <c r="WNP337" s="1"/>
      <c r="WNQ337" s="1"/>
      <c r="WNR337" s="1"/>
      <c r="WNS337" s="1"/>
      <c r="WNT337" s="1"/>
      <c r="WNU337" s="1"/>
      <c r="WNV337" s="1"/>
      <c r="WNW337" s="1"/>
      <c r="WNX337" s="1"/>
      <c r="WNY337" s="1"/>
      <c r="WNZ337" s="1"/>
      <c r="WOA337" s="1"/>
      <c r="WOB337" s="1"/>
      <c r="WOC337" s="1"/>
      <c r="WOD337" s="1"/>
      <c r="WOE337" s="1"/>
      <c r="WOF337" s="1"/>
      <c r="WOG337" s="1"/>
      <c r="WOH337" s="1"/>
      <c r="WOI337" s="1"/>
      <c r="WOJ337" s="1"/>
      <c r="WOK337" s="1"/>
      <c r="WOL337" s="1"/>
      <c r="WOM337" s="1"/>
      <c r="WON337" s="1"/>
      <c r="WOO337" s="1"/>
      <c r="WOP337" s="1"/>
      <c r="WOQ337" s="1"/>
      <c r="WOR337" s="1"/>
      <c r="WOS337" s="1"/>
      <c r="WOT337" s="1"/>
      <c r="WOU337" s="1"/>
      <c r="WOV337" s="1"/>
      <c r="WOW337" s="1"/>
      <c r="WOX337" s="1"/>
      <c r="WOY337" s="1"/>
      <c r="WOZ337" s="1"/>
      <c r="WPA337" s="1"/>
      <c r="WPB337" s="1"/>
      <c r="WPC337" s="1"/>
      <c r="WPD337" s="1"/>
      <c r="WPE337" s="1"/>
      <c r="WPF337" s="1"/>
      <c r="WPG337" s="1"/>
      <c r="WPH337" s="1"/>
      <c r="WPI337" s="1"/>
      <c r="WPJ337" s="1"/>
      <c r="WPK337" s="1"/>
      <c r="WPL337" s="1"/>
      <c r="WPM337" s="1"/>
      <c r="WPN337" s="1"/>
      <c r="WPO337" s="1"/>
      <c r="WPP337" s="1"/>
      <c r="WPQ337" s="1"/>
      <c r="WPR337" s="1"/>
      <c r="WPS337" s="1"/>
      <c r="WPT337" s="1"/>
      <c r="WPU337" s="1"/>
      <c r="WPV337" s="1"/>
      <c r="WPW337" s="1"/>
      <c r="WPX337" s="1"/>
      <c r="WPY337" s="1"/>
      <c r="WPZ337" s="1"/>
      <c r="WQA337" s="1"/>
      <c r="WQB337" s="1"/>
      <c r="WQC337" s="1"/>
      <c r="WQD337" s="1"/>
      <c r="WQE337" s="1"/>
      <c r="WQF337" s="1"/>
      <c r="WQG337" s="1"/>
      <c r="WQH337" s="1"/>
      <c r="WQI337" s="1"/>
      <c r="WQJ337" s="1"/>
      <c r="WQK337" s="1"/>
      <c r="WQL337" s="1"/>
      <c r="WQM337" s="1"/>
      <c r="WQN337" s="1"/>
      <c r="WQO337" s="1"/>
      <c r="WQP337" s="1"/>
      <c r="WQQ337" s="1"/>
      <c r="WQR337" s="1"/>
      <c r="WQS337" s="1"/>
      <c r="WQT337" s="1"/>
      <c r="WQU337" s="1"/>
      <c r="WQV337" s="1"/>
      <c r="WQW337" s="1"/>
      <c r="WQX337" s="1"/>
      <c r="WQY337" s="1"/>
      <c r="WQZ337" s="1"/>
      <c r="WRA337" s="1"/>
      <c r="WRB337" s="1"/>
      <c r="WRC337" s="1"/>
      <c r="WRD337" s="1"/>
      <c r="WRE337" s="1"/>
      <c r="WRF337" s="1"/>
      <c r="WRG337" s="1"/>
      <c r="WRH337" s="1"/>
      <c r="WRI337" s="1"/>
      <c r="WRJ337" s="1"/>
      <c r="WRK337" s="1"/>
      <c r="WRL337" s="1"/>
      <c r="WRM337" s="1"/>
      <c r="WRN337" s="1"/>
      <c r="WRO337" s="1"/>
      <c r="WRP337" s="1"/>
      <c r="WRQ337" s="1"/>
      <c r="WRR337" s="1"/>
      <c r="WRS337" s="1"/>
      <c r="WRT337" s="1"/>
      <c r="WRU337" s="1"/>
      <c r="WRV337" s="1"/>
      <c r="WRW337" s="1"/>
      <c r="WRX337" s="1"/>
      <c r="WRY337" s="1"/>
      <c r="WRZ337" s="1"/>
      <c r="WSA337" s="1"/>
      <c r="WSB337" s="1"/>
      <c r="WSC337" s="1"/>
      <c r="WSD337" s="1"/>
      <c r="WSE337" s="1"/>
      <c r="WSF337" s="1"/>
      <c r="WSG337" s="1"/>
      <c r="WSH337" s="1"/>
      <c r="WSI337" s="1"/>
      <c r="WSJ337" s="1"/>
      <c r="WSK337" s="1"/>
      <c r="WSL337" s="1"/>
      <c r="WSM337" s="1"/>
      <c r="WSN337" s="1"/>
      <c r="WSO337" s="1"/>
      <c r="WSP337" s="1"/>
      <c r="WSQ337" s="1"/>
      <c r="WSR337" s="1"/>
      <c r="WSS337" s="1"/>
      <c r="WST337" s="1"/>
      <c r="WSU337" s="1"/>
      <c r="WSV337" s="1"/>
      <c r="WSW337" s="1"/>
      <c r="WSX337" s="1"/>
      <c r="WSY337" s="1"/>
      <c r="WSZ337" s="1"/>
      <c r="WTA337" s="1"/>
      <c r="WTB337" s="1"/>
      <c r="WTC337" s="1"/>
      <c r="WTD337" s="1"/>
      <c r="WTE337" s="1"/>
      <c r="WTF337" s="1"/>
      <c r="WTG337" s="1"/>
      <c r="WTH337" s="1"/>
      <c r="WTI337" s="1"/>
      <c r="WTJ337" s="1"/>
      <c r="WTK337" s="1"/>
      <c r="WTL337" s="1"/>
      <c r="WTM337" s="1"/>
      <c r="WTN337" s="1"/>
      <c r="WTO337" s="1"/>
      <c r="WTP337" s="1"/>
      <c r="WTQ337" s="1"/>
      <c r="WTR337" s="1"/>
      <c r="WTS337" s="1"/>
      <c r="WTT337" s="1"/>
      <c r="WTU337" s="1"/>
      <c r="WTV337" s="1"/>
      <c r="WTW337" s="1"/>
      <c r="WTX337" s="1"/>
      <c r="WTY337" s="1"/>
      <c r="WTZ337" s="1"/>
      <c r="WUA337" s="1"/>
      <c r="WUB337" s="1"/>
      <c r="WUC337" s="1"/>
      <c r="WUD337" s="1"/>
      <c r="WUE337" s="1"/>
      <c r="WUF337" s="1"/>
      <c r="WUG337" s="1"/>
      <c r="WUH337" s="1"/>
      <c r="WUI337" s="1"/>
      <c r="WUJ337" s="1"/>
      <c r="WUK337" s="1"/>
      <c r="WUL337" s="1"/>
      <c r="WUM337" s="1"/>
      <c r="WUN337" s="1"/>
      <c r="WUO337" s="1"/>
      <c r="WUP337" s="1"/>
      <c r="WUQ337" s="1"/>
      <c r="WUR337" s="1"/>
      <c r="WUS337" s="1"/>
      <c r="WUT337" s="1"/>
      <c r="WUU337" s="1"/>
      <c r="WUV337" s="1"/>
      <c r="WUW337" s="1"/>
      <c r="WUX337" s="1"/>
      <c r="WUY337" s="1"/>
      <c r="WUZ337" s="1"/>
      <c r="WVA337" s="1"/>
      <c r="WVB337" s="1"/>
      <c r="WVC337" s="1"/>
      <c r="WVD337" s="1"/>
      <c r="WVE337" s="1"/>
      <c r="WVF337" s="1"/>
      <c r="WVG337" s="1"/>
      <c r="WVH337" s="1"/>
      <c r="WVI337" s="1"/>
      <c r="WVJ337" s="1"/>
      <c r="WVK337" s="1"/>
      <c r="WVL337" s="1"/>
      <c r="WVM337" s="1"/>
      <c r="WVN337" s="1"/>
      <c r="WVO337" s="1"/>
      <c r="WVP337" s="1"/>
      <c r="WVQ337" s="1"/>
      <c r="WVR337" s="1"/>
      <c r="WVS337" s="1"/>
      <c r="WVT337" s="1"/>
      <c r="WVU337" s="1"/>
      <c r="WVV337" s="1"/>
      <c r="WVW337" s="1"/>
      <c r="WVX337" s="1"/>
      <c r="WVY337" s="1"/>
      <c r="WVZ337" s="1"/>
      <c r="WWA337" s="1"/>
      <c r="WWB337" s="1"/>
      <c r="WWC337" s="1"/>
      <c r="WWD337" s="1"/>
      <c r="WWE337" s="1"/>
      <c r="WWF337" s="1"/>
      <c r="WWG337" s="1"/>
      <c r="WWH337" s="1"/>
      <c r="WWI337" s="1"/>
      <c r="WWJ337" s="1"/>
      <c r="WWK337" s="1"/>
      <c r="WWL337" s="1"/>
      <c r="WWM337" s="1"/>
      <c r="WWN337" s="1"/>
      <c r="WWO337" s="1"/>
      <c r="WWP337" s="1"/>
      <c r="WWQ337" s="1"/>
      <c r="WWR337" s="1"/>
      <c r="WWS337" s="1"/>
      <c r="WWT337" s="1"/>
      <c r="WWU337" s="1"/>
      <c r="WWV337" s="1"/>
      <c r="WWW337" s="1"/>
      <c r="WWX337" s="1"/>
      <c r="WWY337" s="1"/>
      <c r="WWZ337" s="1"/>
      <c r="WXA337" s="1"/>
      <c r="WXB337" s="1"/>
      <c r="WXC337" s="1"/>
      <c r="WXD337" s="1"/>
      <c r="WXE337" s="1"/>
      <c r="WXF337" s="1"/>
      <c r="WXG337" s="1"/>
      <c r="WXH337" s="1"/>
      <c r="WXI337" s="1"/>
      <c r="WXJ337" s="1"/>
      <c r="WXK337" s="1"/>
      <c r="WXL337" s="1"/>
      <c r="WXM337" s="1"/>
      <c r="WXN337" s="1"/>
      <c r="WXO337" s="1"/>
      <c r="WXP337" s="1"/>
      <c r="WXQ337" s="1"/>
      <c r="WXR337" s="1"/>
      <c r="WXS337" s="1"/>
      <c r="WXT337" s="1"/>
      <c r="WXU337" s="1"/>
      <c r="WXV337" s="1"/>
      <c r="WXW337" s="1"/>
      <c r="WXX337" s="1"/>
      <c r="WXY337" s="1"/>
      <c r="WXZ337" s="1"/>
      <c r="WYA337" s="1"/>
      <c r="WYB337" s="1"/>
      <c r="WYC337" s="1"/>
      <c r="WYD337" s="1"/>
      <c r="WYE337" s="1"/>
      <c r="WYF337" s="1"/>
      <c r="WYG337" s="1"/>
      <c r="WYH337" s="1"/>
      <c r="WYI337" s="1"/>
      <c r="WYJ337" s="1"/>
      <c r="WYK337" s="1"/>
      <c r="WYL337" s="1"/>
      <c r="WYM337" s="1"/>
      <c r="WYN337" s="1"/>
      <c r="WYO337" s="1"/>
      <c r="WYP337" s="1"/>
      <c r="WYQ337" s="1"/>
      <c r="WYR337" s="1"/>
      <c r="WYS337" s="1"/>
      <c r="WYT337" s="1"/>
      <c r="WYU337" s="1"/>
      <c r="WYV337" s="1"/>
      <c r="WYW337" s="1"/>
      <c r="WYX337" s="1"/>
      <c r="WYY337" s="1"/>
      <c r="WYZ337" s="1"/>
      <c r="WZA337" s="1"/>
      <c r="WZB337" s="1"/>
      <c r="WZC337" s="1"/>
      <c r="WZD337" s="1"/>
      <c r="WZE337" s="1"/>
      <c r="WZF337" s="1"/>
      <c r="WZG337" s="1"/>
      <c r="WZH337" s="1"/>
      <c r="WZI337" s="1"/>
      <c r="WZJ337" s="1"/>
      <c r="WZK337" s="1"/>
      <c r="WZL337" s="1"/>
      <c r="WZM337" s="1"/>
      <c r="WZN337" s="1"/>
      <c r="WZO337" s="1"/>
      <c r="WZP337" s="1"/>
      <c r="WZQ337" s="1"/>
      <c r="WZR337" s="1"/>
      <c r="WZS337" s="1"/>
      <c r="WZT337" s="1"/>
      <c r="WZU337" s="1"/>
      <c r="WZV337" s="1"/>
      <c r="WZW337" s="1"/>
      <c r="WZX337" s="1"/>
      <c r="WZY337" s="1"/>
      <c r="WZZ337" s="1"/>
      <c r="XAA337" s="1"/>
      <c r="XAB337" s="1"/>
      <c r="XAC337" s="1"/>
      <c r="XAD337" s="1"/>
      <c r="XAE337" s="1"/>
      <c r="XAF337" s="1"/>
      <c r="XAG337" s="1"/>
      <c r="XAH337" s="1"/>
      <c r="XAI337" s="1"/>
      <c r="XAJ337" s="1"/>
      <c r="XAK337" s="1"/>
      <c r="XAL337" s="1"/>
      <c r="XAM337" s="1"/>
      <c r="XAN337" s="1"/>
      <c r="XAO337" s="1"/>
      <c r="XAP337" s="1"/>
      <c r="XAQ337" s="1"/>
      <c r="XAR337" s="1"/>
      <c r="XAS337" s="1"/>
      <c r="XAT337" s="1"/>
      <c r="XAU337" s="1"/>
      <c r="XAV337" s="1"/>
      <c r="XAW337" s="1"/>
      <c r="XAX337" s="1"/>
      <c r="XAY337" s="1"/>
      <c r="XAZ337" s="1"/>
      <c r="XBA337" s="1"/>
      <c r="XBB337" s="1"/>
      <c r="XBC337" s="1"/>
      <c r="XBD337" s="1"/>
      <c r="XBE337" s="1"/>
      <c r="XBF337" s="1"/>
      <c r="XBG337" s="1"/>
      <c r="XBH337" s="1"/>
      <c r="XBI337" s="1"/>
      <c r="XBJ337" s="1"/>
      <c r="XBK337" s="1"/>
      <c r="XBL337" s="1"/>
      <c r="XBM337" s="1"/>
      <c r="XBN337" s="1"/>
      <c r="XBO337" s="1"/>
      <c r="XBP337" s="1"/>
      <c r="XBQ337" s="1"/>
      <c r="XBR337" s="1"/>
      <c r="XBS337" s="1"/>
      <c r="XBT337" s="1"/>
      <c r="XBU337" s="1"/>
      <c r="XBV337" s="1"/>
      <c r="XBW337" s="1"/>
      <c r="XBX337" s="1"/>
      <c r="XBY337" s="1"/>
      <c r="XBZ337" s="1"/>
      <c r="XCA337" s="1"/>
      <c r="XCB337" s="1"/>
      <c r="XCC337" s="1"/>
      <c r="XCD337" s="1"/>
      <c r="XCE337" s="1"/>
      <c r="XCF337" s="1"/>
      <c r="XCG337" s="1"/>
      <c r="XCH337" s="1"/>
      <c r="XCI337" s="1"/>
      <c r="XCJ337" s="1"/>
      <c r="XCK337" s="1"/>
      <c r="XCL337" s="1"/>
      <c r="XCM337" s="1"/>
      <c r="XCN337" s="1"/>
      <c r="XCO337" s="1"/>
      <c r="XCP337" s="1"/>
      <c r="XCQ337" s="1"/>
      <c r="XCR337" s="1"/>
      <c r="XCS337" s="1"/>
      <c r="XCT337" s="1"/>
      <c r="XCU337" s="1"/>
      <c r="XCV337" s="1"/>
      <c r="XCW337" s="1"/>
      <c r="XCX337" s="1"/>
      <c r="XCY337" s="1"/>
      <c r="XCZ337" s="1"/>
      <c r="XDA337" s="1"/>
      <c r="XDB337" s="1"/>
      <c r="XDC337" s="1"/>
      <c r="XDD337" s="1"/>
      <c r="XDE337" s="1"/>
      <c r="XDF337" s="1"/>
      <c r="XDG337" s="1"/>
      <c r="XDH337" s="1"/>
      <c r="XDI337" s="1"/>
      <c r="XDJ337" s="1"/>
      <c r="XDK337" s="1"/>
      <c r="XDL337" s="1"/>
      <c r="XDM337" s="1"/>
      <c r="XDN337" s="1"/>
      <c r="XDO337" s="1"/>
      <c r="XDP337" s="1"/>
      <c r="XDQ337" s="1"/>
      <c r="XDR337" s="1"/>
      <c r="XDS337" s="1"/>
      <c r="XDT337" s="1"/>
      <c r="XDU337" s="1"/>
      <c r="XDV337" s="1"/>
      <c r="XDW337" s="1"/>
      <c r="XDX337" s="1"/>
      <c r="XDY337" s="1"/>
      <c r="XDZ337" s="1"/>
      <c r="XEA337" s="1"/>
      <c r="XEB337" s="1"/>
      <c r="XEC337" s="1"/>
      <c r="XED337" s="1"/>
      <c r="XEE337" s="1"/>
      <c r="XEF337" s="1"/>
      <c r="XEG337" s="1"/>
      <c r="XEH337" s="1"/>
      <c r="XEI337" s="1"/>
      <c r="XEJ337" s="1"/>
      <c r="XEK337" s="1"/>
      <c r="XEL337" s="1"/>
      <c r="XEM337" s="1"/>
      <c r="XEN337" s="1"/>
      <c r="XEO337" s="1"/>
      <c r="XEP337" s="1"/>
      <c r="XEQ337" s="1"/>
      <c r="XER337" s="1"/>
      <c r="XES337" s="1"/>
      <c r="XET337" s="1"/>
      <c r="XEU337" s="1"/>
      <c r="XEV337" s="1"/>
      <c r="XEW337" s="1"/>
      <c r="XEX337" s="1"/>
      <c r="XEY337" s="1"/>
      <c r="XEZ337" s="1"/>
    </row>
    <row r="338" spans="1:16380" s="62" customFormat="1" ht="15.6">
      <c r="A338" s="361" t="s">
        <v>2148</v>
      </c>
      <c r="B338" s="362" t="s">
        <v>2149</v>
      </c>
      <c r="C338" s="360">
        <f ca="1">OFFSET(K338,0,COUNT(L338:AJ338))</f>
        <v>0</v>
      </c>
      <c r="D338" s="365" t="s">
        <v>418</v>
      </c>
      <c r="E338" s="390"/>
      <c r="F338" s="374"/>
      <c r="G338" s="8"/>
      <c r="H338" s="58"/>
      <c r="I338" s="5"/>
      <c r="J338" s="22"/>
      <c r="K338" s="340"/>
      <c r="L338" s="340">
        <f t="shared" ref="L338:Z338" si="112">IF(ISNUMBER(L337),(L337-K337),"")</f>
        <v>0</v>
      </c>
      <c r="M338" s="340">
        <f t="shared" si="112"/>
        <v>0</v>
      </c>
      <c r="N338" s="340">
        <f t="shared" si="112"/>
        <v>0</v>
      </c>
      <c r="O338" s="340">
        <f t="shared" si="112"/>
        <v>0</v>
      </c>
      <c r="P338" s="340">
        <f t="shared" si="112"/>
        <v>0</v>
      </c>
      <c r="Q338" s="340">
        <f t="shared" si="112"/>
        <v>0</v>
      </c>
      <c r="R338" s="350">
        <f t="shared" si="112"/>
        <v>0</v>
      </c>
      <c r="S338" s="340">
        <f t="shared" si="112"/>
        <v>0</v>
      </c>
      <c r="T338" s="340">
        <f t="shared" si="112"/>
        <v>0</v>
      </c>
      <c r="U338" s="340">
        <f t="shared" si="112"/>
        <v>0</v>
      </c>
      <c r="V338" s="340">
        <f t="shared" si="112"/>
        <v>0</v>
      </c>
      <c r="W338" s="340">
        <f t="shared" si="112"/>
        <v>0</v>
      </c>
      <c r="X338" s="340">
        <f t="shared" si="112"/>
        <v>0</v>
      </c>
      <c r="Y338" s="340">
        <f t="shared" si="112"/>
        <v>0</v>
      </c>
      <c r="Z338" s="340">
        <f t="shared" si="112"/>
        <v>0</v>
      </c>
      <c r="AA338" s="340">
        <f t="shared" ref="AA338" si="113">IF(ISNUMBER(AA337),(AA337-Z337),"")</f>
        <v>0</v>
      </c>
      <c r="AB338" s="340">
        <f t="shared" ref="AB338" si="114">IF(ISNUMBER(AB337),(AB337-AA337),"")</f>
        <v>0</v>
      </c>
      <c r="AC338" s="340">
        <f t="shared" ref="AC338" si="115">IF(ISNUMBER(AC337),(AC337-AB337),"")</f>
        <v>0</v>
      </c>
      <c r="AD338" s="340">
        <f>IF(ISNUMBER(AD337),(AD337-AC337),"")</f>
        <v>0</v>
      </c>
      <c r="AE338" s="340">
        <f>IF(ISNUMBER(AE337),(AE337-AD337),"")</f>
        <v>0</v>
      </c>
      <c r="AF338" s="340">
        <f t="shared" ref="AF338:AH338" si="116">IF(ISNUMBER(AF337),(AF337-AE337),"")</f>
        <v>0</v>
      </c>
      <c r="AG338" s="340">
        <f t="shared" si="116"/>
        <v>0</v>
      </c>
      <c r="AH338" s="340">
        <f t="shared" si="116"/>
        <v>0</v>
      </c>
      <c r="AI338" s="340">
        <f t="shared" ref="AI338" si="117">IF(ISNUMBER(AI337),(AI337-AH337),"")</f>
        <v>0</v>
      </c>
      <c r="AJ338" s="340">
        <f t="shared" ref="AJ338" si="118">IF(ISNUMBER(AJ337),(AJ337-AI337),"")</f>
        <v>0</v>
      </c>
      <c r="AK338" s="340">
        <f t="shared" ref="AK338:AL338" si="119">IF(ISNUMBER(AK337),(AK337-AJ337),"")</f>
        <v>0</v>
      </c>
      <c r="AL338" s="340" t="str">
        <f t="shared" si="119"/>
        <v/>
      </c>
      <c r="AM338" s="340" t="str">
        <f t="shared" ref="AM338" si="120">IF(ISNUMBER(AM337),(AM337-AL337),"")</f>
        <v/>
      </c>
      <c r="AN338" s="340" t="str">
        <f t="shared" ref="AN338" si="121">IF(ISNUMBER(AN337),(AN337-AM337),"")</f>
        <v/>
      </c>
      <c r="AO338" s="340" t="str">
        <f t="shared" ref="AO338" si="122">IF(ISNUMBER(AO337),(AO337-AN337),"")</f>
        <v/>
      </c>
      <c r="AP338" s="340" t="str">
        <f t="shared" ref="AP338" si="123">IF(ISNUMBER(AP337),(AP337-AO337),"")</f>
        <v/>
      </c>
      <c r="AQ338" s="340" t="str">
        <f t="shared" ref="AQ338" si="124">IF(ISNUMBER(AQ337),(AQ337-AP337),"")</f>
        <v/>
      </c>
      <c r="AR338" s="340" t="str">
        <f t="shared" ref="AR338" si="125">IF(ISNUMBER(AR337),(AR337-AQ337),"")</f>
        <v/>
      </c>
      <c r="AS338" s="340" t="str">
        <f t="shared" ref="AS338" si="126">IF(ISNUMBER(AS337),(AS337-AR337),"")</f>
        <v/>
      </c>
      <c r="AT338" s="340" t="str">
        <f t="shared" ref="AT338" si="127">IF(ISNUMBER(AT337),(AT337-AS337),"")</f>
        <v/>
      </c>
      <c r="AU338" s="340" t="str">
        <f t="shared" ref="AU338" si="128">IF(ISNUMBER(AU337),(AU337-AT337),"")</f>
        <v/>
      </c>
      <c r="AV338" s="340" t="str">
        <f t="shared" ref="AV338" si="129">IF(ISNUMBER(AV337),(AV337-AU337),"")</f>
        <v/>
      </c>
      <c r="AW338" s="340" t="str">
        <f t="shared" ref="AW338" si="130">IF(ISNUMBER(AW337),(AW337-AV337),"")</f>
        <v/>
      </c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  <c r="IZ338" s="1"/>
      <c r="JA338" s="1"/>
      <c r="JB338" s="1"/>
      <c r="JC338" s="1"/>
      <c r="JD338" s="1"/>
      <c r="JE338" s="1"/>
      <c r="JF338" s="1"/>
      <c r="JG338" s="1"/>
      <c r="JH338" s="1"/>
      <c r="JI338" s="1"/>
      <c r="JJ338" s="1"/>
      <c r="JK338" s="1"/>
      <c r="JL338" s="1"/>
      <c r="JM338" s="1"/>
      <c r="JN338" s="1"/>
      <c r="JO338" s="1"/>
      <c r="JP338" s="1"/>
      <c r="JQ338" s="1"/>
      <c r="JR338" s="1"/>
      <c r="JS338" s="1"/>
      <c r="JT338" s="1"/>
      <c r="JU338" s="1"/>
      <c r="JV338" s="1"/>
      <c r="JW338" s="1"/>
      <c r="JX338" s="1"/>
      <c r="JY338" s="1"/>
      <c r="JZ338" s="1"/>
      <c r="KA338" s="1"/>
      <c r="KB338" s="1"/>
      <c r="KC338" s="1"/>
      <c r="KD338" s="1"/>
      <c r="KE338" s="1"/>
      <c r="KF338" s="1"/>
      <c r="KG338" s="1"/>
      <c r="KH338" s="1"/>
      <c r="KI338" s="1"/>
      <c r="KJ338" s="1"/>
      <c r="KK338" s="1"/>
      <c r="KL338" s="1"/>
      <c r="KM338" s="1"/>
      <c r="KN338" s="1"/>
      <c r="KO338" s="1"/>
      <c r="KP338" s="1"/>
      <c r="KQ338" s="1"/>
      <c r="KR338" s="1"/>
      <c r="KS338" s="1"/>
      <c r="KT338" s="1"/>
      <c r="KU338" s="1"/>
      <c r="KV338" s="1"/>
      <c r="KW338" s="1"/>
      <c r="KX338" s="1"/>
      <c r="KY338" s="1"/>
      <c r="KZ338" s="1"/>
      <c r="LA338" s="1"/>
      <c r="LB338" s="1"/>
      <c r="LC338" s="1"/>
      <c r="LD338" s="1"/>
      <c r="LE338" s="1"/>
      <c r="LF338" s="1"/>
      <c r="LG338" s="1"/>
      <c r="LH338" s="1"/>
      <c r="LI338" s="1"/>
      <c r="LJ338" s="1"/>
      <c r="LK338" s="1"/>
      <c r="LL338" s="1"/>
      <c r="LM338" s="1"/>
      <c r="LN338" s="1"/>
      <c r="LO338" s="1"/>
      <c r="LP338" s="1"/>
      <c r="LQ338" s="1"/>
      <c r="LR338" s="1"/>
      <c r="LS338" s="1"/>
      <c r="LT338" s="1"/>
      <c r="LU338" s="1"/>
      <c r="LV338" s="1"/>
      <c r="LW338" s="1"/>
      <c r="LX338" s="1"/>
      <c r="LY338" s="1"/>
      <c r="LZ338" s="1"/>
      <c r="MA338" s="1"/>
      <c r="MB338" s="1"/>
      <c r="MC338" s="1"/>
      <c r="MD338" s="1"/>
      <c r="ME338" s="1"/>
      <c r="MF338" s="1"/>
      <c r="MG338" s="1"/>
      <c r="MH338" s="1"/>
      <c r="MI338" s="1"/>
      <c r="MJ338" s="1"/>
      <c r="MK338" s="1"/>
      <c r="ML338" s="1"/>
      <c r="MM338" s="1"/>
      <c r="MN338" s="1"/>
      <c r="MO338" s="1"/>
      <c r="MP338" s="1"/>
      <c r="MQ338" s="1"/>
      <c r="MR338" s="1"/>
      <c r="MS338" s="1"/>
      <c r="MT338" s="1"/>
      <c r="MU338" s="1"/>
      <c r="MV338" s="1"/>
      <c r="MW338" s="1"/>
      <c r="MX338" s="1"/>
      <c r="MY338" s="1"/>
      <c r="MZ338" s="1"/>
      <c r="NA338" s="1"/>
      <c r="NB338" s="1"/>
      <c r="NC338" s="1"/>
      <c r="ND338" s="1"/>
      <c r="NE338" s="1"/>
      <c r="NF338" s="1"/>
      <c r="NG338" s="1"/>
      <c r="NH338" s="1"/>
      <c r="NI338" s="1"/>
      <c r="NJ338" s="1"/>
      <c r="NK338" s="1"/>
      <c r="NL338" s="1"/>
      <c r="NM338" s="1"/>
      <c r="NN338" s="1"/>
      <c r="NO338" s="1"/>
      <c r="NP338" s="1"/>
      <c r="NQ338" s="1"/>
      <c r="NR338" s="1"/>
      <c r="NS338" s="1"/>
      <c r="NT338" s="1"/>
      <c r="NU338" s="1"/>
      <c r="NV338" s="1"/>
      <c r="NW338" s="1"/>
      <c r="NX338" s="1"/>
      <c r="NY338" s="1"/>
      <c r="NZ338" s="1"/>
      <c r="OA338" s="1"/>
      <c r="OB338" s="1"/>
      <c r="OC338" s="1"/>
      <c r="OD338" s="1"/>
      <c r="OE338" s="1"/>
      <c r="OF338" s="1"/>
      <c r="OG338" s="1"/>
      <c r="OH338" s="1"/>
      <c r="OI338" s="1"/>
      <c r="OJ338" s="1"/>
      <c r="OK338" s="1"/>
      <c r="OL338" s="1"/>
      <c r="OM338" s="1"/>
      <c r="ON338" s="1"/>
      <c r="OO338" s="1"/>
      <c r="OP338" s="1"/>
      <c r="OQ338" s="1"/>
      <c r="OR338" s="1"/>
      <c r="OS338" s="1"/>
      <c r="OT338" s="1"/>
      <c r="OU338" s="1"/>
      <c r="OV338" s="1"/>
      <c r="OW338" s="1"/>
      <c r="OX338" s="1"/>
      <c r="OY338" s="1"/>
      <c r="OZ338" s="1"/>
      <c r="PA338" s="1"/>
      <c r="PB338" s="1"/>
      <c r="PC338" s="1"/>
      <c r="PD338" s="1"/>
      <c r="PE338" s="1"/>
      <c r="PF338" s="1"/>
      <c r="PG338" s="1"/>
      <c r="PH338" s="1"/>
      <c r="PI338" s="1"/>
      <c r="PJ338" s="1"/>
      <c r="PK338" s="1"/>
      <c r="PL338" s="1"/>
      <c r="PM338" s="1"/>
      <c r="PN338" s="1"/>
      <c r="PO338" s="1"/>
      <c r="PP338" s="1"/>
      <c r="PQ338" s="1"/>
      <c r="PR338" s="1"/>
      <c r="PS338" s="1"/>
      <c r="PT338" s="1"/>
      <c r="PU338" s="1"/>
      <c r="PV338" s="1"/>
      <c r="PW338" s="1"/>
      <c r="PX338" s="1"/>
      <c r="PY338" s="1"/>
      <c r="PZ338" s="1"/>
      <c r="QA338" s="1"/>
      <c r="QB338" s="1"/>
      <c r="QC338" s="1"/>
      <c r="QD338" s="1"/>
      <c r="QE338" s="1"/>
      <c r="QF338" s="1"/>
      <c r="QG338" s="1"/>
      <c r="QH338" s="1"/>
      <c r="QI338" s="1"/>
      <c r="QJ338" s="1"/>
      <c r="QK338" s="1"/>
      <c r="QL338" s="1"/>
      <c r="QM338" s="1"/>
      <c r="QN338" s="1"/>
      <c r="QO338" s="1"/>
      <c r="QP338" s="1"/>
      <c r="QQ338" s="1"/>
      <c r="QR338" s="1"/>
      <c r="QS338" s="1"/>
      <c r="QT338" s="1"/>
      <c r="QU338" s="1"/>
      <c r="QV338" s="1"/>
      <c r="QW338" s="1"/>
      <c r="QX338" s="1"/>
      <c r="QY338" s="1"/>
      <c r="QZ338" s="1"/>
      <c r="RA338" s="1"/>
      <c r="RB338" s="1"/>
      <c r="RC338" s="1"/>
      <c r="RD338" s="1"/>
      <c r="RE338" s="1"/>
      <c r="RF338" s="1"/>
      <c r="RG338" s="1"/>
      <c r="RH338" s="1"/>
      <c r="RI338" s="1"/>
      <c r="RJ338" s="1"/>
      <c r="RK338" s="1"/>
      <c r="RL338" s="1"/>
      <c r="RM338" s="1"/>
      <c r="RN338" s="1"/>
      <c r="RO338" s="1"/>
      <c r="RP338" s="1"/>
      <c r="RQ338" s="1"/>
      <c r="RR338" s="1"/>
      <c r="RS338" s="1"/>
      <c r="RT338" s="1"/>
      <c r="RU338" s="1"/>
      <c r="RV338" s="1"/>
      <c r="RW338" s="1"/>
      <c r="RX338" s="1"/>
      <c r="RY338" s="1"/>
      <c r="RZ338" s="1"/>
      <c r="SA338" s="1"/>
      <c r="SB338" s="1"/>
      <c r="SC338" s="1"/>
      <c r="SD338" s="1"/>
      <c r="SE338" s="1"/>
      <c r="SF338" s="1"/>
      <c r="SG338" s="1"/>
      <c r="SH338" s="1"/>
      <c r="SI338" s="1"/>
      <c r="SJ338" s="1"/>
      <c r="SK338" s="1"/>
      <c r="SL338" s="1"/>
      <c r="SM338" s="1"/>
      <c r="SN338" s="1"/>
      <c r="SO338" s="1"/>
      <c r="SP338" s="1"/>
      <c r="SQ338" s="1"/>
      <c r="SR338" s="1"/>
      <c r="SS338" s="1"/>
      <c r="ST338" s="1"/>
      <c r="SU338" s="1"/>
      <c r="SV338" s="1"/>
      <c r="SW338" s="1"/>
      <c r="SX338" s="1"/>
      <c r="SY338" s="1"/>
      <c r="SZ338" s="1"/>
      <c r="TA338" s="1"/>
      <c r="TB338" s="1"/>
      <c r="TC338" s="1"/>
      <c r="TD338" s="1"/>
      <c r="TE338" s="1"/>
      <c r="TF338" s="1"/>
      <c r="TG338" s="1"/>
      <c r="TH338" s="1"/>
      <c r="TI338" s="1"/>
      <c r="TJ338" s="1"/>
      <c r="TK338" s="1"/>
      <c r="TL338" s="1"/>
      <c r="TM338" s="1"/>
      <c r="TN338" s="1"/>
      <c r="TO338" s="1"/>
      <c r="TP338" s="1"/>
      <c r="TQ338" s="1"/>
      <c r="TR338" s="1"/>
      <c r="TS338" s="1"/>
      <c r="TT338" s="1"/>
      <c r="TU338" s="1"/>
      <c r="TV338" s="1"/>
      <c r="TW338" s="1"/>
      <c r="TX338" s="1"/>
      <c r="TY338" s="1"/>
      <c r="TZ338" s="1"/>
      <c r="UA338" s="1"/>
      <c r="UB338" s="1"/>
      <c r="UC338" s="1"/>
      <c r="UD338" s="1"/>
      <c r="UE338" s="1"/>
      <c r="UF338" s="1"/>
      <c r="UG338" s="1"/>
      <c r="UH338" s="1"/>
      <c r="UI338" s="1"/>
      <c r="UJ338" s="1"/>
      <c r="UK338" s="1"/>
      <c r="UL338" s="1"/>
      <c r="UM338" s="1"/>
      <c r="UN338" s="1"/>
      <c r="UO338" s="1"/>
      <c r="UP338" s="1"/>
      <c r="UQ338" s="1"/>
      <c r="UR338" s="1"/>
      <c r="US338" s="1"/>
      <c r="UT338" s="1"/>
      <c r="UU338" s="1"/>
      <c r="UV338" s="1"/>
      <c r="UW338" s="1"/>
      <c r="UX338" s="1"/>
      <c r="UY338" s="1"/>
      <c r="UZ338" s="1"/>
      <c r="VA338" s="1"/>
      <c r="VB338" s="1"/>
      <c r="VC338" s="1"/>
      <c r="VD338" s="1"/>
      <c r="VE338" s="1"/>
      <c r="VF338" s="1"/>
      <c r="VG338" s="1"/>
      <c r="VH338" s="1"/>
      <c r="VI338" s="1"/>
      <c r="VJ338" s="1"/>
      <c r="VK338" s="1"/>
      <c r="VL338" s="1"/>
      <c r="VM338" s="1"/>
      <c r="VN338" s="1"/>
      <c r="VO338" s="1"/>
      <c r="VP338" s="1"/>
      <c r="VQ338" s="1"/>
      <c r="VR338" s="1"/>
      <c r="VS338" s="1"/>
      <c r="VT338" s="1"/>
      <c r="VU338" s="1"/>
      <c r="VV338" s="1"/>
      <c r="VW338" s="1"/>
      <c r="VX338" s="1"/>
      <c r="VY338" s="1"/>
      <c r="VZ338" s="1"/>
      <c r="WA338" s="1"/>
      <c r="WB338" s="1"/>
      <c r="WC338" s="1"/>
      <c r="WD338" s="1"/>
      <c r="WE338" s="1"/>
      <c r="WF338" s="1"/>
      <c r="WG338" s="1"/>
      <c r="WH338" s="1"/>
      <c r="WI338" s="1"/>
      <c r="WJ338" s="1"/>
      <c r="WK338" s="1"/>
      <c r="WL338" s="1"/>
      <c r="WM338" s="1"/>
      <c r="WN338" s="1"/>
      <c r="WO338" s="1"/>
      <c r="WP338" s="1"/>
      <c r="WQ338" s="1"/>
      <c r="WR338" s="1"/>
      <c r="WS338" s="1"/>
      <c r="WT338" s="1"/>
      <c r="WU338" s="1"/>
      <c r="WV338" s="1"/>
      <c r="WW338" s="1"/>
      <c r="WX338" s="1"/>
      <c r="WY338" s="1"/>
      <c r="WZ338" s="1"/>
      <c r="XA338" s="1"/>
      <c r="XB338" s="1"/>
      <c r="XC338" s="1"/>
      <c r="XD338" s="1"/>
      <c r="XE338" s="1"/>
      <c r="XF338" s="1"/>
      <c r="XG338" s="1"/>
      <c r="XH338" s="1"/>
      <c r="XI338" s="1"/>
      <c r="XJ338" s="1"/>
      <c r="XK338" s="1"/>
      <c r="XL338" s="1"/>
      <c r="XM338" s="1"/>
      <c r="XN338" s="1"/>
      <c r="XO338" s="1"/>
      <c r="XP338" s="1"/>
      <c r="XQ338" s="1"/>
      <c r="XR338" s="1"/>
      <c r="XS338" s="1"/>
      <c r="XT338" s="1"/>
      <c r="XU338" s="1"/>
      <c r="XV338" s="1"/>
      <c r="XW338" s="1"/>
      <c r="XX338" s="1"/>
      <c r="XY338" s="1"/>
      <c r="XZ338" s="1"/>
      <c r="YA338" s="1"/>
      <c r="YB338" s="1"/>
      <c r="YC338" s="1"/>
      <c r="YD338" s="1"/>
      <c r="YE338" s="1"/>
      <c r="YF338" s="1"/>
      <c r="YG338" s="1"/>
      <c r="YH338" s="1"/>
      <c r="YI338" s="1"/>
      <c r="YJ338" s="1"/>
      <c r="YK338" s="1"/>
      <c r="YL338" s="1"/>
      <c r="YM338" s="1"/>
      <c r="YN338" s="1"/>
      <c r="YO338" s="1"/>
      <c r="YP338" s="1"/>
      <c r="YQ338" s="1"/>
      <c r="YR338" s="1"/>
      <c r="YS338" s="1"/>
      <c r="YT338" s="1"/>
      <c r="YU338" s="1"/>
      <c r="YV338" s="1"/>
      <c r="YW338" s="1"/>
      <c r="YX338" s="1"/>
      <c r="YY338" s="1"/>
      <c r="YZ338" s="1"/>
      <c r="ZA338" s="1"/>
      <c r="ZB338" s="1"/>
      <c r="ZC338" s="1"/>
      <c r="ZD338" s="1"/>
      <c r="ZE338" s="1"/>
      <c r="ZF338" s="1"/>
      <c r="ZG338" s="1"/>
      <c r="ZH338" s="1"/>
      <c r="ZI338" s="1"/>
      <c r="ZJ338" s="1"/>
      <c r="ZK338" s="1"/>
      <c r="ZL338" s="1"/>
      <c r="ZM338" s="1"/>
      <c r="ZN338" s="1"/>
      <c r="ZO338" s="1"/>
      <c r="ZP338" s="1"/>
      <c r="ZQ338" s="1"/>
      <c r="ZR338" s="1"/>
      <c r="ZS338" s="1"/>
      <c r="ZT338" s="1"/>
      <c r="ZU338" s="1"/>
      <c r="ZV338" s="1"/>
      <c r="ZW338" s="1"/>
      <c r="ZX338" s="1"/>
      <c r="ZY338" s="1"/>
      <c r="ZZ338" s="1"/>
      <c r="AAA338" s="1"/>
      <c r="AAB338" s="1"/>
      <c r="AAC338" s="1"/>
      <c r="AAD338" s="1"/>
      <c r="AAE338" s="1"/>
      <c r="AAF338" s="1"/>
      <c r="AAG338" s="1"/>
      <c r="AAH338" s="1"/>
      <c r="AAI338" s="1"/>
      <c r="AAJ338" s="1"/>
      <c r="AAK338" s="1"/>
      <c r="AAL338" s="1"/>
      <c r="AAM338" s="1"/>
      <c r="AAN338" s="1"/>
      <c r="AAO338" s="1"/>
      <c r="AAP338" s="1"/>
      <c r="AAQ338" s="1"/>
      <c r="AAR338" s="1"/>
      <c r="AAS338" s="1"/>
      <c r="AAT338" s="1"/>
      <c r="AAU338" s="1"/>
      <c r="AAV338" s="1"/>
      <c r="AAW338" s="1"/>
      <c r="AAX338" s="1"/>
      <c r="AAY338" s="1"/>
      <c r="AAZ338" s="1"/>
      <c r="ABA338" s="1"/>
      <c r="ABB338" s="1"/>
      <c r="ABC338" s="1"/>
      <c r="ABD338" s="1"/>
      <c r="ABE338" s="1"/>
      <c r="ABF338" s="1"/>
      <c r="ABG338" s="1"/>
      <c r="ABH338" s="1"/>
      <c r="ABI338" s="1"/>
      <c r="ABJ338" s="1"/>
      <c r="ABK338" s="1"/>
      <c r="ABL338" s="1"/>
      <c r="ABM338" s="1"/>
      <c r="ABN338" s="1"/>
      <c r="ABO338" s="1"/>
      <c r="ABP338" s="1"/>
      <c r="ABQ338" s="1"/>
      <c r="ABR338" s="1"/>
      <c r="ABS338" s="1"/>
      <c r="ABT338" s="1"/>
      <c r="ABU338" s="1"/>
      <c r="ABV338" s="1"/>
      <c r="ABW338" s="1"/>
      <c r="ABX338" s="1"/>
      <c r="ABY338" s="1"/>
      <c r="ABZ338" s="1"/>
      <c r="ACA338" s="1"/>
      <c r="ACB338" s="1"/>
      <c r="ACC338" s="1"/>
      <c r="ACD338" s="1"/>
      <c r="ACE338" s="1"/>
      <c r="ACF338" s="1"/>
      <c r="ACG338" s="1"/>
      <c r="ACH338" s="1"/>
      <c r="ACI338" s="1"/>
      <c r="ACJ338" s="1"/>
      <c r="ACK338" s="1"/>
      <c r="ACL338" s="1"/>
      <c r="ACM338" s="1"/>
      <c r="ACN338" s="1"/>
      <c r="ACO338" s="1"/>
      <c r="ACP338" s="1"/>
      <c r="ACQ338" s="1"/>
      <c r="ACR338" s="1"/>
      <c r="ACS338" s="1"/>
      <c r="ACT338" s="1"/>
      <c r="ACU338" s="1"/>
      <c r="ACV338" s="1"/>
      <c r="ACW338" s="1"/>
      <c r="ACX338" s="1"/>
      <c r="ACY338" s="1"/>
      <c r="ACZ338" s="1"/>
      <c r="ADA338" s="1"/>
      <c r="ADB338" s="1"/>
      <c r="ADC338" s="1"/>
      <c r="ADD338" s="1"/>
      <c r="ADE338" s="1"/>
      <c r="ADF338" s="1"/>
      <c r="ADG338" s="1"/>
      <c r="ADH338" s="1"/>
      <c r="ADI338" s="1"/>
      <c r="ADJ338" s="1"/>
      <c r="ADK338" s="1"/>
      <c r="ADL338" s="1"/>
      <c r="ADM338" s="1"/>
      <c r="ADN338" s="1"/>
      <c r="ADO338" s="1"/>
      <c r="ADP338" s="1"/>
      <c r="ADQ338" s="1"/>
      <c r="ADR338" s="1"/>
      <c r="ADS338" s="1"/>
      <c r="ADT338" s="1"/>
      <c r="ADU338" s="1"/>
      <c r="ADV338" s="1"/>
      <c r="ADW338" s="1"/>
      <c r="ADX338" s="1"/>
      <c r="ADY338" s="1"/>
      <c r="ADZ338" s="1"/>
      <c r="AEA338" s="1"/>
      <c r="AEB338" s="1"/>
      <c r="AEC338" s="1"/>
      <c r="AED338" s="1"/>
      <c r="AEE338" s="1"/>
      <c r="AEF338" s="1"/>
      <c r="AEG338" s="1"/>
      <c r="AEH338" s="1"/>
      <c r="AEI338" s="1"/>
      <c r="AEJ338" s="1"/>
      <c r="AEK338" s="1"/>
      <c r="AEL338" s="1"/>
      <c r="AEM338" s="1"/>
      <c r="AEN338" s="1"/>
      <c r="AEO338" s="1"/>
      <c r="AEP338" s="1"/>
      <c r="AEQ338" s="1"/>
      <c r="AER338" s="1"/>
      <c r="AES338" s="1"/>
      <c r="AET338" s="1"/>
      <c r="AEU338" s="1"/>
      <c r="AEV338" s="1"/>
      <c r="AEW338" s="1"/>
      <c r="AEX338" s="1"/>
      <c r="AEY338" s="1"/>
      <c r="AEZ338" s="1"/>
      <c r="AFA338" s="1"/>
      <c r="AFB338" s="1"/>
      <c r="AFC338" s="1"/>
      <c r="AFD338" s="1"/>
      <c r="AFE338" s="1"/>
      <c r="AFF338" s="1"/>
      <c r="AFG338" s="1"/>
      <c r="AFH338" s="1"/>
      <c r="AFI338" s="1"/>
      <c r="AFJ338" s="1"/>
      <c r="AFK338" s="1"/>
      <c r="AFL338" s="1"/>
      <c r="AFM338" s="1"/>
      <c r="AFN338" s="1"/>
      <c r="AFO338" s="1"/>
      <c r="AFP338" s="1"/>
      <c r="AFQ338" s="1"/>
      <c r="AFR338" s="1"/>
      <c r="AFS338" s="1"/>
      <c r="AFT338" s="1"/>
      <c r="AFU338" s="1"/>
      <c r="AFV338" s="1"/>
      <c r="AFW338" s="1"/>
      <c r="AFX338" s="1"/>
      <c r="AFY338" s="1"/>
      <c r="AFZ338" s="1"/>
      <c r="AGA338" s="1"/>
      <c r="AGB338" s="1"/>
      <c r="AGC338" s="1"/>
      <c r="AGD338" s="1"/>
      <c r="AGE338" s="1"/>
      <c r="AGF338" s="1"/>
      <c r="AGG338" s="1"/>
      <c r="AGH338" s="1"/>
      <c r="AGI338" s="1"/>
      <c r="AGJ338" s="1"/>
      <c r="AGK338" s="1"/>
      <c r="AGL338" s="1"/>
      <c r="AGM338" s="1"/>
      <c r="AGN338" s="1"/>
      <c r="AGO338" s="1"/>
      <c r="AGP338" s="1"/>
      <c r="AGQ338" s="1"/>
      <c r="AGR338" s="1"/>
      <c r="AGS338" s="1"/>
      <c r="AGT338" s="1"/>
      <c r="AGU338" s="1"/>
      <c r="AGV338" s="1"/>
      <c r="AGW338" s="1"/>
      <c r="AGX338" s="1"/>
      <c r="AGY338" s="1"/>
      <c r="AGZ338" s="1"/>
      <c r="AHA338" s="1"/>
      <c r="AHB338" s="1"/>
      <c r="AHC338" s="1"/>
      <c r="AHD338" s="1"/>
      <c r="AHE338" s="1"/>
      <c r="AHF338" s="1"/>
      <c r="AHG338" s="1"/>
      <c r="AHH338" s="1"/>
      <c r="AHI338" s="1"/>
      <c r="AHJ338" s="1"/>
      <c r="AHK338" s="1"/>
      <c r="AHL338" s="1"/>
      <c r="AHM338" s="1"/>
      <c r="AHN338" s="1"/>
      <c r="AHO338" s="1"/>
      <c r="AHP338" s="1"/>
      <c r="AHQ338" s="1"/>
      <c r="AHR338" s="1"/>
      <c r="AHS338" s="1"/>
      <c r="AHT338" s="1"/>
      <c r="AHU338" s="1"/>
      <c r="AHV338" s="1"/>
      <c r="AHW338" s="1"/>
      <c r="AHX338" s="1"/>
      <c r="AHY338" s="1"/>
      <c r="AHZ338" s="1"/>
      <c r="AIA338" s="1"/>
      <c r="AIB338" s="1"/>
      <c r="AIC338" s="1"/>
      <c r="AID338" s="1"/>
      <c r="AIE338" s="1"/>
      <c r="AIF338" s="1"/>
      <c r="AIG338" s="1"/>
      <c r="AIH338" s="1"/>
      <c r="AII338" s="1"/>
      <c r="AIJ338" s="1"/>
      <c r="AIK338" s="1"/>
      <c r="AIL338" s="1"/>
      <c r="AIM338" s="1"/>
      <c r="AIN338" s="1"/>
      <c r="AIO338" s="1"/>
      <c r="AIP338" s="1"/>
      <c r="AIQ338" s="1"/>
      <c r="AIR338" s="1"/>
      <c r="AIS338" s="1"/>
      <c r="AIT338" s="1"/>
      <c r="AIU338" s="1"/>
      <c r="AIV338" s="1"/>
      <c r="AIW338" s="1"/>
      <c r="AIX338" s="1"/>
      <c r="AIY338" s="1"/>
      <c r="AIZ338" s="1"/>
      <c r="AJA338" s="1"/>
      <c r="AJB338" s="1"/>
      <c r="AJC338" s="1"/>
      <c r="AJD338" s="1"/>
      <c r="AJE338" s="1"/>
      <c r="AJF338" s="1"/>
      <c r="AJG338" s="1"/>
      <c r="AJH338" s="1"/>
      <c r="AJI338" s="1"/>
      <c r="AJJ338" s="1"/>
      <c r="AJK338" s="1"/>
      <c r="AJL338" s="1"/>
      <c r="AJM338" s="1"/>
      <c r="AJN338" s="1"/>
      <c r="AJO338" s="1"/>
      <c r="AJP338" s="1"/>
      <c r="AJQ338" s="1"/>
      <c r="AJR338" s="1"/>
      <c r="AJS338" s="1"/>
      <c r="AJT338" s="1"/>
      <c r="AJU338" s="1"/>
      <c r="AJV338" s="1"/>
      <c r="AJW338" s="1"/>
      <c r="AJX338" s="1"/>
      <c r="AJY338" s="1"/>
      <c r="AJZ338" s="1"/>
      <c r="AKA338" s="1"/>
      <c r="AKB338" s="1"/>
      <c r="AKC338" s="1"/>
      <c r="AKD338" s="1"/>
      <c r="AKE338" s="1"/>
      <c r="AKF338" s="1"/>
      <c r="AKG338" s="1"/>
      <c r="AKH338" s="1"/>
      <c r="AKI338" s="1"/>
      <c r="AKJ338" s="1"/>
      <c r="AKK338" s="1"/>
      <c r="AKL338" s="1"/>
      <c r="AKM338" s="1"/>
      <c r="AKN338" s="1"/>
      <c r="AKO338" s="1"/>
      <c r="AKP338" s="1"/>
      <c r="AKQ338" s="1"/>
      <c r="AKR338" s="1"/>
      <c r="AKS338" s="1"/>
      <c r="AKT338" s="1"/>
      <c r="AKU338" s="1"/>
      <c r="AKV338" s="1"/>
      <c r="AKW338" s="1"/>
      <c r="AKX338" s="1"/>
      <c r="AKY338" s="1"/>
      <c r="AKZ338" s="1"/>
      <c r="ALA338" s="1"/>
      <c r="ALB338" s="1"/>
      <c r="ALC338" s="1"/>
      <c r="ALD338" s="1"/>
      <c r="ALE338" s="1"/>
      <c r="ALF338" s="1"/>
      <c r="ALG338" s="1"/>
      <c r="ALH338" s="1"/>
      <c r="ALI338" s="1"/>
      <c r="ALJ338" s="1"/>
      <c r="ALK338" s="1"/>
      <c r="ALL338" s="1"/>
      <c r="ALM338" s="1"/>
      <c r="ALN338" s="1"/>
      <c r="ALO338" s="1"/>
      <c r="ALP338" s="1"/>
      <c r="ALQ338" s="1"/>
      <c r="ALR338" s="1"/>
      <c r="ALS338" s="1"/>
      <c r="ALT338" s="1"/>
      <c r="ALU338" s="1"/>
      <c r="ALV338" s="1"/>
      <c r="ALW338" s="1"/>
      <c r="ALX338" s="1"/>
      <c r="ALY338" s="1"/>
      <c r="ALZ338" s="1"/>
      <c r="AMA338" s="1"/>
      <c r="AMB338" s="1"/>
      <c r="AMC338" s="1"/>
      <c r="AMD338" s="1"/>
      <c r="AME338" s="1"/>
      <c r="AMF338" s="1"/>
      <c r="AMG338" s="1"/>
      <c r="AMH338" s="1"/>
      <c r="AMI338" s="1"/>
      <c r="AMJ338" s="1"/>
      <c r="AMK338" s="1"/>
      <c r="AML338" s="1"/>
      <c r="AMM338" s="1"/>
      <c r="AMN338" s="1"/>
      <c r="AMO338" s="1"/>
      <c r="AMP338" s="1"/>
      <c r="AMQ338" s="1"/>
      <c r="AMR338" s="1"/>
      <c r="AMS338" s="1"/>
      <c r="AMT338" s="1"/>
      <c r="AMU338" s="1"/>
      <c r="AMV338" s="1"/>
      <c r="AMW338" s="1"/>
      <c r="AMX338" s="1"/>
      <c r="AMY338" s="1"/>
      <c r="AMZ338" s="1"/>
      <c r="ANA338" s="1"/>
      <c r="ANB338" s="1"/>
      <c r="ANC338" s="1"/>
      <c r="AND338" s="1"/>
      <c r="ANE338" s="1"/>
      <c r="ANF338" s="1"/>
      <c r="ANG338" s="1"/>
      <c r="ANH338" s="1"/>
      <c r="ANI338" s="1"/>
      <c r="ANJ338" s="1"/>
      <c r="ANK338" s="1"/>
      <c r="ANL338" s="1"/>
      <c r="ANM338" s="1"/>
      <c r="ANN338" s="1"/>
      <c r="ANO338" s="1"/>
      <c r="ANP338" s="1"/>
      <c r="ANQ338" s="1"/>
      <c r="ANR338" s="1"/>
      <c r="ANS338" s="1"/>
      <c r="ANT338" s="1"/>
      <c r="ANU338" s="1"/>
      <c r="ANV338" s="1"/>
      <c r="ANW338" s="1"/>
      <c r="ANX338" s="1"/>
      <c r="ANY338" s="1"/>
      <c r="ANZ338" s="1"/>
      <c r="AOA338" s="1"/>
      <c r="AOB338" s="1"/>
      <c r="AOC338" s="1"/>
      <c r="AOD338" s="1"/>
      <c r="AOE338" s="1"/>
      <c r="AOF338" s="1"/>
      <c r="AOG338" s="1"/>
      <c r="AOH338" s="1"/>
      <c r="AOI338" s="1"/>
      <c r="AOJ338" s="1"/>
      <c r="AOK338" s="1"/>
      <c r="AOL338" s="1"/>
      <c r="AOM338" s="1"/>
      <c r="AON338" s="1"/>
      <c r="AOO338" s="1"/>
      <c r="AOP338" s="1"/>
      <c r="AOQ338" s="1"/>
      <c r="AOR338" s="1"/>
      <c r="AOS338" s="1"/>
      <c r="AOT338" s="1"/>
      <c r="AOU338" s="1"/>
      <c r="AOV338" s="1"/>
      <c r="AOW338" s="1"/>
      <c r="AOX338" s="1"/>
      <c r="AOY338" s="1"/>
      <c r="AOZ338" s="1"/>
      <c r="APA338" s="1"/>
      <c r="APB338" s="1"/>
      <c r="APC338" s="1"/>
      <c r="APD338" s="1"/>
      <c r="APE338" s="1"/>
      <c r="APF338" s="1"/>
      <c r="APG338" s="1"/>
      <c r="APH338" s="1"/>
      <c r="API338" s="1"/>
      <c r="APJ338" s="1"/>
      <c r="APK338" s="1"/>
      <c r="APL338" s="1"/>
      <c r="APM338" s="1"/>
      <c r="APN338" s="1"/>
      <c r="APO338" s="1"/>
      <c r="APP338" s="1"/>
      <c r="APQ338" s="1"/>
      <c r="APR338" s="1"/>
      <c r="APS338" s="1"/>
      <c r="APT338" s="1"/>
      <c r="APU338" s="1"/>
      <c r="APV338" s="1"/>
      <c r="APW338" s="1"/>
      <c r="APX338" s="1"/>
      <c r="APY338" s="1"/>
      <c r="APZ338" s="1"/>
      <c r="AQA338" s="1"/>
      <c r="AQB338" s="1"/>
      <c r="AQC338" s="1"/>
      <c r="AQD338" s="1"/>
      <c r="AQE338" s="1"/>
      <c r="AQF338" s="1"/>
      <c r="AQG338" s="1"/>
      <c r="AQH338" s="1"/>
      <c r="AQI338" s="1"/>
      <c r="AQJ338" s="1"/>
      <c r="AQK338" s="1"/>
      <c r="AQL338" s="1"/>
      <c r="AQM338" s="1"/>
      <c r="AQN338" s="1"/>
      <c r="AQO338" s="1"/>
      <c r="AQP338" s="1"/>
      <c r="AQQ338" s="1"/>
      <c r="AQR338" s="1"/>
      <c r="AQS338" s="1"/>
      <c r="AQT338" s="1"/>
      <c r="AQU338" s="1"/>
      <c r="AQV338" s="1"/>
      <c r="AQW338" s="1"/>
      <c r="AQX338" s="1"/>
      <c r="AQY338" s="1"/>
      <c r="AQZ338" s="1"/>
      <c r="ARA338" s="1"/>
      <c r="ARB338" s="1"/>
      <c r="ARC338" s="1"/>
      <c r="ARD338" s="1"/>
      <c r="ARE338" s="1"/>
      <c r="ARF338" s="1"/>
      <c r="ARG338" s="1"/>
      <c r="ARH338" s="1"/>
      <c r="ARI338" s="1"/>
      <c r="ARJ338" s="1"/>
      <c r="ARK338" s="1"/>
      <c r="ARL338" s="1"/>
      <c r="ARM338" s="1"/>
      <c r="ARN338" s="1"/>
      <c r="ARO338" s="1"/>
      <c r="ARP338" s="1"/>
      <c r="ARQ338" s="1"/>
      <c r="ARR338" s="1"/>
      <c r="ARS338" s="1"/>
      <c r="ART338" s="1"/>
      <c r="ARU338" s="1"/>
      <c r="ARV338" s="1"/>
      <c r="ARW338" s="1"/>
      <c r="ARX338" s="1"/>
      <c r="ARY338" s="1"/>
      <c r="ARZ338" s="1"/>
      <c r="ASA338" s="1"/>
      <c r="ASB338" s="1"/>
      <c r="ASC338" s="1"/>
      <c r="ASD338" s="1"/>
      <c r="ASE338" s="1"/>
      <c r="ASF338" s="1"/>
      <c r="ASG338" s="1"/>
      <c r="ASH338" s="1"/>
      <c r="ASI338" s="1"/>
      <c r="ASJ338" s="1"/>
      <c r="ASK338" s="1"/>
      <c r="ASL338" s="1"/>
      <c r="ASM338" s="1"/>
      <c r="ASN338" s="1"/>
      <c r="ASO338" s="1"/>
      <c r="ASP338" s="1"/>
      <c r="ASQ338" s="1"/>
      <c r="ASR338" s="1"/>
      <c r="ASS338" s="1"/>
      <c r="AST338" s="1"/>
      <c r="ASU338" s="1"/>
      <c r="ASV338" s="1"/>
      <c r="ASW338" s="1"/>
      <c r="ASX338" s="1"/>
      <c r="ASY338" s="1"/>
      <c r="ASZ338" s="1"/>
      <c r="ATA338" s="1"/>
      <c r="ATB338" s="1"/>
      <c r="ATC338" s="1"/>
      <c r="ATD338" s="1"/>
      <c r="ATE338" s="1"/>
      <c r="ATF338" s="1"/>
      <c r="ATG338" s="1"/>
      <c r="ATH338" s="1"/>
      <c r="ATI338" s="1"/>
      <c r="ATJ338" s="1"/>
      <c r="ATK338" s="1"/>
      <c r="ATL338" s="1"/>
      <c r="ATM338" s="1"/>
      <c r="ATN338" s="1"/>
      <c r="ATO338" s="1"/>
      <c r="ATP338" s="1"/>
      <c r="ATQ338" s="1"/>
      <c r="ATR338" s="1"/>
      <c r="ATS338" s="1"/>
      <c r="ATT338" s="1"/>
      <c r="ATU338" s="1"/>
      <c r="ATV338" s="1"/>
      <c r="ATW338" s="1"/>
      <c r="ATX338" s="1"/>
      <c r="ATY338" s="1"/>
      <c r="ATZ338" s="1"/>
      <c r="AUA338" s="1"/>
      <c r="AUB338" s="1"/>
      <c r="AUC338" s="1"/>
      <c r="AUD338" s="1"/>
      <c r="AUE338" s="1"/>
      <c r="AUF338" s="1"/>
      <c r="AUG338" s="1"/>
      <c r="AUH338" s="1"/>
      <c r="AUI338" s="1"/>
      <c r="AUJ338" s="1"/>
      <c r="AUK338" s="1"/>
      <c r="AUL338" s="1"/>
      <c r="AUM338" s="1"/>
      <c r="AUN338" s="1"/>
      <c r="AUO338" s="1"/>
      <c r="AUP338" s="1"/>
      <c r="AUQ338" s="1"/>
      <c r="AUR338" s="1"/>
      <c r="AUS338" s="1"/>
      <c r="AUT338" s="1"/>
      <c r="AUU338" s="1"/>
      <c r="AUV338" s="1"/>
      <c r="AUW338" s="1"/>
      <c r="AUX338" s="1"/>
      <c r="AUY338" s="1"/>
      <c r="AUZ338" s="1"/>
      <c r="AVA338" s="1"/>
      <c r="AVB338" s="1"/>
      <c r="AVC338" s="1"/>
      <c r="AVD338" s="1"/>
      <c r="AVE338" s="1"/>
      <c r="AVF338" s="1"/>
      <c r="AVG338" s="1"/>
      <c r="AVH338" s="1"/>
      <c r="AVI338" s="1"/>
      <c r="AVJ338" s="1"/>
      <c r="AVK338" s="1"/>
      <c r="AVL338" s="1"/>
      <c r="AVM338" s="1"/>
      <c r="AVN338" s="1"/>
      <c r="AVO338" s="1"/>
      <c r="AVP338" s="1"/>
      <c r="AVQ338" s="1"/>
      <c r="AVR338" s="1"/>
      <c r="AVS338" s="1"/>
      <c r="AVT338" s="1"/>
      <c r="AVU338" s="1"/>
      <c r="AVV338" s="1"/>
      <c r="AVW338" s="1"/>
      <c r="AVX338" s="1"/>
      <c r="AVY338" s="1"/>
      <c r="AVZ338" s="1"/>
      <c r="AWA338" s="1"/>
      <c r="AWB338" s="1"/>
      <c r="AWC338" s="1"/>
      <c r="AWD338" s="1"/>
      <c r="AWE338" s="1"/>
      <c r="AWF338" s="1"/>
      <c r="AWG338" s="1"/>
      <c r="AWH338" s="1"/>
      <c r="AWI338" s="1"/>
      <c r="AWJ338" s="1"/>
      <c r="AWK338" s="1"/>
      <c r="AWL338" s="1"/>
      <c r="AWM338" s="1"/>
      <c r="AWN338" s="1"/>
      <c r="AWO338" s="1"/>
      <c r="AWP338" s="1"/>
      <c r="AWQ338" s="1"/>
      <c r="AWR338" s="1"/>
      <c r="AWS338" s="1"/>
      <c r="AWT338" s="1"/>
      <c r="AWU338" s="1"/>
      <c r="AWV338" s="1"/>
      <c r="AWW338" s="1"/>
      <c r="AWX338" s="1"/>
      <c r="AWY338" s="1"/>
      <c r="AWZ338" s="1"/>
      <c r="AXA338" s="1"/>
      <c r="AXB338" s="1"/>
      <c r="AXC338" s="1"/>
      <c r="AXD338" s="1"/>
      <c r="AXE338" s="1"/>
      <c r="AXF338" s="1"/>
      <c r="AXG338" s="1"/>
      <c r="AXH338" s="1"/>
      <c r="AXI338" s="1"/>
      <c r="AXJ338" s="1"/>
      <c r="AXK338" s="1"/>
      <c r="AXL338" s="1"/>
      <c r="AXM338" s="1"/>
      <c r="AXN338" s="1"/>
      <c r="AXO338" s="1"/>
      <c r="AXP338" s="1"/>
      <c r="AXQ338" s="1"/>
      <c r="AXR338" s="1"/>
      <c r="AXS338" s="1"/>
      <c r="AXT338" s="1"/>
      <c r="AXU338" s="1"/>
      <c r="AXV338" s="1"/>
      <c r="AXW338" s="1"/>
      <c r="AXX338" s="1"/>
      <c r="AXY338" s="1"/>
      <c r="AXZ338" s="1"/>
      <c r="AYA338" s="1"/>
      <c r="AYB338" s="1"/>
      <c r="AYC338" s="1"/>
      <c r="AYD338" s="1"/>
      <c r="AYE338" s="1"/>
      <c r="AYF338" s="1"/>
      <c r="AYG338" s="1"/>
      <c r="AYH338" s="1"/>
      <c r="AYI338" s="1"/>
      <c r="AYJ338" s="1"/>
      <c r="AYK338" s="1"/>
      <c r="AYL338" s="1"/>
      <c r="AYM338" s="1"/>
      <c r="AYN338" s="1"/>
      <c r="AYO338" s="1"/>
      <c r="AYP338" s="1"/>
      <c r="AYQ338" s="1"/>
      <c r="AYR338" s="1"/>
      <c r="AYS338" s="1"/>
      <c r="AYT338" s="1"/>
      <c r="AYU338" s="1"/>
      <c r="AYV338" s="1"/>
      <c r="AYW338" s="1"/>
      <c r="AYX338" s="1"/>
      <c r="AYY338" s="1"/>
      <c r="AYZ338" s="1"/>
      <c r="AZA338" s="1"/>
      <c r="AZB338" s="1"/>
      <c r="AZC338" s="1"/>
      <c r="AZD338" s="1"/>
      <c r="AZE338" s="1"/>
      <c r="AZF338" s="1"/>
      <c r="AZG338" s="1"/>
      <c r="AZH338" s="1"/>
      <c r="AZI338" s="1"/>
      <c r="AZJ338" s="1"/>
      <c r="AZK338" s="1"/>
      <c r="AZL338" s="1"/>
      <c r="AZM338" s="1"/>
      <c r="AZN338" s="1"/>
      <c r="AZO338" s="1"/>
      <c r="AZP338" s="1"/>
      <c r="AZQ338" s="1"/>
      <c r="AZR338" s="1"/>
      <c r="AZS338" s="1"/>
      <c r="AZT338" s="1"/>
      <c r="AZU338" s="1"/>
      <c r="AZV338" s="1"/>
      <c r="AZW338" s="1"/>
      <c r="AZX338" s="1"/>
      <c r="AZY338" s="1"/>
      <c r="AZZ338" s="1"/>
      <c r="BAA338" s="1"/>
      <c r="BAB338" s="1"/>
      <c r="BAC338" s="1"/>
      <c r="BAD338" s="1"/>
      <c r="BAE338" s="1"/>
      <c r="BAF338" s="1"/>
      <c r="BAG338" s="1"/>
      <c r="BAH338" s="1"/>
      <c r="BAI338" s="1"/>
      <c r="BAJ338" s="1"/>
      <c r="BAK338" s="1"/>
      <c r="BAL338" s="1"/>
      <c r="BAM338" s="1"/>
      <c r="BAN338" s="1"/>
      <c r="BAO338" s="1"/>
      <c r="BAP338" s="1"/>
      <c r="BAQ338" s="1"/>
      <c r="BAR338" s="1"/>
      <c r="BAS338" s="1"/>
      <c r="BAT338" s="1"/>
      <c r="BAU338" s="1"/>
      <c r="BAV338" s="1"/>
      <c r="BAW338" s="1"/>
      <c r="BAX338" s="1"/>
      <c r="BAY338" s="1"/>
      <c r="BAZ338" s="1"/>
      <c r="BBA338" s="1"/>
      <c r="BBB338" s="1"/>
      <c r="BBC338" s="1"/>
      <c r="BBD338" s="1"/>
      <c r="BBE338" s="1"/>
      <c r="BBF338" s="1"/>
      <c r="BBG338" s="1"/>
      <c r="BBH338" s="1"/>
      <c r="BBI338" s="1"/>
      <c r="BBJ338" s="1"/>
      <c r="BBK338" s="1"/>
      <c r="BBL338" s="1"/>
      <c r="BBM338" s="1"/>
      <c r="BBN338" s="1"/>
      <c r="BBO338" s="1"/>
      <c r="BBP338" s="1"/>
      <c r="BBQ338" s="1"/>
      <c r="BBR338" s="1"/>
      <c r="BBS338" s="1"/>
      <c r="BBT338" s="1"/>
      <c r="BBU338" s="1"/>
      <c r="BBV338" s="1"/>
      <c r="BBW338" s="1"/>
      <c r="BBX338" s="1"/>
      <c r="BBY338" s="1"/>
      <c r="BBZ338" s="1"/>
      <c r="BCA338" s="1"/>
      <c r="BCB338" s="1"/>
      <c r="BCC338" s="1"/>
      <c r="BCD338" s="1"/>
      <c r="BCE338" s="1"/>
      <c r="BCF338" s="1"/>
      <c r="BCG338" s="1"/>
      <c r="BCH338" s="1"/>
      <c r="BCI338" s="1"/>
      <c r="BCJ338" s="1"/>
      <c r="BCK338" s="1"/>
      <c r="BCL338" s="1"/>
      <c r="BCM338" s="1"/>
      <c r="BCN338" s="1"/>
      <c r="BCO338" s="1"/>
      <c r="BCP338" s="1"/>
      <c r="BCQ338" s="1"/>
      <c r="BCR338" s="1"/>
      <c r="BCS338" s="1"/>
      <c r="BCT338" s="1"/>
      <c r="BCU338" s="1"/>
      <c r="BCV338" s="1"/>
      <c r="BCW338" s="1"/>
      <c r="BCX338" s="1"/>
      <c r="BCY338" s="1"/>
      <c r="BCZ338" s="1"/>
      <c r="BDA338" s="1"/>
      <c r="BDB338" s="1"/>
      <c r="BDC338" s="1"/>
      <c r="BDD338" s="1"/>
      <c r="BDE338" s="1"/>
      <c r="BDF338" s="1"/>
      <c r="BDG338" s="1"/>
      <c r="BDH338" s="1"/>
      <c r="BDI338" s="1"/>
      <c r="BDJ338" s="1"/>
      <c r="BDK338" s="1"/>
      <c r="BDL338" s="1"/>
      <c r="BDM338" s="1"/>
      <c r="BDN338" s="1"/>
      <c r="BDO338" s="1"/>
      <c r="BDP338" s="1"/>
      <c r="BDQ338" s="1"/>
      <c r="BDR338" s="1"/>
      <c r="BDS338" s="1"/>
      <c r="BDT338" s="1"/>
      <c r="BDU338" s="1"/>
      <c r="BDV338" s="1"/>
      <c r="BDW338" s="1"/>
      <c r="BDX338" s="1"/>
      <c r="BDY338" s="1"/>
      <c r="BDZ338" s="1"/>
      <c r="BEA338" s="1"/>
      <c r="BEB338" s="1"/>
      <c r="BEC338" s="1"/>
      <c r="BED338" s="1"/>
      <c r="BEE338" s="1"/>
      <c r="BEF338" s="1"/>
      <c r="BEG338" s="1"/>
      <c r="BEH338" s="1"/>
      <c r="BEI338" s="1"/>
      <c r="BEJ338" s="1"/>
      <c r="BEK338" s="1"/>
      <c r="BEL338" s="1"/>
      <c r="BEM338" s="1"/>
      <c r="BEN338" s="1"/>
      <c r="BEO338" s="1"/>
      <c r="BEP338" s="1"/>
      <c r="BEQ338" s="1"/>
      <c r="BER338" s="1"/>
      <c r="BES338" s="1"/>
      <c r="BET338" s="1"/>
      <c r="BEU338" s="1"/>
      <c r="BEV338" s="1"/>
      <c r="BEW338" s="1"/>
      <c r="BEX338" s="1"/>
      <c r="BEY338" s="1"/>
      <c r="BEZ338" s="1"/>
      <c r="BFA338" s="1"/>
      <c r="BFB338" s="1"/>
      <c r="BFC338" s="1"/>
      <c r="BFD338" s="1"/>
      <c r="BFE338" s="1"/>
      <c r="BFF338" s="1"/>
      <c r="BFG338" s="1"/>
      <c r="BFH338" s="1"/>
      <c r="BFI338" s="1"/>
      <c r="BFJ338" s="1"/>
      <c r="BFK338" s="1"/>
      <c r="BFL338" s="1"/>
      <c r="BFM338" s="1"/>
      <c r="BFN338" s="1"/>
      <c r="BFO338" s="1"/>
      <c r="BFP338" s="1"/>
      <c r="BFQ338" s="1"/>
      <c r="BFR338" s="1"/>
      <c r="BFS338" s="1"/>
      <c r="BFT338" s="1"/>
      <c r="BFU338" s="1"/>
      <c r="BFV338" s="1"/>
      <c r="BFW338" s="1"/>
      <c r="BFX338" s="1"/>
      <c r="BFY338" s="1"/>
      <c r="BFZ338" s="1"/>
      <c r="BGA338" s="1"/>
      <c r="BGB338" s="1"/>
      <c r="BGC338" s="1"/>
      <c r="BGD338" s="1"/>
      <c r="BGE338" s="1"/>
      <c r="BGF338" s="1"/>
      <c r="BGG338" s="1"/>
      <c r="BGH338" s="1"/>
      <c r="BGI338" s="1"/>
      <c r="BGJ338" s="1"/>
      <c r="BGK338" s="1"/>
      <c r="BGL338" s="1"/>
      <c r="BGM338" s="1"/>
      <c r="BGN338" s="1"/>
      <c r="BGO338" s="1"/>
      <c r="BGP338" s="1"/>
      <c r="BGQ338" s="1"/>
      <c r="BGR338" s="1"/>
      <c r="BGS338" s="1"/>
      <c r="BGT338" s="1"/>
      <c r="BGU338" s="1"/>
      <c r="BGV338" s="1"/>
      <c r="BGW338" s="1"/>
      <c r="BGX338" s="1"/>
      <c r="BGY338" s="1"/>
      <c r="BGZ338" s="1"/>
      <c r="BHA338" s="1"/>
      <c r="BHB338" s="1"/>
      <c r="BHC338" s="1"/>
      <c r="BHD338" s="1"/>
      <c r="BHE338" s="1"/>
      <c r="BHF338" s="1"/>
      <c r="BHG338" s="1"/>
      <c r="BHH338" s="1"/>
      <c r="BHI338" s="1"/>
      <c r="BHJ338" s="1"/>
      <c r="BHK338" s="1"/>
      <c r="BHL338" s="1"/>
      <c r="BHM338" s="1"/>
      <c r="BHN338" s="1"/>
      <c r="BHO338" s="1"/>
      <c r="BHP338" s="1"/>
      <c r="BHQ338" s="1"/>
      <c r="BHR338" s="1"/>
      <c r="BHS338" s="1"/>
      <c r="BHT338" s="1"/>
      <c r="BHU338" s="1"/>
      <c r="BHV338" s="1"/>
      <c r="BHW338" s="1"/>
      <c r="BHX338" s="1"/>
      <c r="BHY338" s="1"/>
      <c r="BHZ338" s="1"/>
      <c r="BIA338" s="1"/>
      <c r="BIB338" s="1"/>
      <c r="BIC338" s="1"/>
      <c r="BID338" s="1"/>
      <c r="BIE338" s="1"/>
      <c r="BIF338" s="1"/>
      <c r="BIG338" s="1"/>
      <c r="BIH338" s="1"/>
      <c r="BII338" s="1"/>
      <c r="BIJ338" s="1"/>
      <c r="BIK338" s="1"/>
      <c r="BIL338" s="1"/>
      <c r="BIM338" s="1"/>
      <c r="BIN338" s="1"/>
      <c r="BIO338" s="1"/>
      <c r="BIP338" s="1"/>
      <c r="BIQ338" s="1"/>
      <c r="BIR338" s="1"/>
      <c r="BIS338" s="1"/>
      <c r="BIT338" s="1"/>
      <c r="BIU338" s="1"/>
      <c r="BIV338" s="1"/>
      <c r="BIW338" s="1"/>
      <c r="BIX338" s="1"/>
      <c r="BIY338" s="1"/>
      <c r="BIZ338" s="1"/>
      <c r="BJA338" s="1"/>
      <c r="BJB338" s="1"/>
      <c r="BJC338" s="1"/>
      <c r="BJD338" s="1"/>
      <c r="BJE338" s="1"/>
      <c r="BJF338" s="1"/>
      <c r="BJG338" s="1"/>
      <c r="BJH338" s="1"/>
      <c r="BJI338" s="1"/>
      <c r="BJJ338" s="1"/>
      <c r="BJK338" s="1"/>
      <c r="BJL338" s="1"/>
      <c r="BJM338" s="1"/>
      <c r="BJN338" s="1"/>
      <c r="BJO338" s="1"/>
      <c r="BJP338" s="1"/>
      <c r="BJQ338" s="1"/>
      <c r="BJR338" s="1"/>
      <c r="BJS338" s="1"/>
      <c r="BJT338" s="1"/>
      <c r="BJU338" s="1"/>
      <c r="BJV338" s="1"/>
      <c r="BJW338" s="1"/>
      <c r="BJX338" s="1"/>
      <c r="BJY338" s="1"/>
      <c r="BJZ338" s="1"/>
      <c r="BKA338" s="1"/>
      <c r="BKB338" s="1"/>
      <c r="BKC338" s="1"/>
      <c r="BKD338" s="1"/>
      <c r="BKE338" s="1"/>
      <c r="BKF338" s="1"/>
      <c r="BKG338" s="1"/>
      <c r="BKH338" s="1"/>
      <c r="BKI338" s="1"/>
      <c r="BKJ338" s="1"/>
      <c r="BKK338" s="1"/>
      <c r="BKL338" s="1"/>
      <c r="BKM338" s="1"/>
      <c r="BKN338" s="1"/>
      <c r="BKO338" s="1"/>
      <c r="BKP338" s="1"/>
      <c r="BKQ338" s="1"/>
      <c r="BKR338" s="1"/>
      <c r="BKS338" s="1"/>
      <c r="BKT338" s="1"/>
      <c r="BKU338" s="1"/>
      <c r="BKV338" s="1"/>
      <c r="BKW338" s="1"/>
      <c r="BKX338" s="1"/>
      <c r="BKY338" s="1"/>
      <c r="BKZ338" s="1"/>
      <c r="BLA338" s="1"/>
      <c r="BLB338" s="1"/>
      <c r="BLC338" s="1"/>
      <c r="BLD338" s="1"/>
      <c r="BLE338" s="1"/>
      <c r="BLF338" s="1"/>
      <c r="BLG338" s="1"/>
      <c r="BLH338" s="1"/>
      <c r="BLI338" s="1"/>
      <c r="BLJ338" s="1"/>
      <c r="BLK338" s="1"/>
      <c r="BLL338" s="1"/>
      <c r="BLM338" s="1"/>
      <c r="BLN338" s="1"/>
      <c r="BLO338" s="1"/>
      <c r="BLP338" s="1"/>
      <c r="BLQ338" s="1"/>
      <c r="BLR338" s="1"/>
      <c r="BLS338" s="1"/>
      <c r="BLT338" s="1"/>
      <c r="BLU338" s="1"/>
      <c r="BLV338" s="1"/>
      <c r="BLW338" s="1"/>
      <c r="BLX338" s="1"/>
      <c r="BLY338" s="1"/>
      <c r="BLZ338" s="1"/>
      <c r="BMA338" s="1"/>
      <c r="BMB338" s="1"/>
      <c r="BMC338" s="1"/>
      <c r="BMD338" s="1"/>
      <c r="BME338" s="1"/>
      <c r="BMF338" s="1"/>
      <c r="BMG338" s="1"/>
      <c r="BMH338" s="1"/>
      <c r="BMI338" s="1"/>
      <c r="BMJ338" s="1"/>
      <c r="BMK338" s="1"/>
      <c r="BML338" s="1"/>
      <c r="BMM338" s="1"/>
      <c r="BMN338" s="1"/>
      <c r="BMO338" s="1"/>
      <c r="BMP338" s="1"/>
      <c r="BMQ338" s="1"/>
      <c r="BMR338" s="1"/>
      <c r="BMS338" s="1"/>
      <c r="BMT338" s="1"/>
      <c r="BMU338" s="1"/>
      <c r="BMV338" s="1"/>
      <c r="BMW338" s="1"/>
      <c r="BMX338" s="1"/>
      <c r="BMY338" s="1"/>
      <c r="BMZ338" s="1"/>
      <c r="BNA338" s="1"/>
      <c r="BNB338" s="1"/>
      <c r="BNC338" s="1"/>
      <c r="BND338" s="1"/>
      <c r="BNE338" s="1"/>
      <c r="BNF338" s="1"/>
      <c r="BNG338" s="1"/>
      <c r="BNH338" s="1"/>
      <c r="BNI338" s="1"/>
      <c r="BNJ338" s="1"/>
      <c r="BNK338" s="1"/>
      <c r="BNL338" s="1"/>
      <c r="BNM338" s="1"/>
      <c r="BNN338" s="1"/>
      <c r="BNO338" s="1"/>
      <c r="BNP338" s="1"/>
      <c r="BNQ338" s="1"/>
      <c r="BNR338" s="1"/>
      <c r="BNS338" s="1"/>
      <c r="BNT338" s="1"/>
      <c r="BNU338" s="1"/>
      <c r="BNV338" s="1"/>
      <c r="BNW338" s="1"/>
      <c r="BNX338" s="1"/>
      <c r="BNY338" s="1"/>
      <c r="BNZ338" s="1"/>
      <c r="BOA338" s="1"/>
      <c r="BOB338" s="1"/>
      <c r="BOC338" s="1"/>
      <c r="BOD338" s="1"/>
      <c r="BOE338" s="1"/>
      <c r="BOF338" s="1"/>
      <c r="BOG338" s="1"/>
      <c r="BOH338" s="1"/>
      <c r="BOI338" s="1"/>
      <c r="BOJ338" s="1"/>
      <c r="BOK338" s="1"/>
      <c r="BOL338" s="1"/>
      <c r="BOM338" s="1"/>
      <c r="BON338" s="1"/>
      <c r="BOO338" s="1"/>
      <c r="BOP338" s="1"/>
      <c r="BOQ338" s="1"/>
      <c r="BOR338" s="1"/>
      <c r="BOS338" s="1"/>
      <c r="BOT338" s="1"/>
      <c r="BOU338" s="1"/>
      <c r="BOV338" s="1"/>
      <c r="BOW338" s="1"/>
      <c r="BOX338" s="1"/>
      <c r="BOY338" s="1"/>
      <c r="BOZ338" s="1"/>
      <c r="BPA338" s="1"/>
      <c r="BPB338" s="1"/>
      <c r="BPC338" s="1"/>
      <c r="BPD338" s="1"/>
      <c r="BPE338" s="1"/>
      <c r="BPF338" s="1"/>
      <c r="BPG338" s="1"/>
      <c r="BPH338" s="1"/>
      <c r="BPI338" s="1"/>
      <c r="BPJ338" s="1"/>
      <c r="BPK338" s="1"/>
      <c r="BPL338" s="1"/>
      <c r="BPM338" s="1"/>
      <c r="BPN338" s="1"/>
      <c r="BPO338" s="1"/>
      <c r="BPP338" s="1"/>
      <c r="BPQ338" s="1"/>
      <c r="BPR338" s="1"/>
      <c r="BPS338" s="1"/>
      <c r="BPT338" s="1"/>
      <c r="BPU338" s="1"/>
      <c r="BPV338" s="1"/>
      <c r="BPW338" s="1"/>
      <c r="BPX338" s="1"/>
      <c r="BPY338" s="1"/>
      <c r="BPZ338" s="1"/>
      <c r="BQA338" s="1"/>
      <c r="BQB338" s="1"/>
      <c r="BQC338" s="1"/>
      <c r="BQD338" s="1"/>
      <c r="BQE338" s="1"/>
      <c r="BQF338" s="1"/>
      <c r="BQG338" s="1"/>
      <c r="BQH338" s="1"/>
      <c r="BQI338" s="1"/>
      <c r="BQJ338" s="1"/>
      <c r="BQK338" s="1"/>
      <c r="BQL338" s="1"/>
      <c r="BQM338" s="1"/>
      <c r="BQN338" s="1"/>
      <c r="BQO338" s="1"/>
      <c r="BQP338" s="1"/>
      <c r="BQQ338" s="1"/>
      <c r="BQR338" s="1"/>
      <c r="BQS338" s="1"/>
      <c r="BQT338" s="1"/>
      <c r="BQU338" s="1"/>
      <c r="BQV338" s="1"/>
      <c r="BQW338" s="1"/>
      <c r="BQX338" s="1"/>
      <c r="BQY338" s="1"/>
      <c r="BQZ338" s="1"/>
      <c r="BRA338" s="1"/>
      <c r="BRB338" s="1"/>
      <c r="BRC338" s="1"/>
      <c r="BRD338" s="1"/>
      <c r="BRE338" s="1"/>
      <c r="BRF338" s="1"/>
      <c r="BRG338" s="1"/>
      <c r="BRH338" s="1"/>
      <c r="BRI338" s="1"/>
      <c r="BRJ338" s="1"/>
      <c r="BRK338" s="1"/>
      <c r="BRL338" s="1"/>
      <c r="BRM338" s="1"/>
      <c r="BRN338" s="1"/>
      <c r="BRO338" s="1"/>
      <c r="BRP338" s="1"/>
      <c r="BRQ338" s="1"/>
      <c r="BRR338" s="1"/>
      <c r="BRS338" s="1"/>
      <c r="BRT338" s="1"/>
      <c r="BRU338" s="1"/>
      <c r="BRV338" s="1"/>
      <c r="BRW338" s="1"/>
      <c r="BRX338" s="1"/>
      <c r="BRY338" s="1"/>
      <c r="BRZ338" s="1"/>
      <c r="BSA338" s="1"/>
      <c r="BSB338" s="1"/>
      <c r="BSC338" s="1"/>
      <c r="BSD338" s="1"/>
      <c r="BSE338" s="1"/>
      <c r="BSF338" s="1"/>
      <c r="BSG338" s="1"/>
      <c r="BSH338" s="1"/>
      <c r="BSI338" s="1"/>
      <c r="BSJ338" s="1"/>
      <c r="BSK338" s="1"/>
      <c r="BSL338" s="1"/>
      <c r="BSM338" s="1"/>
      <c r="BSN338" s="1"/>
      <c r="BSO338" s="1"/>
      <c r="BSP338" s="1"/>
      <c r="BSQ338" s="1"/>
      <c r="BSR338" s="1"/>
      <c r="BSS338" s="1"/>
      <c r="BST338" s="1"/>
      <c r="BSU338" s="1"/>
      <c r="BSV338" s="1"/>
      <c r="BSW338" s="1"/>
      <c r="BSX338" s="1"/>
      <c r="BSY338" s="1"/>
      <c r="BSZ338" s="1"/>
      <c r="BTA338" s="1"/>
      <c r="BTB338" s="1"/>
      <c r="BTC338" s="1"/>
      <c r="BTD338" s="1"/>
      <c r="BTE338" s="1"/>
      <c r="BTF338" s="1"/>
      <c r="BTG338" s="1"/>
      <c r="BTH338" s="1"/>
      <c r="BTI338" s="1"/>
      <c r="BTJ338" s="1"/>
      <c r="BTK338" s="1"/>
      <c r="BTL338" s="1"/>
      <c r="BTM338" s="1"/>
      <c r="BTN338" s="1"/>
      <c r="BTO338" s="1"/>
      <c r="BTP338" s="1"/>
      <c r="BTQ338" s="1"/>
      <c r="BTR338" s="1"/>
      <c r="BTS338" s="1"/>
      <c r="BTT338" s="1"/>
      <c r="BTU338" s="1"/>
      <c r="BTV338" s="1"/>
      <c r="BTW338" s="1"/>
      <c r="BTX338" s="1"/>
      <c r="BTY338" s="1"/>
      <c r="BTZ338" s="1"/>
      <c r="BUA338" s="1"/>
      <c r="BUB338" s="1"/>
      <c r="BUC338" s="1"/>
      <c r="BUD338" s="1"/>
      <c r="BUE338" s="1"/>
      <c r="BUF338" s="1"/>
      <c r="BUG338" s="1"/>
      <c r="BUH338" s="1"/>
      <c r="BUI338" s="1"/>
      <c r="BUJ338" s="1"/>
      <c r="BUK338" s="1"/>
      <c r="BUL338" s="1"/>
      <c r="BUM338" s="1"/>
      <c r="BUN338" s="1"/>
      <c r="BUO338" s="1"/>
      <c r="BUP338" s="1"/>
      <c r="BUQ338" s="1"/>
      <c r="BUR338" s="1"/>
      <c r="BUS338" s="1"/>
      <c r="BUT338" s="1"/>
      <c r="BUU338" s="1"/>
      <c r="BUV338" s="1"/>
      <c r="BUW338" s="1"/>
      <c r="BUX338" s="1"/>
      <c r="BUY338" s="1"/>
      <c r="BUZ338" s="1"/>
      <c r="BVA338" s="1"/>
      <c r="BVB338" s="1"/>
      <c r="BVC338" s="1"/>
      <c r="BVD338" s="1"/>
      <c r="BVE338" s="1"/>
      <c r="BVF338" s="1"/>
      <c r="BVG338" s="1"/>
      <c r="BVH338" s="1"/>
      <c r="BVI338" s="1"/>
      <c r="BVJ338" s="1"/>
      <c r="BVK338" s="1"/>
      <c r="BVL338" s="1"/>
      <c r="BVM338" s="1"/>
      <c r="BVN338" s="1"/>
      <c r="BVO338" s="1"/>
      <c r="BVP338" s="1"/>
      <c r="BVQ338" s="1"/>
      <c r="BVR338" s="1"/>
      <c r="BVS338" s="1"/>
      <c r="BVT338" s="1"/>
      <c r="BVU338" s="1"/>
      <c r="BVV338" s="1"/>
      <c r="BVW338" s="1"/>
      <c r="BVX338" s="1"/>
      <c r="BVY338" s="1"/>
      <c r="BVZ338" s="1"/>
      <c r="BWA338" s="1"/>
      <c r="BWB338" s="1"/>
      <c r="BWC338" s="1"/>
      <c r="BWD338" s="1"/>
      <c r="BWE338" s="1"/>
      <c r="BWF338" s="1"/>
      <c r="BWG338" s="1"/>
      <c r="BWH338" s="1"/>
      <c r="BWI338" s="1"/>
      <c r="BWJ338" s="1"/>
      <c r="BWK338" s="1"/>
      <c r="BWL338" s="1"/>
      <c r="BWM338" s="1"/>
      <c r="BWN338" s="1"/>
      <c r="BWO338" s="1"/>
      <c r="BWP338" s="1"/>
      <c r="BWQ338" s="1"/>
      <c r="BWR338" s="1"/>
      <c r="BWS338" s="1"/>
      <c r="BWT338" s="1"/>
      <c r="BWU338" s="1"/>
      <c r="BWV338" s="1"/>
      <c r="BWW338" s="1"/>
      <c r="BWX338" s="1"/>
      <c r="BWY338" s="1"/>
      <c r="BWZ338" s="1"/>
      <c r="BXA338" s="1"/>
      <c r="BXB338" s="1"/>
      <c r="BXC338" s="1"/>
      <c r="BXD338" s="1"/>
      <c r="BXE338" s="1"/>
      <c r="BXF338" s="1"/>
      <c r="BXG338" s="1"/>
      <c r="BXH338" s="1"/>
      <c r="BXI338" s="1"/>
      <c r="BXJ338" s="1"/>
      <c r="BXK338" s="1"/>
      <c r="BXL338" s="1"/>
      <c r="BXM338" s="1"/>
      <c r="BXN338" s="1"/>
      <c r="BXO338" s="1"/>
      <c r="BXP338" s="1"/>
      <c r="BXQ338" s="1"/>
      <c r="BXR338" s="1"/>
      <c r="BXS338" s="1"/>
      <c r="BXT338" s="1"/>
      <c r="BXU338" s="1"/>
      <c r="BXV338" s="1"/>
      <c r="BXW338" s="1"/>
      <c r="BXX338" s="1"/>
      <c r="BXY338" s="1"/>
      <c r="BXZ338" s="1"/>
      <c r="BYA338" s="1"/>
      <c r="BYB338" s="1"/>
      <c r="BYC338" s="1"/>
      <c r="BYD338" s="1"/>
      <c r="BYE338" s="1"/>
      <c r="BYF338" s="1"/>
      <c r="BYG338" s="1"/>
      <c r="BYH338" s="1"/>
      <c r="BYI338" s="1"/>
      <c r="BYJ338" s="1"/>
      <c r="BYK338" s="1"/>
      <c r="BYL338" s="1"/>
      <c r="BYM338" s="1"/>
      <c r="BYN338" s="1"/>
      <c r="BYO338" s="1"/>
      <c r="BYP338" s="1"/>
      <c r="BYQ338" s="1"/>
      <c r="BYR338" s="1"/>
      <c r="BYS338" s="1"/>
      <c r="BYT338" s="1"/>
      <c r="BYU338" s="1"/>
      <c r="BYV338" s="1"/>
      <c r="BYW338" s="1"/>
      <c r="BYX338" s="1"/>
      <c r="BYY338" s="1"/>
      <c r="BYZ338" s="1"/>
      <c r="BZA338" s="1"/>
      <c r="BZB338" s="1"/>
      <c r="BZC338" s="1"/>
      <c r="BZD338" s="1"/>
      <c r="BZE338" s="1"/>
      <c r="BZF338" s="1"/>
      <c r="BZG338" s="1"/>
      <c r="BZH338" s="1"/>
      <c r="BZI338" s="1"/>
      <c r="BZJ338" s="1"/>
      <c r="BZK338" s="1"/>
      <c r="BZL338" s="1"/>
      <c r="BZM338" s="1"/>
      <c r="BZN338" s="1"/>
      <c r="BZO338" s="1"/>
      <c r="BZP338" s="1"/>
      <c r="BZQ338" s="1"/>
      <c r="BZR338" s="1"/>
      <c r="BZS338" s="1"/>
      <c r="BZT338" s="1"/>
      <c r="BZU338" s="1"/>
      <c r="BZV338" s="1"/>
      <c r="BZW338" s="1"/>
      <c r="BZX338" s="1"/>
      <c r="BZY338" s="1"/>
      <c r="BZZ338" s="1"/>
      <c r="CAA338" s="1"/>
      <c r="CAB338" s="1"/>
      <c r="CAC338" s="1"/>
      <c r="CAD338" s="1"/>
      <c r="CAE338" s="1"/>
      <c r="CAF338" s="1"/>
      <c r="CAG338" s="1"/>
      <c r="CAH338" s="1"/>
      <c r="CAI338" s="1"/>
      <c r="CAJ338" s="1"/>
      <c r="CAK338" s="1"/>
      <c r="CAL338" s="1"/>
      <c r="CAM338" s="1"/>
      <c r="CAN338" s="1"/>
      <c r="CAO338" s="1"/>
      <c r="CAP338" s="1"/>
      <c r="CAQ338" s="1"/>
      <c r="CAR338" s="1"/>
      <c r="CAS338" s="1"/>
      <c r="CAT338" s="1"/>
      <c r="CAU338" s="1"/>
      <c r="CAV338" s="1"/>
      <c r="CAW338" s="1"/>
      <c r="CAX338" s="1"/>
      <c r="CAY338" s="1"/>
      <c r="CAZ338" s="1"/>
      <c r="CBA338" s="1"/>
      <c r="CBB338" s="1"/>
      <c r="CBC338" s="1"/>
      <c r="CBD338" s="1"/>
      <c r="CBE338" s="1"/>
      <c r="CBF338" s="1"/>
      <c r="CBG338" s="1"/>
      <c r="CBH338" s="1"/>
      <c r="CBI338" s="1"/>
      <c r="CBJ338" s="1"/>
      <c r="CBK338" s="1"/>
      <c r="CBL338" s="1"/>
      <c r="CBM338" s="1"/>
      <c r="CBN338" s="1"/>
      <c r="CBO338" s="1"/>
      <c r="CBP338" s="1"/>
      <c r="CBQ338" s="1"/>
      <c r="CBR338" s="1"/>
      <c r="CBS338" s="1"/>
      <c r="CBT338" s="1"/>
      <c r="CBU338" s="1"/>
      <c r="CBV338" s="1"/>
      <c r="CBW338" s="1"/>
      <c r="CBX338" s="1"/>
      <c r="CBY338" s="1"/>
      <c r="CBZ338" s="1"/>
      <c r="CCA338" s="1"/>
      <c r="CCB338" s="1"/>
      <c r="CCC338" s="1"/>
      <c r="CCD338" s="1"/>
      <c r="CCE338" s="1"/>
      <c r="CCF338" s="1"/>
      <c r="CCG338" s="1"/>
      <c r="CCH338" s="1"/>
      <c r="CCI338" s="1"/>
      <c r="CCJ338" s="1"/>
      <c r="CCK338" s="1"/>
      <c r="CCL338" s="1"/>
      <c r="CCM338" s="1"/>
      <c r="CCN338" s="1"/>
      <c r="CCO338" s="1"/>
      <c r="CCP338" s="1"/>
      <c r="CCQ338" s="1"/>
      <c r="CCR338" s="1"/>
      <c r="CCS338" s="1"/>
      <c r="CCT338" s="1"/>
      <c r="CCU338" s="1"/>
      <c r="CCV338" s="1"/>
      <c r="CCW338" s="1"/>
      <c r="CCX338" s="1"/>
      <c r="CCY338" s="1"/>
      <c r="CCZ338" s="1"/>
      <c r="CDA338" s="1"/>
      <c r="CDB338" s="1"/>
      <c r="CDC338" s="1"/>
      <c r="CDD338" s="1"/>
      <c r="CDE338" s="1"/>
      <c r="CDF338" s="1"/>
      <c r="CDG338" s="1"/>
      <c r="CDH338" s="1"/>
      <c r="CDI338" s="1"/>
      <c r="CDJ338" s="1"/>
      <c r="CDK338" s="1"/>
      <c r="CDL338" s="1"/>
      <c r="CDM338" s="1"/>
      <c r="CDN338" s="1"/>
      <c r="CDO338" s="1"/>
      <c r="CDP338" s="1"/>
      <c r="CDQ338" s="1"/>
      <c r="CDR338" s="1"/>
      <c r="CDS338" s="1"/>
      <c r="CDT338" s="1"/>
      <c r="CDU338" s="1"/>
      <c r="CDV338" s="1"/>
      <c r="CDW338" s="1"/>
      <c r="CDX338" s="1"/>
      <c r="CDY338" s="1"/>
      <c r="CDZ338" s="1"/>
      <c r="CEA338" s="1"/>
      <c r="CEB338" s="1"/>
      <c r="CEC338" s="1"/>
      <c r="CED338" s="1"/>
      <c r="CEE338" s="1"/>
      <c r="CEF338" s="1"/>
      <c r="CEG338" s="1"/>
      <c r="CEH338" s="1"/>
      <c r="CEI338" s="1"/>
      <c r="CEJ338" s="1"/>
      <c r="CEK338" s="1"/>
      <c r="CEL338" s="1"/>
      <c r="CEM338" s="1"/>
      <c r="CEN338" s="1"/>
      <c r="CEO338" s="1"/>
      <c r="CEP338" s="1"/>
      <c r="CEQ338" s="1"/>
      <c r="CER338" s="1"/>
      <c r="CES338" s="1"/>
      <c r="CET338" s="1"/>
      <c r="CEU338" s="1"/>
      <c r="CEV338" s="1"/>
      <c r="CEW338" s="1"/>
      <c r="CEX338" s="1"/>
      <c r="CEY338" s="1"/>
      <c r="CEZ338" s="1"/>
      <c r="CFA338" s="1"/>
      <c r="CFB338" s="1"/>
      <c r="CFC338" s="1"/>
      <c r="CFD338" s="1"/>
      <c r="CFE338" s="1"/>
      <c r="CFF338" s="1"/>
      <c r="CFG338" s="1"/>
      <c r="CFH338" s="1"/>
      <c r="CFI338" s="1"/>
      <c r="CFJ338" s="1"/>
      <c r="CFK338" s="1"/>
      <c r="CFL338" s="1"/>
      <c r="CFM338" s="1"/>
      <c r="CFN338" s="1"/>
      <c r="CFO338" s="1"/>
      <c r="CFP338" s="1"/>
      <c r="CFQ338" s="1"/>
      <c r="CFR338" s="1"/>
      <c r="CFS338" s="1"/>
      <c r="CFT338" s="1"/>
      <c r="CFU338" s="1"/>
      <c r="CFV338" s="1"/>
      <c r="CFW338" s="1"/>
      <c r="CFX338" s="1"/>
      <c r="CFY338" s="1"/>
      <c r="CFZ338" s="1"/>
      <c r="CGA338" s="1"/>
      <c r="CGB338" s="1"/>
      <c r="CGC338" s="1"/>
      <c r="CGD338" s="1"/>
      <c r="CGE338" s="1"/>
      <c r="CGF338" s="1"/>
      <c r="CGG338" s="1"/>
      <c r="CGH338" s="1"/>
      <c r="CGI338" s="1"/>
      <c r="CGJ338" s="1"/>
      <c r="CGK338" s="1"/>
      <c r="CGL338" s="1"/>
      <c r="CGM338" s="1"/>
      <c r="CGN338" s="1"/>
      <c r="CGO338" s="1"/>
      <c r="CGP338" s="1"/>
      <c r="CGQ338" s="1"/>
      <c r="CGR338" s="1"/>
      <c r="CGS338" s="1"/>
      <c r="CGT338" s="1"/>
      <c r="CGU338" s="1"/>
      <c r="CGV338" s="1"/>
      <c r="CGW338" s="1"/>
      <c r="CGX338" s="1"/>
      <c r="CGY338" s="1"/>
      <c r="CGZ338" s="1"/>
      <c r="CHA338" s="1"/>
      <c r="CHB338" s="1"/>
      <c r="CHC338" s="1"/>
      <c r="CHD338" s="1"/>
      <c r="CHE338" s="1"/>
      <c r="CHF338" s="1"/>
      <c r="CHG338" s="1"/>
      <c r="CHH338" s="1"/>
      <c r="CHI338" s="1"/>
      <c r="CHJ338" s="1"/>
      <c r="CHK338" s="1"/>
      <c r="CHL338" s="1"/>
      <c r="CHM338" s="1"/>
      <c r="CHN338" s="1"/>
      <c r="CHO338" s="1"/>
      <c r="CHP338" s="1"/>
      <c r="CHQ338" s="1"/>
      <c r="CHR338" s="1"/>
      <c r="CHS338" s="1"/>
      <c r="CHT338" s="1"/>
      <c r="CHU338" s="1"/>
      <c r="CHV338" s="1"/>
      <c r="CHW338" s="1"/>
      <c r="CHX338" s="1"/>
      <c r="CHY338" s="1"/>
      <c r="CHZ338" s="1"/>
      <c r="CIA338" s="1"/>
      <c r="CIB338" s="1"/>
      <c r="CIC338" s="1"/>
      <c r="CID338" s="1"/>
      <c r="CIE338" s="1"/>
      <c r="CIF338" s="1"/>
      <c r="CIG338" s="1"/>
      <c r="CIH338" s="1"/>
      <c r="CII338" s="1"/>
      <c r="CIJ338" s="1"/>
      <c r="CIK338" s="1"/>
      <c r="CIL338" s="1"/>
      <c r="CIM338" s="1"/>
      <c r="CIN338" s="1"/>
      <c r="CIO338" s="1"/>
      <c r="CIP338" s="1"/>
      <c r="CIQ338" s="1"/>
      <c r="CIR338" s="1"/>
      <c r="CIS338" s="1"/>
      <c r="CIT338" s="1"/>
      <c r="CIU338" s="1"/>
      <c r="CIV338" s="1"/>
      <c r="CIW338" s="1"/>
      <c r="CIX338" s="1"/>
      <c r="CIY338" s="1"/>
      <c r="CIZ338" s="1"/>
      <c r="CJA338" s="1"/>
      <c r="CJB338" s="1"/>
      <c r="CJC338" s="1"/>
      <c r="CJD338" s="1"/>
      <c r="CJE338" s="1"/>
      <c r="CJF338" s="1"/>
      <c r="CJG338" s="1"/>
      <c r="CJH338" s="1"/>
      <c r="CJI338" s="1"/>
      <c r="CJJ338" s="1"/>
      <c r="CJK338" s="1"/>
      <c r="CJL338" s="1"/>
      <c r="CJM338" s="1"/>
      <c r="CJN338" s="1"/>
      <c r="CJO338" s="1"/>
      <c r="CJP338" s="1"/>
      <c r="CJQ338" s="1"/>
      <c r="CJR338" s="1"/>
      <c r="CJS338" s="1"/>
      <c r="CJT338" s="1"/>
      <c r="CJU338" s="1"/>
      <c r="CJV338" s="1"/>
      <c r="CJW338" s="1"/>
      <c r="CJX338" s="1"/>
      <c r="CJY338" s="1"/>
      <c r="CJZ338" s="1"/>
      <c r="CKA338" s="1"/>
      <c r="CKB338" s="1"/>
      <c r="CKC338" s="1"/>
      <c r="CKD338" s="1"/>
      <c r="CKE338" s="1"/>
      <c r="CKF338" s="1"/>
      <c r="CKG338" s="1"/>
      <c r="CKH338" s="1"/>
      <c r="CKI338" s="1"/>
      <c r="CKJ338" s="1"/>
      <c r="CKK338" s="1"/>
      <c r="CKL338" s="1"/>
      <c r="CKM338" s="1"/>
      <c r="CKN338" s="1"/>
      <c r="CKO338" s="1"/>
      <c r="CKP338" s="1"/>
      <c r="CKQ338" s="1"/>
      <c r="CKR338" s="1"/>
      <c r="CKS338" s="1"/>
      <c r="CKT338" s="1"/>
      <c r="CKU338" s="1"/>
      <c r="CKV338" s="1"/>
      <c r="CKW338" s="1"/>
      <c r="CKX338" s="1"/>
      <c r="CKY338" s="1"/>
      <c r="CKZ338" s="1"/>
      <c r="CLA338" s="1"/>
      <c r="CLB338" s="1"/>
      <c r="CLC338" s="1"/>
      <c r="CLD338" s="1"/>
      <c r="CLE338" s="1"/>
      <c r="CLF338" s="1"/>
      <c r="CLG338" s="1"/>
      <c r="CLH338" s="1"/>
      <c r="CLI338" s="1"/>
      <c r="CLJ338" s="1"/>
      <c r="CLK338" s="1"/>
      <c r="CLL338" s="1"/>
      <c r="CLM338" s="1"/>
      <c r="CLN338" s="1"/>
      <c r="CLO338" s="1"/>
      <c r="CLP338" s="1"/>
      <c r="CLQ338" s="1"/>
      <c r="CLR338" s="1"/>
      <c r="CLS338" s="1"/>
      <c r="CLT338" s="1"/>
      <c r="CLU338" s="1"/>
      <c r="CLV338" s="1"/>
      <c r="CLW338" s="1"/>
      <c r="CLX338" s="1"/>
      <c r="CLY338" s="1"/>
      <c r="CLZ338" s="1"/>
      <c r="CMA338" s="1"/>
      <c r="CMB338" s="1"/>
      <c r="CMC338" s="1"/>
      <c r="CMD338" s="1"/>
      <c r="CME338" s="1"/>
      <c r="CMF338" s="1"/>
      <c r="CMG338" s="1"/>
      <c r="CMH338" s="1"/>
      <c r="CMI338" s="1"/>
      <c r="CMJ338" s="1"/>
      <c r="CMK338" s="1"/>
      <c r="CML338" s="1"/>
      <c r="CMM338" s="1"/>
      <c r="CMN338" s="1"/>
      <c r="CMO338" s="1"/>
      <c r="CMP338" s="1"/>
      <c r="CMQ338" s="1"/>
      <c r="CMR338" s="1"/>
      <c r="CMS338" s="1"/>
      <c r="CMT338" s="1"/>
      <c r="CMU338" s="1"/>
      <c r="CMV338" s="1"/>
      <c r="CMW338" s="1"/>
      <c r="CMX338" s="1"/>
      <c r="CMY338" s="1"/>
      <c r="CMZ338" s="1"/>
      <c r="CNA338" s="1"/>
      <c r="CNB338" s="1"/>
      <c r="CNC338" s="1"/>
      <c r="CND338" s="1"/>
      <c r="CNE338" s="1"/>
      <c r="CNF338" s="1"/>
      <c r="CNG338" s="1"/>
      <c r="CNH338" s="1"/>
      <c r="CNI338" s="1"/>
      <c r="CNJ338" s="1"/>
      <c r="CNK338" s="1"/>
      <c r="CNL338" s="1"/>
      <c r="CNM338" s="1"/>
      <c r="CNN338" s="1"/>
      <c r="CNO338" s="1"/>
      <c r="CNP338" s="1"/>
      <c r="CNQ338" s="1"/>
      <c r="CNR338" s="1"/>
      <c r="CNS338" s="1"/>
      <c r="CNT338" s="1"/>
      <c r="CNU338" s="1"/>
      <c r="CNV338" s="1"/>
      <c r="CNW338" s="1"/>
      <c r="CNX338" s="1"/>
      <c r="CNY338" s="1"/>
      <c r="CNZ338" s="1"/>
      <c r="COA338" s="1"/>
      <c r="COB338" s="1"/>
      <c r="COC338" s="1"/>
      <c r="COD338" s="1"/>
      <c r="COE338" s="1"/>
      <c r="COF338" s="1"/>
      <c r="COG338" s="1"/>
      <c r="COH338" s="1"/>
      <c r="COI338" s="1"/>
      <c r="COJ338" s="1"/>
      <c r="COK338" s="1"/>
      <c r="COL338" s="1"/>
      <c r="COM338" s="1"/>
      <c r="CON338" s="1"/>
      <c r="COO338" s="1"/>
      <c r="COP338" s="1"/>
      <c r="COQ338" s="1"/>
      <c r="COR338" s="1"/>
      <c r="COS338" s="1"/>
      <c r="COT338" s="1"/>
      <c r="COU338" s="1"/>
      <c r="COV338" s="1"/>
      <c r="COW338" s="1"/>
      <c r="COX338" s="1"/>
      <c r="COY338" s="1"/>
      <c r="COZ338" s="1"/>
      <c r="CPA338" s="1"/>
      <c r="CPB338" s="1"/>
      <c r="CPC338" s="1"/>
      <c r="CPD338" s="1"/>
      <c r="CPE338" s="1"/>
      <c r="CPF338" s="1"/>
      <c r="CPG338" s="1"/>
      <c r="CPH338" s="1"/>
      <c r="CPI338" s="1"/>
      <c r="CPJ338" s="1"/>
      <c r="CPK338" s="1"/>
      <c r="CPL338" s="1"/>
      <c r="CPM338" s="1"/>
      <c r="CPN338" s="1"/>
      <c r="CPO338" s="1"/>
      <c r="CPP338" s="1"/>
      <c r="CPQ338" s="1"/>
      <c r="CPR338" s="1"/>
      <c r="CPS338" s="1"/>
      <c r="CPT338" s="1"/>
      <c r="CPU338" s="1"/>
      <c r="CPV338" s="1"/>
      <c r="CPW338" s="1"/>
      <c r="CPX338" s="1"/>
      <c r="CPY338" s="1"/>
      <c r="CPZ338" s="1"/>
      <c r="CQA338" s="1"/>
      <c r="CQB338" s="1"/>
      <c r="CQC338" s="1"/>
      <c r="CQD338" s="1"/>
      <c r="CQE338" s="1"/>
      <c r="CQF338" s="1"/>
      <c r="CQG338" s="1"/>
      <c r="CQH338" s="1"/>
      <c r="CQI338" s="1"/>
      <c r="CQJ338" s="1"/>
      <c r="CQK338" s="1"/>
      <c r="CQL338" s="1"/>
      <c r="CQM338" s="1"/>
      <c r="CQN338" s="1"/>
      <c r="CQO338" s="1"/>
      <c r="CQP338" s="1"/>
      <c r="CQQ338" s="1"/>
      <c r="CQR338" s="1"/>
      <c r="CQS338" s="1"/>
      <c r="CQT338" s="1"/>
      <c r="CQU338" s="1"/>
      <c r="CQV338" s="1"/>
      <c r="CQW338" s="1"/>
      <c r="CQX338" s="1"/>
      <c r="CQY338" s="1"/>
      <c r="CQZ338" s="1"/>
      <c r="CRA338" s="1"/>
      <c r="CRB338" s="1"/>
      <c r="CRC338" s="1"/>
      <c r="CRD338" s="1"/>
      <c r="CRE338" s="1"/>
      <c r="CRF338" s="1"/>
      <c r="CRG338" s="1"/>
      <c r="CRH338" s="1"/>
      <c r="CRI338" s="1"/>
      <c r="CRJ338" s="1"/>
      <c r="CRK338" s="1"/>
      <c r="CRL338" s="1"/>
      <c r="CRM338" s="1"/>
      <c r="CRN338" s="1"/>
      <c r="CRO338" s="1"/>
      <c r="CRP338" s="1"/>
      <c r="CRQ338" s="1"/>
      <c r="CRR338" s="1"/>
      <c r="CRS338" s="1"/>
      <c r="CRT338" s="1"/>
      <c r="CRU338" s="1"/>
      <c r="CRV338" s="1"/>
      <c r="CRW338" s="1"/>
      <c r="CRX338" s="1"/>
      <c r="CRY338" s="1"/>
      <c r="CRZ338" s="1"/>
      <c r="CSA338" s="1"/>
      <c r="CSB338" s="1"/>
      <c r="CSC338" s="1"/>
      <c r="CSD338" s="1"/>
      <c r="CSE338" s="1"/>
      <c r="CSF338" s="1"/>
      <c r="CSG338" s="1"/>
      <c r="CSH338" s="1"/>
      <c r="CSI338" s="1"/>
      <c r="CSJ338" s="1"/>
      <c r="CSK338" s="1"/>
      <c r="CSL338" s="1"/>
      <c r="CSM338" s="1"/>
      <c r="CSN338" s="1"/>
      <c r="CSO338" s="1"/>
      <c r="CSP338" s="1"/>
      <c r="CSQ338" s="1"/>
      <c r="CSR338" s="1"/>
      <c r="CSS338" s="1"/>
      <c r="CST338" s="1"/>
      <c r="CSU338" s="1"/>
      <c r="CSV338" s="1"/>
      <c r="CSW338" s="1"/>
      <c r="CSX338" s="1"/>
      <c r="CSY338" s="1"/>
      <c r="CSZ338" s="1"/>
      <c r="CTA338" s="1"/>
      <c r="CTB338" s="1"/>
      <c r="CTC338" s="1"/>
      <c r="CTD338" s="1"/>
      <c r="CTE338" s="1"/>
      <c r="CTF338" s="1"/>
      <c r="CTG338" s="1"/>
      <c r="CTH338" s="1"/>
      <c r="CTI338" s="1"/>
      <c r="CTJ338" s="1"/>
      <c r="CTK338" s="1"/>
      <c r="CTL338" s="1"/>
      <c r="CTM338" s="1"/>
      <c r="CTN338" s="1"/>
      <c r="CTO338" s="1"/>
      <c r="CTP338" s="1"/>
      <c r="CTQ338" s="1"/>
      <c r="CTR338" s="1"/>
      <c r="CTS338" s="1"/>
      <c r="CTT338" s="1"/>
      <c r="CTU338" s="1"/>
      <c r="CTV338" s="1"/>
      <c r="CTW338" s="1"/>
      <c r="CTX338" s="1"/>
      <c r="CTY338" s="1"/>
      <c r="CTZ338" s="1"/>
      <c r="CUA338" s="1"/>
      <c r="CUB338" s="1"/>
      <c r="CUC338" s="1"/>
      <c r="CUD338" s="1"/>
      <c r="CUE338" s="1"/>
      <c r="CUF338" s="1"/>
      <c r="CUG338" s="1"/>
      <c r="CUH338" s="1"/>
      <c r="CUI338" s="1"/>
      <c r="CUJ338" s="1"/>
      <c r="CUK338" s="1"/>
      <c r="CUL338" s="1"/>
      <c r="CUM338" s="1"/>
      <c r="CUN338" s="1"/>
      <c r="CUO338" s="1"/>
      <c r="CUP338" s="1"/>
      <c r="CUQ338" s="1"/>
      <c r="CUR338" s="1"/>
      <c r="CUS338" s="1"/>
      <c r="CUT338" s="1"/>
      <c r="CUU338" s="1"/>
      <c r="CUV338" s="1"/>
      <c r="CUW338" s="1"/>
      <c r="CUX338" s="1"/>
      <c r="CUY338" s="1"/>
      <c r="CUZ338" s="1"/>
      <c r="CVA338" s="1"/>
      <c r="CVB338" s="1"/>
      <c r="CVC338" s="1"/>
      <c r="CVD338" s="1"/>
      <c r="CVE338" s="1"/>
      <c r="CVF338" s="1"/>
      <c r="CVG338" s="1"/>
      <c r="CVH338" s="1"/>
      <c r="CVI338" s="1"/>
      <c r="CVJ338" s="1"/>
      <c r="CVK338" s="1"/>
      <c r="CVL338" s="1"/>
      <c r="CVM338" s="1"/>
      <c r="CVN338" s="1"/>
      <c r="CVO338" s="1"/>
      <c r="CVP338" s="1"/>
      <c r="CVQ338" s="1"/>
      <c r="CVR338" s="1"/>
      <c r="CVS338" s="1"/>
      <c r="CVT338" s="1"/>
      <c r="CVU338" s="1"/>
      <c r="CVV338" s="1"/>
      <c r="CVW338" s="1"/>
      <c r="CVX338" s="1"/>
      <c r="CVY338" s="1"/>
      <c r="CVZ338" s="1"/>
      <c r="CWA338" s="1"/>
      <c r="CWB338" s="1"/>
      <c r="CWC338" s="1"/>
      <c r="CWD338" s="1"/>
      <c r="CWE338" s="1"/>
      <c r="CWF338" s="1"/>
      <c r="CWG338" s="1"/>
      <c r="CWH338" s="1"/>
      <c r="CWI338" s="1"/>
      <c r="CWJ338" s="1"/>
      <c r="CWK338" s="1"/>
      <c r="CWL338" s="1"/>
      <c r="CWM338" s="1"/>
      <c r="CWN338" s="1"/>
      <c r="CWO338" s="1"/>
      <c r="CWP338" s="1"/>
      <c r="CWQ338" s="1"/>
      <c r="CWR338" s="1"/>
      <c r="CWS338" s="1"/>
      <c r="CWT338" s="1"/>
      <c r="CWU338" s="1"/>
      <c r="CWV338" s="1"/>
      <c r="CWW338" s="1"/>
      <c r="CWX338" s="1"/>
      <c r="CWY338" s="1"/>
      <c r="CWZ338" s="1"/>
      <c r="CXA338" s="1"/>
      <c r="CXB338" s="1"/>
      <c r="CXC338" s="1"/>
      <c r="CXD338" s="1"/>
      <c r="CXE338" s="1"/>
      <c r="CXF338" s="1"/>
      <c r="CXG338" s="1"/>
      <c r="CXH338" s="1"/>
      <c r="CXI338" s="1"/>
      <c r="CXJ338" s="1"/>
      <c r="CXK338" s="1"/>
      <c r="CXL338" s="1"/>
      <c r="CXM338" s="1"/>
      <c r="CXN338" s="1"/>
      <c r="CXO338" s="1"/>
      <c r="CXP338" s="1"/>
      <c r="CXQ338" s="1"/>
      <c r="CXR338" s="1"/>
      <c r="CXS338" s="1"/>
      <c r="CXT338" s="1"/>
      <c r="CXU338" s="1"/>
      <c r="CXV338" s="1"/>
      <c r="CXW338" s="1"/>
      <c r="CXX338" s="1"/>
      <c r="CXY338" s="1"/>
      <c r="CXZ338" s="1"/>
      <c r="CYA338" s="1"/>
      <c r="CYB338" s="1"/>
      <c r="CYC338" s="1"/>
      <c r="CYD338" s="1"/>
      <c r="CYE338" s="1"/>
      <c r="CYF338" s="1"/>
      <c r="CYG338" s="1"/>
      <c r="CYH338" s="1"/>
      <c r="CYI338" s="1"/>
      <c r="CYJ338" s="1"/>
      <c r="CYK338" s="1"/>
      <c r="CYL338" s="1"/>
      <c r="CYM338" s="1"/>
      <c r="CYN338" s="1"/>
      <c r="CYO338" s="1"/>
      <c r="CYP338" s="1"/>
      <c r="CYQ338" s="1"/>
      <c r="CYR338" s="1"/>
      <c r="CYS338" s="1"/>
      <c r="CYT338" s="1"/>
      <c r="CYU338" s="1"/>
      <c r="CYV338" s="1"/>
      <c r="CYW338" s="1"/>
      <c r="CYX338" s="1"/>
      <c r="CYY338" s="1"/>
      <c r="CYZ338" s="1"/>
      <c r="CZA338" s="1"/>
      <c r="CZB338" s="1"/>
      <c r="CZC338" s="1"/>
      <c r="CZD338" s="1"/>
      <c r="CZE338" s="1"/>
      <c r="CZF338" s="1"/>
      <c r="CZG338" s="1"/>
      <c r="CZH338" s="1"/>
      <c r="CZI338" s="1"/>
      <c r="CZJ338" s="1"/>
      <c r="CZK338" s="1"/>
      <c r="CZL338" s="1"/>
      <c r="CZM338" s="1"/>
      <c r="CZN338" s="1"/>
      <c r="CZO338" s="1"/>
      <c r="CZP338" s="1"/>
      <c r="CZQ338" s="1"/>
      <c r="CZR338" s="1"/>
      <c r="CZS338" s="1"/>
      <c r="CZT338" s="1"/>
      <c r="CZU338" s="1"/>
      <c r="CZV338" s="1"/>
      <c r="CZW338" s="1"/>
      <c r="CZX338" s="1"/>
      <c r="CZY338" s="1"/>
      <c r="CZZ338" s="1"/>
      <c r="DAA338" s="1"/>
      <c r="DAB338" s="1"/>
      <c r="DAC338" s="1"/>
      <c r="DAD338" s="1"/>
      <c r="DAE338" s="1"/>
      <c r="DAF338" s="1"/>
      <c r="DAG338" s="1"/>
      <c r="DAH338" s="1"/>
      <c r="DAI338" s="1"/>
      <c r="DAJ338" s="1"/>
      <c r="DAK338" s="1"/>
      <c r="DAL338" s="1"/>
      <c r="DAM338" s="1"/>
      <c r="DAN338" s="1"/>
      <c r="DAO338" s="1"/>
      <c r="DAP338" s="1"/>
      <c r="DAQ338" s="1"/>
      <c r="DAR338" s="1"/>
      <c r="DAS338" s="1"/>
      <c r="DAT338" s="1"/>
      <c r="DAU338" s="1"/>
      <c r="DAV338" s="1"/>
      <c r="DAW338" s="1"/>
      <c r="DAX338" s="1"/>
      <c r="DAY338" s="1"/>
      <c r="DAZ338" s="1"/>
      <c r="DBA338" s="1"/>
      <c r="DBB338" s="1"/>
      <c r="DBC338" s="1"/>
      <c r="DBD338" s="1"/>
      <c r="DBE338" s="1"/>
      <c r="DBF338" s="1"/>
      <c r="DBG338" s="1"/>
      <c r="DBH338" s="1"/>
      <c r="DBI338" s="1"/>
      <c r="DBJ338" s="1"/>
      <c r="DBK338" s="1"/>
      <c r="DBL338" s="1"/>
      <c r="DBM338" s="1"/>
      <c r="DBN338" s="1"/>
      <c r="DBO338" s="1"/>
      <c r="DBP338" s="1"/>
      <c r="DBQ338" s="1"/>
      <c r="DBR338" s="1"/>
      <c r="DBS338" s="1"/>
      <c r="DBT338" s="1"/>
      <c r="DBU338" s="1"/>
      <c r="DBV338" s="1"/>
      <c r="DBW338" s="1"/>
      <c r="DBX338" s="1"/>
      <c r="DBY338" s="1"/>
      <c r="DBZ338" s="1"/>
      <c r="DCA338" s="1"/>
      <c r="DCB338" s="1"/>
      <c r="DCC338" s="1"/>
      <c r="DCD338" s="1"/>
      <c r="DCE338" s="1"/>
      <c r="DCF338" s="1"/>
      <c r="DCG338" s="1"/>
      <c r="DCH338" s="1"/>
      <c r="DCI338" s="1"/>
      <c r="DCJ338" s="1"/>
      <c r="DCK338" s="1"/>
      <c r="DCL338" s="1"/>
      <c r="DCM338" s="1"/>
      <c r="DCN338" s="1"/>
      <c r="DCO338" s="1"/>
      <c r="DCP338" s="1"/>
      <c r="DCQ338" s="1"/>
      <c r="DCR338" s="1"/>
      <c r="DCS338" s="1"/>
      <c r="DCT338" s="1"/>
      <c r="DCU338" s="1"/>
      <c r="DCV338" s="1"/>
      <c r="DCW338" s="1"/>
      <c r="DCX338" s="1"/>
      <c r="DCY338" s="1"/>
      <c r="DCZ338" s="1"/>
      <c r="DDA338" s="1"/>
      <c r="DDB338" s="1"/>
      <c r="DDC338" s="1"/>
      <c r="DDD338" s="1"/>
      <c r="DDE338" s="1"/>
      <c r="DDF338" s="1"/>
      <c r="DDG338" s="1"/>
      <c r="DDH338" s="1"/>
      <c r="DDI338" s="1"/>
      <c r="DDJ338" s="1"/>
      <c r="DDK338" s="1"/>
      <c r="DDL338" s="1"/>
      <c r="DDM338" s="1"/>
      <c r="DDN338" s="1"/>
      <c r="DDO338" s="1"/>
      <c r="DDP338" s="1"/>
      <c r="DDQ338" s="1"/>
      <c r="DDR338" s="1"/>
      <c r="DDS338" s="1"/>
      <c r="DDT338" s="1"/>
      <c r="DDU338" s="1"/>
      <c r="DDV338" s="1"/>
      <c r="DDW338" s="1"/>
      <c r="DDX338" s="1"/>
      <c r="DDY338" s="1"/>
      <c r="DDZ338" s="1"/>
      <c r="DEA338" s="1"/>
      <c r="DEB338" s="1"/>
      <c r="DEC338" s="1"/>
      <c r="DED338" s="1"/>
      <c r="DEE338" s="1"/>
      <c r="DEF338" s="1"/>
      <c r="DEG338" s="1"/>
      <c r="DEH338" s="1"/>
      <c r="DEI338" s="1"/>
      <c r="DEJ338" s="1"/>
      <c r="DEK338" s="1"/>
      <c r="DEL338" s="1"/>
      <c r="DEM338" s="1"/>
      <c r="DEN338" s="1"/>
      <c r="DEO338" s="1"/>
      <c r="DEP338" s="1"/>
      <c r="DEQ338" s="1"/>
      <c r="DER338" s="1"/>
      <c r="DES338" s="1"/>
      <c r="DET338" s="1"/>
      <c r="DEU338" s="1"/>
      <c r="DEV338" s="1"/>
      <c r="DEW338" s="1"/>
      <c r="DEX338" s="1"/>
      <c r="DEY338" s="1"/>
      <c r="DEZ338" s="1"/>
      <c r="DFA338" s="1"/>
      <c r="DFB338" s="1"/>
      <c r="DFC338" s="1"/>
      <c r="DFD338" s="1"/>
      <c r="DFE338" s="1"/>
      <c r="DFF338" s="1"/>
      <c r="DFG338" s="1"/>
      <c r="DFH338" s="1"/>
      <c r="DFI338" s="1"/>
      <c r="DFJ338" s="1"/>
      <c r="DFK338" s="1"/>
      <c r="DFL338" s="1"/>
      <c r="DFM338" s="1"/>
      <c r="DFN338" s="1"/>
      <c r="DFO338" s="1"/>
      <c r="DFP338" s="1"/>
      <c r="DFQ338" s="1"/>
      <c r="DFR338" s="1"/>
      <c r="DFS338" s="1"/>
      <c r="DFT338" s="1"/>
      <c r="DFU338" s="1"/>
      <c r="DFV338" s="1"/>
      <c r="DFW338" s="1"/>
      <c r="DFX338" s="1"/>
      <c r="DFY338" s="1"/>
      <c r="DFZ338" s="1"/>
      <c r="DGA338" s="1"/>
      <c r="DGB338" s="1"/>
      <c r="DGC338" s="1"/>
      <c r="DGD338" s="1"/>
      <c r="DGE338" s="1"/>
      <c r="DGF338" s="1"/>
      <c r="DGG338" s="1"/>
      <c r="DGH338" s="1"/>
      <c r="DGI338" s="1"/>
      <c r="DGJ338" s="1"/>
      <c r="DGK338" s="1"/>
      <c r="DGL338" s="1"/>
      <c r="DGM338" s="1"/>
      <c r="DGN338" s="1"/>
      <c r="DGO338" s="1"/>
      <c r="DGP338" s="1"/>
      <c r="DGQ338" s="1"/>
      <c r="DGR338" s="1"/>
      <c r="DGS338" s="1"/>
      <c r="DGT338" s="1"/>
      <c r="DGU338" s="1"/>
      <c r="DGV338" s="1"/>
      <c r="DGW338" s="1"/>
      <c r="DGX338" s="1"/>
      <c r="DGY338" s="1"/>
      <c r="DGZ338" s="1"/>
      <c r="DHA338" s="1"/>
      <c r="DHB338" s="1"/>
      <c r="DHC338" s="1"/>
      <c r="DHD338" s="1"/>
      <c r="DHE338" s="1"/>
      <c r="DHF338" s="1"/>
      <c r="DHG338" s="1"/>
      <c r="DHH338" s="1"/>
      <c r="DHI338" s="1"/>
      <c r="DHJ338" s="1"/>
      <c r="DHK338" s="1"/>
      <c r="DHL338" s="1"/>
      <c r="DHM338" s="1"/>
      <c r="DHN338" s="1"/>
      <c r="DHO338" s="1"/>
      <c r="DHP338" s="1"/>
      <c r="DHQ338" s="1"/>
      <c r="DHR338" s="1"/>
      <c r="DHS338" s="1"/>
      <c r="DHT338" s="1"/>
      <c r="DHU338" s="1"/>
      <c r="DHV338" s="1"/>
      <c r="DHW338" s="1"/>
      <c r="DHX338" s="1"/>
      <c r="DHY338" s="1"/>
      <c r="DHZ338" s="1"/>
      <c r="DIA338" s="1"/>
      <c r="DIB338" s="1"/>
      <c r="DIC338" s="1"/>
      <c r="DID338" s="1"/>
      <c r="DIE338" s="1"/>
      <c r="DIF338" s="1"/>
      <c r="DIG338" s="1"/>
      <c r="DIH338" s="1"/>
      <c r="DII338" s="1"/>
      <c r="DIJ338" s="1"/>
      <c r="DIK338" s="1"/>
      <c r="DIL338" s="1"/>
      <c r="DIM338" s="1"/>
      <c r="DIN338" s="1"/>
      <c r="DIO338" s="1"/>
      <c r="DIP338" s="1"/>
      <c r="DIQ338" s="1"/>
      <c r="DIR338" s="1"/>
      <c r="DIS338" s="1"/>
      <c r="DIT338" s="1"/>
      <c r="DIU338" s="1"/>
      <c r="DIV338" s="1"/>
      <c r="DIW338" s="1"/>
      <c r="DIX338" s="1"/>
      <c r="DIY338" s="1"/>
      <c r="DIZ338" s="1"/>
      <c r="DJA338" s="1"/>
      <c r="DJB338" s="1"/>
      <c r="DJC338" s="1"/>
      <c r="DJD338" s="1"/>
      <c r="DJE338" s="1"/>
      <c r="DJF338" s="1"/>
      <c r="DJG338" s="1"/>
      <c r="DJH338" s="1"/>
      <c r="DJI338" s="1"/>
      <c r="DJJ338" s="1"/>
      <c r="DJK338" s="1"/>
      <c r="DJL338" s="1"/>
      <c r="DJM338" s="1"/>
      <c r="DJN338" s="1"/>
      <c r="DJO338" s="1"/>
      <c r="DJP338" s="1"/>
      <c r="DJQ338" s="1"/>
      <c r="DJR338" s="1"/>
      <c r="DJS338" s="1"/>
      <c r="DJT338" s="1"/>
      <c r="DJU338" s="1"/>
      <c r="DJV338" s="1"/>
      <c r="DJW338" s="1"/>
      <c r="DJX338" s="1"/>
      <c r="DJY338" s="1"/>
      <c r="DJZ338" s="1"/>
      <c r="DKA338" s="1"/>
      <c r="DKB338" s="1"/>
      <c r="DKC338" s="1"/>
      <c r="DKD338" s="1"/>
      <c r="DKE338" s="1"/>
      <c r="DKF338" s="1"/>
      <c r="DKG338" s="1"/>
      <c r="DKH338" s="1"/>
      <c r="DKI338" s="1"/>
      <c r="DKJ338" s="1"/>
      <c r="DKK338" s="1"/>
      <c r="DKL338" s="1"/>
      <c r="DKM338" s="1"/>
      <c r="DKN338" s="1"/>
      <c r="DKO338" s="1"/>
      <c r="DKP338" s="1"/>
      <c r="DKQ338" s="1"/>
      <c r="DKR338" s="1"/>
      <c r="DKS338" s="1"/>
      <c r="DKT338" s="1"/>
      <c r="DKU338" s="1"/>
      <c r="DKV338" s="1"/>
      <c r="DKW338" s="1"/>
      <c r="DKX338" s="1"/>
      <c r="DKY338" s="1"/>
      <c r="DKZ338" s="1"/>
      <c r="DLA338" s="1"/>
      <c r="DLB338" s="1"/>
      <c r="DLC338" s="1"/>
      <c r="DLD338" s="1"/>
      <c r="DLE338" s="1"/>
      <c r="DLF338" s="1"/>
      <c r="DLG338" s="1"/>
      <c r="DLH338" s="1"/>
      <c r="DLI338" s="1"/>
      <c r="DLJ338" s="1"/>
      <c r="DLK338" s="1"/>
      <c r="DLL338" s="1"/>
      <c r="DLM338" s="1"/>
      <c r="DLN338" s="1"/>
      <c r="DLO338" s="1"/>
      <c r="DLP338" s="1"/>
      <c r="DLQ338" s="1"/>
      <c r="DLR338" s="1"/>
      <c r="DLS338" s="1"/>
      <c r="DLT338" s="1"/>
      <c r="DLU338" s="1"/>
      <c r="DLV338" s="1"/>
      <c r="DLW338" s="1"/>
      <c r="DLX338" s="1"/>
      <c r="DLY338" s="1"/>
      <c r="DLZ338" s="1"/>
      <c r="DMA338" s="1"/>
      <c r="DMB338" s="1"/>
      <c r="DMC338" s="1"/>
      <c r="DMD338" s="1"/>
      <c r="DME338" s="1"/>
      <c r="DMF338" s="1"/>
      <c r="DMG338" s="1"/>
      <c r="DMH338" s="1"/>
      <c r="DMI338" s="1"/>
      <c r="DMJ338" s="1"/>
      <c r="DMK338" s="1"/>
      <c r="DML338" s="1"/>
      <c r="DMM338" s="1"/>
      <c r="DMN338" s="1"/>
      <c r="DMO338" s="1"/>
      <c r="DMP338" s="1"/>
      <c r="DMQ338" s="1"/>
      <c r="DMR338" s="1"/>
      <c r="DMS338" s="1"/>
      <c r="DMT338" s="1"/>
      <c r="DMU338" s="1"/>
      <c r="DMV338" s="1"/>
      <c r="DMW338" s="1"/>
      <c r="DMX338" s="1"/>
      <c r="DMY338" s="1"/>
      <c r="DMZ338" s="1"/>
      <c r="DNA338" s="1"/>
      <c r="DNB338" s="1"/>
      <c r="DNC338" s="1"/>
      <c r="DND338" s="1"/>
      <c r="DNE338" s="1"/>
      <c r="DNF338" s="1"/>
      <c r="DNG338" s="1"/>
      <c r="DNH338" s="1"/>
      <c r="DNI338" s="1"/>
      <c r="DNJ338" s="1"/>
      <c r="DNK338" s="1"/>
      <c r="DNL338" s="1"/>
      <c r="DNM338" s="1"/>
      <c r="DNN338" s="1"/>
      <c r="DNO338" s="1"/>
      <c r="DNP338" s="1"/>
      <c r="DNQ338" s="1"/>
      <c r="DNR338" s="1"/>
      <c r="DNS338" s="1"/>
      <c r="DNT338" s="1"/>
      <c r="DNU338" s="1"/>
      <c r="DNV338" s="1"/>
      <c r="DNW338" s="1"/>
      <c r="DNX338" s="1"/>
      <c r="DNY338" s="1"/>
      <c r="DNZ338" s="1"/>
      <c r="DOA338" s="1"/>
      <c r="DOB338" s="1"/>
      <c r="DOC338" s="1"/>
      <c r="DOD338" s="1"/>
      <c r="DOE338" s="1"/>
      <c r="DOF338" s="1"/>
      <c r="DOG338" s="1"/>
      <c r="DOH338" s="1"/>
      <c r="DOI338" s="1"/>
      <c r="DOJ338" s="1"/>
      <c r="DOK338" s="1"/>
      <c r="DOL338" s="1"/>
      <c r="DOM338" s="1"/>
      <c r="DON338" s="1"/>
      <c r="DOO338" s="1"/>
      <c r="DOP338" s="1"/>
      <c r="DOQ338" s="1"/>
      <c r="DOR338" s="1"/>
      <c r="DOS338" s="1"/>
      <c r="DOT338" s="1"/>
      <c r="DOU338" s="1"/>
      <c r="DOV338" s="1"/>
      <c r="DOW338" s="1"/>
      <c r="DOX338" s="1"/>
      <c r="DOY338" s="1"/>
      <c r="DOZ338" s="1"/>
      <c r="DPA338" s="1"/>
      <c r="DPB338" s="1"/>
      <c r="DPC338" s="1"/>
      <c r="DPD338" s="1"/>
      <c r="DPE338" s="1"/>
      <c r="DPF338" s="1"/>
      <c r="DPG338" s="1"/>
      <c r="DPH338" s="1"/>
      <c r="DPI338" s="1"/>
      <c r="DPJ338" s="1"/>
      <c r="DPK338" s="1"/>
      <c r="DPL338" s="1"/>
      <c r="DPM338" s="1"/>
      <c r="DPN338" s="1"/>
      <c r="DPO338" s="1"/>
      <c r="DPP338" s="1"/>
      <c r="DPQ338" s="1"/>
      <c r="DPR338" s="1"/>
      <c r="DPS338" s="1"/>
      <c r="DPT338" s="1"/>
      <c r="DPU338" s="1"/>
      <c r="DPV338" s="1"/>
      <c r="DPW338" s="1"/>
      <c r="DPX338" s="1"/>
      <c r="DPY338" s="1"/>
      <c r="DPZ338" s="1"/>
      <c r="DQA338" s="1"/>
      <c r="DQB338" s="1"/>
      <c r="DQC338" s="1"/>
      <c r="DQD338" s="1"/>
      <c r="DQE338" s="1"/>
      <c r="DQF338" s="1"/>
      <c r="DQG338" s="1"/>
      <c r="DQH338" s="1"/>
      <c r="DQI338" s="1"/>
      <c r="DQJ338" s="1"/>
      <c r="DQK338" s="1"/>
      <c r="DQL338" s="1"/>
      <c r="DQM338" s="1"/>
      <c r="DQN338" s="1"/>
      <c r="DQO338" s="1"/>
      <c r="DQP338" s="1"/>
      <c r="DQQ338" s="1"/>
      <c r="DQR338" s="1"/>
      <c r="DQS338" s="1"/>
      <c r="DQT338" s="1"/>
      <c r="DQU338" s="1"/>
      <c r="DQV338" s="1"/>
      <c r="DQW338" s="1"/>
      <c r="DQX338" s="1"/>
      <c r="DQY338" s="1"/>
      <c r="DQZ338" s="1"/>
      <c r="DRA338" s="1"/>
      <c r="DRB338" s="1"/>
      <c r="DRC338" s="1"/>
      <c r="DRD338" s="1"/>
      <c r="DRE338" s="1"/>
      <c r="DRF338" s="1"/>
      <c r="DRG338" s="1"/>
      <c r="DRH338" s="1"/>
      <c r="DRI338" s="1"/>
      <c r="DRJ338" s="1"/>
      <c r="DRK338" s="1"/>
      <c r="DRL338" s="1"/>
      <c r="DRM338" s="1"/>
      <c r="DRN338" s="1"/>
      <c r="DRO338" s="1"/>
      <c r="DRP338" s="1"/>
      <c r="DRQ338" s="1"/>
      <c r="DRR338" s="1"/>
      <c r="DRS338" s="1"/>
      <c r="DRT338" s="1"/>
      <c r="DRU338" s="1"/>
      <c r="DRV338" s="1"/>
      <c r="DRW338" s="1"/>
      <c r="DRX338" s="1"/>
      <c r="DRY338" s="1"/>
      <c r="DRZ338" s="1"/>
      <c r="DSA338" s="1"/>
      <c r="DSB338" s="1"/>
      <c r="DSC338" s="1"/>
      <c r="DSD338" s="1"/>
      <c r="DSE338" s="1"/>
      <c r="DSF338" s="1"/>
      <c r="DSG338" s="1"/>
      <c r="DSH338" s="1"/>
      <c r="DSI338" s="1"/>
      <c r="DSJ338" s="1"/>
      <c r="DSK338" s="1"/>
      <c r="DSL338" s="1"/>
      <c r="DSM338" s="1"/>
      <c r="DSN338" s="1"/>
      <c r="DSO338" s="1"/>
      <c r="DSP338" s="1"/>
      <c r="DSQ338" s="1"/>
      <c r="DSR338" s="1"/>
      <c r="DSS338" s="1"/>
      <c r="DST338" s="1"/>
      <c r="DSU338" s="1"/>
      <c r="DSV338" s="1"/>
      <c r="DSW338" s="1"/>
      <c r="DSX338" s="1"/>
      <c r="DSY338" s="1"/>
      <c r="DSZ338" s="1"/>
      <c r="DTA338" s="1"/>
      <c r="DTB338" s="1"/>
      <c r="DTC338" s="1"/>
      <c r="DTD338" s="1"/>
      <c r="DTE338" s="1"/>
      <c r="DTF338" s="1"/>
      <c r="DTG338" s="1"/>
      <c r="DTH338" s="1"/>
      <c r="DTI338" s="1"/>
      <c r="DTJ338" s="1"/>
      <c r="DTK338" s="1"/>
      <c r="DTL338" s="1"/>
      <c r="DTM338" s="1"/>
      <c r="DTN338" s="1"/>
      <c r="DTO338" s="1"/>
      <c r="DTP338" s="1"/>
      <c r="DTQ338" s="1"/>
      <c r="DTR338" s="1"/>
      <c r="DTS338" s="1"/>
      <c r="DTT338" s="1"/>
      <c r="DTU338" s="1"/>
      <c r="DTV338" s="1"/>
      <c r="DTW338" s="1"/>
      <c r="DTX338" s="1"/>
      <c r="DTY338" s="1"/>
      <c r="DTZ338" s="1"/>
      <c r="DUA338" s="1"/>
      <c r="DUB338" s="1"/>
      <c r="DUC338" s="1"/>
      <c r="DUD338" s="1"/>
      <c r="DUE338" s="1"/>
      <c r="DUF338" s="1"/>
      <c r="DUG338" s="1"/>
      <c r="DUH338" s="1"/>
      <c r="DUI338" s="1"/>
      <c r="DUJ338" s="1"/>
      <c r="DUK338" s="1"/>
      <c r="DUL338" s="1"/>
      <c r="DUM338" s="1"/>
      <c r="DUN338" s="1"/>
      <c r="DUO338" s="1"/>
      <c r="DUP338" s="1"/>
      <c r="DUQ338" s="1"/>
      <c r="DUR338" s="1"/>
      <c r="DUS338" s="1"/>
      <c r="DUT338" s="1"/>
      <c r="DUU338" s="1"/>
      <c r="DUV338" s="1"/>
      <c r="DUW338" s="1"/>
      <c r="DUX338" s="1"/>
      <c r="DUY338" s="1"/>
      <c r="DUZ338" s="1"/>
      <c r="DVA338" s="1"/>
      <c r="DVB338" s="1"/>
      <c r="DVC338" s="1"/>
      <c r="DVD338" s="1"/>
      <c r="DVE338" s="1"/>
      <c r="DVF338" s="1"/>
      <c r="DVG338" s="1"/>
      <c r="DVH338" s="1"/>
      <c r="DVI338" s="1"/>
      <c r="DVJ338" s="1"/>
      <c r="DVK338" s="1"/>
      <c r="DVL338" s="1"/>
      <c r="DVM338" s="1"/>
      <c r="DVN338" s="1"/>
      <c r="DVO338" s="1"/>
      <c r="DVP338" s="1"/>
      <c r="DVQ338" s="1"/>
      <c r="DVR338" s="1"/>
      <c r="DVS338" s="1"/>
      <c r="DVT338" s="1"/>
      <c r="DVU338" s="1"/>
      <c r="DVV338" s="1"/>
      <c r="DVW338" s="1"/>
      <c r="DVX338" s="1"/>
      <c r="DVY338" s="1"/>
      <c r="DVZ338" s="1"/>
      <c r="DWA338" s="1"/>
      <c r="DWB338" s="1"/>
      <c r="DWC338" s="1"/>
      <c r="DWD338" s="1"/>
      <c r="DWE338" s="1"/>
      <c r="DWF338" s="1"/>
      <c r="DWG338" s="1"/>
      <c r="DWH338" s="1"/>
      <c r="DWI338" s="1"/>
      <c r="DWJ338" s="1"/>
      <c r="DWK338" s="1"/>
      <c r="DWL338" s="1"/>
      <c r="DWM338" s="1"/>
      <c r="DWN338" s="1"/>
      <c r="DWO338" s="1"/>
      <c r="DWP338" s="1"/>
      <c r="DWQ338" s="1"/>
      <c r="DWR338" s="1"/>
      <c r="DWS338" s="1"/>
      <c r="DWT338" s="1"/>
      <c r="DWU338" s="1"/>
      <c r="DWV338" s="1"/>
      <c r="DWW338" s="1"/>
      <c r="DWX338" s="1"/>
      <c r="DWY338" s="1"/>
      <c r="DWZ338" s="1"/>
      <c r="DXA338" s="1"/>
      <c r="DXB338" s="1"/>
      <c r="DXC338" s="1"/>
      <c r="DXD338" s="1"/>
      <c r="DXE338" s="1"/>
      <c r="DXF338" s="1"/>
      <c r="DXG338" s="1"/>
      <c r="DXH338" s="1"/>
      <c r="DXI338" s="1"/>
      <c r="DXJ338" s="1"/>
      <c r="DXK338" s="1"/>
      <c r="DXL338" s="1"/>
      <c r="DXM338" s="1"/>
      <c r="DXN338" s="1"/>
      <c r="DXO338" s="1"/>
      <c r="DXP338" s="1"/>
      <c r="DXQ338" s="1"/>
      <c r="DXR338" s="1"/>
      <c r="DXS338" s="1"/>
      <c r="DXT338" s="1"/>
      <c r="DXU338" s="1"/>
      <c r="DXV338" s="1"/>
      <c r="DXW338" s="1"/>
      <c r="DXX338" s="1"/>
      <c r="DXY338" s="1"/>
      <c r="DXZ338" s="1"/>
      <c r="DYA338" s="1"/>
      <c r="DYB338" s="1"/>
      <c r="DYC338" s="1"/>
      <c r="DYD338" s="1"/>
      <c r="DYE338" s="1"/>
      <c r="DYF338" s="1"/>
      <c r="DYG338" s="1"/>
      <c r="DYH338" s="1"/>
      <c r="DYI338" s="1"/>
      <c r="DYJ338" s="1"/>
      <c r="DYK338" s="1"/>
      <c r="DYL338" s="1"/>
      <c r="DYM338" s="1"/>
      <c r="DYN338" s="1"/>
      <c r="DYO338" s="1"/>
      <c r="DYP338" s="1"/>
      <c r="DYQ338" s="1"/>
      <c r="DYR338" s="1"/>
      <c r="DYS338" s="1"/>
      <c r="DYT338" s="1"/>
      <c r="DYU338" s="1"/>
      <c r="DYV338" s="1"/>
      <c r="DYW338" s="1"/>
      <c r="DYX338" s="1"/>
      <c r="DYY338" s="1"/>
      <c r="DYZ338" s="1"/>
      <c r="DZA338" s="1"/>
      <c r="DZB338" s="1"/>
      <c r="DZC338" s="1"/>
      <c r="DZD338" s="1"/>
      <c r="DZE338" s="1"/>
      <c r="DZF338" s="1"/>
      <c r="DZG338" s="1"/>
      <c r="DZH338" s="1"/>
      <c r="DZI338" s="1"/>
      <c r="DZJ338" s="1"/>
      <c r="DZK338" s="1"/>
      <c r="DZL338" s="1"/>
      <c r="DZM338" s="1"/>
      <c r="DZN338" s="1"/>
      <c r="DZO338" s="1"/>
      <c r="DZP338" s="1"/>
      <c r="DZQ338" s="1"/>
      <c r="DZR338" s="1"/>
      <c r="DZS338" s="1"/>
      <c r="DZT338" s="1"/>
      <c r="DZU338" s="1"/>
      <c r="DZV338" s="1"/>
      <c r="DZW338" s="1"/>
      <c r="DZX338" s="1"/>
      <c r="DZY338" s="1"/>
      <c r="DZZ338" s="1"/>
      <c r="EAA338" s="1"/>
      <c r="EAB338" s="1"/>
      <c r="EAC338" s="1"/>
      <c r="EAD338" s="1"/>
      <c r="EAE338" s="1"/>
      <c r="EAF338" s="1"/>
      <c r="EAG338" s="1"/>
      <c r="EAH338" s="1"/>
      <c r="EAI338" s="1"/>
      <c r="EAJ338" s="1"/>
      <c r="EAK338" s="1"/>
      <c r="EAL338" s="1"/>
      <c r="EAM338" s="1"/>
      <c r="EAN338" s="1"/>
      <c r="EAO338" s="1"/>
      <c r="EAP338" s="1"/>
      <c r="EAQ338" s="1"/>
      <c r="EAR338" s="1"/>
      <c r="EAS338" s="1"/>
      <c r="EAT338" s="1"/>
      <c r="EAU338" s="1"/>
      <c r="EAV338" s="1"/>
      <c r="EAW338" s="1"/>
      <c r="EAX338" s="1"/>
      <c r="EAY338" s="1"/>
      <c r="EAZ338" s="1"/>
      <c r="EBA338" s="1"/>
      <c r="EBB338" s="1"/>
      <c r="EBC338" s="1"/>
      <c r="EBD338" s="1"/>
      <c r="EBE338" s="1"/>
      <c r="EBF338" s="1"/>
      <c r="EBG338" s="1"/>
      <c r="EBH338" s="1"/>
      <c r="EBI338" s="1"/>
      <c r="EBJ338" s="1"/>
      <c r="EBK338" s="1"/>
      <c r="EBL338" s="1"/>
      <c r="EBM338" s="1"/>
      <c r="EBN338" s="1"/>
      <c r="EBO338" s="1"/>
      <c r="EBP338" s="1"/>
      <c r="EBQ338" s="1"/>
      <c r="EBR338" s="1"/>
      <c r="EBS338" s="1"/>
      <c r="EBT338" s="1"/>
      <c r="EBU338" s="1"/>
      <c r="EBV338" s="1"/>
      <c r="EBW338" s="1"/>
      <c r="EBX338" s="1"/>
      <c r="EBY338" s="1"/>
      <c r="EBZ338" s="1"/>
      <c r="ECA338" s="1"/>
      <c r="ECB338" s="1"/>
      <c r="ECC338" s="1"/>
      <c r="ECD338" s="1"/>
      <c r="ECE338" s="1"/>
      <c r="ECF338" s="1"/>
      <c r="ECG338" s="1"/>
      <c r="ECH338" s="1"/>
      <c r="ECI338" s="1"/>
      <c r="ECJ338" s="1"/>
      <c r="ECK338" s="1"/>
      <c r="ECL338" s="1"/>
      <c r="ECM338" s="1"/>
      <c r="ECN338" s="1"/>
      <c r="ECO338" s="1"/>
      <c r="ECP338" s="1"/>
      <c r="ECQ338" s="1"/>
      <c r="ECR338" s="1"/>
      <c r="ECS338" s="1"/>
      <c r="ECT338" s="1"/>
      <c r="ECU338" s="1"/>
      <c r="ECV338" s="1"/>
      <c r="ECW338" s="1"/>
      <c r="ECX338" s="1"/>
      <c r="ECY338" s="1"/>
      <c r="ECZ338" s="1"/>
      <c r="EDA338" s="1"/>
      <c r="EDB338" s="1"/>
      <c r="EDC338" s="1"/>
      <c r="EDD338" s="1"/>
      <c r="EDE338" s="1"/>
      <c r="EDF338" s="1"/>
      <c r="EDG338" s="1"/>
      <c r="EDH338" s="1"/>
      <c r="EDI338" s="1"/>
      <c r="EDJ338" s="1"/>
      <c r="EDK338" s="1"/>
      <c r="EDL338" s="1"/>
      <c r="EDM338" s="1"/>
      <c r="EDN338" s="1"/>
      <c r="EDO338" s="1"/>
      <c r="EDP338" s="1"/>
      <c r="EDQ338" s="1"/>
      <c r="EDR338" s="1"/>
      <c r="EDS338" s="1"/>
      <c r="EDT338" s="1"/>
      <c r="EDU338" s="1"/>
      <c r="EDV338" s="1"/>
      <c r="EDW338" s="1"/>
      <c r="EDX338" s="1"/>
      <c r="EDY338" s="1"/>
      <c r="EDZ338" s="1"/>
      <c r="EEA338" s="1"/>
      <c r="EEB338" s="1"/>
      <c r="EEC338" s="1"/>
      <c r="EED338" s="1"/>
      <c r="EEE338" s="1"/>
      <c r="EEF338" s="1"/>
      <c r="EEG338" s="1"/>
      <c r="EEH338" s="1"/>
      <c r="EEI338" s="1"/>
      <c r="EEJ338" s="1"/>
      <c r="EEK338" s="1"/>
      <c r="EEL338" s="1"/>
      <c r="EEM338" s="1"/>
      <c r="EEN338" s="1"/>
      <c r="EEO338" s="1"/>
      <c r="EEP338" s="1"/>
      <c r="EEQ338" s="1"/>
      <c r="EER338" s="1"/>
      <c r="EES338" s="1"/>
      <c r="EET338" s="1"/>
      <c r="EEU338" s="1"/>
      <c r="EEV338" s="1"/>
      <c r="EEW338" s="1"/>
      <c r="EEX338" s="1"/>
      <c r="EEY338" s="1"/>
      <c r="EEZ338" s="1"/>
      <c r="EFA338" s="1"/>
      <c r="EFB338" s="1"/>
      <c r="EFC338" s="1"/>
      <c r="EFD338" s="1"/>
      <c r="EFE338" s="1"/>
      <c r="EFF338" s="1"/>
      <c r="EFG338" s="1"/>
      <c r="EFH338" s="1"/>
      <c r="EFI338" s="1"/>
      <c r="EFJ338" s="1"/>
      <c r="EFK338" s="1"/>
      <c r="EFL338" s="1"/>
      <c r="EFM338" s="1"/>
      <c r="EFN338" s="1"/>
      <c r="EFO338" s="1"/>
      <c r="EFP338" s="1"/>
      <c r="EFQ338" s="1"/>
      <c r="EFR338" s="1"/>
      <c r="EFS338" s="1"/>
      <c r="EFT338" s="1"/>
      <c r="EFU338" s="1"/>
      <c r="EFV338" s="1"/>
      <c r="EFW338" s="1"/>
      <c r="EFX338" s="1"/>
      <c r="EFY338" s="1"/>
      <c r="EFZ338" s="1"/>
      <c r="EGA338" s="1"/>
      <c r="EGB338" s="1"/>
      <c r="EGC338" s="1"/>
      <c r="EGD338" s="1"/>
      <c r="EGE338" s="1"/>
      <c r="EGF338" s="1"/>
      <c r="EGG338" s="1"/>
      <c r="EGH338" s="1"/>
      <c r="EGI338" s="1"/>
      <c r="EGJ338" s="1"/>
      <c r="EGK338" s="1"/>
      <c r="EGL338" s="1"/>
      <c r="EGM338" s="1"/>
      <c r="EGN338" s="1"/>
      <c r="EGO338" s="1"/>
      <c r="EGP338" s="1"/>
      <c r="EGQ338" s="1"/>
      <c r="EGR338" s="1"/>
      <c r="EGS338" s="1"/>
      <c r="EGT338" s="1"/>
      <c r="EGU338" s="1"/>
      <c r="EGV338" s="1"/>
      <c r="EGW338" s="1"/>
      <c r="EGX338" s="1"/>
      <c r="EGY338" s="1"/>
      <c r="EGZ338" s="1"/>
      <c r="EHA338" s="1"/>
      <c r="EHB338" s="1"/>
      <c r="EHC338" s="1"/>
      <c r="EHD338" s="1"/>
      <c r="EHE338" s="1"/>
      <c r="EHF338" s="1"/>
      <c r="EHG338" s="1"/>
      <c r="EHH338" s="1"/>
      <c r="EHI338" s="1"/>
      <c r="EHJ338" s="1"/>
      <c r="EHK338" s="1"/>
      <c r="EHL338" s="1"/>
      <c r="EHM338" s="1"/>
      <c r="EHN338" s="1"/>
      <c r="EHO338" s="1"/>
      <c r="EHP338" s="1"/>
      <c r="EHQ338" s="1"/>
      <c r="EHR338" s="1"/>
      <c r="EHS338" s="1"/>
      <c r="EHT338" s="1"/>
      <c r="EHU338" s="1"/>
      <c r="EHV338" s="1"/>
      <c r="EHW338" s="1"/>
      <c r="EHX338" s="1"/>
      <c r="EHY338" s="1"/>
      <c r="EHZ338" s="1"/>
      <c r="EIA338" s="1"/>
      <c r="EIB338" s="1"/>
      <c r="EIC338" s="1"/>
      <c r="EID338" s="1"/>
      <c r="EIE338" s="1"/>
      <c r="EIF338" s="1"/>
      <c r="EIG338" s="1"/>
      <c r="EIH338" s="1"/>
      <c r="EII338" s="1"/>
      <c r="EIJ338" s="1"/>
      <c r="EIK338" s="1"/>
      <c r="EIL338" s="1"/>
      <c r="EIM338" s="1"/>
      <c r="EIN338" s="1"/>
      <c r="EIO338" s="1"/>
      <c r="EIP338" s="1"/>
      <c r="EIQ338" s="1"/>
      <c r="EIR338" s="1"/>
      <c r="EIS338" s="1"/>
      <c r="EIT338" s="1"/>
      <c r="EIU338" s="1"/>
      <c r="EIV338" s="1"/>
      <c r="EIW338" s="1"/>
      <c r="EIX338" s="1"/>
      <c r="EIY338" s="1"/>
      <c r="EIZ338" s="1"/>
      <c r="EJA338" s="1"/>
      <c r="EJB338" s="1"/>
      <c r="EJC338" s="1"/>
      <c r="EJD338" s="1"/>
      <c r="EJE338" s="1"/>
      <c r="EJF338" s="1"/>
      <c r="EJG338" s="1"/>
      <c r="EJH338" s="1"/>
      <c r="EJI338" s="1"/>
      <c r="EJJ338" s="1"/>
      <c r="EJK338" s="1"/>
      <c r="EJL338" s="1"/>
      <c r="EJM338" s="1"/>
      <c r="EJN338" s="1"/>
      <c r="EJO338" s="1"/>
      <c r="EJP338" s="1"/>
      <c r="EJQ338" s="1"/>
      <c r="EJR338" s="1"/>
      <c r="EJS338" s="1"/>
      <c r="EJT338" s="1"/>
      <c r="EJU338" s="1"/>
      <c r="EJV338" s="1"/>
      <c r="EJW338" s="1"/>
      <c r="EJX338" s="1"/>
      <c r="EJY338" s="1"/>
      <c r="EJZ338" s="1"/>
      <c r="EKA338" s="1"/>
      <c r="EKB338" s="1"/>
      <c r="EKC338" s="1"/>
      <c r="EKD338" s="1"/>
      <c r="EKE338" s="1"/>
      <c r="EKF338" s="1"/>
      <c r="EKG338" s="1"/>
      <c r="EKH338" s="1"/>
      <c r="EKI338" s="1"/>
      <c r="EKJ338" s="1"/>
      <c r="EKK338" s="1"/>
      <c r="EKL338" s="1"/>
      <c r="EKM338" s="1"/>
      <c r="EKN338" s="1"/>
      <c r="EKO338" s="1"/>
      <c r="EKP338" s="1"/>
      <c r="EKQ338" s="1"/>
      <c r="EKR338" s="1"/>
      <c r="EKS338" s="1"/>
      <c r="EKT338" s="1"/>
      <c r="EKU338" s="1"/>
      <c r="EKV338" s="1"/>
      <c r="EKW338" s="1"/>
      <c r="EKX338" s="1"/>
      <c r="EKY338" s="1"/>
      <c r="EKZ338" s="1"/>
      <c r="ELA338" s="1"/>
      <c r="ELB338" s="1"/>
      <c r="ELC338" s="1"/>
      <c r="ELD338" s="1"/>
      <c r="ELE338" s="1"/>
      <c r="ELF338" s="1"/>
      <c r="ELG338" s="1"/>
      <c r="ELH338" s="1"/>
      <c r="ELI338" s="1"/>
      <c r="ELJ338" s="1"/>
      <c r="ELK338" s="1"/>
      <c r="ELL338" s="1"/>
      <c r="ELM338" s="1"/>
      <c r="ELN338" s="1"/>
      <c r="ELO338" s="1"/>
      <c r="ELP338" s="1"/>
      <c r="ELQ338" s="1"/>
      <c r="ELR338" s="1"/>
      <c r="ELS338" s="1"/>
      <c r="ELT338" s="1"/>
      <c r="ELU338" s="1"/>
      <c r="ELV338" s="1"/>
      <c r="ELW338" s="1"/>
      <c r="ELX338" s="1"/>
      <c r="ELY338" s="1"/>
      <c r="ELZ338" s="1"/>
      <c r="EMA338" s="1"/>
      <c r="EMB338" s="1"/>
      <c r="EMC338" s="1"/>
      <c r="EMD338" s="1"/>
      <c r="EME338" s="1"/>
      <c r="EMF338" s="1"/>
      <c r="EMG338" s="1"/>
      <c r="EMH338" s="1"/>
      <c r="EMI338" s="1"/>
      <c r="EMJ338" s="1"/>
      <c r="EMK338" s="1"/>
      <c r="EML338" s="1"/>
      <c r="EMM338" s="1"/>
      <c r="EMN338" s="1"/>
      <c r="EMO338" s="1"/>
      <c r="EMP338" s="1"/>
      <c r="EMQ338" s="1"/>
      <c r="EMR338" s="1"/>
      <c r="EMS338" s="1"/>
      <c r="EMT338" s="1"/>
      <c r="EMU338" s="1"/>
      <c r="EMV338" s="1"/>
      <c r="EMW338" s="1"/>
      <c r="EMX338" s="1"/>
      <c r="EMY338" s="1"/>
      <c r="EMZ338" s="1"/>
      <c r="ENA338" s="1"/>
      <c r="ENB338" s="1"/>
      <c r="ENC338" s="1"/>
      <c r="END338" s="1"/>
      <c r="ENE338" s="1"/>
      <c r="ENF338" s="1"/>
      <c r="ENG338" s="1"/>
      <c r="ENH338" s="1"/>
      <c r="ENI338" s="1"/>
      <c r="ENJ338" s="1"/>
      <c r="ENK338" s="1"/>
      <c r="ENL338" s="1"/>
      <c r="ENM338" s="1"/>
      <c r="ENN338" s="1"/>
      <c r="ENO338" s="1"/>
      <c r="ENP338" s="1"/>
      <c r="ENQ338" s="1"/>
      <c r="ENR338" s="1"/>
      <c r="ENS338" s="1"/>
      <c r="ENT338" s="1"/>
      <c r="ENU338" s="1"/>
      <c r="ENV338" s="1"/>
      <c r="ENW338" s="1"/>
      <c r="ENX338" s="1"/>
      <c r="ENY338" s="1"/>
      <c r="ENZ338" s="1"/>
      <c r="EOA338" s="1"/>
      <c r="EOB338" s="1"/>
      <c r="EOC338" s="1"/>
      <c r="EOD338" s="1"/>
      <c r="EOE338" s="1"/>
      <c r="EOF338" s="1"/>
      <c r="EOG338" s="1"/>
      <c r="EOH338" s="1"/>
      <c r="EOI338" s="1"/>
      <c r="EOJ338" s="1"/>
      <c r="EOK338" s="1"/>
      <c r="EOL338" s="1"/>
      <c r="EOM338" s="1"/>
      <c r="EON338" s="1"/>
      <c r="EOO338" s="1"/>
      <c r="EOP338" s="1"/>
      <c r="EOQ338" s="1"/>
      <c r="EOR338" s="1"/>
      <c r="EOS338" s="1"/>
      <c r="EOT338" s="1"/>
      <c r="EOU338" s="1"/>
      <c r="EOV338" s="1"/>
      <c r="EOW338" s="1"/>
      <c r="EOX338" s="1"/>
      <c r="EOY338" s="1"/>
      <c r="EOZ338" s="1"/>
      <c r="EPA338" s="1"/>
      <c r="EPB338" s="1"/>
      <c r="EPC338" s="1"/>
      <c r="EPD338" s="1"/>
      <c r="EPE338" s="1"/>
      <c r="EPF338" s="1"/>
      <c r="EPG338" s="1"/>
      <c r="EPH338" s="1"/>
      <c r="EPI338" s="1"/>
      <c r="EPJ338" s="1"/>
      <c r="EPK338" s="1"/>
      <c r="EPL338" s="1"/>
      <c r="EPM338" s="1"/>
      <c r="EPN338" s="1"/>
      <c r="EPO338" s="1"/>
      <c r="EPP338" s="1"/>
      <c r="EPQ338" s="1"/>
      <c r="EPR338" s="1"/>
      <c r="EPS338" s="1"/>
      <c r="EPT338" s="1"/>
      <c r="EPU338" s="1"/>
      <c r="EPV338" s="1"/>
      <c r="EPW338" s="1"/>
      <c r="EPX338" s="1"/>
      <c r="EPY338" s="1"/>
      <c r="EPZ338" s="1"/>
      <c r="EQA338" s="1"/>
      <c r="EQB338" s="1"/>
      <c r="EQC338" s="1"/>
      <c r="EQD338" s="1"/>
      <c r="EQE338" s="1"/>
      <c r="EQF338" s="1"/>
      <c r="EQG338" s="1"/>
      <c r="EQH338" s="1"/>
      <c r="EQI338" s="1"/>
      <c r="EQJ338" s="1"/>
      <c r="EQK338" s="1"/>
      <c r="EQL338" s="1"/>
      <c r="EQM338" s="1"/>
      <c r="EQN338" s="1"/>
      <c r="EQO338" s="1"/>
      <c r="EQP338" s="1"/>
      <c r="EQQ338" s="1"/>
      <c r="EQR338" s="1"/>
      <c r="EQS338" s="1"/>
      <c r="EQT338" s="1"/>
      <c r="EQU338" s="1"/>
      <c r="EQV338" s="1"/>
      <c r="EQW338" s="1"/>
      <c r="EQX338" s="1"/>
      <c r="EQY338" s="1"/>
      <c r="EQZ338" s="1"/>
      <c r="ERA338" s="1"/>
      <c r="ERB338" s="1"/>
      <c r="ERC338" s="1"/>
      <c r="ERD338" s="1"/>
      <c r="ERE338" s="1"/>
      <c r="ERF338" s="1"/>
      <c r="ERG338" s="1"/>
      <c r="ERH338" s="1"/>
      <c r="ERI338" s="1"/>
      <c r="ERJ338" s="1"/>
      <c r="ERK338" s="1"/>
      <c r="ERL338" s="1"/>
      <c r="ERM338" s="1"/>
      <c r="ERN338" s="1"/>
      <c r="ERO338" s="1"/>
      <c r="ERP338" s="1"/>
      <c r="ERQ338" s="1"/>
      <c r="ERR338" s="1"/>
      <c r="ERS338" s="1"/>
      <c r="ERT338" s="1"/>
      <c r="ERU338" s="1"/>
      <c r="ERV338" s="1"/>
      <c r="ERW338" s="1"/>
      <c r="ERX338" s="1"/>
      <c r="ERY338" s="1"/>
      <c r="ERZ338" s="1"/>
      <c r="ESA338" s="1"/>
      <c r="ESB338" s="1"/>
      <c r="ESC338" s="1"/>
      <c r="ESD338" s="1"/>
      <c r="ESE338" s="1"/>
      <c r="ESF338" s="1"/>
      <c r="ESG338" s="1"/>
      <c r="ESH338" s="1"/>
      <c r="ESI338" s="1"/>
      <c r="ESJ338" s="1"/>
      <c r="ESK338" s="1"/>
      <c r="ESL338" s="1"/>
      <c r="ESM338" s="1"/>
      <c r="ESN338" s="1"/>
      <c r="ESO338" s="1"/>
      <c r="ESP338" s="1"/>
      <c r="ESQ338" s="1"/>
      <c r="ESR338" s="1"/>
      <c r="ESS338" s="1"/>
      <c r="EST338" s="1"/>
      <c r="ESU338" s="1"/>
      <c r="ESV338" s="1"/>
      <c r="ESW338" s="1"/>
      <c r="ESX338" s="1"/>
      <c r="ESY338" s="1"/>
      <c r="ESZ338" s="1"/>
      <c r="ETA338" s="1"/>
      <c r="ETB338" s="1"/>
      <c r="ETC338" s="1"/>
      <c r="ETD338" s="1"/>
      <c r="ETE338" s="1"/>
      <c r="ETF338" s="1"/>
      <c r="ETG338" s="1"/>
      <c r="ETH338" s="1"/>
      <c r="ETI338" s="1"/>
      <c r="ETJ338" s="1"/>
      <c r="ETK338" s="1"/>
      <c r="ETL338" s="1"/>
      <c r="ETM338" s="1"/>
      <c r="ETN338" s="1"/>
      <c r="ETO338" s="1"/>
      <c r="ETP338" s="1"/>
      <c r="ETQ338" s="1"/>
      <c r="ETR338" s="1"/>
      <c r="ETS338" s="1"/>
      <c r="ETT338" s="1"/>
      <c r="ETU338" s="1"/>
      <c r="ETV338" s="1"/>
      <c r="ETW338" s="1"/>
      <c r="ETX338" s="1"/>
      <c r="ETY338" s="1"/>
      <c r="ETZ338" s="1"/>
      <c r="EUA338" s="1"/>
      <c r="EUB338" s="1"/>
      <c r="EUC338" s="1"/>
      <c r="EUD338" s="1"/>
      <c r="EUE338" s="1"/>
      <c r="EUF338" s="1"/>
      <c r="EUG338" s="1"/>
      <c r="EUH338" s="1"/>
      <c r="EUI338" s="1"/>
      <c r="EUJ338" s="1"/>
      <c r="EUK338" s="1"/>
      <c r="EUL338" s="1"/>
      <c r="EUM338" s="1"/>
      <c r="EUN338" s="1"/>
      <c r="EUO338" s="1"/>
      <c r="EUP338" s="1"/>
      <c r="EUQ338" s="1"/>
      <c r="EUR338" s="1"/>
      <c r="EUS338" s="1"/>
      <c r="EUT338" s="1"/>
      <c r="EUU338" s="1"/>
      <c r="EUV338" s="1"/>
      <c r="EUW338" s="1"/>
      <c r="EUX338" s="1"/>
      <c r="EUY338" s="1"/>
      <c r="EUZ338" s="1"/>
      <c r="EVA338" s="1"/>
      <c r="EVB338" s="1"/>
      <c r="EVC338" s="1"/>
      <c r="EVD338" s="1"/>
      <c r="EVE338" s="1"/>
      <c r="EVF338" s="1"/>
      <c r="EVG338" s="1"/>
      <c r="EVH338" s="1"/>
      <c r="EVI338" s="1"/>
      <c r="EVJ338" s="1"/>
      <c r="EVK338" s="1"/>
      <c r="EVL338" s="1"/>
      <c r="EVM338" s="1"/>
      <c r="EVN338" s="1"/>
      <c r="EVO338" s="1"/>
      <c r="EVP338" s="1"/>
      <c r="EVQ338" s="1"/>
      <c r="EVR338" s="1"/>
      <c r="EVS338" s="1"/>
      <c r="EVT338" s="1"/>
      <c r="EVU338" s="1"/>
      <c r="EVV338" s="1"/>
      <c r="EVW338" s="1"/>
      <c r="EVX338" s="1"/>
      <c r="EVY338" s="1"/>
      <c r="EVZ338" s="1"/>
      <c r="EWA338" s="1"/>
      <c r="EWB338" s="1"/>
      <c r="EWC338" s="1"/>
      <c r="EWD338" s="1"/>
      <c r="EWE338" s="1"/>
      <c r="EWF338" s="1"/>
      <c r="EWG338" s="1"/>
      <c r="EWH338" s="1"/>
      <c r="EWI338" s="1"/>
      <c r="EWJ338" s="1"/>
      <c r="EWK338" s="1"/>
      <c r="EWL338" s="1"/>
      <c r="EWM338" s="1"/>
      <c r="EWN338" s="1"/>
      <c r="EWO338" s="1"/>
      <c r="EWP338" s="1"/>
      <c r="EWQ338" s="1"/>
      <c r="EWR338" s="1"/>
      <c r="EWS338" s="1"/>
      <c r="EWT338" s="1"/>
      <c r="EWU338" s="1"/>
      <c r="EWV338" s="1"/>
      <c r="EWW338" s="1"/>
      <c r="EWX338" s="1"/>
      <c r="EWY338" s="1"/>
      <c r="EWZ338" s="1"/>
      <c r="EXA338" s="1"/>
      <c r="EXB338" s="1"/>
      <c r="EXC338" s="1"/>
      <c r="EXD338" s="1"/>
      <c r="EXE338" s="1"/>
      <c r="EXF338" s="1"/>
      <c r="EXG338" s="1"/>
      <c r="EXH338" s="1"/>
      <c r="EXI338" s="1"/>
      <c r="EXJ338" s="1"/>
      <c r="EXK338" s="1"/>
      <c r="EXL338" s="1"/>
      <c r="EXM338" s="1"/>
      <c r="EXN338" s="1"/>
      <c r="EXO338" s="1"/>
      <c r="EXP338" s="1"/>
      <c r="EXQ338" s="1"/>
      <c r="EXR338" s="1"/>
      <c r="EXS338" s="1"/>
      <c r="EXT338" s="1"/>
      <c r="EXU338" s="1"/>
      <c r="EXV338" s="1"/>
      <c r="EXW338" s="1"/>
      <c r="EXX338" s="1"/>
      <c r="EXY338" s="1"/>
      <c r="EXZ338" s="1"/>
      <c r="EYA338" s="1"/>
      <c r="EYB338" s="1"/>
      <c r="EYC338" s="1"/>
      <c r="EYD338" s="1"/>
      <c r="EYE338" s="1"/>
      <c r="EYF338" s="1"/>
      <c r="EYG338" s="1"/>
      <c r="EYH338" s="1"/>
      <c r="EYI338" s="1"/>
      <c r="EYJ338" s="1"/>
      <c r="EYK338" s="1"/>
      <c r="EYL338" s="1"/>
      <c r="EYM338" s="1"/>
      <c r="EYN338" s="1"/>
      <c r="EYO338" s="1"/>
      <c r="EYP338" s="1"/>
      <c r="EYQ338" s="1"/>
      <c r="EYR338" s="1"/>
      <c r="EYS338" s="1"/>
      <c r="EYT338" s="1"/>
      <c r="EYU338" s="1"/>
      <c r="EYV338" s="1"/>
      <c r="EYW338" s="1"/>
      <c r="EYX338" s="1"/>
      <c r="EYY338" s="1"/>
      <c r="EYZ338" s="1"/>
      <c r="EZA338" s="1"/>
      <c r="EZB338" s="1"/>
      <c r="EZC338" s="1"/>
      <c r="EZD338" s="1"/>
      <c r="EZE338" s="1"/>
      <c r="EZF338" s="1"/>
      <c r="EZG338" s="1"/>
      <c r="EZH338" s="1"/>
      <c r="EZI338" s="1"/>
      <c r="EZJ338" s="1"/>
      <c r="EZK338" s="1"/>
      <c r="EZL338" s="1"/>
      <c r="EZM338" s="1"/>
      <c r="EZN338" s="1"/>
      <c r="EZO338" s="1"/>
      <c r="EZP338" s="1"/>
      <c r="EZQ338" s="1"/>
      <c r="EZR338" s="1"/>
      <c r="EZS338" s="1"/>
      <c r="EZT338" s="1"/>
      <c r="EZU338" s="1"/>
      <c r="EZV338" s="1"/>
      <c r="EZW338" s="1"/>
      <c r="EZX338" s="1"/>
      <c r="EZY338" s="1"/>
      <c r="EZZ338" s="1"/>
      <c r="FAA338" s="1"/>
      <c r="FAB338" s="1"/>
      <c r="FAC338" s="1"/>
      <c r="FAD338" s="1"/>
      <c r="FAE338" s="1"/>
      <c r="FAF338" s="1"/>
      <c r="FAG338" s="1"/>
      <c r="FAH338" s="1"/>
      <c r="FAI338" s="1"/>
      <c r="FAJ338" s="1"/>
      <c r="FAK338" s="1"/>
      <c r="FAL338" s="1"/>
      <c r="FAM338" s="1"/>
      <c r="FAN338" s="1"/>
      <c r="FAO338" s="1"/>
      <c r="FAP338" s="1"/>
      <c r="FAQ338" s="1"/>
      <c r="FAR338" s="1"/>
      <c r="FAS338" s="1"/>
      <c r="FAT338" s="1"/>
      <c r="FAU338" s="1"/>
      <c r="FAV338" s="1"/>
      <c r="FAW338" s="1"/>
      <c r="FAX338" s="1"/>
      <c r="FAY338" s="1"/>
      <c r="FAZ338" s="1"/>
      <c r="FBA338" s="1"/>
      <c r="FBB338" s="1"/>
      <c r="FBC338" s="1"/>
      <c r="FBD338" s="1"/>
      <c r="FBE338" s="1"/>
      <c r="FBF338" s="1"/>
      <c r="FBG338" s="1"/>
      <c r="FBH338" s="1"/>
      <c r="FBI338" s="1"/>
      <c r="FBJ338" s="1"/>
      <c r="FBK338" s="1"/>
      <c r="FBL338" s="1"/>
      <c r="FBM338" s="1"/>
      <c r="FBN338" s="1"/>
      <c r="FBO338" s="1"/>
      <c r="FBP338" s="1"/>
      <c r="FBQ338" s="1"/>
      <c r="FBR338" s="1"/>
      <c r="FBS338" s="1"/>
      <c r="FBT338" s="1"/>
      <c r="FBU338" s="1"/>
      <c r="FBV338" s="1"/>
      <c r="FBW338" s="1"/>
      <c r="FBX338" s="1"/>
      <c r="FBY338" s="1"/>
      <c r="FBZ338" s="1"/>
      <c r="FCA338" s="1"/>
      <c r="FCB338" s="1"/>
      <c r="FCC338" s="1"/>
      <c r="FCD338" s="1"/>
      <c r="FCE338" s="1"/>
      <c r="FCF338" s="1"/>
      <c r="FCG338" s="1"/>
      <c r="FCH338" s="1"/>
      <c r="FCI338" s="1"/>
      <c r="FCJ338" s="1"/>
      <c r="FCK338" s="1"/>
      <c r="FCL338" s="1"/>
      <c r="FCM338" s="1"/>
      <c r="FCN338" s="1"/>
      <c r="FCO338" s="1"/>
      <c r="FCP338" s="1"/>
      <c r="FCQ338" s="1"/>
      <c r="FCR338" s="1"/>
      <c r="FCS338" s="1"/>
      <c r="FCT338" s="1"/>
      <c r="FCU338" s="1"/>
      <c r="FCV338" s="1"/>
      <c r="FCW338" s="1"/>
      <c r="FCX338" s="1"/>
      <c r="FCY338" s="1"/>
      <c r="FCZ338" s="1"/>
      <c r="FDA338" s="1"/>
      <c r="FDB338" s="1"/>
      <c r="FDC338" s="1"/>
      <c r="FDD338" s="1"/>
      <c r="FDE338" s="1"/>
      <c r="FDF338" s="1"/>
      <c r="FDG338" s="1"/>
      <c r="FDH338" s="1"/>
      <c r="FDI338" s="1"/>
      <c r="FDJ338" s="1"/>
      <c r="FDK338" s="1"/>
      <c r="FDL338" s="1"/>
      <c r="FDM338" s="1"/>
      <c r="FDN338" s="1"/>
      <c r="FDO338" s="1"/>
      <c r="FDP338" s="1"/>
      <c r="FDQ338" s="1"/>
      <c r="FDR338" s="1"/>
      <c r="FDS338" s="1"/>
      <c r="FDT338" s="1"/>
      <c r="FDU338" s="1"/>
      <c r="FDV338" s="1"/>
      <c r="FDW338" s="1"/>
      <c r="FDX338" s="1"/>
      <c r="FDY338" s="1"/>
      <c r="FDZ338" s="1"/>
      <c r="FEA338" s="1"/>
      <c r="FEB338" s="1"/>
      <c r="FEC338" s="1"/>
      <c r="FED338" s="1"/>
      <c r="FEE338" s="1"/>
      <c r="FEF338" s="1"/>
      <c r="FEG338" s="1"/>
      <c r="FEH338" s="1"/>
      <c r="FEI338" s="1"/>
      <c r="FEJ338" s="1"/>
      <c r="FEK338" s="1"/>
      <c r="FEL338" s="1"/>
      <c r="FEM338" s="1"/>
      <c r="FEN338" s="1"/>
      <c r="FEO338" s="1"/>
      <c r="FEP338" s="1"/>
      <c r="FEQ338" s="1"/>
      <c r="FER338" s="1"/>
      <c r="FES338" s="1"/>
      <c r="FET338" s="1"/>
      <c r="FEU338" s="1"/>
      <c r="FEV338" s="1"/>
      <c r="FEW338" s="1"/>
      <c r="FEX338" s="1"/>
      <c r="FEY338" s="1"/>
      <c r="FEZ338" s="1"/>
      <c r="FFA338" s="1"/>
      <c r="FFB338" s="1"/>
      <c r="FFC338" s="1"/>
      <c r="FFD338" s="1"/>
      <c r="FFE338" s="1"/>
      <c r="FFF338" s="1"/>
      <c r="FFG338" s="1"/>
      <c r="FFH338" s="1"/>
      <c r="FFI338" s="1"/>
      <c r="FFJ338" s="1"/>
      <c r="FFK338" s="1"/>
      <c r="FFL338" s="1"/>
      <c r="FFM338" s="1"/>
      <c r="FFN338" s="1"/>
      <c r="FFO338" s="1"/>
      <c r="FFP338" s="1"/>
      <c r="FFQ338" s="1"/>
      <c r="FFR338" s="1"/>
      <c r="FFS338" s="1"/>
      <c r="FFT338" s="1"/>
      <c r="FFU338" s="1"/>
      <c r="FFV338" s="1"/>
      <c r="FFW338" s="1"/>
      <c r="FFX338" s="1"/>
      <c r="FFY338" s="1"/>
      <c r="FFZ338" s="1"/>
      <c r="FGA338" s="1"/>
      <c r="FGB338" s="1"/>
      <c r="FGC338" s="1"/>
      <c r="FGD338" s="1"/>
      <c r="FGE338" s="1"/>
      <c r="FGF338" s="1"/>
      <c r="FGG338" s="1"/>
      <c r="FGH338" s="1"/>
      <c r="FGI338" s="1"/>
      <c r="FGJ338" s="1"/>
      <c r="FGK338" s="1"/>
      <c r="FGL338" s="1"/>
      <c r="FGM338" s="1"/>
      <c r="FGN338" s="1"/>
      <c r="FGO338" s="1"/>
      <c r="FGP338" s="1"/>
      <c r="FGQ338" s="1"/>
      <c r="FGR338" s="1"/>
      <c r="FGS338" s="1"/>
      <c r="FGT338" s="1"/>
      <c r="FGU338" s="1"/>
      <c r="FGV338" s="1"/>
      <c r="FGW338" s="1"/>
      <c r="FGX338" s="1"/>
      <c r="FGY338" s="1"/>
      <c r="FGZ338" s="1"/>
      <c r="FHA338" s="1"/>
      <c r="FHB338" s="1"/>
      <c r="FHC338" s="1"/>
      <c r="FHD338" s="1"/>
      <c r="FHE338" s="1"/>
      <c r="FHF338" s="1"/>
      <c r="FHG338" s="1"/>
      <c r="FHH338" s="1"/>
      <c r="FHI338" s="1"/>
      <c r="FHJ338" s="1"/>
      <c r="FHK338" s="1"/>
      <c r="FHL338" s="1"/>
      <c r="FHM338" s="1"/>
      <c r="FHN338" s="1"/>
      <c r="FHO338" s="1"/>
      <c r="FHP338" s="1"/>
      <c r="FHQ338" s="1"/>
      <c r="FHR338" s="1"/>
      <c r="FHS338" s="1"/>
      <c r="FHT338" s="1"/>
      <c r="FHU338" s="1"/>
      <c r="FHV338" s="1"/>
      <c r="FHW338" s="1"/>
      <c r="FHX338" s="1"/>
      <c r="FHY338" s="1"/>
      <c r="FHZ338" s="1"/>
      <c r="FIA338" s="1"/>
      <c r="FIB338" s="1"/>
      <c r="FIC338" s="1"/>
      <c r="FID338" s="1"/>
      <c r="FIE338" s="1"/>
      <c r="FIF338" s="1"/>
      <c r="FIG338" s="1"/>
      <c r="FIH338" s="1"/>
      <c r="FII338" s="1"/>
      <c r="FIJ338" s="1"/>
      <c r="FIK338" s="1"/>
      <c r="FIL338" s="1"/>
      <c r="FIM338" s="1"/>
      <c r="FIN338" s="1"/>
      <c r="FIO338" s="1"/>
      <c r="FIP338" s="1"/>
      <c r="FIQ338" s="1"/>
      <c r="FIR338" s="1"/>
      <c r="FIS338" s="1"/>
      <c r="FIT338" s="1"/>
      <c r="FIU338" s="1"/>
      <c r="FIV338" s="1"/>
      <c r="FIW338" s="1"/>
      <c r="FIX338" s="1"/>
      <c r="FIY338" s="1"/>
      <c r="FIZ338" s="1"/>
      <c r="FJA338" s="1"/>
      <c r="FJB338" s="1"/>
      <c r="FJC338" s="1"/>
      <c r="FJD338" s="1"/>
      <c r="FJE338" s="1"/>
      <c r="FJF338" s="1"/>
      <c r="FJG338" s="1"/>
      <c r="FJH338" s="1"/>
      <c r="FJI338" s="1"/>
      <c r="FJJ338" s="1"/>
      <c r="FJK338" s="1"/>
      <c r="FJL338" s="1"/>
      <c r="FJM338" s="1"/>
      <c r="FJN338" s="1"/>
      <c r="FJO338" s="1"/>
      <c r="FJP338" s="1"/>
      <c r="FJQ338" s="1"/>
      <c r="FJR338" s="1"/>
      <c r="FJS338" s="1"/>
      <c r="FJT338" s="1"/>
      <c r="FJU338" s="1"/>
      <c r="FJV338" s="1"/>
      <c r="FJW338" s="1"/>
      <c r="FJX338" s="1"/>
      <c r="FJY338" s="1"/>
      <c r="FJZ338" s="1"/>
      <c r="FKA338" s="1"/>
      <c r="FKB338" s="1"/>
      <c r="FKC338" s="1"/>
      <c r="FKD338" s="1"/>
      <c r="FKE338" s="1"/>
      <c r="FKF338" s="1"/>
      <c r="FKG338" s="1"/>
      <c r="FKH338" s="1"/>
      <c r="FKI338" s="1"/>
      <c r="FKJ338" s="1"/>
      <c r="FKK338" s="1"/>
      <c r="FKL338" s="1"/>
      <c r="FKM338" s="1"/>
      <c r="FKN338" s="1"/>
      <c r="FKO338" s="1"/>
      <c r="FKP338" s="1"/>
      <c r="FKQ338" s="1"/>
      <c r="FKR338" s="1"/>
      <c r="FKS338" s="1"/>
      <c r="FKT338" s="1"/>
      <c r="FKU338" s="1"/>
      <c r="FKV338" s="1"/>
      <c r="FKW338" s="1"/>
      <c r="FKX338" s="1"/>
      <c r="FKY338" s="1"/>
      <c r="FKZ338" s="1"/>
      <c r="FLA338" s="1"/>
      <c r="FLB338" s="1"/>
      <c r="FLC338" s="1"/>
      <c r="FLD338" s="1"/>
      <c r="FLE338" s="1"/>
      <c r="FLF338" s="1"/>
      <c r="FLG338" s="1"/>
      <c r="FLH338" s="1"/>
      <c r="FLI338" s="1"/>
      <c r="FLJ338" s="1"/>
      <c r="FLK338" s="1"/>
      <c r="FLL338" s="1"/>
      <c r="FLM338" s="1"/>
      <c r="FLN338" s="1"/>
      <c r="FLO338" s="1"/>
      <c r="FLP338" s="1"/>
      <c r="FLQ338" s="1"/>
      <c r="FLR338" s="1"/>
      <c r="FLS338" s="1"/>
      <c r="FLT338" s="1"/>
      <c r="FLU338" s="1"/>
      <c r="FLV338" s="1"/>
      <c r="FLW338" s="1"/>
      <c r="FLX338" s="1"/>
      <c r="FLY338" s="1"/>
      <c r="FLZ338" s="1"/>
      <c r="FMA338" s="1"/>
      <c r="FMB338" s="1"/>
      <c r="FMC338" s="1"/>
      <c r="FMD338" s="1"/>
      <c r="FME338" s="1"/>
      <c r="FMF338" s="1"/>
      <c r="FMG338" s="1"/>
      <c r="FMH338" s="1"/>
      <c r="FMI338" s="1"/>
      <c r="FMJ338" s="1"/>
      <c r="FMK338" s="1"/>
      <c r="FML338" s="1"/>
      <c r="FMM338" s="1"/>
      <c r="FMN338" s="1"/>
      <c r="FMO338" s="1"/>
      <c r="FMP338" s="1"/>
      <c r="FMQ338" s="1"/>
      <c r="FMR338" s="1"/>
      <c r="FMS338" s="1"/>
      <c r="FMT338" s="1"/>
      <c r="FMU338" s="1"/>
      <c r="FMV338" s="1"/>
      <c r="FMW338" s="1"/>
      <c r="FMX338" s="1"/>
      <c r="FMY338" s="1"/>
      <c r="FMZ338" s="1"/>
      <c r="FNA338" s="1"/>
      <c r="FNB338" s="1"/>
      <c r="FNC338" s="1"/>
      <c r="FND338" s="1"/>
      <c r="FNE338" s="1"/>
      <c r="FNF338" s="1"/>
      <c r="FNG338" s="1"/>
      <c r="FNH338" s="1"/>
      <c r="FNI338" s="1"/>
      <c r="FNJ338" s="1"/>
      <c r="FNK338" s="1"/>
      <c r="FNL338" s="1"/>
      <c r="FNM338" s="1"/>
      <c r="FNN338" s="1"/>
      <c r="FNO338" s="1"/>
      <c r="FNP338" s="1"/>
      <c r="FNQ338" s="1"/>
      <c r="FNR338" s="1"/>
      <c r="FNS338" s="1"/>
      <c r="FNT338" s="1"/>
      <c r="FNU338" s="1"/>
      <c r="FNV338" s="1"/>
      <c r="FNW338" s="1"/>
      <c r="FNX338" s="1"/>
      <c r="FNY338" s="1"/>
      <c r="FNZ338" s="1"/>
      <c r="FOA338" s="1"/>
      <c r="FOB338" s="1"/>
      <c r="FOC338" s="1"/>
      <c r="FOD338" s="1"/>
      <c r="FOE338" s="1"/>
      <c r="FOF338" s="1"/>
      <c r="FOG338" s="1"/>
      <c r="FOH338" s="1"/>
      <c r="FOI338" s="1"/>
      <c r="FOJ338" s="1"/>
      <c r="FOK338" s="1"/>
      <c r="FOL338" s="1"/>
      <c r="FOM338" s="1"/>
      <c r="FON338" s="1"/>
      <c r="FOO338" s="1"/>
      <c r="FOP338" s="1"/>
      <c r="FOQ338" s="1"/>
      <c r="FOR338" s="1"/>
      <c r="FOS338" s="1"/>
      <c r="FOT338" s="1"/>
      <c r="FOU338" s="1"/>
      <c r="FOV338" s="1"/>
      <c r="FOW338" s="1"/>
      <c r="FOX338" s="1"/>
      <c r="FOY338" s="1"/>
      <c r="FOZ338" s="1"/>
      <c r="FPA338" s="1"/>
      <c r="FPB338" s="1"/>
      <c r="FPC338" s="1"/>
      <c r="FPD338" s="1"/>
      <c r="FPE338" s="1"/>
      <c r="FPF338" s="1"/>
      <c r="FPG338" s="1"/>
      <c r="FPH338" s="1"/>
      <c r="FPI338" s="1"/>
      <c r="FPJ338" s="1"/>
      <c r="FPK338" s="1"/>
      <c r="FPL338" s="1"/>
      <c r="FPM338" s="1"/>
      <c r="FPN338" s="1"/>
      <c r="FPO338" s="1"/>
      <c r="FPP338" s="1"/>
      <c r="FPQ338" s="1"/>
      <c r="FPR338" s="1"/>
      <c r="FPS338" s="1"/>
      <c r="FPT338" s="1"/>
      <c r="FPU338" s="1"/>
      <c r="FPV338" s="1"/>
      <c r="FPW338" s="1"/>
      <c r="FPX338" s="1"/>
      <c r="FPY338" s="1"/>
      <c r="FPZ338" s="1"/>
      <c r="FQA338" s="1"/>
      <c r="FQB338" s="1"/>
      <c r="FQC338" s="1"/>
      <c r="FQD338" s="1"/>
      <c r="FQE338" s="1"/>
      <c r="FQF338" s="1"/>
      <c r="FQG338" s="1"/>
      <c r="FQH338" s="1"/>
      <c r="FQI338" s="1"/>
      <c r="FQJ338" s="1"/>
      <c r="FQK338" s="1"/>
      <c r="FQL338" s="1"/>
      <c r="FQM338" s="1"/>
      <c r="FQN338" s="1"/>
      <c r="FQO338" s="1"/>
      <c r="FQP338" s="1"/>
      <c r="FQQ338" s="1"/>
      <c r="FQR338" s="1"/>
      <c r="FQS338" s="1"/>
      <c r="FQT338" s="1"/>
      <c r="FQU338" s="1"/>
      <c r="FQV338" s="1"/>
      <c r="FQW338" s="1"/>
      <c r="FQX338" s="1"/>
      <c r="FQY338" s="1"/>
      <c r="FQZ338" s="1"/>
      <c r="FRA338" s="1"/>
      <c r="FRB338" s="1"/>
      <c r="FRC338" s="1"/>
      <c r="FRD338" s="1"/>
      <c r="FRE338" s="1"/>
      <c r="FRF338" s="1"/>
      <c r="FRG338" s="1"/>
      <c r="FRH338" s="1"/>
      <c r="FRI338" s="1"/>
      <c r="FRJ338" s="1"/>
      <c r="FRK338" s="1"/>
      <c r="FRL338" s="1"/>
      <c r="FRM338" s="1"/>
      <c r="FRN338" s="1"/>
      <c r="FRO338" s="1"/>
      <c r="FRP338" s="1"/>
      <c r="FRQ338" s="1"/>
      <c r="FRR338" s="1"/>
      <c r="FRS338" s="1"/>
      <c r="FRT338" s="1"/>
      <c r="FRU338" s="1"/>
      <c r="FRV338" s="1"/>
      <c r="FRW338" s="1"/>
      <c r="FRX338" s="1"/>
      <c r="FRY338" s="1"/>
      <c r="FRZ338" s="1"/>
      <c r="FSA338" s="1"/>
      <c r="FSB338" s="1"/>
      <c r="FSC338" s="1"/>
      <c r="FSD338" s="1"/>
      <c r="FSE338" s="1"/>
      <c r="FSF338" s="1"/>
      <c r="FSG338" s="1"/>
      <c r="FSH338" s="1"/>
      <c r="FSI338" s="1"/>
      <c r="FSJ338" s="1"/>
      <c r="FSK338" s="1"/>
      <c r="FSL338" s="1"/>
      <c r="FSM338" s="1"/>
      <c r="FSN338" s="1"/>
      <c r="FSO338" s="1"/>
      <c r="FSP338" s="1"/>
      <c r="FSQ338" s="1"/>
      <c r="FSR338" s="1"/>
      <c r="FSS338" s="1"/>
      <c r="FST338" s="1"/>
      <c r="FSU338" s="1"/>
      <c r="FSV338" s="1"/>
      <c r="FSW338" s="1"/>
      <c r="FSX338" s="1"/>
      <c r="FSY338" s="1"/>
      <c r="FSZ338" s="1"/>
      <c r="FTA338" s="1"/>
      <c r="FTB338" s="1"/>
      <c r="FTC338" s="1"/>
      <c r="FTD338" s="1"/>
      <c r="FTE338" s="1"/>
      <c r="FTF338" s="1"/>
      <c r="FTG338" s="1"/>
      <c r="FTH338" s="1"/>
      <c r="FTI338" s="1"/>
      <c r="FTJ338" s="1"/>
      <c r="FTK338" s="1"/>
      <c r="FTL338" s="1"/>
      <c r="FTM338" s="1"/>
      <c r="FTN338" s="1"/>
      <c r="FTO338" s="1"/>
      <c r="FTP338" s="1"/>
      <c r="FTQ338" s="1"/>
      <c r="FTR338" s="1"/>
      <c r="FTS338" s="1"/>
      <c r="FTT338" s="1"/>
      <c r="FTU338" s="1"/>
      <c r="FTV338" s="1"/>
      <c r="FTW338" s="1"/>
      <c r="FTX338" s="1"/>
      <c r="FTY338" s="1"/>
      <c r="FTZ338" s="1"/>
      <c r="FUA338" s="1"/>
      <c r="FUB338" s="1"/>
      <c r="FUC338" s="1"/>
      <c r="FUD338" s="1"/>
      <c r="FUE338" s="1"/>
      <c r="FUF338" s="1"/>
      <c r="FUG338" s="1"/>
      <c r="FUH338" s="1"/>
      <c r="FUI338" s="1"/>
      <c r="FUJ338" s="1"/>
      <c r="FUK338" s="1"/>
      <c r="FUL338" s="1"/>
      <c r="FUM338" s="1"/>
      <c r="FUN338" s="1"/>
      <c r="FUO338" s="1"/>
      <c r="FUP338" s="1"/>
      <c r="FUQ338" s="1"/>
      <c r="FUR338" s="1"/>
      <c r="FUS338" s="1"/>
      <c r="FUT338" s="1"/>
      <c r="FUU338" s="1"/>
      <c r="FUV338" s="1"/>
      <c r="FUW338" s="1"/>
      <c r="FUX338" s="1"/>
      <c r="FUY338" s="1"/>
      <c r="FUZ338" s="1"/>
      <c r="FVA338" s="1"/>
      <c r="FVB338" s="1"/>
      <c r="FVC338" s="1"/>
      <c r="FVD338" s="1"/>
      <c r="FVE338" s="1"/>
      <c r="FVF338" s="1"/>
      <c r="FVG338" s="1"/>
      <c r="FVH338" s="1"/>
      <c r="FVI338" s="1"/>
      <c r="FVJ338" s="1"/>
      <c r="FVK338" s="1"/>
      <c r="FVL338" s="1"/>
      <c r="FVM338" s="1"/>
      <c r="FVN338" s="1"/>
      <c r="FVO338" s="1"/>
      <c r="FVP338" s="1"/>
      <c r="FVQ338" s="1"/>
      <c r="FVR338" s="1"/>
      <c r="FVS338" s="1"/>
      <c r="FVT338" s="1"/>
      <c r="FVU338" s="1"/>
      <c r="FVV338" s="1"/>
      <c r="FVW338" s="1"/>
      <c r="FVX338" s="1"/>
      <c r="FVY338" s="1"/>
      <c r="FVZ338" s="1"/>
      <c r="FWA338" s="1"/>
      <c r="FWB338" s="1"/>
      <c r="FWC338" s="1"/>
      <c r="FWD338" s="1"/>
      <c r="FWE338" s="1"/>
      <c r="FWF338" s="1"/>
      <c r="FWG338" s="1"/>
      <c r="FWH338" s="1"/>
      <c r="FWI338" s="1"/>
      <c r="FWJ338" s="1"/>
      <c r="FWK338" s="1"/>
      <c r="FWL338" s="1"/>
      <c r="FWM338" s="1"/>
      <c r="FWN338" s="1"/>
      <c r="FWO338" s="1"/>
      <c r="FWP338" s="1"/>
      <c r="FWQ338" s="1"/>
      <c r="FWR338" s="1"/>
      <c r="FWS338" s="1"/>
      <c r="FWT338" s="1"/>
      <c r="FWU338" s="1"/>
      <c r="FWV338" s="1"/>
      <c r="FWW338" s="1"/>
      <c r="FWX338" s="1"/>
      <c r="FWY338" s="1"/>
      <c r="FWZ338" s="1"/>
      <c r="FXA338" s="1"/>
      <c r="FXB338" s="1"/>
      <c r="FXC338" s="1"/>
      <c r="FXD338" s="1"/>
      <c r="FXE338" s="1"/>
      <c r="FXF338" s="1"/>
      <c r="FXG338" s="1"/>
      <c r="FXH338" s="1"/>
      <c r="FXI338" s="1"/>
      <c r="FXJ338" s="1"/>
      <c r="FXK338" s="1"/>
      <c r="FXL338" s="1"/>
      <c r="FXM338" s="1"/>
      <c r="FXN338" s="1"/>
      <c r="FXO338" s="1"/>
      <c r="FXP338" s="1"/>
      <c r="FXQ338" s="1"/>
      <c r="FXR338" s="1"/>
      <c r="FXS338" s="1"/>
      <c r="FXT338" s="1"/>
      <c r="FXU338" s="1"/>
      <c r="FXV338" s="1"/>
      <c r="FXW338" s="1"/>
      <c r="FXX338" s="1"/>
      <c r="FXY338" s="1"/>
      <c r="FXZ338" s="1"/>
      <c r="FYA338" s="1"/>
      <c r="FYB338" s="1"/>
      <c r="FYC338" s="1"/>
      <c r="FYD338" s="1"/>
      <c r="FYE338" s="1"/>
      <c r="FYF338" s="1"/>
      <c r="FYG338" s="1"/>
      <c r="FYH338" s="1"/>
      <c r="FYI338" s="1"/>
      <c r="FYJ338" s="1"/>
      <c r="FYK338" s="1"/>
      <c r="FYL338" s="1"/>
      <c r="FYM338" s="1"/>
      <c r="FYN338" s="1"/>
      <c r="FYO338" s="1"/>
      <c r="FYP338" s="1"/>
      <c r="FYQ338" s="1"/>
      <c r="FYR338" s="1"/>
      <c r="FYS338" s="1"/>
      <c r="FYT338" s="1"/>
      <c r="FYU338" s="1"/>
      <c r="FYV338" s="1"/>
      <c r="FYW338" s="1"/>
      <c r="FYX338" s="1"/>
      <c r="FYY338" s="1"/>
      <c r="FYZ338" s="1"/>
      <c r="FZA338" s="1"/>
      <c r="FZB338" s="1"/>
      <c r="FZC338" s="1"/>
      <c r="FZD338" s="1"/>
      <c r="FZE338" s="1"/>
      <c r="FZF338" s="1"/>
      <c r="FZG338" s="1"/>
      <c r="FZH338" s="1"/>
      <c r="FZI338" s="1"/>
      <c r="FZJ338" s="1"/>
      <c r="FZK338" s="1"/>
      <c r="FZL338" s="1"/>
      <c r="FZM338" s="1"/>
      <c r="FZN338" s="1"/>
      <c r="FZO338" s="1"/>
      <c r="FZP338" s="1"/>
      <c r="FZQ338" s="1"/>
      <c r="FZR338" s="1"/>
      <c r="FZS338" s="1"/>
      <c r="FZT338" s="1"/>
      <c r="FZU338" s="1"/>
      <c r="FZV338" s="1"/>
      <c r="FZW338" s="1"/>
      <c r="FZX338" s="1"/>
      <c r="FZY338" s="1"/>
      <c r="FZZ338" s="1"/>
      <c r="GAA338" s="1"/>
      <c r="GAB338" s="1"/>
      <c r="GAC338" s="1"/>
      <c r="GAD338" s="1"/>
      <c r="GAE338" s="1"/>
      <c r="GAF338" s="1"/>
      <c r="GAG338" s="1"/>
      <c r="GAH338" s="1"/>
      <c r="GAI338" s="1"/>
      <c r="GAJ338" s="1"/>
      <c r="GAK338" s="1"/>
      <c r="GAL338" s="1"/>
      <c r="GAM338" s="1"/>
      <c r="GAN338" s="1"/>
      <c r="GAO338" s="1"/>
      <c r="GAP338" s="1"/>
      <c r="GAQ338" s="1"/>
      <c r="GAR338" s="1"/>
      <c r="GAS338" s="1"/>
      <c r="GAT338" s="1"/>
      <c r="GAU338" s="1"/>
      <c r="GAV338" s="1"/>
      <c r="GAW338" s="1"/>
      <c r="GAX338" s="1"/>
      <c r="GAY338" s="1"/>
      <c r="GAZ338" s="1"/>
      <c r="GBA338" s="1"/>
      <c r="GBB338" s="1"/>
      <c r="GBC338" s="1"/>
      <c r="GBD338" s="1"/>
      <c r="GBE338" s="1"/>
      <c r="GBF338" s="1"/>
      <c r="GBG338" s="1"/>
      <c r="GBH338" s="1"/>
      <c r="GBI338" s="1"/>
      <c r="GBJ338" s="1"/>
      <c r="GBK338" s="1"/>
      <c r="GBL338" s="1"/>
      <c r="GBM338" s="1"/>
      <c r="GBN338" s="1"/>
      <c r="GBO338" s="1"/>
      <c r="GBP338" s="1"/>
      <c r="GBQ338" s="1"/>
      <c r="GBR338" s="1"/>
      <c r="GBS338" s="1"/>
      <c r="GBT338" s="1"/>
      <c r="GBU338" s="1"/>
      <c r="GBV338" s="1"/>
      <c r="GBW338" s="1"/>
      <c r="GBX338" s="1"/>
      <c r="GBY338" s="1"/>
      <c r="GBZ338" s="1"/>
      <c r="GCA338" s="1"/>
      <c r="GCB338" s="1"/>
      <c r="GCC338" s="1"/>
      <c r="GCD338" s="1"/>
      <c r="GCE338" s="1"/>
      <c r="GCF338" s="1"/>
      <c r="GCG338" s="1"/>
      <c r="GCH338" s="1"/>
      <c r="GCI338" s="1"/>
      <c r="GCJ338" s="1"/>
      <c r="GCK338" s="1"/>
      <c r="GCL338" s="1"/>
      <c r="GCM338" s="1"/>
      <c r="GCN338" s="1"/>
      <c r="GCO338" s="1"/>
      <c r="GCP338" s="1"/>
      <c r="GCQ338" s="1"/>
      <c r="GCR338" s="1"/>
      <c r="GCS338" s="1"/>
      <c r="GCT338" s="1"/>
      <c r="GCU338" s="1"/>
      <c r="GCV338" s="1"/>
      <c r="GCW338" s="1"/>
      <c r="GCX338" s="1"/>
      <c r="GCY338" s="1"/>
      <c r="GCZ338" s="1"/>
      <c r="GDA338" s="1"/>
      <c r="GDB338" s="1"/>
      <c r="GDC338" s="1"/>
      <c r="GDD338" s="1"/>
      <c r="GDE338" s="1"/>
      <c r="GDF338" s="1"/>
      <c r="GDG338" s="1"/>
      <c r="GDH338" s="1"/>
      <c r="GDI338" s="1"/>
      <c r="GDJ338" s="1"/>
      <c r="GDK338" s="1"/>
      <c r="GDL338" s="1"/>
      <c r="GDM338" s="1"/>
      <c r="GDN338" s="1"/>
      <c r="GDO338" s="1"/>
      <c r="GDP338" s="1"/>
      <c r="GDQ338" s="1"/>
      <c r="GDR338" s="1"/>
      <c r="GDS338" s="1"/>
      <c r="GDT338" s="1"/>
      <c r="GDU338" s="1"/>
      <c r="GDV338" s="1"/>
      <c r="GDW338" s="1"/>
      <c r="GDX338" s="1"/>
      <c r="GDY338" s="1"/>
      <c r="GDZ338" s="1"/>
      <c r="GEA338" s="1"/>
      <c r="GEB338" s="1"/>
      <c r="GEC338" s="1"/>
      <c r="GED338" s="1"/>
      <c r="GEE338" s="1"/>
      <c r="GEF338" s="1"/>
      <c r="GEG338" s="1"/>
      <c r="GEH338" s="1"/>
      <c r="GEI338" s="1"/>
      <c r="GEJ338" s="1"/>
      <c r="GEK338" s="1"/>
      <c r="GEL338" s="1"/>
      <c r="GEM338" s="1"/>
      <c r="GEN338" s="1"/>
      <c r="GEO338" s="1"/>
      <c r="GEP338" s="1"/>
      <c r="GEQ338" s="1"/>
      <c r="GER338" s="1"/>
      <c r="GES338" s="1"/>
      <c r="GET338" s="1"/>
      <c r="GEU338" s="1"/>
      <c r="GEV338" s="1"/>
      <c r="GEW338" s="1"/>
      <c r="GEX338" s="1"/>
      <c r="GEY338" s="1"/>
      <c r="GEZ338" s="1"/>
      <c r="GFA338" s="1"/>
      <c r="GFB338" s="1"/>
      <c r="GFC338" s="1"/>
      <c r="GFD338" s="1"/>
      <c r="GFE338" s="1"/>
      <c r="GFF338" s="1"/>
      <c r="GFG338" s="1"/>
      <c r="GFH338" s="1"/>
      <c r="GFI338" s="1"/>
      <c r="GFJ338" s="1"/>
      <c r="GFK338" s="1"/>
      <c r="GFL338" s="1"/>
      <c r="GFM338" s="1"/>
      <c r="GFN338" s="1"/>
      <c r="GFO338" s="1"/>
      <c r="GFP338" s="1"/>
      <c r="GFQ338" s="1"/>
      <c r="GFR338" s="1"/>
      <c r="GFS338" s="1"/>
      <c r="GFT338" s="1"/>
      <c r="GFU338" s="1"/>
      <c r="GFV338" s="1"/>
      <c r="GFW338" s="1"/>
      <c r="GFX338" s="1"/>
      <c r="GFY338" s="1"/>
      <c r="GFZ338" s="1"/>
      <c r="GGA338" s="1"/>
      <c r="GGB338" s="1"/>
      <c r="GGC338" s="1"/>
      <c r="GGD338" s="1"/>
      <c r="GGE338" s="1"/>
      <c r="GGF338" s="1"/>
      <c r="GGG338" s="1"/>
      <c r="GGH338" s="1"/>
      <c r="GGI338" s="1"/>
      <c r="GGJ338" s="1"/>
      <c r="GGK338" s="1"/>
      <c r="GGL338" s="1"/>
      <c r="GGM338" s="1"/>
      <c r="GGN338" s="1"/>
      <c r="GGO338" s="1"/>
      <c r="GGP338" s="1"/>
      <c r="GGQ338" s="1"/>
      <c r="GGR338" s="1"/>
      <c r="GGS338" s="1"/>
      <c r="GGT338" s="1"/>
      <c r="GGU338" s="1"/>
      <c r="GGV338" s="1"/>
      <c r="GGW338" s="1"/>
      <c r="GGX338" s="1"/>
      <c r="GGY338" s="1"/>
      <c r="GGZ338" s="1"/>
      <c r="GHA338" s="1"/>
      <c r="GHB338" s="1"/>
      <c r="GHC338" s="1"/>
      <c r="GHD338" s="1"/>
      <c r="GHE338" s="1"/>
      <c r="GHF338" s="1"/>
      <c r="GHG338" s="1"/>
      <c r="GHH338" s="1"/>
      <c r="GHI338" s="1"/>
      <c r="GHJ338" s="1"/>
      <c r="GHK338" s="1"/>
      <c r="GHL338" s="1"/>
      <c r="GHM338" s="1"/>
      <c r="GHN338" s="1"/>
      <c r="GHO338" s="1"/>
      <c r="GHP338" s="1"/>
      <c r="GHQ338" s="1"/>
      <c r="GHR338" s="1"/>
      <c r="GHS338" s="1"/>
      <c r="GHT338" s="1"/>
      <c r="GHU338" s="1"/>
      <c r="GHV338" s="1"/>
      <c r="GHW338" s="1"/>
      <c r="GHX338" s="1"/>
      <c r="GHY338" s="1"/>
      <c r="GHZ338" s="1"/>
      <c r="GIA338" s="1"/>
      <c r="GIB338" s="1"/>
      <c r="GIC338" s="1"/>
      <c r="GID338" s="1"/>
      <c r="GIE338" s="1"/>
      <c r="GIF338" s="1"/>
      <c r="GIG338" s="1"/>
      <c r="GIH338" s="1"/>
      <c r="GII338" s="1"/>
      <c r="GIJ338" s="1"/>
      <c r="GIK338" s="1"/>
      <c r="GIL338" s="1"/>
      <c r="GIM338" s="1"/>
      <c r="GIN338" s="1"/>
      <c r="GIO338" s="1"/>
      <c r="GIP338" s="1"/>
      <c r="GIQ338" s="1"/>
      <c r="GIR338" s="1"/>
      <c r="GIS338" s="1"/>
      <c r="GIT338" s="1"/>
      <c r="GIU338" s="1"/>
      <c r="GIV338" s="1"/>
      <c r="GIW338" s="1"/>
      <c r="GIX338" s="1"/>
      <c r="GIY338" s="1"/>
      <c r="GIZ338" s="1"/>
      <c r="GJA338" s="1"/>
      <c r="GJB338" s="1"/>
      <c r="GJC338" s="1"/>
      <c r="GJD338" s="1"/>
      <c r="GJE338" s="1"/>
      <c r="GJF338" s="1"/>
      <c r="GJG338" s="1"/>
      <c r="GJH338" s="1"/>
      <c r="GJI338" s="1"/>
      <c r="GJJ338" s="1"/>
      <c r="GJK338" s="1"/>
      <c r="GJL338" s="1"/>
      <c r="GJM338" s="1"/>
      <c r="GJN338" s="1"/>
      <c r="GJO338" s="1"/>
      <c r="GJP338" s="1"/>
      <c r="GJQ338" s="1"/>
      <c r="GJR338" s="1"/>
      <c r="GJS338" s="1"/>
      <c r="GJT338" s="1"/>
      <c r="GJU338" s="1"/>
      <c r="GJV338" s="1"/>
      <c r="GJW338" s="1"/>
      <c r="GJX338" s="1"/>
      <c r="GJY338" s="1"/>
      <c r="GJZ338" s="1"/>
      <c r="GKA338" s="1"/>
      <c r="GKB338" s="1"/>
      <c r="GKC338" s="1"/>
      <c r="GKD338" s="1"/>
      <c r="GKE338" s="1"/>
      <c r="GKF338" s="1"/>
      <c r="GKG338" s="1"/>
      <c r="GKH338" s="1"/>
      <c r="GKI338" s="1"/>
      <c r="GKJ338" s="1"/>
      <c r="GKK338" s="1"/>
      <c r="GKL338" s="1"/>
      <c r="GKM338" s="1"/>
      <c r="GKN338" s="1"/>
      <c r="GKO338" s="1"/>
      <c r="GKP338" s="1"/>
      <c r="GKQ338" s="1"/>
      <c r="GKR338" s="1"/>
      <c r="GKS338" s="1"/>
      <c r="GKT338" s="1"/>
      <c r="GKU338" s="1"/>
      <c r="GKV338" s="1"/>
      <c r="GKW338" s="1"/>
      <c r="GKX338" s="1"/>
      <c r="GKY338" s="1"/>
      <c r="GKZ338" s="1"/>
      <c r="GLA338" s="1"/>
      <c r="GLB338" s="1"/>
      <c r="GLC338" s="1"/>
      <c r="GLD338" s="1"/>
      <c r="GLE338" s="1"/>
      <c r="GLF338" s="1"/>
      <c r="GLG338" s="1"/>
      <c r="GLH338" s="1"/>
      <c r="GLI338" s="1"/>
      <c r="GLJ338" s="1"/>
      <c r="GLK338" s="1"/>
      <c r="GLL338" s="1"/>
      <c r="GLM338" s="1"/>
      <c r="GLN338" s="1"/>
      <c r="GLO338" s="1"/>
      <c r="GLP338" s="1"/>
      <c r="GLQ338" s="1"/>
      <c r="GLR338" s="1"/>
      <c r="GLS338" s="1"/>
      <c r="GLT338" s="1"/>
      <c r="GLU338" s="1"/>
      <c r="GLV338" s="1"/>
      <c r="GLW338" s="1"/>
      <c r="GLX338" s="1"/>
      <c r="GLY338" s="1"/>
      <c r="GLZ338" s="1"/>
      <c r="GMA338" s="1"/>
      <c r="GMB338" s="1"/>
      <c r="GMC338" s="1"/>
      <c r="GMD338" s="1"/>
      <c r="GME338" s="1"/>
      <c r="GMF338" s="1"/>
      <c r="GMG338" s="1"/>
      <c r="GMH338" s="1"/>
      <c r="GMI338" s="1"/>
      <c r="GMJ338" s="1"/>
      <c r="GMK338" s="1"/>
      <c r="GML338" s="1"/>
      <c r="GMM338" s="1"/>
      <c r="GMN338" s="1"/>
      <c r="GMO338" s="1"/>
      <c r="GMP338" s="1"/>
      <c r="GMQ338" s="1"/>
      <c r="GMR338" s="1"/>
      <c r="GMS338" s="1"/>
      <c r="GMT338" s="1"/>
      <c r="GMU338" s="1"/>
      <c r="GMV338" s="1"/>
      <c r="GMW338" s="1"/>
      <c r="GMX338" s="1"/>
      <c r="GMY338" s="1"/>
      <c r="GMZ338" s="1"/>
      <c r="GNA338" s="1"/>
      <c r="GNB338" s="1"/>
      <c r="GNC338" s="1"/>
      <c r="GND338" s="1"/>
      <c r="GNE338" s="1"/>
      <c r="GNF338" s="1"/>
      <c r="GNG338" s="1"/>
      <c r="GNH338" s="1"/>
      <c r="GNI338" s="1"/>
      <c r="GNJ338" s="1"/>
      <c r="GNK338" s="1"/>
      <c r="GNL338" s="1"/>
      <c r="GNM338" s="1"/>
      <c r="GNN338" s="1"/>
      <c r="GNO338" s="1"/>
      <c r="GNP338" s="1"/>
      <c r="GNQ338" s="1"/>
      <c r="GNR338" s="1"/>
      <c r="GNS338" s="1"/>
      <c r="GNT338" s="1"/>
      <c r="GNU338" s="1"/>
      <c r="GNV338" s="1"/>
      <c r="GNW338" s="1"/>
      <c r="GNX338" s="1"/>
      <c r="GNY338" s="1"/>
      <c r="GNZ338" s="1"/>
      <c r="GOA338" s="1"/>
      <c r="GOB338" s="1"/>
      <c r="GOC338" s="1"/>
      <c r="GOD338" s="1"/>
      <c r="GOE338" s="1"/>
      <c r="GOF338" s="1"/>
      <c r="GOG338" s="1"/>
      <c r="GOH338" s="1"/>
      <c r="GOI338" s="1"/>
      <c r="GOJ338" s="1"/>
      <c r="GOK338" s="1"/>
      <c r="GOL338" s="1"/>
      <c r="GOM338" s="1"/>
      <c r="GON338" s="1"/>
      <c r="GOO338" s="1"/>
      <c r="GOP338" s="1"/>
      <c r="GOQ338" s="1"/>
      <c r="GOR338" s="1"/>
      <c r="GOS338" s="1"/>
      <c r="GOT338" s="1"/>
      <c r="GOU338" s="1"/>
      <c r="GOV338" s="1"/>
      <c r="GOW338" s="1"/>
      <c r="GOX338" s="1"/>
      <c r="GOY338" s="1"/>
      <c r="GOZ338" s="1"/>
      <c r="GPA338" s="1"/>
      <c r="GPB338" s="1"/>
      <c r="GPC338" s="1"/>
      <c r="GPD338" s="1"/>
      <c r="GPE338" s="1"/>
      <c r="GPF338" s="1"/>
      <c r="GPG338" s="1"/>
      <c r="GPH338" s="1"/>
      <c r="GPI338" s="1"/>
      <c r="GPJ338" s="1"/>
      <c r="GPK338" s="1"/>
      <c r="GPL338" s="1"/>
      <c r="GPM338" s="1"/>
      <c r="GPN338" s="1"/>
      <c r="GPO338" s="1"/>
      <c r="GPP338" s="1"/>
      <c r="GPQ338" s="1"/>
      <c r="GPR338" s="1"/>
      <c r="GPS338" s="1"/>
      <c r="GPT338" s="1"/>
      <c r="GPU338" s="1"/>
      <c r="GPV338" s="1"/>
      <c r="GPW338" s="1"/>
      <c r="GPX338" s="1"/>
      <c r="GPY338" s="1"/>
      <c r="GPZ338" s="1"/>
      <c r="GQA338" s="1"/>
      <c r="GQB338" s="1"/>
      <c r="GQC338" s="1"/>
      <c r="GQD338" s="1"/>
      <c r="GQE338" s="1"/>
      <c r="GQF338" s="1"/>
      <c r="GQG338" s="1"/>
      <c r="GQH338" s="1"/>
      <c r="GQI338" s="1"/>
      <c r="GQJ338" s="1"/>
      <c r="GQK338" s="1"/>
      <c r="GQL338" s="1"/>
      <c r="GQM338" s="1"/>
      <c r="GQN338" s="1"/>
      <c r="GQO338" s="1"/>
      <c r="GQP338" s="1"/>
      <c r="GQQ338" s="1"/>
      <c r="GQR338" s="1"/>
      <c r="GQS338" s="1"/>
      <c r="GQT338" s="1"/>
      <c r="GQU338" s="1"/>
      <c r="GQV338" s="1"/>
      <c r="GQW338" s="1"/>
      <c r="GQX338" s="1"/>
      <c r="GQY338" s="1"/>
      <c r="GQZ338" s="1"/>
      <c r="GRA338" s="1"/>
      <c r="GRB338" s="1"/>
      <c r="GRC338" s="1"/>
      <c r="GRD338" s="1"/>
      <c r="GRE338" s="1"/>
      <c r="GRF338" s="1"/>
      <c r="GRG338" s="1"/>
      <c r="GRH338" s="1"/>
      <c r="GRI338" s="1"/>
      <c r="GRJ338" s="1"/>
      <c r="GRK338" s="1"/>
      <c r="GRL338" s="1"/>
      <c r="GRM338" s="1"/>
      <c r="GRN338" s="1"/>
      <c r="GRO338" s="1"/>
      <c r="GRP338" s="1"/>
      <c r="GRQ338" s="1"/>
      <c r="GRR338" s="1"/>
      <c r="GRS338" s="1"/>
      <c r="GRT338" s="1"/>
      <c r="GRU338" s="1"/>
      <c r="GRV338" s="1"/>
      <c r="GRW338" s="1"/>
      <c r="GRX338" s="1"/>
      <c r="GRY338" s="1"/>
      <c r="GRZ338" s="1"/>
      <c r="GSA338" s="1"/>
      <c r="GSB338" s="1"/>
      <c r="GSC338" s="1"/>
      <c r="GSD338" s="1"/>
      <c r="GSE338" s="1"/>
      <c r="GSF338" s="1"/>
      <c r="GSG338" s="1"/>
      <c r="GSH338" s="1"/>
      <c r="GSI338" s="1"/>
      <c r="GSJ338" s="1"/>
      <c r="GSK338" s="1"/>
      <c r="GSL338" s="1"/>
      <c r="GSM338" s="1"/>
      <c r="GSN338" s="1"/>
      <c r="GSO338" s="1"/>
      <c r="GSP338" s="1"/>
      <c r="GSQ338" s="1"/>
      <c r="GSR338" s="1"/>
      <c r="GSS338" s="1"/>
      <c r="GST338" s="1"/>
      <c r="GSU338" s="1"/>
      <c r="GSV338" s="1"/>
      <c r="GSW338" s="1"/>
      <c r="GSX338" s="1"/>
      <c r="GSY338" s="1"/>
      <c r="GSZ338" s="1"/>
      <c r="GTA338" s="1"/>
      <c r="GTB338" s="1"/>
      <c r="GTC338" s="1"/>
      <c r="GTD338" s="1"/>
      <c r="GTE338" s="1"/>
      <c r="GTF338" s="1"/>
      <c r="GTG338" s="1"/>
      <c r="GTH338" s="1"/>
      <c r="GTI338" s="1"/>
      <c r="GTJ338" s="1"/>
      <c r="GTK338" s="1"/>
      <c r="GTL338" s="1"/>
      <c r="GTM338" s="1"/>
      <c r="GTN338" s="1"/>
      <c r="GTO338" s="1"/>
      <c r="GTP338" s="1"/>
      <c r="GTQ338" s="1"/>
      <c r="GTR338" s="1"/>
      <c r="GTS338" s="1"/>
      <c r="GTT338" s="1"/>
      <c r="GTU338" s="1"/>
      <c r="GTV338" s="1"/>
      <c r="GTW338" s="1"/>
      <c r="GTX338" s="1"/>
      <c r="GTY338" s="1"/>
      <c r="GTZ338" s="1"/>
      <c r="GUA338" s="1"/>
      <c r="GUB338" s="1"/>
      <c r="GUC338" s="1"/>
      <c r="GUD338" s="1"/>
      <c r="GUE338" s="1"/>
      <c r="GUF338" s="1"/>
      <c r="GUG338" s="1"/>
      <c r="GUH338" s="1"/>
      <c r="GUI338" s="1"/>
      <c r="GUJ338" s="1"/>
      <c r="GUK338" s="1"/>
      <c r="GUL338" s="1"/>
      <c r="GUM338" s="1"/>
      <c r="GUN338" s="1"/>
      <c r="GUO338" s="1"/>
      <c r="GUP338" s="1"/>
      <c r="GUQ338" s="1"/>
      <c r="GUR338" s="1"/>
      <c r="GUS338" s="1"/>
      <c r="GUT338" s="1"/>
      <c r="GUU338" s="1"/>
      <c r="GUV338" s="1"/>
      <c r="GUW338" s="1"/>
      <c r="GUX338" s="1"/>
      <c r="GUY338" s="1"/>
      <c r="GUZ338" s="1"/>
      <c r="GVA338" s="1"/>
      <c r="GVB338" s="1"/>
      <c r="GVC338" s="1"/>
      <c r="GVD338" s="1"/>
      <c r="GVE338" s="1"/>
      <c r="GVF338" s="1"/>
      <c r="GVG338" s="1"/>
      <c r="GVH338" s="1"/>
      <c r="GVI338" s="1"/>
      <c r="GVJ338" s="1"/>
      <c r="GVK338" s="1"/>
      <c r="GVL338" s="1"/>
      <c r="GVM338" s="1"/>
      <c r="GVN338" s="1"/>
      <c r="GVO338" s="1"/>
      <c r="GVP338" s="1"/>
      <c r="GVQ338" s="1"/>
      <c r="GVR338" s="1"/>
      <c r="GVS338" s="1"/>
      <c r="GVT338" s="1"/>
      <c r="GVU338" s="1"/>
      <c r="GVV338" s="1"/>
      <c r="GVW338" s="1"/>
      <c r="GVX338" s="1"/>
      <c r="GVY338" s="1"/>
      <c r="GVZ338" s="1"/>
      <c r="GWA338" s="1"/>
      <c r="GWB338" s="1"/>
      <c r="GWC338" s="1"/>
      <c r="GWD338" s="1"/>
      <c r="GWE338" s="1"/>
      <c r="GWF338" s="1"/>
      <c r="GWG338" s="1"/>
      <c r="GWH338" s="1"/>
      <c r="GWI338" s="1"/>
      <c r="GWJ338" s="1"/>
      <c r="GWK338" s="1"/>
      <c r="GWL338" s="1"/>
      <c r="GWM338" s="1"/>
      <c r="GWN338" s="1"/>
      <c r="GWO338" s="1"/>
      <c r="GWP338" s="1"/>
      <c r="GWQ338" s="1"/>
      <c r="GWR338" s="1"/>
      <c r="GWS338" s="1"/>
      <c r="GWT338" s="1"/>
      <c r="GWU338" s="1"/>
      <c r="GWV338" s="1"/>
      <c r="GWW338" s="1"/>
      <c r="GWX338" s="1"/>
      <c r="GWY338" s="1"/>
      <c r="GWZ338" s="1"/>
      <c r="GXA338" s="1"/>
      <c r="GXB338" s="1"/>
      <c r="GXC338" s="1"/>
      <c r="GXD338" s="1"/>
      <c r="GXE338" s="1"/>
      <c r="GXF338" s="1"/>
      <c r="GXG338" s="1"/>
      <c r="GXH338" s="1"/>
      <c r="GXI338" s="1"/>
      <c r="GXJ338" s="1"/>
      <c r="GXK338" s="1"/>
      <c r="GXL338" s="1"/>
      <c r="GXM338" s="1"/>
      <c r="GXN338" s="1"/>
      <c r="GXO338" s="1"/>
      <c r="GXP338" s="1"/>
      <c r="GXQ338" s="1"/>
      <c r="GXR338" s="1"/>
      <c r="GXS338" s="1"/>
      <c r="GXT338" s="1"/>
      <c r="GXU338" s="1"/>
      <c r="GXV338" s="1"/>
      <c r="GXW338" s="1"/>
      <c r="GXX338" s="1"/>
      <c r="GXY338" s="1"/>
      <c r="GXZ338" s="1"/>
      <c r="GYA338" s="1"/>
      <c r="GYB338" s="1"/>
      <c r="GYC338" s="1"/>
      <c r="GYD338" s="1"/>
      <c r="GYE338" s="1"/>
      <c r="GYF338" s="1"/>
      <c r="GYG338" s="1"/>
      <c r="GYH338" s="1"/>
      <c r="GYI338" s="1"/>
      <c r="GYJ338" s="1"/>
      <c r="GYK338" s="1"/>
      <c r="GYL338" s="1"/>
      <c r="GYM338" s="1"/>
      <c r="GYN338" s="1"/>
      <c r="GYO338" s="1"/>
      <c r="GYP338" s="1"/>
      <c r="GYQ338" s="1"/>
      <c r="GYR338" s="1"/>
      <c r="GYS338" s="1"/>
      <c r="GYT338" s="1"/>
      <c r="GYU338" s="1"/>
      <c r="GYV338" s="1"/>
      <c r="GYW338" s="1"/>
      <c r="GYX338" s="1"/>
      <c r="GYY338" s="1"/>
      <c r="GYZ338" s="1"/>
      <c r="GZA338" s="1"/>
      <c r="GZB338" s="1"/>
      <c r="GZC338" s="1"/>
      <c r="GZD338" s="1"/>
      <c r="GZE338" s="1"/>
      <c r="GZF338" s="1"/>
      <c r="GZG338" s="1"/>
      <c r="GZH338" s="1"/>
      <c r="GZI338" s="1"/>
      <c r="GZJ338" s="1"/>
      <c r="GZK338" s="1"/>
      <c r="GZL338" s="1"/>
      <c r="GZM338" s="1"/>
      <c r="GZN338" s="1"/>
      <c r="GZO338" s="1"/>
      <c r="GZP338" s="1"/>
      <c r="GZQ338" s="1"/>
      <c r="GZR338" s="1"/>
      <c r="GZS338" s="1"/>
      <c r="GZT338" s="1"/>
      <c r="GZU338" s="1"/>
      <c r="GZV338" s="1"/>
      <c r="GZW338" s="1"/>
      <c r="GZX338" s="1"/>
      <c r="GZY338" s="1"/>
      <c r="GZZ338" s="1"/>
      <c r="HAA338" s="1"/>
      <c r="HAB338" s="1"/>
      <c r="HAC338" s="1"/>
      <c r="HAD338" s="1"/>
      <c r="HAE338" s="1"/>
      <c r="HAF338" s="1"/>
      <c r="HAG338" s="1"/>
      <c r="HAH338" s="1"/>
      <c r="HAI338" s="1"/>
      <c r="HAJ338" s="1"/>
      <c r="HAK338" s="1"/>
      <c r="HAL338" s="1"/>
      <c r="HAM338" s="1"/>
      <c r="HAN338" s="1"/>
      <c r="HAO338" s="1"/>
      <c r="HAP338" s="1"/>
      <c r="HAQ338" s="1"/>
      <c r="HAR338" s="1"/>
      <c r="HAS338" s="1"/>
      <c r="HAT338" s="1"/>
      <c r="HAU338" s="1"/>
      <c r="HAV338" s="1"/>
      <c r="HAW338" s="1"/>
      <c r="HAX338" s="1"/>
      <c r="HAY338" s="1"/>
      <c r="HAZ338" s="1"/>
      <c r="HBA338" s="1"/>
      <c r="HBB338" s="1"/>
      <c r="HBC338" s="1"/>
      <c r="HBD338" s="1"/>
      <c r="HBE338" s="1"/>
      <c r="HBF338" s="1"/>
      <c r="HBG338" s="1"/>
      <c r="HBH338" s="1"/>
      <c r="HBI338" s="1"/>
      <c r="HBJ338" s="1"/>
      <c r="HBK338" s="1"/>
      <c r="HBL338" s="1"/>
      <c r="HBM338" s="1"/>
      <c r="HBN338" s="1"/>
      <c r="HBO338" s="1"/>
      <c r="HBP338" s="1"/>
      <c r="HBQ338" s="1"/>
      <c r="HBR338" s="1"/>
      <c r="HBS338" s="1"/>
      <c r="HBT338" s="1"/>
      <c r="HBU338" s="1"/>
      <c r="HBV338" s="1"/>
      <c r="HBW338" s="1"/>
      <c r="HBX338" s="1"/>
      <c r="HBY338" s="1"/>
      <c r="HBZ338" s="1"/>
      <c r="HCA338" s="1"/>
      <c r="HCB338" s="1"/>
      <c r="HCC338" s="1"/>
      <c r="HCD338" s="1"/>
      <c r="HCE338" s="1"/>
      <c r="HCF338" s="1"/>
      <c r="HCG338" s="1"/>
      <c r="HCH338" s="1"/>
      <c r="HCI338" s="1"/>
      <c r="HCJ338" s="1"/>
      <c r="HCK338" s="1"/>
      <c r="HCL338" s="1"/>
      <c r="HCM338" s="1"/>
      <c r="HCN338" s="1"/>
      <c r="HCO338" s="1"/>
      <c r="HCP338" s="1"/>
      <c r="HCQ338" s="1"/>
      <c r="HCR338" s="1"/>
      <c r="HCS338" s="1"/>
      <c r="HCT338" s="1"/>
      <c r="HCU338" s="1"/>
      <c r="HCV338" s="1"/>
      <c r="HCW338" s="1"/>
      <c r="HCX338" s="1"/>
      <c r="HCY338" s="1"/>
      <c r="HCZ338" s="1"/>
      <c r="HDA338" s="1"/>
      <c r="HDB338" s="1"/>
      <c r="HDC338" s="1"/>
      <c r="HDD338" s="1"/>
      <c r="HDE338" s="1"/>
      <c r="HDF338" s="1"/>
      <c r="HDG338" s="1"/>
      <c r="HDH338" s="1"/>
      <c r="HDI338" s="1"/>
      <c r="HDJ338" s="1"/>
      <c r="HDK338" s="1"/>
      <c r="HDL338" s="1"/>
      <c r="HDM338" s="1"/>
      <c r="HDN338" s="1"/>
      <c r="HDO338" s="1"/>
      <c r="HDP338" s="1"/>
      <c r="HDQ338" s="1"/>
      <c r="HDR338" s="1"/>
      <c r="HDS338" s="1"/>
      <c r="HDT338" s="1"/>
      <c r="HDU338" s="1"/>
      <c r="HDV338" s="1"/>
      <c r="HDW338" s="1"/>
      <c r="HDX338" s="1"/>
      <c r="HDY338" s="1"/>
      <c r="HDZ338" s="1"/>
      <c r="HEA338" s="1"/>
      <c r="HEB338" s="1"/>
      <c r="HEC338" s="1"/>
      <c r="HED338" s="1"/>
      <c r="HEE338" s="1"/>
      <c r="HEF338" s="1"/>
      <c r="HEG338" s="1"/>
      <c r="HEH338" s="1"/>
      <c r="HEI338" s="1"/>
      <c r="HEJ338" s="1"/>
      <c r="HEK338" s="1"/>
      <c r="HEL338" s="1"/>
      <c r="HEM338" s="1"/>
      <c r="HEN338" s="1"/>
      <c r="HEO338" s="1"/>
      <c r="HEP338" s="1"/>
      <c r="HEQ338" s="1"/>
      <c r="HER338" s="1"/>
      <c r="HES338" s="1"/>
      <c r="HET338" s="1"/>
      <c r="HEU338" s="1"/>
      <c r="HEV338" s="1"/>
      <c r="HEW338" s="1"/>
      <c r="HEX338" s="1"/>
      <c r="HEY338" s="1"/>
      <c r="HEZ338" s="1"/>
      <c r="HFA338" s="1"/>
      <c r="HFB338" s="1"/>
      <c r="HFC338" s="1"/>
      <c r="HFD338" s="1"/>
      <c r="HFE338" s="1"/>
      <c r="HFF338" s="1"/>
      <c r="HFG338" s="1"/>
      <c r="HFH338" s="1"/>
      <c r="HFI338" s="1"/>
      <c r="HFJ338" s="1"/>
      <c r="HFK338" s="1"/>
      <c r="HFL338" s="1"/>
      <c r="HFM338" s="1"/>
      <c r="HFN338" s="1"/>
      <c r="HFO338" s="1"/>
      <c r="HFP338" s="1"/>
      <c r="HFQ338" s="1"/>
      <c r="HFR338" s="1"/>
      <c r="HFS338" s="1"/>
      <c r="HFT338" s="1"/>
      <c r="HFU338" s="1"/>
      <c r="HFV338" s="1"/>
      <c r="HFW338" s="1"/>
      <c r="HFX338" s="1"/>
      <c r="HFY338" s="1"/>
      <c r="HFZ338" s="1"/>
      <c r="HGA338" s="1"/>
      <c r="HGB338" s="1"/>
      <c r="HGC338" s="1"/>
      <c r="HGD338" s="1"/>
      <c r="HGE338" s="1"/>
      <c r="HGF338" s="1"/>
      <c r="HGG338" s="1"/>
      <c r="HGH338" s="1"/>
      <c r="HGI338" s="1"/>
      <c r="HGJ338" s="1"/>
      <c r="HGK338" s="1"/>
      <c r="HGL338" s="1"/>
      <c r="HGM338" s="1"/>
      <c r="HGN338" s="1"/>
      <c r="HGO338" s="1"/>
      <c r="HGP338" s="1"/>
      <c r="HGQ338" s="1"/>
      <c r="HGR338" s="1"/>
      <c r="HGS338" s="1"/>
      <c r="HGT338" s="1"/>
      <c r="HGU338" s="1"/>
      <c r="HGV338" s="1"/>
      <c r="HGW338" s="1"/>
      <c r="HGX338" s="1"/>
      <c r="HGY338" s="1"/>
      <c r="HGZ338" s="1"/>
      <c r="HHA338" s="1"/>
      <c r="HHB338" s="1"/>
      <c r="HHC338" s="1"/>
      <c r="HHD338" s="1"/>
      <c r="HHE338" s="1"/>
      <c r="HHF338" s="1"/>
      <c r="HHG338" s="1"/>
      <c r="HHH338" s="1"/>
      <c r="HHI338" s="1"/>
      <c r="HHJ338" s="1"/>
      <c r="HHK338" s="1"/>
      <c r="HHL338" s="1"/>
      <c r="HHM338" s="1"/>
      <c r="HHN338" s="1"/>
      <c r="HHO338" s="1"/>
      <c r="HHP338" s="1"/>
      <c r="HHQ338" s="1"/>
      <c r="HHR338" s="1"/>
      <c r="HHS338" s="1"/>
      <c r="HHT338" s="1"/>
      <c r="HHU338" s="1"/>
      <c r="HHV338" s="1"/>
      <c r="HHW338" s="1"/>
      <c r="HHX338" s="1"/>
      <c r="HHY338" s="1"/>
      <c r="HHZ338" s="1"/>
      <c r="HIA338" s="1"/>
      <c r="HIB338" s="1"/>
      <c r="HIC338" s="1"/>
      <c r="HID338" s="1"/>
      <c r="HIE338" s="1"/>
      <c r="HIF338" s="1"/>
      <c r="HIG338" s="1"/>
      <c r="HIH338" s="1"/>
      <c r="HII338" s="1"/>
      <c r="HIJ338" s="1"/>
      <c r="HIK338" s="1"/>
      <c r="HIL338" s="1"/>
      <c r="HIM338" s="1"/>
      <c r="HIN338" s="1"/>
      <c r="HIO338" s="1"/>
      <c r="HIP338" s="1"/>
      <c r="HIQ338" s="1"/>
      <c r="HIR338" s="1"/>
      <c r="HIS338" s="1"/>
      <c r="HIT338" s="1"/>
      <c r="HIU338" s="1"/>
      <c r="HIV338" s="1"/>
      <c r="HIW338" s="1"/>
      <c r="HIX338" s="1"/>
      <c r="HIY338" s="1"/>
      <c r="HIZ338" s="1"/>
      <c r="HJA338" s="1"/>
      <c r="HJB338" s="1"/>
      <c r="HJC338" s="1"/>
      <c r="HJD338" s="1"/>
      <c r="HJE338" s="1"/>
      <c r="HJF338" s="1"/>
      <c r="HJG338" s="1"/>
      <c r="HJH338" s="1"/>
      <c r="HJI338" s="1"/>
      <c r="HJJ338" s="1"/>
      <c r="HJK338" s="1"/>
      <c r="HJL338" s="1"/>
      <c r="HJM338" s="1"/>
      <c r="HJN338" s="1"/>
      <c r="HJO338" s="1"/>
      <c r="HJP338" s="1"/>
      <c r="HJQ338" s="1"/>
      <c r="HJR338" s="1"/>
      <c r="HJS338" s="1"/>
      <c r="HJT338" s="1"/>
      <c r="HJU338" s="1"/>
      <c r="HJV338" s="1"/>
      <c r="HJW338" s="1"/>
      <c r="HJX338" s="1"/>
      <c r="HJY338" s="1"/>
      <c r="HJZ338" s="1"/>
      <c r="HKA338" s="1"/>
      <c r="HKB338" s="1"/>
      <c r="HKC338" s="1"/>
      <c r="HKD338" s="1"/>
      <c r="HKE338" s="1"/>
      <c r="HKF338" s="1"/>
      <c r="HKG338" s="1"/>
      <c r="HKH338" s="1"/>
      <c r="HKI338" s="1"/>
      <c r="HKJ338" s="1"/>
      <c r="HKK338" s="1"/>
      <c r="HKL338" s="1"/>
      <c r="HKM338" s="1"/>
      <c r="HKN338" s="1"/>
      <c r="HKO338" s="1"/>
      <c r="HKP338" s="1"/>
      <c r="HKQ338" s="1"/>
      <c r="HKR338" s="1"/>
      <c r="HKS338" s="1"/>
      <c r="HKT338" s="1"/>
      <c r="HKU338" s="1"/>
      <c r="HKV338" s="1"/>
      <c r="HKW338" s="1"/>
      <c r="HKX338" s="1"/>
      <c r="HKY338" s="1"/>
      <c r="HKZ338" s="1"/>
      <c r="HLA338" s="1"/>
      <c r="HLB338" s="1"/>
      <c r="HLC338" s="1"/>
      <c r="HLD338" s="1"/>
      <c r="HLE338" s="1"/>
      <c r="HLF338" s="1"/>
      <c r="HLG338" s="1"/>
      <c r="HLH338" s="1"/>
      <c r="HLI338" s="1"/>
      <c r="HLJ338" s="1"/>
      <c r="HLK338" s="1"/>
      <c r="HLL338" s="1"/>
      <c r="HLM338" s="1"/>
      <c r="HLN338" s="1"/>
      <c r="HLO338" s="1"/>
      <c r="HLP338" s="1"/>
      <c r="HLQ338" s="1"/>
      <c r="HLR338" s="1"/>
      <c r="HLS338" s="1"/>
      <c r="HLT338" s="1"/>
      <c r="HLU338" s="1"/>
      <c r="HLV338" s="1"/>
      <c r="HLW338" s="1"/>
      <c r="HLX338" s="1"/>
      <c r="HLY338" s="1"/>
      <c r="HLZ338" s="1"/>
      <c r="HMA338" s="1"/>
      <c r="HMB338" s="1"/>
      <c r="HMC338" s="1"/>
      <c r="HMD338" s="1"/>
      <c r="HME338" s="1"/>
      <c r="HMF338" s="1"/>
      <c r="HMG338" s="1"/>
      <c r="HMH338" s="1"/>
      <c r="HMI338" s="1"/>
      <c r="HMJ338" s="1"/>
      <c r="HMK338" s="1"/>
      <c r="HML338" s="1"/>
      <c r="HMM338" s="1"/>
      <c r="HMN338" s="1"/>
      <c r="HMO338" s="1"/>
      <c r="HMP338" s="1"/>
      <c r="HMQ338" s="1"/>
      <c r="HMR338" s="1"/>
      <c r="HMS338" s="1"/>
      <c r="HMT338" s="1"/>
      <c r="HMU338" s="1"/>
      <c r="HMV338" s="1"/>
      <c r="HMW338" s="1"/>
      <c r="HMX338" s="1"/>
      <c r="HMY338" s="1"/>
      <c r="HMZ338" s="1"/>
      <c r="HNA338" s="1"/>
      <c r="HNB338" s="1"/>
      <c r="HNC338" s="1"/>
      <c r="HND338" s="1"/>
      <c r="HNE338" s="1"/>
      <c r="HNF338" s="1"/>
      <c r="HNG338" s="1"/>
      <c r="HNH338" s="1"/>
      <c r="HNI338" s="1"/>
      <c r="HNJ338" s="1"/>
      <c r="HNK338" s="1"/>
      <c r="HNL338" s="1"/>
      <c r="HNM338" s="1"/>
      <c r="HNN338" s="1"/>
      <c r="HNO338" s="1"/>
      <c r="HNP338" s="1"/>
      <c r="HNQ338" s="1"/>
      <c r="HNR338" s="1"/>
      <c r="HNS338" s="1"/>
      <c r="HNT338" s="1"/>
      <c r="HNU338" s="1"/>
      <c r="HNV338" s="1"/>
      <c r="HNW338" s="1"/>
      <c r="HNX338" s="1"/>
      <c r="HNY338" s="1"/>
      <c r="HNZ338" s="1"/>
      <c r="HOA338" s="1"/>
      <c r="HOB338" s="1"/>
      <c r="HOC338" s="1"/>
      <c r="HOD338" s="1"/>
      <c r="HOE338" s="1"/>
      <c r="HOF338" s="1"/>
      <c r="HOG338" s="1"/>
      <c r="HOH338" s="1"/>
      <c r="HOI338" s="1"/>
      <c r="HOJ338" s="1"/>
      <c r="HOK338" s="1"/>
      <c r="HOL338" s="1"/>
      <c r="HOM338" s="1"/>
      <c r="HON338" s="1"/>
      <c r="HOO338" s="1"/>
      <c r="HOP338" s="1"/>
      <c r="HOQ338" s="1"/>
      <c r="HOR338" s="1"/>
      <c r="HOS338" s="1"/>
      <c r="HOT338" s="1"/>
      <c r="HOU338" s="1"/>
      <c r="HOV338" s="1"/>
      <c r="HOW338" s="1"/>
      <c r="HOX338" s="1"/>
      <c r="HOY338" s="1"/>
      <c r="HOZ338" s="1"/>
      <c r="HPA338" s="1"/>
      <c r="HPB338" s="1"/>
      <c r="HPC338" s="1"/>
      <c r="HPD338" s="1"/>
      <c r="HPE338" s="1"/>
      <c r="HPF338" s="1"/>
      <c r="HPG338" s="1"/>
      <c r="HPH338" s="1"/>
      <c r="HPI338" s="1"/>
      <c r="HPJ338" s="1"/>
      <c r="HPK338" s="1"/>
      <c r="HPL338" s="1"/>
      <c r="HPM338" s="1"/>
      <c r="HPN338" s="1"/>
      <c r="HPO338" s="1"/>
      <c r="HPP338" s="1"/>
      <c r="HPQ338" s="1"/>
      <c r="HPR338" s="1"/>
      <c r="HPS338" s="1"/>
      <c r="HPT338" s="1"/>
      <c r="HPU338" s="1"/>
      <c r="HPV338" s="1"/>
      <c r="HPW338" s="1"/>
      <c r="HPX338" s="1"/>
      <c r="HPY338" s="1"/>
      <c r="HPZ338" s="1"/>
      <c r="HQA338" s="1"/>
      <c r="HQB338" s="1"/>
      <c r="HQC338" s="1"/>
      <c r="HQD338" s="1"/>
      <c r="HQE338" s="1"/>
      <c r="HQF338" s="1"/>
      <c r="HQG338" s="1"/>
      <c r="HQH338" s="1"/>
      <c r="HQI338" s="1"/>
      <c r="HQJ338" s="1"/>
      <c r="HQK338" s="1"/>
      <c r="HQL338" s="1"/>
      <c r="HQM338" s="1"/>
      <c r="HQN338" s="1"/>
      <c r="HQO338" s="1"/>
      <c r="HQP338" s="1"/>
      <c r="HQQ338" s="1"/>
      <c r="HQR338" s="1"/>
      <c r="HQS338" s="1"/>
      <c r="HQT338" s="1"/>
      <c r="HQU338" s="1"/>
      <c r="HQV338" s="1"/>
      <c r="HQW338" s="1"/>
      <c r="HQX338" s="1"/>
      <c r="HQY338" s="1"/>
      <c r="HQZ338" s="1"/>
      <c r="HRA338" s="1"/>
      <c r="HRB338" s="1"/>
      <c r="HRC338" s="1"/>
      <c r="HRD338" s="1"/>
      <c r="HRE338" s="1"/>
      <c r="HRF338" s="1"/>
      <c r="HRG338" s="1"/>
      <c r="HRH338" s="1"/>
      <c r="HRI338" s="1"/>
      <c r="HRJ338" s="1"/>
      <c r="HRK338" s="1"/>
      <c r="HRL338" s="1"/>
      <c r="HRM338" s="1"/>
      <c r="HRN338" s="1"/>
      <c r="HRO338" s="1"/>
      <c r="HRP338" s="1"/>
      <c r="HRQ338" s="1"/>
      <c r="HRR338" s="1"/>
      <c r="HRS338" s="1"/>
      <c r="HRT338" s="1"/>
      <c r="HRU338" s="1"/>
      <c r="HRV338" s="1"/>
      <c r="HRW338" s="1"/>
      <c r="HRX338" s="1"/>
      <c r="HRY338" s="1"/>
      <c r="HRZ338" s="1"/>
      <c r="HSA338" s="1"/>
      <c r="HSB338" s="1"/>
      <c r="HSC338" s="1"/>
      <c r="HSD338" s="1"/>
      <c r="HSE338" s="1"/>
      <c r="HSF338" s="1"/>
      <c r="HSG338" s="1"/>
      <c r="HSH338" s="1"/>
      <c r="HSI338" s="1"/>
      <c r="HSJ338" s="1"/>
      <c r="HSK338" s="1"/>
      <c r="HSL338" s="1"/>
      <c r="HSM338" s="1"/>
      <c r="HSN338" s="1"/>
      <c r="HSO338" s="1"/>
      <c r="HSP338" s="1"/>
      <c r="HSQ338" s="1"/>
      <c r="HSR338" s="1"/>
      <c r="HSS338" s="1"/>
      <c r="HST338" s="1"/>
      <c r="HSU338" s="1"/>
      <c r="HSV338" s="1"/>
      <c r="HSW338" s="1"/>
      <c r="HSX338" s="1"/>
      <c r="HSY338" s="1"/>
      <c r="HSZ338" s="1"/>
      <c r="HTA338" s="1"/>
      <c r="HTB338" s="1"/>
      <c r="HTC338" s="1"/>
      <c r="HTD338" s="1"/>
      <c r="HTE338" s="1"/>
      <c r="HTF338" s="1"/>
      <c r="HTG338" s="1"/>
      <c r="HTH338" s="1"/>
      <c r="HTI338" s="1"/>
      <c r="HTJ338" s="1"/>
      <c r="HTK338" s="1"/>
      <c r="HTL338" s="1"/>
      <c r="HTM338" s="1"/>
      <c r="HTN338" s="1"/>
      <c r="HTO338" s="1"/>
      <c r="HTP338" s="1"/>
      <c r="HTQ338" s="1"/>
      <c r="HTR338" s="1"/>
      <c r="HTS338" s="1"/>
      <c r="HTT338" s="1"/>
      <c r="HTU338" s="1"/>
      <c r="HTV338" s="1"/>
      <c r="HTW338" s="1"/>
      <c r="HTX338" s="1"/>
      <c r="HTY338" s="1"/>
      <c r="HTZ338" s="1"/>
      <c r="HUA338" s="1"/>
      <c r="HUB338" s="1"/>
      <c r="HUC338" s="1"/>
      <c r="HUD338" s="1"/>
      <c r="HUE338" s="1"/>
      <c r="HUF338" s="1"/>
      <c r="HUG338" s="1"/>
      <c r="HUH338" s="1"/>
      <c r="HUI338" s="1"/>
      <c r="HUJ338" s="1"/>
      <c r="HUK338" s="1"/>
      <c r="HUL338" s="1"/>
      <c r="HUM338" s="1"/>
      <c r="HUN338" s="1"/>
      <c r="HUO338" s="1"/>
      <c r="HUP338" s="1"/>
      <c r="HUQ338" s="1"/>
      <c r="HUR338" s="1"/>
      <c r="HUS338" s="1"/>
      <c r="HUT338" s="1"/>
      <c r="HUU338" s="1"/>
      <c r="HUV338" s="1"/>
      <c r="HUW338" s="1"/>
      <c r="HUX338" s="1"/>
      <c r="HUY338" s="1"/>
      <c r="HUZ338" s="1"/>
      <c r="HVA338" s="1"/>
      <c r="HVB338" s="1"/>
      <c r="HVC338" s="1"/>
      <c r="HVD338" s="1"/>
      <c r="HVE338" s="1"/>
      <c r="HVF338" s="1"/>
      <c r="HVG338" s="1"/>
      <c r="HVH338" s="1"/>
      <c r="HVI338" s="1"/>
      <c r="HVJ338" s="1"/>
      <c r="HVK338" s="1"/>
      <c r="HVL338" s="1"/>
      <c r="HVM338" s="1"/>
      <c r="HVN338" s="1"/>
      <c r="HVO338" s="1"/>
      <c r="HVP338" s="1"/>
      <c r="HVQ338" s="1"/>
      <c r="HVR338" s="1"/>
      <c r="HVS338" s="1"/>
      <c r="HVT338" s="1"/>
      <c r="HVU338" s="1"/>
      <c r="HVV338" s="1"/>
      <c r="HVW338" s="1"/>
      <c r="HVX338" s="1"/>
      <c r="HVY338" s="1"/>
      <c r="HVZ338" s="1"/>
      <c r="HWA338" s="1"/>
      <c r="HWB338" s="1"/>
      <c r="HWC338" s="1"/>
      <c r="HWD338" s="1"/>
      <c r="HWE338" s="1"/>
      <c r="HWF338" s="1"/>
      <c r="HWG338" s="1"/>
      <c r="HWH338" s="1"/>
      <c r="HWI338" s="1"/>
      <c r="HWJ338" s="1"/>
      <c r="HWK338" s="1"/>
      <c r="HWL338" s="1"/>
      <c r="HWM338" s="1"/>
      <c r="HWN338" s="1"/>
      <c r="HWO338" s="1"/>
      <c r="HWP338" s="1"/>
      <c r="HWQ338" s="1"/>
      <c r="HWR338" s="1"/>
      <c r="HWS338" s="1"/>
      <c r="HWT338" s="1"/>
      <c r="HWU338" s="1"/>
      <c r="HWV338" s="1"/>
      <c r="HWW338" s="1"/>
      <c r="HWX338" s="1"/>
      <c r="HWY338" s="1"/>
      <c r="HWZ338" s="1"/>
      <c r="HXA338" s="1"/>
      <c r="HXB338" s="1"/>
      <c r="HXC338" s="1"/>
      <c r="HXD338" s="1"/>
      <c r="HXE338" s="1"/>
      <c r="HXF338" s="1"/>
      <c r="HXG338" s="1"/>
      <c r="HXH338" s="1"/>
      <c r="HXI338" s="1"/>
      <c r="HXJ338" s="1"/>
      <c r="HXK338" s="1"/>
      <c r="HXL338" s="1"/>
      <c r="HXM338" s="1"/>
      <c r="HXN338" s="1"/>
      <c r="HXO338" s="1"/>
      <c r="HXP338" s="1"/>
      <c r="HXQ338" s="1"/>
      <c r="HXR338" s="1"/>
      <c r="HXS338" s="1"/>
      <c r="HXT338" s="1"/>
      <c r="HXU338" s="1"/>
      <c r="HXV338" s="1"/>
      <c r="HXW338" s="1"/>
      <c r="HXX338" s="1"/>
      <c r="HXY338" s="1"/>
      <c r="HXZ338" s="1"/>
      <c r="HYA338" s="1"/>
      <c r="HYB338" s="1"/>
      <c r="HYC338" s="1"/>
      <c r="HYD338" s="1"/>
      <c r="HYE338" s="1"/>
      <c r="HYF338" s="1"/>
      <c r="HYG338" s="1"/>
      <c r="HYH338" s="1"/>
      <c r="HYI338" s="1"/>
      <c r="HYJ338" s="1"/>
      <c r="HYK338" s="1"/>
      <c r="HYL338" s="1"/>
      <c r="HYM338" s="1"/>
      <c r="HYN338" s="1"/>
      <c r="HYO338" s="1"/>
      <c r="HYP338" s="1"/>
      <c r="HYQ338" s="1"/>
      <c r="HYR338" s="1"/>
      <c r="HYS338" s="1"/>
      <c r="HYT338" s="1"/>
      <c r="HYU338" s="1"/>
      <c r="HYV338" s="1"/>
      <c r="HYW338" s="1"/>
      <c r="HYX338" s="1"/>
      <c r="HYY338" s="1"/>
      <c r="HYZ338" s="1"/>
      <c r="HZA338" s="1"/>
      <c r="HZB338" s="1"/>
      <c r="HZC338" s="1"/>
      <c r="HZD338" s="1"/>
      <c r="HZE338" s="1"/>
      <c r="HZF338" s="1"/>
      <c r="HZG338" s="1"/>
      <c r="HZH338" s="1"/>
      <c r="HZI338" s="1"/>
      <c r="HZJ338" s="1"/>
      <c r="HZK338" s="1"/>
      <c r="HZL338" s="1"/>
      <c r="HZM338" s="1"/>
      <c r="HZN338" s="1"/>
      <c r="HZO338" s="1"/>
      <c r="HZP338" s="1"/>
      <c r="HZQ338" s="1"/>
      <c r="HZR338" s="1"/>
      <c r="HZS338" s="1"/>
      <c r="HZT338" s="1"/>
      <c r="HZU338" s="1"/>
      <c r="HZV338" s="1"/>
      <c r="HZW338" s="1"/>
      <c r="HZX338" s="1"/>
      <c r="HZY338" s="1"/>
      <c r="HZZ338" s="1"/>
      <c r="IAA338" s="1"/>
      <c r="IAB338" s="1"/>
      <c r="IAC338" s="1"/>
      <c r="IAD338" s="1"/>
      <c r="IAE338" s="1"/>
      <c r="IAF338" s="1"/>
      <c r="IAG338" s="1"/>
      <c r="IAH338" s="1"/>
      <c r="IAI338" s="1"/>
      <c r="IAJ338" s="1"/>
      <c r="IAK338" s="1"/>
      <c r="IAL338" s="1"/>
      <c r="IAM338" s="1"/>
      <c r="IAN338" s="1"/>
      <c r="IAO338" s="1"/>
      <c r="IAP338" s="1"/>
      <c r="IAQ338" s="1"/>
      <c r="IAR338" s="1"/>
      <c r="IAS338" s="1"/>
      <c r="IAT338" s="1"/>
      <c r="IAU338" s="1"/>
      <c r="IAV338" s="1"/>
      <c r="IAW338" s="1"/>
      <c r="IAX338" s="1"/>
      <c r="IAY338" s="1"/>
      <c r="IAZ338" s="1"/>
      <c r="IBA338" s="1"/>
      <c r="IBB338" s="1"/>
      <c r="IBC338" s="1"/>
      <c r="IBD338" s="1"/>
      <c r="IBE338" s="1"/>
      <c r="IBF338" s="1"/>
      <c r="IBG338" s="1"/>
      <c r="IBH338" s="1"/>
      <c r="IBI338" s="1"/>
      <c r="IBJ338" s="1"/>
      <c r="IBK338" s="1"/>
      <c r="IBL338" s="1"/>
      <c r="IBM338" s="1"/>
      <c r="IBN338" s="1"/>
      <c r="IBO338" s="1"/>
      <c r="IBP338" s="1"/>
      <c r="IBQ338" s="1"/>
      <c r="IBR338" s="1"/>
      <c r="IBS338" s="1"/>
      <c r="IBT338" s="1"/>
      <c r="IBU338" s="1"/>
      <c r="IBV338" s="1"/>
      <c r="IBW338" s="1"/>
      <c r="IBX338" s="1"/>
      <c r="IBY338" s="1"/>
      <c r="IBZ338" s="1"/>
      <c r="ICA338" s="1"/>
      <c r="ICB338" s="1"/>
      <c r="ICC338" s="1"/>
      <c r="ICD338" s="1"/>
      <c r="ICE338" s="1"/>
      <c r="ICF338" s="1"/>
      <c r="ICG338" s="1"/>
      <c r="ICH338" s="1"/>
      <c r="ICI338" s="1"/>
      <c r="ICJ338" s="1"/>
      <c r="ICK338" s="1"/>
      <c r="ICL338" s="1"/>
      <c r="ICM338" s="1"/>
      <c r="ICN338" s="1"/>
      <c r="ICO338" s="1"/>
      <c r="ICP338" s="1"/>
      <c r="ICQ338" s="1"/>
      <c r="ICR338" s="1"/>
      <c r="ICS338" s="1"/>
      <c r="ICT338" s="1"/>
      <c r="ICU338" s="1"/>
      <c r="ICV338" s="1"/>
      <c r="ICW338" s="1"/>
      <c r="ICX338" s="1"/>
      <c r="ICY338" s="1"/>
      <c r="ICZ338" s="1"/>
      <c r="IDA338" s="1"/>
      <c r="IDB338" s="1"/>
      <c r="IDC338" s="1"/>
      <c r="IDD338" s="1"/>
      <c r="IDE338" s="1"/>
      <c r="IDF338" s="1"/>
      <c r="IDG338" s="1"/>
      <c r="IDH338" s="1"/>
      <c r="IDI338" s="1"/>
      <c r="IDJ338" s="1"/>
      <c r="IDK338" s="1"/>
      <c r="IDL338" s="1"/>
      <c r="IDM338" s="1"/>
      <c r="IDN338" s="1"/>
      <c r="IDO338" s="1"/>
      <c r="IDP338" s="1"/>
      <c r="IDQ338" s="1"/>
      <c r="IDR338" s="1"/>
      <c r="IDS338" s="1"/>
      <c r="IDT338" s="1"/>
      <c r="IDU338" s="1"/>
      <c r="IDV338" s="1"/>
      <c r="IDW338" s="1"/>
      <c r="IDX338" s="1"/>
      <c r="IDY338" s="1"/>
      <c r="IDZ338" s="1"/>
      <c r="IEA338" s="1"/>
      <c r="IEB338" s="1"/>
      <c r="IEC338" s="1"/>
      <c r="IED338" s="1"/>
      <c r="IEE338" s="1"/>
      <c r="IEF338" s="1"/>
      <c r="IEG338" s="1"/>
      <c r="IEH338" s="1"/>
      <c r="IEI338" s="1"/>
      <c r="IEJ338" s="1"/>
      <c r="IEK338" s="1"/>
      <c r="IEL338" s="1"/>
      <c r="IEM338" s="1"/>
      <c r="IEN338" s="1"/>
      <c r="IEO338" s="1"/>
      <c r="IEP338" s="1"/>
      <c r="IEQ338" s="1"/>
      <c r="IER338" s="1"/>
      <c r="IES338" s="1"/>
      <c r="IET338" s="1"/>
      <c r="IEU338" s="1"/>
      <c r="IEV338" s="1"/>
      <c r="IEW338" s="1"/>
      <c r="IEX338" s="1"/>
      <c r="IEY338" s="1"/>
      <c r="IEZ338" s="1"/>
      <c r="IFA338" s="1"/>
      <c r="IFB338" s="1"/>
      <c r="IFC338" s="1"/>
      <c r="IFD338" s="1"/>
      <c r="IFE338" s="1"/>
      <c r="IFF338" s="1"/>
      <c r="IFG338" s="1"/>
      <c r="IFH338" s="1"/>
      <c r="IFI338" s="1"/>
      <c r="IFJ338" s="1"/>
      <c r="IFK338" s="1"/>
      <c r="IFL338" s="1"/>
      <c r="IFM338" s="1"/>
      <c r="IFN338" s="1"/>
      <c r="IFO338" s="1"/>
      <c r="IFP338" s="1"/>
      <c r="IFQ338" s="1"/>
      <c r="IFR338" s="1"/>
      <c r="IFS338" s="1"/>
      <c r="IFT338" s="1"/>
      <c r="IFU338" s="1"/>
      <c r="IFV338" s="1"/>
      <c r="IFW338" s="1"/>
      <c r="IFX338" s="1"/>
      <c r="IFY338" s="1"/>
      <c r="IFZ338" s="1"/>
      <c r="IGA338" s="1"/>
      <c r="IGB338" s="1"/>
      <c r="IGC338" s="1"/>
      <c r="IGD338" s="1"/>
      <c r="IGE338" s="1"/>
      <c r="IGF338" s="1"/>
      <c r="IGG338" s="1"/>
      <c r="IGH338" s="1"/>
      <c r="IGI338" s="1"/>
      <c r="IGJ338" s="1"/>
      <c r="IGK338" s="1"/>
      <c r="IGL338" s="1"/>
      <c r="IGM338" s="1"/>
      <c r="IGN338" s="1"/>
      <c r="IGO338" s="1"/>
      <c r="IGP338" s="1"/>
      <c r="IGQ338" s="1"/>
      <c r="IGR338" s="1"/>
      <c r="IGS338" s="1"/>
      <c r="IGT338" s="1"/>
      <c r="IGU338" s="1"/>
      <c r="IGV338" s="1"/>
      <c r="IGW338" s="1"/>
      <c r="IGX338" s="1"/>
      <c r="IGY338" s="1"/>
      <c r="IGZ338" s="1"/>
      <c r="IHA338" s="1"/>
      <c r="IHB338" s="1"/>
      <c r="IHC338" s="1"/>
      <c r="IHD338" s="1"/>
      <c r="IHE338" s="1"/>
      <c r="IHF338" s="1"/>
      <c r="IHG338" s="1"/>
      <c r="IHH338" s="1"/>
      <c r="IHI338" s="1"/>
      <c r="IHJ338" s="1"/>
      <c r="IHK338" s="1"/>
      <c r="IHL338" s="1"/>
      <c r="IHM338" s="1"/>
      <c r="IHN338" s="1"/>
      <c r="IHO338" s="1"/>
      <c r="IHP338" s="1"/>
      <c r="IHQ338" s="1"/>
      <c r="IHR338" s="1"/>
      <c r="IHS338" s="1"/>
      <c r="IHT338" s="1"/>
      <c r="IHU338" s="1"/>
      <c r="IHV338" s="1"/>
      <c r="IHW338" s="1"/>
      <c r="IHX338" s="1"/>
      <c r="IHY338" s="1"/>
      <c r="IHZ338" s="1"/>
      <c r="IIA338" s="1"/>
      <c r="IIB338" s="1"/>
      <c r="IIC338" s="1"/>
      <c r="IID338" s="1"/>
      <c r="IIE338" s="1"/>
      <c r="IIF338" s="1"/>
      <c r="IIG338" s="1"/>
      <c r="IIH338" s="1"/>
      <c r="III338" s="1"/>
      <c r="IIJ338" s="1"/>
      <c r="IIK338" s="1"/>
      <c r="IIL338" s="1"/>
      <c r="IIM338" s="1"/>
      <c r="IIN338" s="1"/>
      <c r="IIO338" s="1"/>
      <c r="IIP338" s="1"/>
      <c r="IIQ338" s="1"/>
      <c r="IIR338" s="1"/>
      <c r="IIS338" s="1"/>
      <c r="IIT338" s="1"/>
      <c r="IIU338" s="1"/>
      <c r="IIV338" s="1"/>
      <c r="IIW338" s="1"/>
      <c r="IIX338" s="1"/>
      <c r="IIY338" s="1"/>
      <c r="IIZ338" s="1"/>
      <c r="IJA338" s="1"/>
      <c r="IJB338" s="1"/>
      <c r="IJC338" s="1"/>
      <c r="IJD338" s="1"/>
      <c r="IJE338" s="1"/>
      <c r="IJF338" s="1"/>
      <c r="IJG338" s="1"/>
      <c r="IJH338" s="1"/>
      <c r="IJI338" s="1"/>
      <c r="IJJ338" s="1"/>
      <c r="IJK338" s="1"/>
      <c r="IJL338" s="1"/>
      <c r="IJM338" s="1"/>
      <c r="IJN338" s="1"/>
      <c r="IJO338" s="1"/>
      <c r="IJP338" s="1"/>
      <c r="IJQ338" s="1"/>
      <c r="IJR338" s="1"/>
      <c r="IJS338" s="1"/>
      <c r="IJT338" s="1"/>
      <c r="IJU338" s="1"/>
      <c r="IJV338" s="1"/>
      <c r="IJW338" s="1"/>
      <c r="IJX338" s="1"/>
      <c r="IJY338" s="1"/>
      <c r="IJZ338" s="1"/>
      <c r="IKA338" s="1"/>
      <c r="IKB338" s="1"/>
      <c r="IKC338" s="1"/>
      <c r="IKD338" s="1"/>
      <c r="IKE338" s="1"/>
      <c r="IKF338" s="1"/>
      <c r="IKG338" s="1"/>
      <c r="IKH338" s="1"/>
      <c r="IKI338" s="1"/>
      <c r="IKJ338" s="1"/>
      <c r="IKK338" s="1"/>
      <c r="IKL338" s="1"/>
      <c r="IKM338" s="1"/>
      <c r="IKN338" s="1"/>
      <c r="IKO338" s="1"/>
      <c r="IKP338" s="1"/>
      <c r="IKQ338" s="1"/>
      <c r="IKR338" s="1"/>
      <c r="IKS338" s="1"/>
      <c r="IKT338" s="1"/>
      <c r="IKU338" s="1"/>
      <c r="IKV338" s="1"/>
      <c r="IKW338" s="1"/>
      <c r="IKX338" s="1"/>
      <c r="IKY338" s="1"/>
      <c r="IKZ338" s="1"/>
      <c r="ILA338" s="1"/>
      <c r="ILB338" s="1"/>
      <c r="ILC338" s="1"/>
      <c r="ILD338" s="1"/>
      <c r="ILE338" s="1"/>
      <c r="ILF338" s="1"/>
      <c r="ILG338" s="1"/>
      <c r="ILH338" s="1"/>
      <c r="ILI338" s="1"/>
      <c r="ILJ338" s="1"/>
      <c r="ILK338" s="1"/>
      <c r="ILL338" s="1"/>
      <c r="ILM338" s="1"/>
      <c r="ILN338" s="1"/>
      <c r="ILO338" s="1"/>
      <c r="ILP338" s="1"/>
      <c r="ILQ338" s="1"/>
      <c r="ILR338" s="1"/>
      <c r="ILS338" s="1"/>
      <c r="ILT338" s="1"/>
      <c r="ILU338" s="1"/>
      <c r="ILV338" s="1"/>
      <c r="ILW338" s="1"/>
      <c r="ILX338" s="1"/>
      <c r="ILY338" s="1"/>
      <c r="ILZ338" s="1"/>
      <c r="IMA338" s="1"/>
      <c r="IMB338" s="1"/>
      <c r="IMC338" s="1"/>
      <c r="IMD338" s="1"/>
      <c r="IME338" s="1"/>
      <c r="IMF338" s="1"/>
      <c r="IMG338" s="1"/>
      <c r="IMH338" s="1"/>
      <c r="IMI338" s="1"/>
      <c r="IMJ338" s="1"/>
      <c r="IMK338" s="1"/>
      <c r="IML338" s="1"/>
      <c r="IMM338" s="1"/>
      <c r="IMN338" s="1"/>
      <c r="IMO338" s="1"/>
      <c r="IMP338" s="1"/>
      <c r="IMQ338" s="1"/>
      <c r="IMR338" s="1"/>
      <c r="IMS338" s="1"/>
      <c r="IMT338" s="1"/>
      <c r="IMU338" s="1"/>
      <c r="IMV338" s="1"/>
      <c r="IMW338" s="1"/>
      <c r="IMX338" s="1"/>
      <c r="IMY338" s="1"/>
      <c r="IMZ338" s="1"/>
      <c r="INA338" s="1"/>
      <c r="INB338" s="1"/>
      <c r="INC338" s="1"/>
      <c r="IND338" s="1"/>
      <c r="INE338" s="1"/>
      <c r="INF338" s="1"/>
      <c r="ING338" s="1"/>
      <c r="INH338" s="1"/>
      <c r="INI338" s="1"/>
      <c r="INJ338" s="1"/>
      <c r="INK338" s="1"/>
      <c r="INL338" s="1"/>
      <c r="INM338" s="1"/>
      <c r="INN338" s="1"/>
      <c r="INO338" s="1"/>
      <c r="INP338" s="1"/>
      <c r="INQ338" s="1"/>
      <c r="INR338" s="1"/>
      <c r="INS338" s="1"/>
      <c r="INT338" s="1"/>
      <c r="INU338" s="1"/>
      <c r="INV338" s="1"/>
      <c r="INW338" s="1"/>
      <c r="INX338" s="1"/>
      <c r="INY338" s="1"/>
      <c r="INZ338" s="1"/>
      <c r="IOA338" s="1"/>
      <c r="IOB338" s="1"/>
      <c r="IOC338" s="1"/>
      <c r="IOD338" s="1"/>
      <c r="IOE338" s="1"/>
      <c r="IOF338" s="1"/>
      <c r="IOG338" s="1"/>
      <c r="IOH338" s="1"/>
      <c r="IOI338" s="1"/>
      <c r="IOJ338" s="1"/>
      <c r="IOK338" s="1"/>
      <c r="IOL338" s="1"/>
      <c r="IOM338" s="1"/>
      <c r="ION338" s="1"/>
      <c r="IOO338" s="1"/>
      <c r="IOP338" s="1"/>
      <c r="IOQ338" s="1"/>
      <c r="IOR338" s="1"/>
      <c r="IOS338" s="1"/>
      <c r="IOT338" s="1"/>
      <c r="IOU338" s="1"/>
      <c r="IOV338" s="1"/>
      <c r="IOW338" s="1"/>
      <c r="IOX338" s="1"/>
      <c r="IOY338" s="1"/>
      <c r="IOZ338" s="1"/>
      <c r="IPA338" s="1"/>
      <c r="IPB338" s="1"/>
      <c r="IPC338" s="1"/>
      <c r="IPD338" s="1"/>
      <c r="IPE338" s="1"/>
      <c r="IPF338" s="1"/>
      <c r="IPG338" s="1"/>
      <c r="IPH338" s="1"/>
      <c r="IPI338" s="1"/>
      <c r="IPJ338" s="1"/>
      <c r="IPK338" s="1"/>
      <c r="IPL338" s="1"/>
      <c r="IPM338" s="1"/>
      <c r="IPN338" s="1"/>
      <c r="IPO338" s="1"/>
      <c r="IPP338" s="1"/>
      <c r="IPQ338" s="1"/>
      <c r="IPR338" s="1"/>
      <c r="IPS338" s="1"/>
      <c r="IPT338" s="1"/>
      <c r="IPU338" s="1"/>
      <c r="IPV338" s="1"/>
      <c r="IPW338" s="1"/>
      <c r="IPX338" s="1"/>
      <c r="IPY338" s="1"/>
      <c r="IPZ338" s="1"/>
      <c r="IQA338" s="1"/>
      <c r="IQB338" s="1"/>
      <c r="IQC338" s="1"/>
      <c r="IQD338" s="1"/>
      <c r="IQE338" s="1"/>
      <c r="IQF338" s="1"/>
      <c r="IQG338" s="1"/>
      <c r="IQH338" s="1"/>
      <c r="IQI338" s="1"/>
      <c r="IQJ338" s="1"/>
      <c r="IQK338" s="1"/>
      <c r="IQL338" s="1"/>
      <c r="IQM338" s="1"/>
      <c r="IQN338" s="1"/>
      <c r="IQO338" s="1"/>
      <c r="IQP338" s="1"/>
      <c r="IQQ338" s="1"/>
      <c r="IQR338" s="1"/>
      <c r="IQS338" s="1"/>
      <c r="IQT338" s="1"/>
      <c r="IQU338" s="1"/>
      <c r="IQV338" s="1"/>
      <c r="IQW338" s="1"/>
      <c r="IQX338" s="1"/>
      <c r="IQY338" s="1"/>
      <c r="IQZ338" s="1"/>
      <c r="IRA338" s="1"/>
      <c r="IRB338" s="1"/>
      <c r="IRC338" s="1"/>
      <c r="IRD338" s="1"/>
      <c r="IRE338" s="1"/>
      <c r="IRF338" s="1"/>
      <c r="IRG338" s="1"/>
      <c r="IRH338" s="1"/>
      <c r="IRI338" s="1"/>
      <c r="IRJ338" s="1"/>
      <c r="IRK338" s="1"/>
      <c r="IRL338" s="1"/>
      <c r="IRM338" s="1"/>
      <c r="IRN338" s="1"/>
      <c r="IRO338" s="1"/>
      <c r="IRP338" s="1"/>
      <c r="IRQ338" s="1"/>
      <c r="IRR338" s="1"/>
      <c r="IRS338" s="1"/>
      <c r="IRT338" s="1"/>
      <c r="IRU338" s="1"/>
      <c r="IRV338" s="1"/>
      <c r="IRW338" s="1"/>
      <c r="IRX338" s="1"/>
      <c r="IRY338" s="1"/>
      <c r="IRZ338" s="1"/>
      <c r="ISA338" s="1"/>
      <c r="ISB338" s="1"/>
      <c r="ISC338" s="1"/>
      <c r="ISD338" s="1"/>
      <c r="ISE338" s="1"/>
      <c r="ISF338" s="1"/>
      <c r="ISG338" s="1"/>
      <c r="ISH338" s="1"/>
      <c r="ISI338" s="1"/>
      <c r="ISJ338" s="1"/>
      <c r="ISK338" s="1"/>
      <c r="ISL338" s="1"/>
      <c r="ISM338" s="1"/>
      <c r="ISN338" s="1"/>
      <c r="ISO338" s="1"/>
      <c r="ISP338" s="1"/>
      <c r="ISQ338" s="1"/>
      <c r="ISR338" s="1"/>
      <c r="ISS338" s="1"/>
      <c r="IST338" s="1"/>
      <c r="ISU338" s="1"/>
      <c r="ISV338" s="1"/>
      <c r="ISW338" s="1"/>
      <c r="ISX338" s="1"/>
      <c r="ISY338" s="1"/>
      <c r="ISZ338" s="1"/>
      <c r="ITA338" s="1"/>
      <c r="ITB338" s="1"/>
      <c r="ITC338" s="1"/>
      <c r="ITD338" s="1"/>
      <c r="ITE338" s="1"/>
      <c r="ITF338" s="1"/>
      <c r="ITG338" s="1"/>
      <c r="ITH338" s="1"/>
      <c r="ITI338" s="1"/>
      <c r="ITJ338" s="1"/>
      <c r="ITK338" s="1"/>
      <c r="ITL338" s="1"/>
      <c r="ITM338" s="1"/>
      <c r="ITN338" s="1"/>
      <c r="ITO338" s="1"/>
      <c r="ITP338" s="1"/>
      <c r="ITQ338" s="1"/>
      <c r="ITR338" s="1"/>
      <c r="ITS338" s="1"/>
      <c r="ITT338" s="1"/>
      <c r="ITU338" s="1"/>
      <c r="ITV338" s="1"/>
      <c r="ITW338" s="1"/>
      <c r="ITX338" s="1"/>
      <c r="ITY338" s="1"/>
      <c r="ITZ338" s="1"/>
      <c r="IUA338" s="1"/>
      <c r="IUB338" s="1"/>
      <c r="IUC338" s="1"/>
      <c r="IUD338" s="1"/>
      <c r="IUE338" s="1"/>
      <c r="IUF338" s="1"/>
      <c r="IUG338" s="1"/>
      <c r="IUH338" s="1"/>
      <c r="IUI338" s="1"/>
      <c r="IUJ338" s="1"/>
      <c r="IUK338" s="1"/>
      <c r="IUL338" s="1"/>
      <c r="IUM338" s="1"/>
      <c r="IUN338" s="1"/>
      <c r="IUO338" s="1"/>
      <c r="IUP338" s="1"/>
      <c r="IUQ338" s="1"/>
      <c r="IUR338" s="1"/>
      <c r="IUS338" s="1"/>
      <c r="IUT338" s="1"/>
      <c r="IUU338" s="1"/>
      <c r="IUV338" s="1"/>
      <c r="IUW338" s="1"/>
      <c r="IUX338" s="1"/>
      <c r="IUY338" s="1"/>
      <c r="IUZ338" s="1"/>
      <c r="IVA338" s="1"/>
      <c r="IVB338" s="1"/>
      <c r="IVC338" s="1"/>
      <c r="IVD338" s="1"/>
      <c r="IVE338" s="1"/>
      <c r="IVF338" s="1"/>
      <c r="IVG338" s="1"/>
      <c r="IVH338" s="1"/>
      <c r="IVI338" s="1"/>
      <c r="IVJ338" s="1"/>
      <c r="IVK338" s="1"/>
      <c r="IVL338" s="1"/>
      <c r="IVM338" s="1"/>
      <c r="IVN338" s="1"/>
      <c r="IVO338" s="1"/>
      <c r="IVP338" s="1"/>
      <c r="IVQ338" s="1"/>
      <c r="IVR338" s="1"/>
      <c r="IVS338" s="1"/>
      <c r="IVT338" s="1"/>
      <c r="IVU338" s="1"/>
      <c r="IVV338" s="1"/>
      <c r="IVW338" s="1"/>
      <c r="IVX338" s="1"/>
      <c r="IVY338" s="1"/>
      <c r="IVZ338" s="1"/>
      <c r="IWA338" s="1"/>
      <c r="IWB338" s="1"/>
      <c r="IWC338" s="1"/>
      <c r="IWD338" s="1"/>
      <c r="IWE338" s="1"/>
      <c r="IWF338" s="1"/>
      <c r="IWG338" s="1"/>
      <c r="IWH338" s="1"/>
      <c r="IWI338" s="1"/>
      <c r="IWJ338" s="1"/>
      <c r="IWK338" s="1"/>
      <c r="IWL338" s="1"/>
      <c r="IWM338" s="1"/>
      <c r="IWN338" s="1"/>
      <c r="IWO338" s="1"/>
      <c r="IWP338" s="1"/>
      <c r="IWQ338" s="1"/>
      <c r="IWR338" s="1"/>
      <c r="IWS338" s="1"/>
      <c r="IWT338" s="1"/>
      <c r="IWU338" s="1"/>
      <c r="IWV338" s="1"/>
      <c r="IWW338" s="1"/>
      <c r="IWX338" s="1"/>
      <c r="IWY338" s="1"/>
      <c r="IWZ338" s="1"/>
      <c r="IXA338" s="1"/>
      <c r="IXB338" s="1"/>
      <c r="IXC338" s="1"/>
      <c r="IXD338" s="1"/>
      <c r="IXE338" s="1"/>
      <c r="IXF338" s="1"/>
      <c r="IXG338" s="1"/>
      <c r="IXH338" s="1"/>
      <c r="IXI338" s="1"/>
      <c r="IXJ338" s="1"/>
      <c r="IXK338" s="1"/>
      <c r="IXL338" s="1"/>
      <c r="IXM338" s="1"/>
      <c r="IXN338" s="1"/>
      <c r="IXO338" s="1"/>
      <c r="IXP338" s="1"/>
      <c r="IXQ338" s="1"/>
      <c r="IXR338" s="1"/>
      <c r="IXS338" s="1"/>
      <c r="IXT338" s="1"/>
      <c r="IXU338" s="1"/>
      <c r="IXV338" s="1"/>
      <c r="IXW338" s="1"/>
      <c r="IXX338" s="1"/>
      <c r="IXY338" s="1"/>
      <c r="IXZ338" s="1"/>
      <c r="IYA338" s="1"/>
      <c r="IYB338" s="1"/>
      <c r="IYC338" s="1"/>
      <c r="IYD338" s="1"/>
      <c r="IYE338" s="1"/>
      <c r="IYF338" s="1"/>
      <c r="IYG338" s="1"/>
      <c r="IYH338" s="1"/>
      <c r="IYI338" s="1"/>
      <c r="IYJ338" s="1"/>
      <c r="IYK338" s="1"/>
      <c r="IYL338" s="1"/>
      <c r="IYM338" s="1"/>
      <c r="IYN338" s="1"/>
      <c r="IYO338" s="1"/>
      <c r="IYP338" s="1"/>
      <c r="IYQ338" s="1"/>
      <c r="IYR338" s="1"/>
      <c r="IYS338" s="1"/>
      <c r="IYT338" s="1"/>
      <c r="IYU338" s="1"/>
      <c r="IYV338" s="1"/>
      <c r="IYW338" s="1"/>
      <c r="IYX338" s="1"/>
      <c r="IYY338" s="1"/>
      <c r="IYZ338" s="1"/>
      <c r="IZA338" s="1"/>
      <c r="IZB338" s="1"/>
      <c r="IZC338" s="1"/>
      <c r="IZD338" s="1"/>
      <c r="IZE338" s="1"/>
      <c r="IZF338" s="1"/>
      <c r="IZG338" s="1"/>
      <c r="IZH338" s="1"/>
      <c r="IZI338" s="1"/>
      <c r="IZJ338" s="1"/>
      <c r="IZK338" s="1"/>
      <c r="IZL338" s="1"/>
      <c r="IZM338" s="1"/>
      <c r="IZN338" s="1"/>
      <c r="IZO338" s="1"/>
      <c r="IZP338" s="1"/>
      <c r="IZQ338" s="1"/>
      <c r="IZR338" s="1"/>
      <c r="IZS338" s="1"/>
      <c r="IZT338" s="1"/>
      <c r="IZU338" s="1"/>
      <c r="IZV338" s="1"/>
      <c r="IZW338" s="1"/>
      <c r="IZX338" s="1"/>
      <c r="IZY338" s="1"/>
      <c r="IZZ338" s="1"/>
      <c r="JAA338" s="1"/>
      <c r="JAB338" s="1"/>
      <c r="JAC338" s="1"/>
      <c r="JAD338" s="1"/>
      <c r="JAE338" s="1"/>
      <c r="JAF338" s="1"/>
      <c r="JAG338" s="1"/>
      <c r="JAH338" s="1"/>
      <c r="JAI338" s="1"/>
      <c r="JAJ338" s="1"/>
      <c r="JAK338" s="1"/>
      <c r="JAL338" s="1"/>
      <c r="JAM338" s="1"/>
      <c r="JAN338" s="1"/>
      <c r="JAO338" s="1"/>
      <c r="JAP338" s="1"/>
      <c r="JAQ338" s="1"/>
      <c r="JAR338" s="1"/>
      <c r="JAS338" s="1"/>
      <c r="JAT338" s="1"/>
      <c r="JAU338" s="1"/>
      <c r="JAV338" s="1"/>
      <c r="JAW338" s="1"/>
      <c r="JAX338" s="1"/>
      <c r="JAY338" s="1"/>
      <c r="JAZ338" s="1"/>
      <c r="JBA338" s="1"/>
      <c r="JBB338" s="1"/>
      <c r="JBC338" s="1"/>
      <c r="JBD338" s="1"/>
      <c r="JBE338" s="1"/>
      <c r="JBF338" s="1"/>
      <c r="JBG338" s="1"/>
      <c r="JBH338" s="1"/>
      <c r="JBI338" s="1"/>
      <c r="JBJ338" s="1"/>
      <c r="JBK338" s="1"/>
      <c r="JBL338" s="1"/>
      <c r="JBM338" s="1"/>
      <c r="JBN338" s="1"/>
      <c r="JBO338" s="1"/>
      <c r="JBP338" s="1"/>
      <c r="JBQ338" s="1"/>
      <c r="JBR338" s="1"/>
      <c r="JBS338" s="1"/>
      <c r="JBT338" s="1"/>
      <c r="JBU338" s="1"/>
      <c r="JBV338" s="1"/>
      <c r="JBW338" s="1"/>
      <c r="JBX338" s="1"/>
      <c r="JBY338" s="1"/>
      <c r="JBZ338" s="1"/>
      <c r="JCA338" s="1"/>
      <c r="JCB338" s="1"/>
      <c r="JCC338" s="1"/>
      <c r="JCD338" s="1"/>
      <c r="JCE338" s="1"/>
      <c r="JCF338" s="1"/>
      <c r="JCG338" s="1"/>
      <c r="JCH338" s="1"/>
      <c r="JCI338" s="1"/>
      <c r="JCJ338" s="1"/>
      <c r="JCK338" s="1"/>
      <c r="JCL338" s="1"/>
      <c r="JCM338" s="1"/>
      <c r="JCN338" s="1"/>
      <c r="JCO338" s="1"/>
      <c r="JCP338" s="1"/>
      <c r="JCQ338" s="1"/>
      <c r="JCR338" s="1"/>
      <c r="JCS338" s="1"/>
      <c r="JCT338" s="1"/>
      <c r="JCU338" s="1"/>
      <c r="JCV338" s="1"/>
      <c r="JCW338" s="1"/>
      <c r="JCX338" s="1"/>
      <c r="JCY338" s="1"/>
      <c r="JCZ338" s="1"/>
      <c r="JDA338" s="1"/>
      <c r="JDB338" s="1"/>
      <c r="JDC338" s="1"/>
      <c r="JDD338" s="1"/>
      <c r="JDE338" s="1"/>
      <c r="JDF338" s="1"/>
      <c r="JDG338" s="1"/>
      <c r="JDH338" s="1"/>
      <c r="JDI338" s="1"/>
      <c r="JDJ338" s="1"/>
      <c r="JDK338" s="1"/>
      <c r="JDL338" s="1"/>
      <c r="JDM338" s="1"/>
      <c r="JDN338" s="1"/>
      <c r="JDO338" s="1"/>
      <c r="JDP338" s="1"/>
      <c r="JDQ338" s="1"/>
      <c r="JDR338" s="1"/>
      <c r="JDS338" s="1"/>
      <c r="JDT338" s="1"/>
      <c r="JDU338" s="1"/>
      <c r="JDV338" s="1"/>
      <c r="JDW338" s="1"/>
      <c r="JDX338" s="1"/>
      <c r="JDY338" s="1"/>
      <c r="JDZ338" s="1"/>
      <c r="JEA338" s="1"/>
      <c r="JEB338" s="1"/>
      <c r="JEC338" s="1"/>
      <c r="JED338" s="1"/>
      <c r="JEE338" s="1"/>
      <c r="JEF338" s="1"/>
      <c r="JEG338" s="1"/>
      <c r="JEH338" s="1"/>
      <c r="JEI338" s="1"/>
      <c r="JEJ338" s="1"/>
      <c r="JEK338" s="1"/>
      <c r="JEL338" s="1"/>
      <c r="JEM338" s="1"/>
      <c r="JEN338" s="1"/>
      <c r="JEO338" s="1"/>
      <c r="JEP338" s="1"/>
      <c r="JEQ338" s="1"/>
      <c r="JER338" s="1"/>
      <c r="JES338" s="1"/>
      <c r="JET338" s="1"/>
      <c r="JEU338" s="1"/>
      <c r="JEV338" s="1"/>
      <c r="JEW338" s="1"/>
      <c r="JEX338" s="1"/>
      <c r="JEY338" s="1"/>
      <c r="JEZ338" s="1"/>
      <c r="JFA338" s="1"/>
      <c r="JFB338" s="1"/>
      <c r="JFC338" s="1"/>
      <c r="JFD338" s="1"/>
      <c r="JFE338" s="1"/>
      <c r="JFF338" s="1"/>
      <c r="JFG338" s="1"/>
      <c r="JFH338" s="1"/>
      <c r="JFI338" s="1"/>
      <c r="JFJ338" s="1"/>
      <c r="JFK338" s="1"/>
      <c r="JFL338" s="1"/>
      <c r="JFM338" s="1"/>
      <c r="JFN338" s="1"/>
      <c r="JFO338" s="1"/>
      <c r="JFP338" s="1"/>
      <c r="JFQ338" s="1"/>
      <c r="JFR338" s="1"/>
      <c r="JFS338" s="1"/>
      <c r="JFT338" s="1"/>
      <c r="JFU338" s="1"/>
      <c r="JFV338" s="1"/>
      <c r="JFW338" s="1"/>
      <c r="JFX338" s="1"/>
      <c r="JFY338" s="1"/>
      <c r="JFZ338" s="1"/>
      <c r="JGA338" s="1"/>
      <c r="JGB338" s="1"/>
      <c r="JGC338" s="1"/>
      <c r="JGD338" s="1"/>
      <c r="JGE338" s="1"/>
      <c r="JGF338" s="1"/>
      <c r="JGG338" s="1"/>
      <c r="JGH338" s="1"/>
      <c r="JGI338" s="1"/>
      <c r="JGJ338" s="1"/>
      <c r="JGK338" s="1"/>
      <c r="JGL338" s="1"/>
      <c r="JGM338" s="1"/>
      <c r="JGN338" s="1"/>
      <c r="JGO338" s="1"/>
      <c r="JGP338" s="1"/>
      <c r="JGQ338" s="1"/>
      <c r="JGR338" s="1"/>
      <c r="JGS338" s="1"/>
      <c r="JGT338" s="1"/>
      <c r="JGU338" s="1"/>
      <c r="JGV338" s="1"/>
      <c r="JGW338" s="1"/>
      <c r="JGX338" s="1"/>
      <c r="JGY338" s="1"/>
      <c r="JGZ338" s="1"/>
      <c r="JHA338" s="1"/>
      <c r="JHB338" s="1"/>
      <c r="JHC338" s="1"/>
      <c r="JHD338" s="1"/>
      <c r="JHE338" s="1"/>
      <c r="JHF338" s="1"/>
      <c r="JHG338" s="1"/>
      <c r="JHH338" s="1"/>
      <c r="JHI338" s="1"/>
      <c r="JHJ338" s="1"/>
      <c r="JHK338" s="1"/>
      <c r="JHL338" s="1"/>
      <c r="JHM338" s="1"/>
      <c r="JHN338" s="1"/>
      <c r="JHO338" s="1"/>
      <c r="JHP338" s="1"/>
      <c r="JHQ338" s="1"/>
      <c r="JHR338" s="1"/>
      <c r="JHS338" s="1"/>
      <c r="JHT338" s="1"/>
      <c r="JHU338" s="1"/>
      <c r="JHV338" s="1"/>
      <c r="JHW338" s="1"/>
      <c r="JHX338" s="1"/>
      <c r="JHY338" s="1"/>
      <c r="JHZ338" s="1"/>
      <c r="JIA338" s="1"/>
      <c r="JIB338" s="1"/>
      <c r="JIC338" s="1"/>
      <c r="JID338" s="1"/>
      <c r="JIE338" s="1"/>
      <c r="JIF338" s="1"/>
      <c r="JIG338" s="1"/>
      <c r="JIH338" s="1"/>
      <c r="JII338" s="1"/>
      <c r="JIJ338" s="1"/>
      <c r="JIK338" s="1"/>
      <c r="JIL338" s="1"/>
      <c r="JIM338" s="1"/>
      <c r="JIN338" s="1"/>
      <c r="JIO338" s="1"/>
      <c r="JIP338" s="1"/>
      <c r="JIQ338" s="1"/>
      <c r="JIR338" s="1"/>
      <c r="JIS338" s="1"/>
      <c r="JIT338" s="1"/>
      <c r="JIU338" s="1"/>
      <c r="JIV338" s="1"/>
      <c r="JIW338" s="1"/>
      <c r="JIX338" s="1"/>
      <c r="JIY338" s="1"/>
      <c r="JIZ338" s="1"/>
      <c r="JJA338" s="1"/>
      <c r="JJB338" s="1"/>
      <c r="JJC338" s="1"/>
      <c r="JJD338" s="1"/>
      <c r="JJE338" s="1"/>
      <c r="JJF338" s="1"/>
      <c r="JJG338" s="1"/>
      <c r="JJH338" s="1"/>
      <c r="JJI338" s="1"/>
      <c r="JJJ338" s="1"/>
      <c r="JJK338" s="1"/>
      <c r="JJL338" s="1"/>
      <c r="JJM338" s="1"/>
      <c r="JJN338" s="1"/>
      <c r="JJO338" s="1"/>
      <c r="JJP338" s="1"/>
      <c r="JJQ338" s="1"/>
      <c r="JJR338" s="1"/>
      <c r="JJS338" s="1"/>
      <c r="JJT338" s="1"/>
      <c r="JJU338" s="1"/>
      <c r="JJV338" s="1"/>
      <c r="JJW338" s="1"/>
      <c r="JJX338" s="1"/>
      <c r="JJY338" s="1"/>
      <c r="JJZ338" s="1"/>
      <c r="JKA338" s="1"/>
      <c r="JKB338" s="1"/>
      <c r="JKC338" s="1"/>
      <c r="JKD338" s="1"/>
      <c r="JKE338" s="1"/>
      <c r="JKF338" s="1"/>
      <c r="JKG338" s="1"/>
      <c r="JKH338" s="1"/>
      <c r="JKI338" s="1"/>
      <c r="JKJ338" s="1"/>
      <c r="JKK338" s="1"/>
      <c r="JKL338" s="1"/>
      <c r="JKM338" s="1"/>
      <c r="JKN338" s="1"/>
      <c r="JKO338" s="1"/>
      <c r="JKP338" s="1"/>
      <c r="JKQ338" s="1"/>
      <c r="JKR338" s="1"/>
      <c r="JKS338" s="1"/>
      <c r="JKT338" s="1"/>
      <c r="JKU338" s="1"/>
      <c r="JKV338" s="1"/>
      <c r="JKW338" s="1"/>
      <c r="JKX338" s="1"/>
      <c r="JKY338" s="1"/>
      <c r="JKZ338" s="1"/>
      <c r="JLA338" s="1"/>
      <c r="JLB338" s="1"/>
      <c r="JLC338" s="1"/>
      <c r="JLD338" s="1"/>
      <c r="JLE338" s="1"/>
      <c r="JLF338" s="1"/>
      <c r="JLG338" s="1"/>
      <c r="JLH338" s="1"/>
      <c r="JLI338" s="1"/>
      <c r="JLJ338" s="1"/>
      <c r="JLK338" s="1"/>
      <c r="JLL338" s="1"/>
      <c r="JLM338" s="1"/>
      <c r="JLN338" s="1"/>
      <c r="JLO338" s="1"/>
      <c r="JLP338" s="1"/>
      <c r="JLQ338" s="1"/>
      <c r="JLR338" s="1"/>
      <c r="JLS338" s="1"/>
      <c r="JLT338" s="1"/>
      <c r="JLU338" s="1"/>
      <c r="JLV338" s="1"/>
      <c r="JLW338" s="1"/>
      <c r="JLX338" s="1"/>
      <c r="JLY338" s="1"/>
      <c r="JLZ338" s="1"/>
      <c r="JMA338" s="1"/>
      <c r="JMB338" s="1"/>
      <c r="JMC338" s="1"/>
      <c r="JMD338" s="1"/>
      <c r="JME338" s="1"/>
      <c r="JMF338" s="1"/>
      <c r="JMG338" s="1"/>
      <c r="JMH338" s="1"/>
      <c r="JMI338" s="1"/>
      <c r="JMJ338" s="1"/>
      <c r="JMK338" s="1"/>
      <c r="JML338" s="1"/>
      <c r="JMM338" s="1"/>
      <c r="JMN338" s="1"/>
      <c r="JMO338" s="1"/>
      <c r="JMP338" s="1"/>
      <c r="JMQ338" s="1"/>
      <c r="JMR338" s="1"/>
      <c r="JMS338" s="1"/>
      <c r="JMT338" s="1"/>
      <c r="JMU338" s="1"/>
      <c r="JMV338" s="1"/>
      <c r="JMW338" s="1"/>
      <c r="JMX338" s="1"/>
      <c r="JMY338" s="1"/>
      <c r="JMZ338" s="1"/>
      <c r="JNA338" s="1"/>
      <c r="JNB338" s="1"/>
      <c r="JNC338" s="1"/>
      <c r="JND338" s="1"/>
      <c r="JNE338" s="1"/>
      <c r="JNF338" s="1"/>
      <c r="JNG338" s="1"/>
      <c r="JNH338" s="1"/>
      <c r="JNI338" s="1"/>
      <c r="JNJ338" s="1"/>
      <c r="JNK338" s="1"/>
      <c r="JNL338" s="1"/>
      <c r="JNM338" s="1"/>
      <c r="JNN338" s="1"/>
      <c r="JNO338" s="1"/>
      <c r="JNP338" s="1"/>
      <c r="JNQ338" s="1"/>
      <c r="JNR338" s="1"/>
      <c r="JNS338" s="1"/>
      <c r="JNT338" s="1"/>
      <c r="JNU338" s="1"/>
      <c r="JNV338" s="1"/>
      <c r="JNW338" s="1"/>
      <c r="JNX338" s="1"/>
      <c r="JNY338" s="1"/>
      <c r="JNZ338" s="1"/>
      <c r="JOA338" s="1"/>
      <c r="JOB338" s="1"/>
      <c r="JOC338" s="1"/>
      <c r="JOD338" s="1"/>
      <c r="JOE338" s="1"/>
      <c r="JOF338" s="1"/>
      <c r="JOG338" s="1"/>
      <c r="JOH338" s="1"/>
      <c r="JOI338" s="1"/>
      <c r="JOJ338" s="1"/>
      <c r="JOK338" s="1"/>
      <c r="JOL338" s="1"/>
      <c r="JOM338" s="1"/>
      <c r="JON338" s="1"/>
      <c r="JOO338" s="1"/>
      <c r="JOP338" s="1"/>
      <c r="JOQ338" s="1"/>
      <c r="JOR338" s="1"/>
      <c r="JOS338" s="1"/>
      <c r="JOT338" s="1"/>
      <c r="JOU338" s="1"/>
      <c r="JOV338" s="1"/>
      <c r="JOW338" s="1"/>
      <c r="JOX338" s="1"/>
      <c r="JOY338" s="1"/>
      <c r="JOZ338" s="1"/>
      <c r="JPA338" s="1"/>
      <c r="JPB338" s="1"/>
      <c r="JPC338" s="1"/>
      <c r="JPD338" s="1"/>
      <c r="JPE338" s="1"/>
      <c r="JPF338" s="1"/>
      <c r="JPG338" s="1"/>
      <c r="JPH338" s="1"/>
      <c r="JPI338" s="1"/>
      <c r="JPJ338" s="1"/>
      <c r="JPK338" s="1"/>
      <c r="JPL338" s="1"/>
      <c r="JPM338" s="1"/>
      <c r="JPN338" s="1"/>
      <c r="JPO338" s="1"/>
      <c r="JPP338" s="1"/>
      <c r="JPQ338" s="1"/>
      <c r="JPR338" s="1"/>
      <c r="JPS338" s="1"/>
      <c r="JPT338" s="1"/>
      <c r="JPU338" s="1"/>
      <c r="JPV338" s="1"/>
      <c r="JPW338" s="1"/>
      <c r="JPX338" s="1"/>
      <c r="JPY338" s="1"/>
      <c r="JPZ338" s="1"/>
      <c r="JQA338" s="1"/>
      <c r="JQB338" s="1"/>
      <c r="JQC338" s="1"/>
      <c r="JQD338" s="1"/>
      <c r="JQE338" s="1"/>
      <c r="JQF338" s="1"/>
      <c r="JQG338" s="1"/>
      <c r="JQH338" s="1"/>
      <c r="JQI338" s="1"/>
      <c r="JQJ338" s="1"/>
      <c r="JQK338" s="1"/>
      <c r="JQL338" s="1"/>
      <c r="JQM338" s="1"/>
      <c r="JQN338" s="1"/>
      <c r="JQO338" s="1"/>
      <c r="JQP338" s="1"/>
      <c r="JQQ338" s="1"/>
      <c r="JQR338" s="1"/>
      <c r="JQS338" s="1"/>
      <c r="JQT338" s="1"/>
      <c r="JQU338" s="1"/>
      <c r="JQV338" s="1"/>
      <c r="JQW338" s="1"/>
      <c r="JQX338" s="1"/>
      <c r="JQY338" s="1"/>
      <c r="JQZ338" s="1"/>
      <c r="JRA338" s="1"/>
      <c r="JRB338" s="1"/>
      <c r="JRC338" s="1"/>
      <c r="JRD338" s="1"/>
      <c r="JRE338" s="1"/>
      <c r="JRF338" s="1"/>
      <c r="JRG338" s="1"/>
      <c r="JRH338" s="1"/>
      <c r="JRI338" s="1"/>
      <c r="JRJ338" s="1"/>
      <c r="JRK338" s="1"/>
      <c r="JRL338" s="1"/>
      <c r="JRM338" s="1"/>
      <c r="JRN338" s="1"/>
      <c r="JRO338" s="1"/>
      <c r="JRP338" s="1"/>
      <c r="JRQ338" s="1"/>
      <c r="JRR338" s="1"/>
      <c r="JRS338" s="1"/>
      <c r="JRT338" s="1"/>
      <c r="JRU338" s="1"/>
      <c r="JRV338" s="1"/>
      <c r="JRW338" s="1"/>
      <c r="JRX338" s="1"/>
      <c r="JRY338" s="1"/>
      <c r="JRZ338" s="1"/>
      <c r="JSA338" s="1"/>
      <c r="JSB338" s="1"/>
      <c r="JSC338" s="1"/>
      <c r="JSD338" s="1"/>
      <c r="JSE338" s="1"/>
      <c r="JSF338" s="1"/>
      <c r="JSG338" s="1"/>
      <c r="JSH338" s="1"/>
      <c r="JSI338" s="1"/>
      <c r="JSJ338" s="1"/>
      <c r="JSK338" s="1"/>
      <c r="JSL338" s="1"/>
      <c r="JSM338" s="1"/>
      <c r="JSN338" s="1"/>
      <c r="JSO338" s="1"/>
      <c r="JSP338" s="1"/>
      <c r="JSQ338" s="1"/>
      <c r="JSR338" s="1"/>
      <c r="JSS338" s="1"/>
      <c r="JST338" s="1"/>
      <c r="JSU338" s="1"/>
      <c r="JSV338" s="1"/>
      <c r="JSW338" s="1"/>
      <c r="JSX338" s="1"/>
      <c r="JSY338" s="1"/>
      <c r="JSZ338" s="1"/>
      <c r="JTA338" s="1"/>
      <c r="JTB338" s="1"/>
      <c r="JTC338" s="1"/>
      <c r="JTD338" s="1"/>
      <c r="JTE338" s="1"/>
      <c r="JTF338" s="1"/>
      <c r="JTG338" s="1"/>
      <c r="JTH338" s="1"/>
      <c r="JTI338" s="1"/>
      <c r="JTJ338" s="1"/>
      <c r="JTK338" s="1"/>
      <c r="JTL338" s="1"/>
      <c r="JTM338" s="1"/>
      <c r="JTN338" s="1"/>
      <c r="JTO338" s="1"/>
      <c r="JTP338" s="1"/>
      <c r="JTQ338" s="1"/>
      <c r="JTR338" s="1"/>
      <c r="JTS338" s="1"/>
      <c r="JTT338" s="1"/>
      <c r="JTU338" s="1"/>
      <c r="JTV338" s="1"/>
      <c r="JTW338" s="1"/>
      <c r="JTX338" s="1"/>
      <c r="JTY338" s="1"/>
      <c r="JTZ338" s="1"/>
      <c r="JUA338" s="1"/>
      <c r="JUB338" s="1"/>
      <c r="JUC338" s="1"/>
      <c r="JUD338" s="1"/>
      <c r="JUE338" s="1"/>
      <c r="JUF338" s="1"/>
      <c r="JUG338" s="1"/>
      <c r="JUH338" s="1"/>
      <c r="JUI338" s="1"/>
      <c r="JUJ338" s="1"/>
      <c r="JUK338" s="1"/>
      <c r="JUL338" s="1"/>
      <c r="JUM338" s="1"/>
      <c r="JUN338" s="1"/>
      <c r="JUO338" s="1"/>
      <c r="JUP338" s="1"/>
      <c r="JUQ338" s="1"/>
      <c r="JUR338" s="1"/>
      <c r="JUS338" s="1"/>
      <c r="JUT338" s="1"/>
      <c r="JUU338" s="1"/>
      <c r="JUV338" s="1"/>
      <c r="JUW338" s="1"/>
      <c r="JUX338" s="1"/>
      <c r="JUY338" s="1"/>
      <c r="JUZ338" s="1"/>
      <c r="JVA338" s="1"/>
      <c r="JVB338" s="1"/>
      <c r="JVC338" s="1"/>
      <c r="JVD338" s="1"/>
      <c r="JVE338" s="1"/>
      <c r="JVF338" s="1"/>
      <c r="JVG338" s="1"/>
      <c r="JVH338" s="1"/>
      <c r="JVI338" s="1"/>
      <c r="JVJ338" s="1"/>
      <c r="JVK338" s="1"/>
      <c r="JVL338" s="1"/>
      <c r="JVM338" s="1"/>
      <c r="JVN338" s="1"/>
      <c r="JVO338" s="1"/>
      <c r="JVP338" s="1"/>
      <c r="JVQ338" s="1"/>
      <c r="JVR338" s="1"/>
      <c r="JVS338" s="1"/>
      <c r="JVT338" s="1"/>
      <c r="JVU338" s="1"/>
      <c r="JVV338" s="1"/>
      <c r="JVW338" s="1"/>
      <c r="JVX338" s="1"/>
      <c r="JVY338" s="1"/>
      <c r="JVZ338" s="1"/>
      <c r="JWA338" s="1"/>
      <c r="JWB338" s="1"/>
      <c r="JWC338" s="1"/>
      <c r="JWD338" s="1"/>
      <c r="JWE338" s="1"/>
      <c r="JWF338" s="1"/>
      <c r="JWG338" s="1"/>
      <c r="JWH338" s="1"/>
      <c r="JWI338" s="1"/>
      <c r="JWJ338" s="1"/>
      <c r="JWK338" s="1"/>
      <c r="JWL338" s="1"/>
      <c r="JWM338" s="1"/>
      <c r="JWN338" s="1"/>
      <c r="JWO338" s="1"/>
      <c r="JWP338" s="1"/>
      <c r="JWQ338" s="1"/>
      <c r="JWR338" s="1"/>
      <c r="JWS338" s="1"/>
      <c r="JWT338" s="1"/>
      <c r="JWU338" s="1"/>
      <c r="JWV338" s="1"/>
      <c r="JWW338" s="1"/>
      <c r="JWX338" s="1"/>
      <c r="JWY338" s="1"/>
      <c r="JWZ338" s="1"/>
      <c r="JXA338" s="1"/>
      <c r="JXB338" s="1"/>
      <c r="JXC338" s="1"/>
      <c r="JXD338" s="1"/>
      <c r="JXE338" s="1"/>
      <c r="JXF338" s="1"/>
      <c r="JXG338" s="1"/>
      <c r="JXH338" s="1"/>
      <c r="JXI338" s="1"/>
      <c r="JXJ338" s="1"/>
      <c r="JXK338" s="1"/>
      <c r="JXL338" s="1"/>
      <c r="JXM338" s="1"/>
      <c r="JXN338" s="1"/>
      <c r="JXO338" s="1"/>
      <c r="JXP338" s="1"/>
      <c r="JXQ338" s="1"/>
      <c r="JXR338" s="1"/>
      <c r="JXS338" s="1"/>
      <c r="JXT338" s="1"/>
      <c r="JXU338" s="1"/>
      <c r="JXV338" s="1"/>
      <c r="JXW338" s="1"/>
      <c r="JXX338" s="1"/>
      <c r="JXY338" s="1"/>
      <c r="JXZ338" s="1"/>
      <c r="JYA338" s="1"/>
      <c r="JYB338" s="1"/>
      <c r="JYC338" s="1"/>
      <c r="JYD338" s="1"/>
      <c r="JYE338" s="1"/>
      <c r="JYF338" s="1"/>
      <c r="JYG338" s="1"/>
      <c r="JYH338" s="1"/>
      <c r="JYI338" s="1"/>
      <c r="JYJ338" s="1"/>
      <c r="JYK338" s="1"/>
      <c r="JYL338" s="1"/>
      <c r="JYM338" s="1"/>
      <c r="JYN338" s="1"/>
      <c r="JYO338" s="1"/>
      <c r="JYP338" s="1"/>
      <c r="JYQ338" s="1"/>
      <c r="JYR338" s="1"/>
      <c r="JYS338" s="1"/>
      <c r="JYT338" s="1"/>
      <c r="JYU338" s="1"/>
      <c r="JYV338" s="1"/>
      <c r="JYW338" s="1"/>
      <c r="JYX338" s="1"/>
      <c r="JYY338" s="1"/>
      <c r="JYZ338" s="1"/>
      <c r="JZA338" s="1"/>
      <c r="JZB338" s="1"/>
      <c r="JZC338" s="1"/>
      <c r="JZD338" s="1"/>
      <c r="JZE338" s="1"/>
      <c r="JZF338" s="1"/>
      <c r="JZG338" s="1"/>
      <c r="JZH338" s="1"/>
      <c r="JZI338" s="1"/>
      <c r="JZJ338" s="1"/>
      <c r="JZK338" s="1"/>
      <c r="JZL338" s="1"/>
      <c r="JZM338" s="1"/>
      <c r="JZN338" s="1"/>
      <c r="JZO338" s="1"/>
      <c r="JZP338" s="1"/>
      <c r="JZQ338" s="1"/>
      <c r="JZR338" s="1"/>
      <c r="JZS338" s="1"/>
      <c r="JZT338" s="1"/>
      <c r="JZU338" s="1"/>
      <c r="JZV338" s="1"/>
      <c r="JZW338" s="1"/>
      <c r="JZX338" s="1"/>
      <c r="JZY338" s="1"/>
      <c r="JZZ338" s="1"/>
      <c r="KAA338" s="1"/>
      <c r="KAB338" s="1"/>
      <c r="KAC338" s="1"/>
      <c r="KAD338" s="1"/>
      <c r="KAE338" s="1"/>
      <c r="KAF338" s="1"/>
      <c r="KAG338" s="1"/>
      <c r="KAH338" s="1"/>
      <c r="KAI338" s="1"/>
      <c r="KAJ338" s="1"/>
      <c r="KAK338" s="1"/>
      <c r="KAL338" s="1"/>
      <c r="KAM338" s="1"/>
      <c r="KAN338" s="1"/>
      <c r="KAO338" s="1"/>
      <c r="KAP338" s="1"/>
      <c r="KAQ338" s="1"/>
      <c r="KAR338" s="1"/>
      <c r="KAS338" s="1"/>
      <c r="KAT338" s="1"/>
      <c r="KAU338" s="1"/>
      <c r="KAV338" s="1"/>
      <c r="KAW338" s="1"/>
      <c r="KAX338" s="1"/>
      <c r="KAY338" s="1"/>
      <c r="KAZ338" s="1"/>
      <c r="KBA338" s="1"/>
      <c r="KBB338" s="1"/>
      <c r="KBC338" s="1"/>
      <c r="KBD338" s="1"/>
      <c r="KBE338" s="1"/>
      <c r="KBF338" s="1"/>
      <c r="KBG338" s="1"/>
      <c r="KBH338" s="1"/>
      <c r="KBI338" s="1"/>
      <c r="KBJ338" s="1"/>
      <c r="KBK338" s="1"/>
      <c r="KBL338" s="1"/>
      <c r="KBM338" s="1"/>
      <c r="KBN338" s="1"/>
      <c r="KBO338" s="1"/>
      <c r="KBP338" s="1"/>
      <c r="KBQ338" s="1"/>
      <c r="KBR338" s="1"/>
      <c r="KBS338" s="1"/>
      <c r="KBT338" s="1"/>
      <c r="KBU338" s="1"/>
      <c r="KBV338" s="1"/>
      <c r="KBW338" s="1"/>
      <c r="KBX338" s="1"/>
      <c r="KBY338" s="1"/>
      <c r="KBZ338" s="1"/>
      <c r="KCA338" s="1"/>
      <c r="KCB338" s="1"/>
      <c r="KCC338" s="1"/>
      <c r="KCD338" s="1"/>
      <c r="KCE338" s="1"/>
      <c r="KCF338" s="1"/>
      <c r="KCG338" s="1"/>
      <c r="KCH338" s="1"/>
      <c r="KCI338" s="1"/>
      <c r="KCJ338" s="1"/>
      <c r="KCK338" s="1"/>
      <c r="KCL338" s="1"/>
      <c r="KCM338" s="1"/>
      <c r="KCN338" s="1"/>
      <c r="KCO338" s="1"/>
      <c r="KCP338" s="1"/>
      <c r="KCQ338" s="1"/>
      <c r="KCR338" s="1"/>
      <c r="KCS338" s="1"/>
      <c r="KCT338" s="1"/>
      <c r="KCU338" s="1"/>
      <c r="KCV338" s="1"/>
      <c r="KCW338" s="1"/>
      <c r="KCX338" s="1"/>
      <c r="KCY338" s="1"/>
      <c r="KCZ338" s="1"/>
      <c r="KDA338" s="1"/>
      <c r="KDB338" s="1"/>
      <c r="KDC338" s="1"/>
      <c r="KDD338" s="1"/>
      <c r="KDE338" s="1"/>
      <c r="KDF338" s="1"/>
      <c r="KDG338" s="1"/>
      <c r="KDH338" s="1"/>
      <c r="KDI338" s="1"/>
      <c r="KDJ338" s="1"/>
      <c r="KDK338" s="1"/>
      <c r="KDL338" s="1"/>
      <c r="KDM338" s="1"/>
      <c r="KDN338" s="1"/>
      <c r="KDO338" s="1"/>
      <c r="KDP338" s="1"/>
      <c r="KDQ338" s="1"/>
      <c r="KDR338" s="1"/>
      <c r="KDS338" s="1"/>
      <c r="KDT338" s="1"/>
      <c r="KDU338" s="1"/>
      <c r="KDV338" s="1"/>
      <c r="KDW338" s="1"/>
      <c r="KDX338" s="1"/>
      <c r="KDY338" s="1"/>
      <c r="KDZ338" s="1"/>
      <c r="KEA338" s="1"/>
      <c r="KEB338" s="1"/>
      <c r="KEC338" s="1"/>
      <c r="KED338" s="1"/>
      <c r="KEE338" s="1"/>
      <c r="KEF338" s="1"/>
      <c r="KEG338" s="1"/>
      <c r="KEH338" s="1"/>
      <c r="KEI338" s="1"/>
      <c r="KEJ338" s="1"/>
      <c r="KEK338" s="1"/>
      <c r="KEL338" s="1"/>
      <c r="KEM338" s="1"/>
      <c r="KEN338" s="1"/>
      <c r="KEO338" s="1"/>
      <c r="KEP338" s="1"/>
      <c r="KEQ338" s="1"/>
      <c r="KER338" s="1"/>
      <c r="KES338" s="1"/>
      <c r="KET338" s="1"/>
      <c r="KEU338" s="1"/>
      <c r="KEV338" s="1"/>
      <c r="KEW338" s="1"/>
      <c r="KEX338" s="1"/>
      <c r="KEY338" s="1"/>
      <c r="KEZ338" s="1"/>
      <c r="KFA338" s="1"/>
      <c r="KFB338" s="1"/>
      <c r="KFC338" s="1"/>
      <c r="KFD338" s="1"/>
      <c r="KFE338" s="1"/>
      <c r="KFF338" s="1"/>
      <c r="KFG338" s="1"/>
      <c r="KFH338" s="1"/>
      <c r="KFI338" s="1"/>
      <c r="KFJ338" s="1"/>
      <c r="KFK338" s="1"/>
      <c r="KFL338" s="1"/>
      <c r="KFM338" s="1"/>
      <c r="KFN338" s="1"/>
      <c r="KFO338" s="1"/>
      <c r="KFP338" s="1"/>
      <c r="KFQ338" s="1"/>
      <c r="KFR338" s="1"/>
      <c r="KFS338" s="1"/>
      <c r="KFT338" s="1"/>
      <c r="KFU338" s="1"/>
      <c r="KFV338" s="1"/>
      <c r="KFW338" s="1"/>
      <c r="KFX338" s="1"/>
      <c r="KFY338" s="1"/>
      <c r="KFZ338" s="1"/>
      <c r="KGA338" s="1"/>
      <c r="KGB338" s="1"/>
      <c r="KGC338" s="1"/>
      <c r="KGD338" s="1"/>
      <c r="KGE338" s="1"/>
      <c r="KGF338" s="1"/>
      <c r="KGG338" s="1"/>
      <c r="KGH338" s="1"/>
      <c r="KGI338" s="1"/>
      <c r="KGJ338" s="1"/>
      <c r="KGK338" s="1"/>
      <c r="KGL338" s="1"/>
      <c r="KGM338" s="1"/>
      <c r="KGN338" s="1"/>
      <c r="KGO338" s="1"/>
      <c r="KGP338" s="1"/>
      <c r="KGQ338" s="1"/>
      <c r="KGR338" s="1"/>
      <c r="KGS338" s="1"/>
      <c r="KGT338" s="1"/>
      <c r="KGU338" s="1"/>
      <c r="KGV338" s="1"/>
      <c r="KGW338" s="1"/>
      <c r="KGX338" s="1"/>
      <c r="KGY338" s="1"/>
      <c r="KGZ338" s="1"/>
      <c r="KHA338" s="1"/>
      <c r="KHB338" s="1"/>
      <c r="KHC338" s="1"/>
      <c r="KHD338" s="1"/>
      <c r="KHE338" s="1"/>
      <c r="KHF338" s="1"/>
      <c r="KHG338" s="1"/>
      <c r="KHH338" s="1"/>
      <c r="KHI338" s="1"/>
      <c r="KHJ338" s="1"/>
      <c r="KHK338" s="1"/>
      <c r="KHL338" s="1"/>
      <c r="KHM338" s="1"/>
      <c r="KHN338" s="1"/>
      <c r="KHO338" s="1"/>
      <c r="KHP338" s="1"/>
      <c r="KHQ338" s="1"/>
      <c r="KHR338" s="1"/>
      <c r="KHS338" s="1"/>
      <c r="KHT338" s="1"/>
      <c r="KHU338" s="1"/>
      <c r="KHV338" s="1"/>
      <c r="KHW338" s="1"/>
      <c r="KHX338" s="1"/>
      <c r="KHY338" s="1"/>
      <c r="KHZ338" s="1"/>
      <c r="KIA338" s="1"/>
      <c r="KIB338" s="1"/>
      <c r="KIC338" s="1"/>
      <c r="KID338" s="1"/>
      <c r="KIE338" s="1"/>
      <c r="KIF338" s="1"/>
      <c r="KIG338" s="1"/>
      <c r="KIH338" s="1"/>
      <c r="KII338" s="1"/>
      <c r="KIJ338" s="1"/>
      <c r="KIK338" s="1"/>
      <c r="KIL338" s="1"/>
      <c r="KIM338" s="1"/>
      <c r="KIN338" s="1"/>
      <c r="KIO338" s="1"/>
      <c r="KIP338" s="1"/>
      <c r="KIQ338" s="1"/>
      <c r="KIR338" s="1"/>
      <c r="KIS338" s="1"/>
      <c r="KIT338" s="1"/>
      <c r="KIU338" s="1"/>
      <c r="KIV338" s="1"/>
      <c r="KIW338" s="1"/>
      <c r="KIX338" s="1"/>
      <c r="KIY338" s="1"/>
      <c r="KIZ338" s="1"/>
      <c r="KJA338" s="1"/>
      <c r="KJB338" s="1"/>
      <c r="KJC338" s="1"/>
      <c r="KJD338" s="1"/>
      <c r="KJE338" s="1"/>
      <c r="KJF338" s="1"/>
      <c r="KJG338" s="1"/>
      <c r="KJH338" s="1"/>
      <c r="KJI338" s="1"/>
      <c r="KJJ338" s="1"/>
      <c r="KJK338" s="1"/>
      <c r="KJL338" s="1"/>
      <c r="KJM338" s="1"/>
      <c r="KJN338" s="1"/>
      <c r="KJO338" s="1"/>
      <c r="KJP338" s="1"/>
      <c r="KJQ338" s="1"/>
      <c r="KJR338" s="1"/>
      <c r="KJS338" s="1"/>
      <c r="KJT338" s="1"/>
      <c r="KJU338" s="1"/>
      <c r="KJV338" s="1"/>
      <c r="KJW338" s="1"/>
      <c r="KJX338" s="1"/>
      <c r="KJY338" s="1"/>
      <c r="KJZ338" s="1"/>
      <c r="KKA338" s="1"/>
      <c r="KKB338" s="1"/>
      <c r="KKC338" s="1"/>
      <c r="KKD338" s="1"/>
      <c r="KKE338" s="1"/>
      <c r="KKF338" s="1"/>
      <c r="KKG338" s="1"/>
      <c r="KKH338" s="1"/>
      <c r="KKI338" s="1"/>
      <c r="KKJ338" s="1"/>
      <c r="KKK338" s="1"/>
      <c r="KKL338" s="1"/>
      <c r="KKM338" s="1"/>
      <c r="KKN338" s="1"/>
      <c r="KKO338" s="1"/>
      <c r="KKP338" s="1"/>
      <c r="KKQ338" s="1"/>
      <c r="KKR338" s="1"/>
      <c r="KKS338" s="1"/>
      <c r="KKT338" s="1"/>
      <c r="KKU338" s="1"/>
      <c r="KKV338" s="1"/>
      <c r="KKW338" s="1"/>
      <c r="KKX338" s="1"/>
      <c r="KKY338" s="1"/>
      <c r="KKZ338" s="1"/>
      <c r="KLA338" s="1"/>
      <c r="KLB338" s="1"/>
      <c r="KLC338" s="1"/>
      <c r="KLD338" s="1"/>
      <c r="KLE338" s="1"/>
      <c r="KLF338" s="1"/>
      <c r="KLG338" s="1"/>
      <c r="KLH338" s="1"/>
      <c r="KLI338" s="1"/>
      <c r="KLJ338" s="1"/>
      <c r="KLK338" s="1"/>
      <c r="KLL338" s="1"/>
      <c r="KLM338" s="1"/>
      <c r="KLN338" s="1"/>
      <c r="KLO338" s="1"/>
      <c r="KLP338" s="1"/>
      <c r="KLQ338" s="1"/>
      <c r="KLR338" s="1"/>
      <c r="KLS338" s="1"/>
      <c r="KLT338" s="1"/>
      <c r="KLU338" s="1"/>
      <c r="KLV338" s="1"/>
      <c r="KLW338" s="1"/>
      <c r="KLX338" s="1"/>
      <c r="KLY338" s="1"/>
      <c r="KLZ338" s="1"/>
      <c r="KMA338" s="1"/>
      <c r="KMB338" s="1"/>
      <c r="KMC338" s="1"/>
      <c r="KMD338" s="1"/>
      <c r="KME338" s="1"/>
      <c r="KMF338" s="1"/>
      <c r="KMG338" s="1"/>
      <c r="KMH338" s="1"/>
      <c r="KMI338" s="1"/>
      <c r="KMJ338" s="1"/>
      <c r="KMK338" s="1"/>
      <c r="KML338" s="1"/>
      <c r="KMM338" s="1"/>
      <c r="KMN338" s="1"/>
      <c r="KMO338" s="1"/>
      <c r="KMP338" s="1"/>
      <c r="KMQ338" s="1"/>
      <c r="KMR338" s="1"/>
      <c r="KMS338" s="1"/>
      <c r="KMT338" s="1"/>
      <c r="KMU338" s="1"/>
      <c r="KMV338" s="1"/>
      <c r="KMW338" s="1"/>
      <c r="KMX338" s="1"/>
      <c r="KMY338" s="1"/>
      <c r="KMZ338" s="1"/>
      <c r="KNA338" s="1"/>
      <c r="KNB338" s="1"/>
      <c r="KNC338" s="1"/>
      <c r="KND338" s="1"/>
      <c r="KNE338" s="1"/>
      <c r="KNF338" s="1"/>
      <c r="KNG338" s="1"/>
      <c r="KNH338" s="1"/>
      <c r="KNI338" s="1"/>
      <c r="KNJ338" s="1"/>
      <c r="KNK338" s="1"/>
      <c r="KNL338" s="1"/>
      <c r="KNM338" s="1"/>
      <c r="KNN338" s="1"/>
      <c r="KNO338" s="1"/>
      <c r="KNP338" s="1"/>
      <c r="KNQ338" s="1"/>
      <c r="KNR338" s="1"/>
      <c r="KNS338" s="1"/>
      <c r="KNT338" s="1"/>
      <c r="KNU338" s="1"/>
      <c r="KNV338" s="1"/>
      <c r="KNW338" s="1"/>
      <c r="KNX338" s="1"/>
      <c r="KNY338" s="1"/>
      <c r="KNZ338" s="1"/>
      <c r="KOA338" s="1"/>
      <c r="KOB338" s="1"/>
      <c r="KOC338" s="1"/>
      <c r="KOD338" s="1"/>
      <c r="KOE338" s="1"/>
      <c r="KOF338" s="1"/>
      <c r="KOG338" s="1"/>
      <c r="KOH338" s="1"/>
      <c r="KOI338" s="1"/>
      <c r="KOJ338" s="1"/>
      <c r="KOK338" s="1"/>
      <c r="KOL338" s="1"/>
      <c r="KOM338" s="1"/>
      <c r="KON338" s="1"/>
      <c r="KOO338" s="1"/>
      <c r="KOP338" s="1"/>
      <c r="KOQ338" s="1"/>
      <c r="KOR338" s="1"/>
      <c r="KOS338" s="1"/>
      <c r="KOT338" s="1"/>
      <c r="KOU338" s="1"/>
      <c r="KOV338" s="1"/>
      <c r="KOW338" s="1"/>
      <c r="KOX338" s="1"/>
      <c r="KOY338" s="1"/>
      <c r="KOZ338" s="1"/>
      <c r="KPA338" s="1"/>
      <c r="KPB338" s="1"/>
      <c r="KPC338" s="1"/>
      <c r="KPD338" s="1"/>
      <c r="KPE338" s="1"/>
      <c r="KPF338" s="1"/>
      <c r="KPG338" s="1"/>
      <c r="KPH338" s="1"/>
      <c r="KPI338" s="1"/>
      <c r="KPJ338" s="1"/>
      <c r="KPK338" s="1"/>
      <c r="KPL338" s="1"/>
      <c r="KPM338" s="1"/>
      <c r="KPN338" s="1"/>
      <c r="KPO338" s="1"/>
      <c r="KPP338" s="1"/>
      <c r="KPQ338" s="1"/>
      <c r="KPR338" s="1"/>
      <c r="KPS338" s="1"/>
      <c r="KPT338" s="1"/>
      <c r="KPU338" s="1"/>
      <c r="KPV338" s="1"/>
      <c r="KPW338" s="1"/>
      <c r="KPX338" s="1"/>
      <c r="KPY338" s="1"/>
      <c r="KPZ338" s="1"/>
      <c r="KQA338" s="1"/>
      <c r="KQB338" s="1"/>
      <c r="KQC338" s="1"/>
      <c r="KQD338" s="1"/>
      <c r="KQE338" s="1"/>
      <c r="KQF338" s="1"/>
      <c r="KQG338" s="1"/>
      <c r="KQH338" s="1"/>
      <c r="KQI338" s="1"/>
      <c r="KQJ338" s="1"/>
      <c r="KQK338" s="1"/>
      <c r="KQL338" s="1"/>
      <c r="KQM338" s="1"/>
      <c r="KQN338" s="1"/>
      <c r="KQO338" s="1"/>
      <c r="KQP338" s="1"/>
      <c r="KQQ338" s="1"/>
      <c r="KQR338" s="1"/>
      <c r="KQS338" s="1"/>
      <c r="KQT338" s="1"/>
      <c r="KQU338" s="1"/>
      <c r="KQV338" s="1"/>
      <c r="KQW338" s="1"/>
      <c r="KQX338" s="1"/>
      <c r="KQY338" s="1"/>
      <c r="KQZ338" s="1"/>
      <c r="KRA338" s="1"/>
      <c r="KRB338" s="1"/>
      <c r="KRC338" s="1"/>
      <c r="KRD338" s="1"/>
      <c r="KRE338" s="1"/>
      <c r="KRF338" s="1"/>
      <c r="KRG338" s="1"/>
      <c r="KRH338" s="1"/>
      <c r="KRI338" s="1"/>
      <c r="KRJ338" s="1"/>
      <c r="KRK338" s="1"/>
      <c r="KRL338" s="1"/>
      <c r="KRM338" s="1"/>
      <c r="KRN338" s="1"/>
      <c r="KRO338" s="1"/>
      <c r="KRP338" s="1"/>
      <c r="KRQ338" s="1"/>
      <c r="KRR338" s="1"/>
      <c r="KRS338" s="1"/>
      <c r="KRT338" s="1"/>
      <c r="KRU338" s="1"/>
      <c r="KRV338" s="1"/>
      <c r="KRW338" s="1"/>
      <c r="KRX338" s="1"/>
      <c r="KRY338" s="1"/>
      <c r="KRZ338" s="1"/>
      <c r="KSA338" s="1"/>
      <c r="KSB338" s="1"/>
      <c r="KSC338" s="1"/>
      <c r="KSD338" s="1"/>
      <c r="KSE338" s="1"/>
      <c r="KSF338" s="1"/>
      <c r="KSG338" s="1"/>
      <c r="KSH338" s="1"/>
      <c r="KSI338" s="1"/>
      <c r="KSJ338" s="1"/>
      <c r="KSK338" s="1"/>
      <c r="KSL338" s="1"/>
      <c r="KSM338" s="1"/>
      <c r="KSN338" s="1"/>
      <c r="KSO338" s="1"/>
      <c r="KSP338" s="1"/>
      <c r="KSQ338" s="1"/>
      <c r="KSR338" s="1"/>
      <c r="KSS338" s="1"/>
      <c r="KST338" s="1"/>
      <c r="KSU338" s="1"/>
      <c r="KSV338" s="1"/>
      <c r="KSW338" s="1"/>
      <c r="KSX338" s="1"/>
      <c r="KSY338" s="1"/>
      <c r="KSZ338" s="1"/>
      <c r="KTA338" s="1"/>
      <c r="KTB338" s="1"/>
      <c r="KTC338" s="1"/>
      <c r="KTD338" s="1"/>
      <c r="KTE338" s="1"/>
      <c r="KTF338" s="1"/>
      <c r="KTG338" s="1"/>
      <c r="KTH338" s="1"/>
      <c r="KTI338" s="1"/>
      <c r="KTJ338" s="1"/>
      <c r="KTK338" s="1"/>
      <c r="KTL338" s="1"/>
      <c r="KTM338" s="1"/>
      <c r="KTN338" s="1"/>
      <c r="KTO338" s="1"/>
      <c r="KTP338" s="1"/>
      <c r="KTQ338" s="1"/>
      <c r="KTR338" s="1"/>
      <c r="KTS338" s="1"/>
      <c r="KTT338" s="1"/>
      <c r="KTU338" s="1"/>
      <c r="KTV338" s="1"/>
      <c r="KTW338" s="1"/>
      <c r="KTX338" s="1"/>
      <c r="KTY338" s="1"/>
      <c r="KTZ338" s="1"/>
      <c r="KUA338" s="1"/>
      <c r="KUB338" s="1"/>
      <c r="KUC338" s="1"/>
      <c r="KUD338" s="1"/>
      <c r="KUE338" s="1"/>
      <c r="KUF338" s="1"/>
      <c r="KUG338" s="1"/>
      <c r="KUH338" s="1"/>
      <c r="KUI338" s="1"/>
      <c r="KUJ338" s="1"/>
      <c r="KUK338" s="1"/>
      <c r="KUL338" s="1"/>
      <c r="KUM338" s="1"/>
      <c r="KUN338" s="1"/>
      <c r="KUO338" s="1"/>
      <c r="KUP338" s="1"/>
      <c r="KUQ338" s="1"/>
      <c r="KUR338" s="1"/>
      <c r="KUS338" s="1"/>
      <c r="KUT338" s="1"/>
      <c r="KUU338" s="1"/>
      <c r="KUV338" s="1"/>
      <c r="KUW338" s="1"/>
      <c r="KUX338" s="1"/>
      <c r="KUY338" s="1"/>
      <c r="KUZ338" s="1"/>
      <c r="KVA338" s="1"/>
      <c r="KVB338" s="1"/>
      <c r="KVC338" s="1"/>
      <c r="KVD338" s="1"/>
      <c r="KVE338" s="1"/>
      <c r="KVF338" s="1"/>
      <c r="KVG338" s="1"/>
      <c r="KVH338" s="1"/>
      <c r="KVI338" s="1"/>
      <c r="KVJ338" s="1"/>
      <c r="KVK338" s="1"/>
      <c r="KVL338" s="1"/>
      <c r="KVM338" s="1"/>
      <c r="KVN338" s="1"/>
      <c r="KVO338" s="1"/>
      <c r="KVP338" s="1"/>
      <c r="KVQ338" s="1"/>
      <c r="KVR338" s="1"/>
      <c r="KVS338" s="1"/>
      <c r="KVT338" s="1"/>
      <c r="KVU338" s="1"/>
      <c r="KVV338" s="1"/>
      <c r="KVW338" s="1"/>
      <c r="KVX338" s="1"/>
      <c r="KVY338" s="1"/>
      <c r="KVZ338" s="1"/>
      <c r="KWA338" s="1"/>
      <c r="KWB338" s="1"/>
      <c r="KWC338" s="1"/>
      <c r="KWD338" s="1"/>
      <c r="KWE338" s="1"/>
      <c r="KWF338" s="1"/>
      <c r="KWG338" s="1"/>
      <c r="KWH338" s="1"/>
      <c r="KWI338" s="1"/>
      <c r="KWJ338" s="1"/>
      <c r="KWK338" s="1"/>
      <c r="KWL338" s="1"/>
      <c r="KWM338" s="1"/>
      <c r="KWN338" s="1"/>
      <c r="KWO338" s="1"/>
      <c r="KWP338" s="1"/>
      <c r="KWQ338" s="1"/>
      <c r="KWR338" s="1"/>
      <c r="KWS338" s="1"/>
      <c r="KWT338" s="1"/>
      <c r="KWU338" s="1"/>
      <c r="KWV338" s="1"/>
      <c r="KWW338" s="1"/>
      <c r="KWX338" s="1"/>
      <c r="KWY338" s="1"/>
      <c r="KWZ338" s="1"/>
      <c r="KXA338" s="1"/>
      <c r="KXB338" s="1"/>
      <c r="KXC338" s="1"/>
      <c r="KXD338" s="1"/>
      <c r="KXE338" s="1"/>
      <c r="KXF338" s="1"/>
      <c r="KXG338" s="1"/>
      <c r="KXH338" s="1"/>
      <c r="KXI338" s="1"/>
      <c r="KXJ338" s="1"/>
      <c r="KXK338" s="1"/>
      <c r="KXL338" s="1"/>
      <c r="KXM338" s="1"/>
      <c r="KXN338" s="1"/>
      <c r="KXO338" s="1"/>
      <c r="KXP338" s="1"/>
      <c r="KXQ338" s="1"/>
      <c r="KXR338" s="1"/>
      <c r="KXS338" s="1"/>
      <c r="KXT338" s="1"/>
      <c r="KXU338" s="1"/>
      <c r="KXV338" s="1"/>
      <c r="KXW338" s="1"/>
      <c r="KXX338" s="1"/>
      <c r="KXY338" s="1"/>
      <c r="KXZ338" s="1"/>
      <c r="KYA338" s="1"/>
      <c r="KYB338" s="1"/>
      <c r="KYC338" s="1"/>
      <c r="KYD338" s="1"/>
      <c r="KYE338" s="1"/>
      <c r="KYF338" s="1"/>
      <c r="KYG338" s="1"/>
      <c r="KYH338" s="1"/>
      <c r="KYI338" s="1"/>
      <c r="KYJ338" s="1"/>
      <c r="KYK338" s="1"/>
      <c r="KYL338" s="1"/>
      <c r="KYM338" s="1"/>
      <c r="KYN338" s="1"/>
      <c r="KYO338" s="1"/>
      <c r="KYP338" s="1"/>
      <c r="KYQ338" s="1"/>
      <c r="KYR338" s="1"/>
      <c r="KYS338" s="1"/>
      <c r="KYT338" s="1"/>
      <c r="KYU338" s="1"/>
      <c r="KYV338" s="1"/>
      <c r="KYW338" s="1"/>
      <c r="KYX338" s="1"/>
      <c r="KYY338" s="1"/>
      <c r="KYZ338" s="1"/>
      <c r="KZA338" s="1"/>
      <c r="KZB338" s="1"/>
      <c r="KZC338" s="1"/>
      <c r="KZD338" s="1"/>
      <c r="KZE338" s="1"/>
      <c r="KZF338" s="1"/>
      <c r="KZG338" s="1"/>
      <c r="KZH338" s="1"/>
      <c r="KZI338" s="1"/>
      <c r="KZJ338" s="1"/>
      <c r="KZK338" s="1"/>
      <c r="KZL338" s="1"/>
      <c r="KZM338" s="1"/>
      <c r="KZN338" s="1"/>
      <c r="KZO338" s="1"/>
      <c r="KZP338" s="1"/>
      <c r="KZQ338" s="1"/>
      <c r="KZR338" s="1"/>
      <c r="KZS338" s="1"/>
      <c r="KZT338" s="1"/>
      <c r="KZU338" s="1"/>
      <c r="KZV338" s="1"/>
      <c r="KZW338" s="1"/>
      <c r="KZX338" s="1"/>
      <c r="KZY338" s="1"/>
      <c r="KZZ338" s="1"/>
      <c r="LAA338" s="1"/>
      <c r="LAB338" s="1"/>
      <c r="LAC338" s="1"/>
      <c r="LAD338" s="1"/>
      <c r="LAE338" s="1"/>
      <c r="LAF338" s="1"/>
      <c r="LAG338" s="1"/>
      <c r="LAH338" s="1"/>
      <c r="LAI338" s="1"/>
      <c r="LAJ338" s="1"/>
      <c r="LAK338" s="1"/>
      <c r="LAL338" s="1"/>
      <c r="LAM338" s="1"/>
      <c r="LAN338" s="1"/>
      <c r="LAO338" s="1"/>
      <c r="LAP338" s="1"/>
      <c r="LAQ338" s="1"/>
      <c r="LAR338" s="1"/>
      <c r="LAS338" s="1"/>
      <c r="LAT338" s="1"/>
      <c r="LAU338" s="1"/>
      <c r="LAV338" s="1"/>
      <c r="LAW338" s="1"/>
      <c r="LAX338" s="1"/>
      <c r="LAY338" s="1"/>
      <c r="LAZ338" s="1"/>
      <c r="LBA338" s="1"/>
      <c r="LBB338" s="1"/>
      <c r="LBC338" s="1"/>
      <c r="LBD338" s="1"/>
      <c r="LBE338" s="1"/>
      <c r="LBF338" s="1"/>
      <c r="LBG338" s="1"/>
      <c r="LBH338" s="1"/>
      <c r="LBI338" s="1"/>
      <c r="LBJ338" s="1"/>
      <c r="LBK338" s="1"/>
      <c r="LBL338" s="1"/>
      <c r="LBM338" s="1"/>
      <c r="LBN338" s="1"/>
      <c r="LBO338" s="1"/>
      <c r="LBP338" s="1"/>
      <c r="LBQ338" s="1"/>
      <c r="LBR338" s="1"/>
      <c r="LBS338" s="1"/>
      <c r="LBT338" s="1"/>
      <c r="LBU338" s="1"/>
      <c r="LBV338" s="1"/>
      <c r="LBW338" s="1"/>
      <c r="LBX338" s="1"/>
      <c r="LBY338" s="1"/>
      <c r="LBZ338" s="1"/>
      <c r="LCA338" s="1"/>
      <c r="LCB338" s="1"/>
      <c r="LCC338" s="1"/>
      <c r="LCD338" s="1"/>
      <c r="LCE338" s="1"/>
      <c r="LCF338" s="1"/>
      <c r="LCG338" s="1"/>
      <c r="LCH338" s="1"/>
      <c r="LCI338" s="1"/>
      <c r="LCJ338" s="1"/>
      <c r="LCK338" s="1"/>
      <c r="LCL338" s="1"/>
      <c r="LCM338" s="1"/>
      <c r="LCN338" s="1"/>
      <c r="LCO338" s="1"/>
      <c r="LCP338" s="1"/>
      <c r="LCQ338" s="1"/>
      <c r="LCR338" s="1"/>
      <c r="LCS338" s="1"/>
      <c r="LCT338" s="1"/>
      <c r="LCU338" s="1"/>
      <c r="LCV338" s="1"/>
      <c r="LCW338" s="1"/>
      <c r="LCX338" s="1"/>
      <c r="LCY338" s="1"/>
      <c r="LCZ338" s="1"/>
      <c r="LDA338" s="1"/>
      <c r="LDB338" s="1"/>
      <c r="LDC338" s="1"/>
      <c r="LDD338" s="1"/>
      <c r="LDE338" s="1"/>
      <c r="LDF338" s="1"/>
      <c r="LDG338" s="1"/>
      <c r="LDH338" s="1"/>
      <c r="LDI338" s="1"/>
      <c r="LDJ338" s="1"/>
      <c r="LDK338" s="1"/>
      <c r="LDL338" s="1"/>
      <c r="LDM338" s="1"/>
      <c r="LDN338" s="1"/>
      <c r="LDO338" s="1"/>
      <c r="LDP338" s="1"/>
      <c r="LDQ338" s="1"/>
      <c r="LDR338" s="1"/>
      <c r="LDS338" s="1"/>
      <c r="LDT338" s="1"/>
      <c r="LDU338" s="1"/>
      <c r="LDV338" s="1"/>
      <c r="LDW338" s="1"/>
      <c r="LDX338" s="1"/>
      <c r="LDY338" s="1"/>
      <c r="LDZ338" s="1"/>
      <c r="LEA338" s="1"/>
      <c r="LEB338" s="1"/>
      <c r="LEC338" s="1"/>
      <c r="LED338" s="1"/>
      <c r="LEE338" s="1"/>
      <c r="LEF338" s="1"/>
      <c r="LEG338" s="1"/>
      <c r="LEH338" s="1"/>
      <c r="LEI338" s="1"/>
      <c r="LEJ338" s="1"/>
      <c r="LEK338" s="1"/>
      <c r="LEL338" s="1"/>
      <c r="LEM338" s="1"/>
      <c r="LEN338" s="1"/>
      <c r="LEO338" s="1"/>
      <c r="LEP338" s="1"/>
      <c r="LEQ338" s="1"/>
      <c r="LER338" s="1"/>
      <c r="LES338" s="1"/>
      <c r="LET338" s="1"/>
      <c r="LEU338" s="1"/>
      <c r="LEV338" s="1"/>
      <c r="LEW338" s="1"/>
      <c r="LEX338" s="1"/>
      <c r="LEY338" s="1"/>
      <c r="LEZ338" s="1"/>
      <c r="LFA338" s="1"/>
      <c r="LFB338" s="1"/>
      <c r="LFC338" s="1"/>
      <c r="LFD338" s="1"/>
      <c r="LFE338" s="1"/>
      <c r="LFF338" s="1"/>
      <c r="LFG338" s="1"/>
      <c r="LFH338" s="1"/>
      <c r="LFI338" s="1"/>
      <c r="LFJ338" s="1"/>
      <c r="LFK338" s="1"/>
      <c r="LFL338" s="1"/>
      <c r="LFM338" s="1"/>
      <c r="LFN338" s="1"/>
      <c r="LFO338" s="1"/>
      <c r="LFP338" s="1"/>
      <c r="LFQ338" s="1"/>
      <c r="LFR338" s="1"/>
      <c r="LFS338" s="1"/>
      <c r="LFT338" s="1"/>
      <c r="LFU338" s="1"/>
      <c r="LFV338" s="1"/>
      <c r="LFW338" s="1"/>
      <c r="LFX338" s="1"/>
      <c r="LFY338" s="1"/>
      <c r="LFZ338" s="1"/>
      <c r="LGA338" s="1"/>
      <c r="LGB338" s="1"/>
      <c r="LGC338" s="1"/>
      <c r="LGD338" s="1"/>
      <c r="LGE338" s="1"/>
      <c r="LGF338" s="1"/>
      <c r="LGG338" s="1"/>
      <c r="LGH338" s="1"/>
      <c r="LGI338" s="1"/>
      <c r="LGJ338" s="1"/>
      <c r="LGK338" s="1"/>
      <c r="LGL338" s="1"/>
      <c r="LGM338" s="1"/>
      <c r="LGN338" s="1"/>
      <c r="LGO338" s="1"/>
      <c r="LGP338" s="1"/>
      <c r="LGQ338" s="1"/>
      <c r="LGR338" s="1"/>
      <c r="LGS338" s="1"/>
      <c r="LGT338" s="1"/>
      <c r="LGU338" s="1"/>
      <c r="LGV338" s="1"/>
      <c r="LGW338" s="1"/>
      <c r="LGX338" s="1"/>
      <c r="LGY338" s="1"/>
      <c r="LGZ338" s="1"/>
      <c r="LHA338" s="1"/>
      <c r="LHB338" s="1"/>
      <c r="LHC338" s="1"/>
      <c r="LHD338" s="1"/>
      <c r="LHE338" s="1"/>
      <c r="LHF338" s="1"/>
      <c r="LHG338" s="1"/>
      <c r="LHH338" s="1"/>
      <c r="LHI338" s="1"/>
      <c r="LHJ338" s="1"/>
      <c r="LHK338" s="1"/>
      <c r="LHL338" s="1"/>
      <c r="LHM338" s="1"/>
      <c r="LHN338" s="1"/>
      <c r="LHO338" s="1"/>
      <c r="LHP338" s="1"/>
      <c r="LHQ338" s="1"/>
      <c r="LHR338" s="1"/>
      <c r="LHS338" s="1"/>
      <c r="LHT338" s="1"/>
      <c r="LHU338" s="1"/>
      <c r="LHV338" s="1"/>
      <c r="LHW338" s="1"/>
      <c r="LHX338" s="1"/>
      <c r="LHY338" s="1"/>
      <c r="LHZ338" s="1"/>
      <c r="LIA338" s="1"/>
      <c r="LIB338" s="1"/>
      <c r="LIC338" s="1"/>
      <c r="LID338" s="1"/>
      <c r="LIE338" s="1"/>
      <c r="LIF338" s="1"/>
      <c r="LIG338" s="1"/>
      <c r="LIH338" s="1"/>
      <c r="LII338" s="1"/>
      <c r="LIJ338" s="1"/>
      <c r="LIK338" s="1"/>
      <c r="LIL338" s="1"/>
      <c r="LIM338" s="1"/>
      <c r="LIN338" s="1"/>
      <c r="LIO338" s="1"/>
      <c r="LIP338" s="1"/>
      <c r="LIQ338" s="1"/>
      <c r="LIR338" s="1"/>
      <c r="LIS338" s="1"/>
      <c r="LIT338" s="1"/>
      <c r="LIU338" s="1"/>
      <c r="LIV338" s="1"/>
      <c r="LIW338" s="1"/>
      <c r="LIX338" s="1"/>
      <c r="LIY338" s="1"/>
      <c r="LIZ338" s="1"/>
      <c r="LJA338" s="1"/>
      <c r="LJB338" s="1"/>
      <c r="LJC338" s="1"/>
      <c r="LJD338" s="1"/>
      <c r="LJE338" s="1"/>
      <c r="LJF338" s="1"/>
      <c r="LJG338" s="1"/>
      <c r="LJH338" s="1"/>
      <c r="LJI338" s="1"/>
      <c r="LJJ338" s="1"/>
      <c r="LJK338" s="1"/>
      <c r="LJL338" s="1"/>
      <c r="LJM338" s="1"/>
      <c r="LJN338" s="1"/>
      <c r="LJO338" s="1"/>
      <c r="LJP338" s="1"/>
      <c r="LJQ338" s="1"/>
      <c r="LJR338" s="1"/>
      <c r="LJS338" s="1"/>
      <c r="LJT338" s="1"/>
      <c r="LJU338" s="1"/>
      <c r="LJV338" s="1"/>
      <c r="LJW338" s="1"/>
      <c r="LJX338" s="1"/>
      <c r="LJY338" s="1"/>
      <c r="LJZ338" s="1"/>
      <c r="LKA338" s="1"/>
      <c r="LKB338" s="1"/>
      <c r="LKC338" s="1"/>
      <c r="LKD338" s="1"/>
      <c r="LKE338" s="1"/>
      <c r="LKF338" s="1"/>
      <c r="LKG338" s="1"/>
      <c r="LKH338" s="1"/>
      <c r="LKI338" s="1"/>
      <c r="LKJ338" s="1"/>
      <c r="LKK338" s="1"/>
      <c r="LKL338" s="1"/>
      <c r="LKM338" s="1"/>
      <c r="LKN338" s="1"/>
      <c r="LKO338" s="1"/>
      <c r="LKP338" s="1"/>
      <c r="LKQ338" s="1"/>
      <c r="LKR338" s="1"/>
      <c r="LKS338" s="1"/>
      <c r="LKT338" s="1"/>
      <c r="LKU338" s="1"/>
      <c r="LKV338" s="1"/>
      <c r="LKW338" s="1"/>
      <c r="LKX338" s="1"/>
      <c r="LKY338" s="1"/>
      <c r="LKZ338" s="1"/>
      <c r="LLA338" s="1"/>
      <c r="LLB338" s="1"/>
      <c r="LLC338" s="1"/>
      <c r="LLD338" s="1"/>
      <c r="LLE338" s="1"/>
      <c r="LLF338" s="1"/>
      <c r="LLG338" s="1"/>
      <c r="LLH338" s="1"/>
      <c r="LLI338" s="1"/>
      <c r="LLJ338" s="1"/>
      <c r="LLK338" s="1"/>
      <c r="LLL338" s="1"/>
      <c r="LLM338" s="1"/>
      <c r="LLN338" s="1"/>
      <c r="LLO338" s="1"/>
      <c r="LLP338" s="1"/>
      <c r="LLQ338" s="1"/>
      <c r="LLR338" s="1"/>
      <c r="LLS338" s="1"/>
      <c r="LLT338" s="1"/>
      <c r="LLU338" s="1"/>
      <c r="LLV338" s="1"/>
      <c r="LLW338" s="1"/>
      <c r="LLX338" s="1"/>
      <c r="LLY338" s="1"/>
      <c r="LLZ338" s="1"/>
      <c r="LMA338" s="1"/>
      <c r="LMB338" s="1"/>
      <c r="LMC338" s="1"/>
      <c r="LMD338" s="1"/>
      <c r="LME338" s="1"/>
      <c r="LMF338" s="1"/>
      <c r="LMG338" s="1"/>
      <c r="LMH338" s="1"/>
      <c r="LMI338" s="1"/>
      <c r="LMJ338" s="1"/>
      <c r="LMK338" s="1"/>
      <c r="LML338" s="1"/>
      <c r="LMM338" s="1"/>
      <c r="LMN338" s="1"/>
      <c r="LMO338" s="1"/>
      <c r="LMP338" s="1"/>
      <c r="LMQ338" s="1"/>
      <c r="LMR338" s="1"/>
      <c r="LMS338" s="1"/>
      <c r="LMT338" s="1"/>
      <c r="LMU338" s="1"/>
      <c r="LMV338" s="1"/>
      <c r="LMW338" s="1"/>
      <c r="LMX338" s="1"/>
      <c r="LMY338" s="1"/>
      <c r="LMZ338" s="1"/>
      <c r="LNA338" s="1"/>
      <c r="LNB338" s="1"/>
      <c r="LNC338" s="1"/>
      <c r="LND338" s="1"/>
      <c r="LNE338" s="1"/>
      <c r="LNF338" s="1"/>
      <c r="LNG338" s="1"/>
      <c r="LNH338" s="1"/>
      <c r="LNI338" s="1"/>
      <c r="LNJ338" s="1"/>
      <c r="LNK338" s="1"/>
      <c r="LNL338" s="1"/>
      <c r="LNM338" s="1"/>
      <c r="LNN338" s="1"/>
      <c r="LNO338" s="1"/>
      <c r="LNP338" s="1"/>
      <c r="LNQ338" s="1"/>
      <c r="LNR338" s="1"/>
      <c r="LNS338" s="1"/>
      <c r="LNT338" s="1"/>
      <c r="LNU338" s="1"/>
      <c r="LNV338" s="1"/>
      <c r="LNW338" s="1"/>
      <c r="LNX338" s="1"/>
      <c r="LNY338" s="1"/>
      <c r="LNZ338" s="1"/>
      <c r="LOA338" s="1"/>
      <c r="LOB338" s="1"/>
      <c r="LOC338" s="1"/>
      <c r="LOD338" s="1"/>
      <c r="LOE338" s="1"/>
      <c r="LOF338" s="1"/>
      <c r="LOG338" s="1"/>
      <c r="LOH338" s="1"/>
      <c r="LOI338" s="1"/>
      <c r="LOJ338" s="1"/>
      <c r="LOK338" s="1"/>
      <c r="LOL338" s="1"/>
      <c r="LOM338" s="1"/>
      <c r="LON338" s="1"/>
      <c r="LOO338" s="1"/>
      <c r="LOP338" s="1"/>
      <c r="LOQ338" s="1"/>
      <c r="LOR338" s="1"/>
      <c r="LOS338" s="1"/>
      <c r="LOT338" s="1"/>
      <c r="LOU338" s="1"/>
      <c r="LOV338" s="1"/>
      <c r="LOW338" s="1"/>
      <c r="LOX338" s="1"/>
      <c r="LOY338" s="1"/>
      <c r="LOZ338" s="1"/>
      <c r="LPA338" s="1"/>
      <c r="LPB338" s="1"/>
      <c r="LPC338" s="1"/>
      <c r="LPD338" s="1"/>
      <c r="LPE338" s="1"/>
      <c r="LPF338" s="1"/>
      <c r="LPG338" s="1"/>
      <c r="LPH338" s="1"/>
      <c r="LPI338" s="1"/>
      <c r="LPJ338" s="1"/>
      <c r="LPK338" s="1"/>
      <c r="LPL338" s="1"/>
      <c r="LPM338" s="1"/>
      <c r="LPN338" s="1"/>
      <c r="LPO338" s="1"/>
      <c r="LPP338" s="1"/>
      <c r="LPQ338" s="1"/>
      <c r="LPR338" s="1"/>
      <c r="LPS338" s="1"/>
      <c r="LPT338" s="1"/>
      <c r="LPU338" s="1"/>
      <c r="LPV338" s="1"/>
      <c r="LPW338" s="1"/>
      <c r="LPX338" s="1"/>
      <c r="LPY338" s="1"/>
      <c r="LPZ338" s="1"/>
      <c r="LQA338" s="1"/>
      <c r="LQB338" s="1"/>
      <c r="LQC338" s="1"/>
      <c r="LQD338" s="1"/>
      <c r="LQE338" s="1"/>
      <c r="LQF338" s="1"/>
      <c r="LQG338" s="1"/>
      <c r="LQH338" s="1"/>
      <c r="LQI338" s="1"/>
      <c r="LQJ338" s="1"/>
      <c r="LQK338" s="1"/>
      <c r="LQL338" s="1"/>
      <c r="LQM338" s="1"/>
      <c r="LQN338" s="1"/>
      <c r="LQO338" s="1"/>
      <c r="LQP338" s="1"/>
      <c r="LQQ338" s="1"/>
      <c r="LQR338" s="1"/>
      <c r="LQS338" s="1"/>
      <c r="LQT338" s="1"/>
      <c r="LQU338" s="1"/>
      <c r="LQV338" s="1"/>
      <c r="LQW338" s="1"/>
      <c r="LQX338" s="1"/>
      <c r="LQY338" s="1"/>
      <c r="LQZ338" s="1"/>
      <c r="LRA338" s="1"/>
      <c r="LRB338" s="1"/>
      <c r="LRC338" s="1"/>
      <c r="LRD338" s="1"/>
      <c r="LRE338" s="1"/>
      <c r="LRF338" s="1"/>
      <c r="LRG338" s="1"/>
      <c r="LRH338" s="1"/>
      <c r="LRI338" s="1"/>
      <c r="LRJ338" s="1"/>
      <c r="LRK338" s="1"/>
      <c r="LRL338" s="1"/>
      <c r="LRM338" s="1"/>
      <c r="LRN338" s="1"/>
      <c r="LRO338" s="1"/>
      <c r="LRP338" s="1"/>
      <c r="LRQ338" s="1"/>
      <c r="LRR338" s="1"/>
      <c r="LRS338" s="1"/>
      <c r="LRT338" s="1"/>
      <c r="LRU338" s="1"/>
      <c r="LRV338" s="1"/>
      <c r="LRW338" s="1"/>
      <c r="LRX338" s="1"/>
      <c r="LRY338" s="1"/>
      <c r="LRZ338" s="1"/>
      <c r="LSA338" s="1"/>
      <c r="LSB338" s="1"/>
      <c r="LSC338" s="1"/>
      <c r="LSD338" s="1"/>
      <c r="LSE338" s="1"/>
      <c r="LSF338" s="1"/>
      <c r="LSG338" s="1"/>
      <c r="LSH338" s="1"/>
      <c r="LSI338" s="1"/>
      <c r="LSJ338" s="1"/>
      <c r="LSK338" s="1"/>
      <c r="LSL338" s="1"/>
      <c r="LSM338" s="1"/>
      <c r="LSN338" s="1"/>
      <c r="LSO338" s="1"/>
      <c r="LSP338" s="1"/>
      <c r="LSQ338" s="1"/>
      <c r="LSR338" s="1"/>
      <c r="LSS338" s="1"/>
      <c r="LST338" s="1"/>
      <c r="LSU338" s="1"/>
      <c r="LSV338" s="1"/>
      <c r="LSW338" s="1"/>
      <c r="LSX338" s="1"/>
      <c r="LSY338" s="1"/>
      <c r="LSZ338" s="1"/>
      <c r="LTA338" s="1"/>
      <c r="LTB338" s="1"/>
      <c r="LTC338" s="1"/>
      <c r="LTD338" s="1"/>
      <c r="LTE338" s="1"/>
      <c r="LTF338" s="1"/>
      <c r="LTG338" s="1"/>
      <c r="LTH338" s="1"/>
      <c r="LTI338" s="1"/>
      <c r="LTJ338" s="1"/>
      <c r="LTK338" s="1"/>
      <c r="LTL338" s="1"/>
      <c r="LTM338" s="1"/>
      <c r="LTN338" s="1"/>
      <c r="LTO338" s="1"/>
      <c r="LTP338" s="1"/>
      <c r="LTQ338" s="1"/>
      <c r="LTR338" s="1"/>
      <c r="LTS338" s="1"/>
      <c r="LTT338" s="1"/>
      <c r="LTU338" s="1"/>
      <c r="LTV338" s="1"/>
      <c r="LTW338" s="1"/>
      <c r="LTX338" s="1"/>
      <c r="LTY338" s="1"/>
      <c r="LTZ338" s="1"/>
      <c r="LUA338" s="1"/>
      <c r="LUB338" s="1"/>
      <c r="LUC338" s="1"/>
      <c r="LUD338" s="1"/>
      <c r="LUE338" s="1"/>
      <c r="LUF338" s="1"/>
      <c r="LUG338" s="1"/>
      <c r="LUH338" s="1"/>
      <c r="LUI338" s="1"/>
      <c r="LUJ338" s="1"/>
      <c r="LUK338" s="1"/>
      <c r="LUL338" s="1"/>
      <c r="LUM338" s="1"/>
      <c r="LUN338" s="1"/>
      <c r="LUO338" s="1"/>
      <c r="LUP338" s="1"/>
      <c r="LUQ338" s="1"/>
      <c r="LUR338" s="1"/>
      <c r="LUS338" s="1"/>
      <c r="LUT338" s="1"/>
      <c r="LUU338" s="1"/>
      <c r="LUV338" s="1"/>
      <c r="LUW338" s="1"/>
      <c r="LUX338" s="1"/>
      <c r="LUY338" s="1"/>
      <c r="LUZ338" s="1"/>
      <c r="LVA338" s="1"/>
      <c r="LVB338" s="1"/>
      <c r="LVC338" s="1"/>
      <c r="LVD338" s="1"/>
      <c r="LVE338" s="1"/>
      <c r="LVF338" s="1"/>
      <c r="LVG338" s="1"/>
      <c r="LVH338" s="1"/>
      <c r="LVI338" s="1"/>
      <c r="LVJ338" s="1"/>
      <c r="LVK338" s="1"/>
      <c r="LVL338" s="1"/>
      <c r="LVM338" s="1"/>
      <c r="LVN338" s="1"/>
      <c r="LVO338" s="1"/>
      <c r="LVP338" s="1"/>
      <c r="LVQ338" s="1"/>
      <c r="LVR338" s="1"/>
      <c r="LVS338" s="1"/>
      <c r="LVT338" s="1"/>
      <c r="LVU338" s="1"/>
      <c r="LVV338" s="1"/>
      <c r="LVW338" s="1"/>
      <c r="LVX338" s="1"/>
      <c r="LVY338" s="1"/>
      <c r="LVZ338" s="1"/>
      <c r="LWA338" s="1"/>
      <c r="LWB338" s="1"/>
      <c r="LWC338" s="1"/>
      <c r="LWD338" s="1"/>
      <c r="LWE338" s="1"/>
      <c r="LWF338" s="1"/>
      <c r="LWG338" s="1"/>
      <c r="LWH338" s="1"/>
      <c r="LWI338" s="1"/>
      <c r="LWJ338" s="1"/>
      <c r="LWK338" s="1"/>
      <c r="LWL338" s="1"/>
      <c r="LWM338" s="1"/>
      <c r="LWN338" s="1"/>
      <c r="LWO338" s="1"/>
      <c r="LWP338" s="1"/>
      <c r="LWQ338" s="1"/>
      <c r="LWR338" s="1"/>
      <c r="LWS338" s="1"/>
      <c r="LWT338" s="1"/>
      <c r="LWU338" s="1"/>
      <c r="LWV338" s="1"/>
      <c r="LWW338" s="1"/>
      <c r="LWX338" s="1"/>
      <c r="LWY338" s="1"/>
      <c r="LWZ338" s="1"/>
      <c r="LXA338" s="1"/>
      <c r="LXB338" s="1"/>
      <c r="LXC338" s="1"/>
      <c r="LXD338" s="1"/>
      <c r="LXE338" s="1"/>
      <c r="LXF338" s="1"/>
      <c r="LXG338" s="1"/>
      <c r="LXH338" s="1"/>
      <c r="LXI338" s="1"/>
      <c r="LXJ338" s="1"/>
      <c r="LXK338" s="1"/>
      <c r="LXL338" s="1"/>
      <c r="LXM338" s="1"/>
      <c r="LXN338" s="1"/>
      <c r="LXO338" s="1"/>
      <c r="LXP338" s="1"/>
      <c r="LXQ338" s="1"/>
      <c r="LXR338" s="1"/>
      <c r="LXS338" s="1"/>
      <c r="LXT338" s="1"/>
      <c r="LXU338" s="1"/>
      <c r="LXV338" s="1"/>
      <c r="LXW338" s="1"/>
      <c r="LXX338" s="1"/>
      <c r="LXY338" s="1"/>
      <c r="LXZ338" s="1"/>
      <c r="LYA338" s="1"/>
      <c r="LYB338" s="1"/>
      <c r="LYC338" s="1"/>
      <c r="LYD338" s="1"/>
      <c r="LYE338" s="1"/>
      <c r="LYF338" s="1"/>
      <c r="LYG338" s="1"/>
      <c r="LYH338" s="1"/>
      <c r="LYI338" s="1"/>
      <c r="LYJ338" s="1"/>
      <c r="LYK338" s="1"/>
      <c r="LYL338" s="1"/>
      <c r="LYM338" s="1"/>
      <c r="LYN338" s="1"/>
      <c r="LYO338" s="1"/>
      <c r="LYP338" s="1"/>
      <c r="LYQ338" s="1"/>
      <c r="LYR338" s="1"/>
      <c r="LYS338" s="1"/>
      <c r="LYT338" s="1"/>
      <c r="LYU338" s="1"/>
      <c r="LYV338" s="1"/>
      <c r="LYW338" s="1"/>
      <c r="LYX338" s="1"/>
      <c r="LYY338" s="1"/>
      <c r="LYZ338" s="1"/>
      <c r="LZA338" s="1"/>
      <c r="LZB338" s="1"/>
      <c r="LZC338" s="1"/>
      <c r="LZD338" s="1"/>
      <c r="LZE338" s="1"/>
      <c r="LZF338" s="1"/>
      <c r="LZG338" s="1"/>
      <c r="LZH338" s="1"/>
      <c r="LZI338" s="1"/>
      <c r="LZJ338" s="1"/>
      <c r="LZK338" s="1"/>
      <c r="LZL338" s="1"/>
      <c r="LZM338" s="1"/>
      <c r="LZN338" s="1"/>
      <c r="LZO338" s="1"/>
      <c r="LZP338" s="1"/>
      <c r="LZQ338" s="1"/>
      <c r="LZR338" s="1"/>
      <c r="LZS338" s="1"/>
      <c r="LZT338" s="1"/>
      <c r="LZU338" s="1"/>
      <c r="LZV338" s="1"/>
      <c r="LZW338" s="1"/>
      <c r="LZX338" s="1"/>
      <c r="LZY338" s="1"/>
      <c r="LZZ338" s="1"/>
      <c r="MAA338" s="1"/>
      <c r="MAB338" s="1"/>
      <c r="MAC338" s="1"/>
      <c r="MAD338" s="1"/>
      <c r="MAE338" s="1"/>
      <c r="MAF338" s="1"/>
      <c r="MAG338" s="1"/>
      <c r="MAH338" s="1"/>
      <c r="MAI338" s="1"/>
      <c r="MAJ338" s="1"/>
      <c r="MAK338" s="1"/>
      <c r="MAL338" s="1"/>
      <c r="MAM338" s="1"/>
      <c r="MAN338" s="1"/>
      <c r="MAO338" s="1"/>
      <c r="MAP338" s="1"/>
      <c r="MAQ338" s="1"/>
      <c r="MAR338" s="1"/>
      <c r="MAS338" s="1"/>
      <c r="MAT338" s="1"/>
      <c r="MAU338" s="1"/>
      <c r="MAV338" s="1"/>
      <c r="MAW338" s="1"/>
      <c r="MAX338" s="1"/>
      <c r="MAY338" s="1"/>
      <c r="MAZ338" s="1"/>
      <c r="MBA338" s="1"/>
      <c r="MBB338" s="1"/>
      <c r="MBC338" s="1"/>
      <c r="MBD338" s="1"/>
      <c r="MBE338" s="1"/>
      <c r="MBF338" s="1"/>
      <c r="MBG338" s="1"/>
      <c r="MBH338" s="1"/>
      <c r="MBI338" s="1"/>
      <c r="MBJ338" s="1"/>
      <c r="MBK338" s="1"/>
      <c r="MBL338" s="1"/>
      <c r="MBM338" s="1"/>
      <c r="MBN338" s="1"/>
      <c r="MBO338" s="1"/>
      <c r="MBP338" s="1"/>
      <c r="MBQ338" s="1"/>
      <c r="MBR338" s="1"/>
      <c r="MBS338" s="1"/>
      <c r="MBT338" s="1"/>
      <c r="MBU338" s="1"/>
      <c r="MBV338" s="1"/>
      <c r="MBW338" s="1"/>
      <c r="MBX338" s="1"/>
      <c r="MBY338" s="1"/>
      <c r="MBZ338" s="1"/>
      <c r="MCA338" s="1"/>
      <c r="MCB338" s="1"/>
      <c r="MCC338" s="1"/>
      <c r="MCD338" s="1"/>
      <c r="MCE338" s="1"/>
      <c r="MCF338" s="1"/>
      <c r="MCG338" s="1"/>
      <c r="MCH338" s="1"/>
      <c r="MCI338" s="1"/>
      <c r="MCJ338" s="1"/>
      <c r="MCK338" s="1"/>
      <c r="MCL338" s="1"/>
      <c r="MCM338" s="1"/>
      <c r="MCN338" s="1"/>
      <c r="MCO338" s="1"/>
      <c r="MCP338" s="1"/>
      <c r="MCQ338" s="1"/>
      <c r="MCR338" s="1"/>
      <c r="MCS338" s="1"/>
      <c r="MCT338" s="1"/>
      <c r="MCU338" s="1"/>
      <c r="MCV338" s="1"/>
      <c r="MCW338" s="1"/>
      <c r="MCX338" s="1"/>
      <c r="MCY338" s="1"/>
      <c r="MCZ338" s="1"/>
      <c r="MDA338" s="1"/>
      <c r="MDB338" s="1"/>
      <c r="MDC338" s="1"/>
      <c r="MDD338" s="1"/>
      <c r="MDE338" s="1"/>
      <c r="MDF338" s="1"/>
      <c r="MDG338" s="1"/>
      <c r="MDH338" s="1"/>
      <c r="MDI338" s="1"/>
      <c r="MDJ338" s="1"/>
      <c r="MDK338" s="1"/>
      <c r="MDL338" s="1"/>
      <c r="MDM338" s="1"/>
      <c r="MDN338" s="1"/>
      <c r="MDO338" s="1"/>
      <c r="MDP338" s="1"/>
      <c r="MDQ338" s="1"/>
      <c r="MDR338" s="1"/>
      <c r="MDS338" s="1"/>
      <c r="MDT338" s="1"/>
      <c r="MDU338" s="1"/>
      <c r="MDV338" s="1"/>
      <c r="MDW338" s="1"/>
      <c r="MDX338" s="1"/>
      <c r="MDY338" s="1"/>
      <c r="MDZ338" s="1"/>
      <c r="MEA338" s="1"/>
      <c r="MEB338" s="1"/>
      <c r="MEC338" s="1"/>
      <c r="MED338" s="1"/>
      <c r="MEE338" s="1"/>
      <c r="MEF338" s="1"/>
      <c r="MEG338" s="1"/>
      <c r="MEH338" s="1"/>
      <c r="MEI338" s="1"/>
      <c r="MEJ338" s="1"/>
      <c r="MEK338" s="1"/>
      <c r="MEL338" s="1"/>
      <c r="MEM338" s="1"/>
      <c r="MEN338" s="1"/>
      <c r="MEO338" s="1"/>
      <c r="MEP338" s="1"/>
      <c r="MEQ338" s="1"/>
      <c r="MER338" s="1"/>
      <c r="MES338" s="1"/>
      <c r="MET338" s="1"/>
      <c r="MEU338" s="1"/>
      <c r="MEV338" s="1"/>
      <c r="MEW338" s="1"/>
      <c r="MEX338" s="1"/>
      <c r="MEY338" s="1"/>
      <c r="MEZ338" s="1"/>
      <c r="MFA338" s="1"/>
      <c r="MFB338" s="1"/>
      <c r="MFC338" s="1"/>
      <c r="MFD338" s="1"/>
      <c r="MFE338" s="1"/>
      <c r="MFF338" s="1"/>
      <c r="MFG338" s="1"/>
      <c r="MFH338" s="1"/>
      <c r="MFI338" s="1"/>
      <c r="MFJ338" s="1"/>
      <c r="MFK338" s="1"/>
      <c r="MFL338" s="1"/>
      <c r="MFM338" s="1"/>
      <c r="MFN338" s="1"/>
      <c r="MFO338" s="1"/>
      <c r="MFP338" s="1"/>
      <c r="MFQ338" s="1"/>
      <c r="MFR338" s="1"/>
      <c r="MFS338" s="1"/>
      <c r="MFT338" s="1"/>
      <c r="MFU338" s="1"/>
      <c r="MFV338" s="1"/>
      <c r="MFW338" s="1"/>
      <c r="MFX338" s="1"/>
      <c r="MFY338" s="1"/>
      <c r="MFZ338" s="1"/>
      <c r="MGA338" s="1"/>
      <c r="MGB338" s="1"/>
      <c r="MGC338" s="1"/>
      <c r="MGD338" s="1"/>
      <c r="MGE338" s="1"/>
      <c r="MGF338" s="1"/>
      <c r="MGG338" s="1"/>
      <c r="MGH338" s="1"/>
      <c r="MGI338" s="1"/>
      <c r="MGJ338" s="1"/>
      <c r="MGK338" s="1"/>
      <c r="MGL338" s="1"/>
      <c r="MGM338" s="1"/>
      <c r="MGN338" s="1"/>
      <c r="MGO338" s="1"/>
      <c r="MGP338" s="1"/>
      <c r="MGQ338" s="1"/>
      <c r="MGR338" s="1"/>
      <c r="MGS338" s="1"/>
      <c r="MGT338" s="1"/>
      <c r="MGU338" s="1"/>
      <c r="MGV338" s="1"/>
      <c r="MGW338" s="1"/>
      <c r="MGX338" s="1"/>
      <c r="MGY338" s="1"/>
      <c r="MGZ338" s="1"/>
      <c r="MHA338" s="1"/>
      <c r="MHB338" s="1"/>
      <c r="MHC338" s="1"/>
      <c r="MHD338" s="1"/>
      <c r="MHE338" s="1"/>
      <c r="MHF338" s="1"/>
      <c r="MHG338" s="1"/>
      <c r="MHH338" s="1"/>
      <c r="MHI338" s="1"/>
      <c r="MHJ338" s="1"/>
      <c r="MHK338" s="1"/>
      <c r="MHL338" s="1"/>
      <c r="MHM338" s="1"/>
      <c r="MHN338" s="1"/>
      <c r="MHO338" s="1"/>
      <c r="MHP338" s="1"/>
      <c r="MHQ338" s="1"/>
      <c r="MHR338" s="1"/>
      <c r="MHS338" s="1"/>
      <c r="MHT338" s="1"/>
      <c r="MHU338" s="1"/>
      <c r="MHV338" s="1"/>
      <c r="MHW338" s="1"/>
      <c r="MHX338" s="1"/>
      <c r="MHY338" s="1"/>
      <c r="MHZ338" s="1"/>
      <c r="MIA338" s="1"/>
      <c r="MIB338" s="1"/>
      <c r="MIC338" s="1"/>
      <c r="MID338" s="1"/>
      <c r="MIE338" s="1"/>
      <c r="MIF338" s="1"/>
      <c r="MIG338" s="1"/>
      <c r="MIH338" s="1"/>
      <c r="MII338" s="1"/>
      <c r="MIJ338" s="1"/>
      <c r="MIK338" s="1"/>
      <c r="MIL338" s="1"/>
      <c r="MIM338" s="1"/>
      <c r="MIN338" s="1"/>
      <c r="MIO338" s="1"/>
      <c r="MIP338" s="1"/>
      <c r="MIQ338" s="1"/>
      <c r="MIR338" s="1"/>
      <c r="MIS338" s="1"/>
      <c r="MIT338" s="1"/>
      <c r="MIU338" s="1"/>
      <c r="MIV338" s="1"/>
      <c r="MIW338" s="1"/>
      <c r="MIX338" s="1"/>
      <c r="MIY338" s="1"/>
      <c r="MIZ338" s="1"/>
      <c r="MJA338" s="1"/>
      <c r="MJB338" s="1"/>
      <c r="MJC338" s="1"/>
      <c r="MJD338" s="1"/>
      <c r="MJE338" s="1"/>
      <c r="MJF338" s="1"/>
      <c r="MJG338" s="1"/>
      <c r="MJH338" s="1"/>
      <c r="MJI338" s="1"/>
      <c r="MJJ338" s="1"/>
      <c r="MJK338" s="1"/>
      <c r="MJL338" s="1"/>
      <c r="MJM338" s="1"/>
      <c r="MJN338" s="1"/>
      <c r="MJO338" s="1"/>
      <c r="MJP338" s="1"/>
      <c r="MJQ338" s="1"/>
      <c r="MJR338" s="1"/>
      <c r="MJS338" s="1"/>
      <c r="MJT338" s="1"/>
      <c r="MJU338" s="1"/>
      <c r="MJV338" s="1"/>
      <c r="MJW338" s="1"/>
      <c r="MJX338" s="1"/>
      <c r="MJY338" s="1"/>
      <c r="MJZ338" s="1"/>
      <c r="MKA338" s="1"/>
      <c r="MKB338" s="1"/>
      <c r="MKC338" s="1"/>
      <c r="MKD338" s="1"/>
      <c r="MKE338" s="1"/>
      <c r="MKF338" s="1"/>
      <c r="MKG338" s="1"/>
      <c r="MKH338" s="1"/>
      <c r="MKI338" s="1"/>
      <c r="MKJ338" s="1"/>
      <c r="MKK338" s="1"/>
      <c r="MKL338" s="1"/>
      <c r="MKM338" s="1"/>
      <c r="MKN338" s="1"/>
      <c r="MKO338" s="1"/>
      <c r="MKP338" s="1"/>
      <c r="MKQ338" s="1"/>
      <c r="MKR338" s="1"/>
      <c r="MKS338" s="1"/>
      <c r="MKT338" s="1"/>
      <c r="MKU338" s="1"/>
      <c r="MKV338" s="1"/>
      <c r="MKW338" s="1"/>
      <c r="MKX338" s="1"/>
      <c r="MKY338" s="1"/>
      <c r="MKZ338" s="1"/>
      <c r="MLA338" s="1"/>
      <c r="MLB338" s="1"/>
      <c r="MLC338" s="1"/>
      <c r="MLD338" s="1"/>
      <c r="MLE338" s="1"/>
      <c r="MLF338" s="1"/>
      <c r="MLG338" s="1"/>
      <c r="MLH338" s="1"/>
      <c r="MLI338" s="1"/>
      <c r="MLJ338" s="1"/>
      <c r="MLK338" s="1"/>
      <c r="MLL338" s="1"/>
      <c r="MLM338" s="1"/>
      <c r="MLN338" s="1"/>
      <c r="MLO338" s="1"/>
      <c r="MLP338" s="1"/>
      <c r="MLQ338" s="1"/>
      <c r="MLR338" s="1"/>
      <c r="MLS338" s="1"/>
      <c r="MLT338" s="1"/>
      <c r="MLU338" s="1"/>
      <c r="MLV338" s="1"/>
      <c r="MLW338" s="1"/>
      <c r="MLX338" s="1"/>
      <c r="MLY338" s="1"/>
      <c r="MLZ338" s="1"/>
      <c r="MMA338" s="1"/>
      <c r="MMB338" s="1"/>
      <c r="MMC338" s="1"/>
      <c r="MMD338" s="1"/>
      <c r="MME338" s="1"/>
      <c r="MMF338" s="1"/>
      <c r="MMG338" s="1"/>
      <c r="MMH338" s="1"/>
      <c r="MMI338" s="1"/>
      <c r="MMJ338" s="1"/>
      <c r="MMK338" s="1"/>
      <c r="MML338" s="1"/>
      <c r="MMM338" s="1"/>
      <c r="MMN338" s="1"/>
      <c r="MMO338" s="1"/>
      <c r="MMP338" s="1"/>
      <c r="MMQ338" s="1"/>
      <c r="MMR338" s="1"/>
      <c r="MMS338" s="1"/>
      <c r="MMT338" s="1"/>
      <c r="MMU338" s="1"/>
      <c r="MMV338" s="1"/>
      <c r="MMW338" s="1"/>
      <c r="MMX338" s="1"/>
      <c r="MMY338" s="1"/>
      <c r="MMZ338" s="1"/>
      <c r="MNA338" s="1"/>
      <c r="MNB338" s="1"/>
      <c r="MNC338" s="1"/>
      <c r="MND338" s="1"/>
      <c r="MNE338" s="1"/>
      <c r="MNF338" s="1"/>
      <c r="MNG338" s="1"/>
      <c r="MNH338" s="1"/>
      <c r="MNI338" s="1"/>
      <c r="MNJ338" s="1"/>
      <c r="MNK338" s="1"/>
      <c r="MNL338" s="1"/>
      <c r="MNM338" s="1"/>
      <c r="MNN338" s="1"/>
      <c r="MNO338" s="1"/>
      <c r="MNP338" s="1"/>
      <c r="MNQ338" s="1"/>
      <c r="MNR338" s="1"/>
      <c r="MNS338" s="1"/>
      <c r="MNT338" s="1"/>
      <c r="MNU338" s="1"/>
      <c r="MNV338" s="1"/>
      <c r="MNW338" s="1"/>
      <c r="MNX338" s="1"/>
      <c r="MNY338" s="1"/>
      <c r="MNZ338" s="1"/>
      <c r="MOA338" s="1"/>
      <c r="MOB338" s="1"/>
      <c r="MOC338" s="1"/>
      <c r="MOD338" s="1"/>
      <c r="MOE338" s="1"/>
      <c r="MOF338" s="1"/>
      <c r="MOG338" s="1"/>
      <c r="MOH338" s="1"/>
      <c r="MOI338" s="1"/>
      <c r="MOJ338" s="1"/>
      <c r="MOK338" s="1"/>
      <c r="MOL338" s="1"/>
      <c r="MOM338" s="1"/>
      <c r="MON338" s="1"/>
      <c r="MOO338" s="1"/>
      <c r="MOP338" s="1"/>
      <c r="MOQ338" s="1"/>
      <c r="MOR338" s="1"/>
      <c r="MOS338" s="1"/>
      <c r="MOT338" s="1"/>
      <c r="MOU338" s="1"/>
      <c r="MOV338" s="1"/>
      <c r="MOW338" s="1"/>
      <c r="MOX338" s="1"/>
      <c r="MOY338" s="1"/>
      <c r="MOZ338" s="1"/>
      <c r="MPA338" s="1"/>
      <c r="MPB338" s="1"/>
      <c r="MPC338" s="1"/>
      <c r="MPD338" s="1"/>
      <c r="MPE338" s="1"/>
      <c r="MPF338" s="1"/>
      <c r="MPG338" s="1"/>
      <c r="MPH338" s="1"/>
      <c r="MPI338" s="1"/>
      <c r="MPJ338" s="1"/>
      <c r="MPK338" s="1"/>
      <c r="MPL338" s="1"/>
      <c r="MPM338" s="1"/>
      <c r="MPN338" s="1"/>
      <c r="MPO338" s="1"/>
      <c r="MPP338" s="1"/>
      <c r="MPQ338" s="1"/>
      <c r="MPR338" s="1"/>
      <c r="MPS338" s="1"/>
      <c r="MPT338" s="1"/>
      <c r="MPU338" s="1"/>
      <c r="MPV338" s="1"/>
      <c r="MPW338" s="1"/>
      <c r="MPX338" s="1"/>
      <c r="MPY338" s="1"/>
      <c r="MPZ338" s="1"/>
      <c r="MQA338" s="1"/>
      <c r="MQB338" s="1"/>
      <c r="MQC338" s="1"/>
      <c r="MQD338" s="1"/>
      <c r="MQE338" s="1"/>
      <c r="MQF338" s="1"/>
      <c r="MQG338" s="1"/>
      <c r="MQH338" s="1"/>
      <c r="MQI338" s="1"/>
      <c r="MQJ338" s="1"/>
      <c r="MQK338" s="1"/>
      <c r="MQL338" s="1"/>
      <c r="MQM338" s="1"/>
      <c r="MQN338" s="1"/>
      <c r="MQO338" s="1"/>
      <c r="MQP338" s="1"/>
      <c r="MQQ338" s="1"/>
      <c r="MQR338" s="1"/>
      <c r="MQS338" s="1"/>
      <c r="MQT338" s="1"/>
      <c r="MQU338" s="1"/>
      <c r="MQV338" s="1"/>
      <c r="MQW338" s="1"/>
      <c r="MQX338" s="1"/>
      <c r="MQY338" s="1"/>
      <c r="MQZ338" s="1"/>
      <c r="MRA338" s="1"/>
      <c r="MRB338" s="1"/>
      <c r="MRC338" s="1"/>
      <c r="MRD338" s="1"/>
      <c r="MRE338" s="1"/>
      <c r="MRF338" s="1"/>
      <c r="MRG338" s="1"/>
      <c r="MRH338" s="1"/>
      <c r="MRI338" s="1"/>
      <c r="MRJ338" s="1"/>
      <c r="MRK338" s="1"/>
      <c r="MRL338" s="1"/>
      <c r="MRM338" s="1"/>
      <c r="MRN338" s="1"/>
      <c r="MRO338" s="1"/>
      <c r="MRP338" s="1"/>
      <c r="MRQ338" s="1"/>
      <c r="MRR338" s="1"/>
      <c r="MRS338" s="1"/>
      <c r="MRT338" s="1"/>
      <c r="MRU338" s="1"/>
      <c r="MRV338" s="1"/>
      <c r="MRW338" s="1"/>
      <c r="MRX338" s="1"/>
      <c r="MRY338" s="1"/>
      <c r="MRZ338" s="1"/>
      <c r="MSA338" s="1"/>
      <c r="MSB338" s="1"/>
      <c r="MSC338" s="1"/>
      <c r="MSD338" s="1"/>
      <c r="MSE338" s="1"/>
      <c r="MSF338" s="1"/>
      <c r="MSG338" s="1"/>
      <c r="MSH338" s="1"/>
      <c r="MSI338" s="1"/>
      <c r="MSJ338" s="1"/>
      <c r="MSK338" s="1"/>
      <c r="MSL338" s="1"/>
      <c r="MSM338" s="1"/>
      <c r="MSN338" s="1"/>
      <c r="MSO338" s="1"/>
      <c r="MSP338" s="1"/>
      <c r="MSQ338" s="1"/>
      <c r="MSR338" s="1"/>
      <c r="MSS338" s="1"/>
      <c r="MST338" s="1"/>
      <c r="MSU338" s="1"/>
      <c r="MSV338" s="1"/>
      <c r="MSW338" s="1"/>
      <c r="MSX338" s="1"/>
      <c r="MSY338" s="1"/>
      <c r="MSZ338" s="1"/>
      <c r="MTA338" s="1"/>
      <c r="MTB338" s="1"/>
      <c r="MTC338" s="1"/>
      <c r="MTD338" s="1"/>
      <c r="MTE338" s="1"/>
      <c r="MTF338" s="1"/>
      <c r="MTG338" s="1"/>
      <c r="MTH338" s="1"/>
      <c r="MTI338" s="1"/>
      <c r="MTJ338" s="1"/>
      <c r="MTK338" s="1"/>
      <c r="MTL338" s="1"/>
      <c r="MTM338" s="1"/>
      <c r="MTN338" s="1"/>
      <c r="MTO338" s="1"/>
      <c r="MTP338" s="1"/>
      <c r="MTQ338" s="1"/>
      <c r="MTR338" s="1"/>
      <c r="MTS338" s="1"/>
      <c r="MTT338" s="1"/>
      <c r="MTU338" s="1"/>
      <c r="MTV338" s="1"/>
      <c r="MTW338" s="1"/>
      <c r="MTX338" s="1"/>
      <c r="MTY338" s="1"/>
      <c r="MTZ338" s="1"/>
      <c r="MUA338" s="1"/>
      <c r="MUB338" s="1"/>
      <c r="MUC338" s="1"/>
      <c r="MUD338" s="1"/>
      <c r="MUE338" s="1"/>
      <c r="MUF338" s="1"/>
      <c r="MUG338" s="1"/>
      <c r="MUH338" s="1"/>
      <c r="MUI338" s="1"/>
      <c r="MUJ338" s="1"/>
      <c r="MUK338" s="1"/>
      <c r="MUL338" s="1"/>
      <c r="MUM338" s="1"/>
      <c r="MUN338" s="1"/>
      <c r="MUO338" s="1"/>
      <c r="MUP338" s="1"/>
      <c r="MUQ338" s="1"/>
      <c r="MUR338" s="1"/>
      <c r="MUS338" s="1"/>
      <c r="MUT338" s="1"/>
      <c r="MUU338" s="1"/>
      <c r="MUV338" s="1"/>
      <c r="MUW338" s="1"/>
      <c r="MUX338" s="1"/>
      <c r="MUY338" s="1"/>
      <c r="MUZ338" s="1"/>
      <c r="MVA338" s="1"/>
      <c r="MVB338" s="1"/>
      <c r="MVC338" s="1"/>
      <c r="MVD338" s="1"/>
      <c r="MVE338" s="1"/>
      <c r="MVF338" s="1"/>
      <c r="MVG338" s="1"/>
      <c r="MVH338" s="1"/>
      <c r="MVI338" s="1"/>
      <c r="MVJ338" s="1"/>
      <c r="MVK338" s="1"/>
      <c r="MVL338" s="1"/>
      <c r="MVM338" s="1"/>
      <c r="MVN338" s="1"/>
      <c r="MVO338" s="1"/>
      <c r="MVP338" s="1"/>
      <c r="MVQ338" s="1"/>
      <c r="MVR338" s="1"/>
      <c r="MVS338" s="1"/>
      <c r="MVT338" s="1"/>
      <c r="MVU338" s="1"/>
      <c r="MVV338" s="1"/>
      <c r="MVW338" s="1"/>
      <c r="MVX338" s="1"/>
      <c r="MVY338" s="1"/>
      <c r="MVZ338" s="1"/>
      <c r="MWA338" s="1"/>
      <c r="MWB338" s="1"/>
      <c r="MWC338" s="1"/>
      <c r="MWD338" s="1"/>
      <c r="MWE338" s="1"/>
      <c r="MWF338" s="1"/>
      <c r="MWG338" s="1"/>
      <c r="MWH338" s="1"/>
      <c r="MWI338" s="1"/>
      <c r="MWJ338" s="1"/>
      <c r="MWK338" s="1"/>
      <c r="MWL338" s="1"/>
      <c r="MWM338" s="1"/>
      <c r="MWN338" s="1"/>
      <c r="MWO338" s="1"/>
      <c r="MWP338" s="1"/>
      <c r="MWQ338" s="1"/>
      <c r="MWR338" s="1"/>
      <c r="MWS338" s="1"/>
      <c r="MWT338" s="1"/>
      <c r="MWU338" s="1"/>
      <c r="MWV338" s="1"/>
      <c r="MWW338" s="1"/>
      <c r="MWX338" s="1"/>
      <c r="MWY338" s="1"/>
      <c r="MWZ338" s="1"/>
      <c r="MXA338" s="1"/>
      <c r="MXB338" s="1"/>
      <c r="MXC338" s="1"/>
      <c r="MXD338" s="1"/>
      <c r="MXE338" s="1"/>
      <c r="MXF338" s="1"/>
      <c r="MXG338" s="1"/>
      <c r="MXH338" s="1"/>
      <c r="MXI338" s="1"/>
      <c r="MXJ338" s="1"/>
      <c r="MXK338" s="1"/>
      <c r="MXL338" s="1"/>
      <c r="MXM338" s="1"/>
      <c r="MXN338" s="1"/>
      <c r="MXO338" s="1"/>
      <c r="MXP338" s="1"/>
      <c r="MXQ338" s="1"/>
      <c r="MXR338" s="1"/>
      <c r="MXS338" s="1"/>
      <c r="MXT338" s="1"/>
      <c r="MXU338" s="1"/>
      <c r="MXV338" s="1"/>
      <c r="MXW338" s="1"/>
      <c r="MXX338" s="1"/>
      <c r="MXY338" s="1"/>
      <c r="MXZ338" s="1"/>
      <c r="MYA338" s="1"/>
      <c r="MYB338" s="1"/>
      <c r="MYC338" s="1"/>
      <c r="MYD338" s="1"/>
      <c r="MYE338" s="1"/>
      <c r="MYF338" s="1"/>
      <c r="MYG338" s="1"/>
      <c r="MYH338" s="1"/>
      <c r="MYI338" s="1"/>
      <c r="MYJ338" s="1"/>
      <c r="MYK338" s="1"/>
      <c r="MYL338" s="1"/>
      <c r="MYM338" s="1"/>
      <c r="MYN338" s="1"/>
      <c r="MYO338" s="1"/>
      <c r="MYP338" s="1"/>
      <c r="MYQ338" s="1"/>
      <c r="MYR338" s="1"/>
      <c r="MYS338" s="1"/>
      <c r="MYT338" s="1"/>
      <c r="MYU338" s="1"/>
      <c r="MYV338" s="1"/>
      <c r="MYW338" s="1"/>
      <c r="MYX338" s="1"/>
      <c r="MYY338" s="1"/>
      <c r="MYZ338" s="1"/>
      <c r="MZA338" s="1"/>
      <c r="MZB338" s="1"/>
      <c r="MZC338" s="1"/>
      <c r="MZD338" s="1"/>
      <c r="MZE338" s="1"/>
      <c r="MZF338" s="1"/>
      <c r="MZG338" s="1"/>
      <c r="MZH338" s="1"/>
      <c r="MZI338" s="1"/>
      <c r="MZJ338" s="1"/>
      <c r="MZK338" s="1"/>
      <c r="MZL338" s="1"/>
      <c r="MZM338" s="1"/>
      <c r="MZN338" s="1"/>
      <c r="MZO338" s="1"/>
      <c r="MZP338" s="1"/>
      <c r="MZQ338" s="1"/>
      <c r="MZR338" s="1"/>
      <c r="MZS338" s="1"/>
      <c r="MZT338" s="1"/>
      <c r="MZU338" s="1"/>
      <c r="MZV338" s="1"/>
      <c r="MZW338" s="1"/>
      <c r="MZX338" s="1"/>
      <c r="MZY338" s="1"/>
      <c r="MZZ338" s="1"/>
      <c r="NAA338" s="1"/>
      <c r="NAB338" s="1"/>
      <c r="NAC338" s="1"/>
      <c r="NAD338" s="1"/>
      <c r="NAE338" s="1"/>
      <c r="NAF338" s="1"/>
      <c r="NAG338" s="1"/>
      <c r="NAH338" s="1"/>
      <c r="NAI338" s="1"/>
      <c r="NAJ338" s="1"/>
      <c r="NAK338" s="1"/>
      <c r="NAL338" s="1"/>
      <c r="NAM338" s="1"/>
      <c r="NAN338" s="1"/>
      <c r="NAO338" s="1"/>
      <c r="NAP338" s="1"/>
      <c r="NAQ338" s="1"/>
      <c r="NAR338" s="1"/>
      <c r="NAS338" s="1"/>
      <c r="NAT338" s="1"/>
      <c r="NAU338" s="1"/>
      <c r="NAV338" s="1"/>
      <c r="NAW338" s="1"/>
      <c r="NAX338" s="1"/>
      <c r="NAY338" s="1"/>
      <c r="NAZ338" s="1"/>
      <c r="NBA338" s="1"/>
      <c r="NBB338" s="1"/>
      <c r="NBC338" s="1"/>
      <c r="NBD338" s="1"/>
      <c r="NBE338" s="1"/>
      <c r="NBF338" s="1"/>
      <c r="NBG338" s="1"/>
      <c r="NBH338" s="1"/>
      <c r="NBI338" s="1"/>
      <c r="NBJ338" s="1"/>
      <c r="NBK338" s="1"/>
      <c r="NBL338" s="1"/>
      <c r="NBM338" s="1"/>
      <c r="NBN338" s="1"/>
      <c r="NBO338" s="1"/>
      <c r="NBP338" s="1"/>
      <c r="NBQ338" s="1"/>
      <c r="NBR338" s="1"/>
      <c r="NBS338" s="1"/>
      <c r="NBT338" s="1"/>
      <c r="NBU338" s="1"/>
      <c r="NBV338" s="1"/>
      <c r="NBW338" s="1"/>
      <c r="NBX338" s="1"/>
      <c r="NBY338" s="1"/>
      <c r="NBZ338" s="1"/>
      <c r="NCA338" s="1"/>
      <c r="NCB338" s="1"/>
      <c r="NCC338" s="1"/>
      <c r="NCD338" s="1"/>
      <c r="NCE338" s="1"/>
      <c r="NCF338" s="1"/>
      <c r="NCG338" s="1"/>
      <c r="NCH338" s="1"/>
      <c r="NCI338" s="1"/>
      <c r="NCJ338" s="1"/>
      <c r="NCK338" s="1"/>
      <c r="NCL338" s="1"/>
      <c r="NCM338" s="1"/>
      <c r="NCN338" s="1"/>
      <c r="NCO338" s="1"/>
      <c r="NCP338" s="1"/>
      <c r="NCQ338" s="1"/>
      <c r="NCR338" s="1"/>
      <c r="NCS338" s="1"/>
      <c r="NCT338" s="1"/>
      <c r="NCU338" s="1"/>
      <c r="NCV338" s="1"/>
      <c r="NCW338" s="1"/>
      <c r="NCX338" s="1"/>
      <c r="NCY338" s="1"/>
      <c r="NCZ338" s="1"/>
      <c r="NDA338" s="1"/>
      <c r="NDB338" s="1"/>
      <c r="NDC338" s="1"/>
      <c r="NDD338" s="1"/>
      <c r="NDE338" s="1"/>
      <c r="NDF338" s="1"/>
      <c r="NDG338" s="1"/>
      <c r="NDH338" s="1"/>
      <c r="NDI338" s="1"/>
      <c r="NDJ338" s="1"/>
      <c r="NDK338" s="1"/>
      <c r="NDL338" s="1"/>
      <c r="NDM338" s="1"/>
      <c r="NDN338" s="1"/>
      <c r="NDO338" s="1"/>
      <c r="NDP338" s="1"/>
      <c r="NDQ338" s="1"/>
      <c r="NDR338" s="1"/>
      <c r="NDS338" s="1"/>
      <c r="NDT338" s="1"/>
      <c r="NDU338" s="1"/>
      <c r="NDV338" s="1"/>
      <c r="NDW338" s="1"/>
      <c r="NDX338" s="1"/>
      <c r="NDY338" s="1"/>
      <c r="NDZ338" s="1"/>
      <c r="NEA338" s="1"/>
      <c r="NEB338" s="1"/>
      <c r="NEC338" s="1"/>
      <c r="NED338" s="1"/>
      <c r="NEE338" s="1"/>
      <c r="NEF338" s="1"/>
      <c r="NEG338" s="1"/>
      <c r="NEH338" s="1"/>
      <c r="NEI338" s="1"/>
      <c r="NEJ338" s="1"/>
      <c r="NEK338" s="1"/>
      <c r="NEL338" s="1"/>
      <c r="NEM338" s="1"/>
      <c r="NEN338" s="1"/>
      <c r="NEO338" s="1"/>
      <c r="NEP338" s="1"/>
      <c r="NEQ338" s="1"/>
      <c r="NER338" s="1"/>
      <c r="NES338" s="1"/>
      <c r="NET338" s="1"/>
      <c r="NEU338" s="1"/>
      <c r="NEV338" s="1"/>
      <c r="NEW338" s="1"/>
      <c r="NEX338" s="1"/>
      <c r="NEY338" s="1"/>
      <c r="NEZ338" s="1"/>
      <c r="NFA338" s="1"/>
      <c r="NFB338" s="1"/>
      <c r="NFC338" s="1"/>
      <c r="NFD338" s="1"/>
      <c r="NFE338" s="1"/>
      <c r="NFF338" s="1"/>
      <c r="NFG338" s="1"/>
      <c r="NFH338" s="1"/>
      <c r="NFI338" s="1"/>
      <c r="NFJ338" s="1"/>
      <c r="NFK338" s="1"/>
      <c r="NFL338" s="1"/>
      <c r="NFM338" s="1"/>
      <c r="NFN338" s="1"/>
      <c r="NFO338" s="1"/>
      <c r="NFP338" s="1"/>
      <c r="NFQ338" s="1"/>
      <c r="NFR338" s="1"/>
      <c r="NFS338" s="1"/>
      <c r="NFT338" s="1"/>
      <c r="NFU338" s="1"/>
      <c r="NFV338" s="1"/>
      <c r="NFW338" s="1"/>
      <c r="NFX338" s="1"/>
      <c r="NFY338" s="1"/>
      <c r="NFZ338" s="1"/>
      <c r="NGA338" s="1"/>
      <c r="NGB338" s="1"/>
      <c r="NGC338" s="1"/>
      <c r="NGD338" s="1"/>
      <c r="NGE338" s="1"/>
      <c r="NGF338" s="1"/>
      <c r="NGG338" s="1"/>
      <c r="NGH338" s="1"/>
      <c r="NGI338" s="1"/>
      <c r="NGJ338" s="1"/>
      <c r="NGK338" s="1"/>
      <c r="NGL338" s="1"/>
      <c r="NGM338" s="1"/>
      <c r="NGN338" s="1"/>
      <c r="NGO338" s="1"/>
      <c r="NGP338" s="1"/>
      <c r="NGQ338" s="1"/>
      <c r="NGR338" s="1"/>
      <c r="NGS338" s="1"/>
      <c r="NGT338" s="1"/>
      <c r="NGU338" s="1"/>
      <c r="NGV338" s="1"/>
      <c r="NGW338" s="1"/>
      <c r="NGX338" s="1"/>
      <c r="NGY338" s="1"/>
      <c r="NGZ338" s="1"/>
      <c r="NHA338" s="1"/>
      <c r="NHB338" s="1"/>
      <c r="NHC338" s="1"/>
      <c r="NHD338" s="1"/>
      <c r="NHE338" s="1"/>
      <c r="NHF338" s="1"/>
      <c r="NHG338" s="1"/>
      <c r="NHH338" s="1"/>
      <c r="NHI338" s="1"/>
      <c r="NHJ338" s="1"/>
      <c r="NHK338" s="1"/>
      <c r="NHL338" s="1"/>
      <c r="NHM338" s="1"/>
      <c r="NHN338" s="1"/>
      <c r="NHO338" s="1"/>
      <c r="NHP338" s="1"/>
      <c r="NHQ338" s="1"/>
      <c r="NHR338" s="1"/>
      <c r="NHS338" s="1"/>
      <c r="NHT338" s="1"/>
      <c r="NHU338" s="1"/>
      <c r="NHV338" s="1"/>
      <c r="NHW338" s="1"/>
      <c r="NHX338" s="1"/>
      <c r="NHY338" s="1"/>
      <c r="NHZ338" s="1"/>
      <c r="NIA338" s="1"/>
      <c r="NIB338" s="1"/>
      <c r="NIC338" s="1"/>
      <c r="NID338" s="1"/>
      <c r="NIE338" s="1"/>
      <c r="NIF338" s="1"/>
      <c r="NIG338" s="1"/>
      <c r="NIH338" s="1"/>
      <c r="NII338" s="1"/>
      <c r="NIJ338" s="1"/>
      <c r="NIK338" s="1"/>
      <c r="NIL338" s="1"/>
      <c r="NIM338" s="1"/>
      <c r="NIN338" s="1"/>
      <c r="NIO338" s="1"/>
      <c r="NIP338" s="1"/>
      <c r="NIQ338" s="1"/>
      <c r="NIR338" s="1"/>
      <c r="NIS338" s="1"/>
      <c r="NIT338" s="1"/>
      <c r="NIU338" s="1"/>
      <c r="NIV338" s="1"/>
      <c r="NIW338" s="1"/>
      <c r="NIX338" s="1"/>
      <c r="NIY338" s="1"/>
      <c r="NIZ338" s="1"/>
      <c r="NJA338" s="1"/>
      <c r="NJB338" s="1"/>
      <c r="NJC338" s="1"/>
      <c r="NJD338" s="1"/>
      <c r="NJE338" s="1"/>
      <c r="NJF338" s="1"/>
      <c r="NJG338" s="1"/>
      <c r="NJH338" s="1"/>
      <c r="NJI338" s="1"/>
      <c r="NJJ338" s="1"/>
      <c r="NJK338" s="1"/>
      <c r="NJL338" s="1"/>
      <c r="NJM338" s="1"/>
      <c r="NJN338" s="1"/>
      <c r="NJO338" s="1"/>
      <c r="NJP338" s="1"/>
      <c r="NJQ338" s="1"/>
      <c r="NJR338" s="1"/>
      <c r="NJS338" s="1"/>
      <c r="NJT338" s="1"/>
      <c r="NJU338" s="1"/>
      <c r="NJV338" s="1"/>
      <c r="NJW338" s="1"/>
      <c r="NJX338" s="1"/>
      <c r="NJY338" s="1"/>
      <c r="NJZ338" s="1"/>
      <c r="NKA338" s="1"/>
      <c r="NKB338" s="1"/>
      <c r="NKC338" s="1"/>
      <c r="NKD338" s="1"/>
      <c r="NKE338" s="1"/>
      <c r="NKF338" s="1"/>
      <c r="NKG338" s="1"/>
      <c r="NKH338" s="1"/>
      <c r="NKI338" s="1"/>
      <c r="NKJ338" s="1"/>
      <c r="NKK338" s="1"/>
      <c r="NKL338" s="1"/>
      <c r="NKM338" s="1"/>
      <c r="NKN338" s="1"/>
      <c r="NKO338" s="1"/>
      <c r="NKP338" s="1"/>
      <c r="NKQ338" s="1"/>
      <c r="NKR338" s="1"/>
      <c r="NKS338" s="1"/>
      <c r="NKT338" s="1"/>
      <c r="NKU338" s="1"/>
      <c r="NKV338" s="1"/>
      <c r="NKW338" s="1"/>
      <c r="NKX338" s="1"/>
      <c r="NKY338" s="1"/>
      <c r="NKZ338" s="1"/>
      <c r="NLA338" s="1"/>
      <c r="NLB338" s="1"/>
      <c r="NLC338" s="1"/>
      <c r="NLD338" s="1"/>
      <c r="NLE338" s="1"/>
      <c r="NLF338" s="1"/>
      <c r="NLG338" s="1"/>
      <c r="NLH338" s="1"/>
      <c r="NLI338" s="1"/>
      <c r="NLJ338" s="1"/>
      <c r="NLK338" s="1"/>
      <c r="NLL338" s="1"/>
      <c r="NLM338" s="1"/>
      <c r="NLN338" s="1"/>
      <c r="NLO338" s="1"/>
      <c r="NLP338" s="1"/>
      <c r="NLQ338" s="1"/>
      <c r="NLR338" s="1"/>
      <c r="NLS338" s="1"/>
      <c r="NLT338" s="1"/>
      <c r="NLU338" s="1"/>
      <c r="NLV338" s="1"/>
      <c r="NLW338" s="1"/>
      <c r="NLX338" s="1"/>
      <c r="NLY338" s="1"/>
      <c r="NLZ338" s="1"/>
      <c r="NMA338" s="1"/>
      <c r="NMB338" s="1"/>
      <c r="NMC338" s="1"/>
      <c r="NMD338" s="1"/>
      <c r="NME338" s="1"/>
      <c r="NMF338" s="1"/>
      <c r="NMG338" s="1"/>
      <c r="NMH338" s="1"/>
      <c r="NMI338" s="1"/>
      <c r="NMJ338" s="1"/>
      <c r="NMK338" s="1"/>
      <c r="NML338" s="1"/>
      <c r="NMM338" s="1"/>
      <c r="NMN338" s="1"/>
      <c r="NMO338" s="1"/>
      <c r="NMP338" s="1"/>
      <c r="NMQ338" s="1"/>
      <c r="NMR338" s="1"/>
      <c r="NMS338" s="1"/>
      <c r="NMT338" s="1"/>
      <c r="NMU338" s="1"/>
      <c r="NMV338" s="1"/>
      <c r="NMW338" s="1"/>
      <c r="NMX338" s="1"/>
      <c r="NMY338" s="1"/>
      <c r="NMZ338" s="1"/>
      <c r="NNA338" s="1"/>
      <c r="NNB338" s="1"/>
      <c r="NNC338" s="1"/>
      <c r="NND338" s="1"/>
      <c r="NNE338" s="1"/>
      <c r="NNF338" s="1"/>
      <c r="NNG338" s="1"/>
      <c r="NNH338" s="1"/>
      <c r="NNI338" s="1"/>
      <c r="NNJ338" s="1"/>
      <c r="NNK338" s="1"/>
      <c r="NNL338" s="1"/>
      <c r="NNM338" s="1"/>
      <c r="NNN338" s="1"/>
      <c r="NNO338" s="1"/>
      <c r="NNP338" s="1"/>
      <c r="NNQ338" s="1"/>
      <c r="NNR338" s="1"/>
      <c r="NNS338" s="1"/>
      <c r="NNT338" s="1"/>
      <c r="NNU338" s="1"/>
      <c r="NNV338" s="1"/>
      <c r="NNW338" s="1"/>
      <c r="NNX338" s="1"/>
      <c r="NNY338" s="1"/>
      <c r="NNZ338" s="1"/>
      <c r="NOA338" s="1"/>
      <c r="NOB338" s="1"/>
      <c r="NOC338" s="1"/>
      <c r="NOD338" s="1"/>
      <c r="NOE338" s="1"/>
      <c r="NOF338" s="1"/>
      <c r="NOG338" s="1"/>
      <c r="NOH338" s="1"/>
      <c r="NOI338" s="1"/>
      <c r="NOJ338" s="1"/>
      <c r="NOK338" s="1"/>
      <c r="NOL338" s="1"/>
      <c r="NOM338" s="1"/>
      <c r="NON338" s="1"/>
      <c r="NOO338" s="1"/>
      <c r="NOP338" s="1"/>
      <c r="NOQ338" s="1"/>
      <c r="NOR338" s="1"/>
      <c r="NOS338" s="1"/>
      <c r="NOT338" s="1"/>
      <c r="NOU338" s="1"/>
      <c r="NOV338" s="1"/>
      <c r="NOW338" s="1"/>
      <c r="NOX338" s="1"/>
      <c r="NOY338" s="1"/>
      <c r="NOZ338" s="1"/>
      <c r="NPA338" s="1"/>
      <c r="NPB338" s="1"/>
      <c r="NPC338" s="1"/>
      <c r="NPD338" s="1"/>
      <c r="NPE338" s="1"/>
      <c r="NPF338" s="1"/>
      <c r="NPG338" s="1"/>
      <c r="NPH338" s="1"/>
      <c r="NPI338" s="1"/>
      <c r="NPJ338" s="1"/>
      <c r="NPK338" s="1"/>
      <c r="NPL338" s="1"/>
      <c r="NPM338" s="1"/>
      <c r="NPN338" s="1"/>
      <c r="NPO338" s="1"/>
      <c r="NPP338" s="1"/>
      <c r="NPQ338" s="1"/>
      <c r="NPR338" s="1"/>
      <c r="NPS338" s="1"/>
      <c r="NPT338" s="1"/>
      <c r="NPU338" s="1"/>
      <c r="NPV338" s="1"/>
      <c r="NPW338" s="1"/>
      <c r="NPX338" s="1"/>
      <c r="NPY338" s="1"/>
      <c r="NPZ338" s="1"/>
      <c r="NQA338" s="1"/>
      <c r="NQB338" s="1"/>
      <c r="NQC338" s="1"/>
      <c r="NQD338" s="1"/>
      <c r="NQE338" s="1"/>
      <c r="NQF338" s="1"/>
      <c r="NQG338" s="1"/>
      <c r="NQH338" s="1"/>
      <c r="NQI338" s="1"/>
      <c r="NQJ338" s="1"/>
      <c r="NQK338" s="1"/>
      <c r="NQL338" s="1"/>
      <c r="NQM338" s="1"/>
      <c r="NQN338" s="1"/>
      <c r="NQO338" s="1"/>
      <c r="NQP338" s="1"/>
      <c r="NQQ338" s="1"/>
      <c r="NQR338" s="1"/>
      <c r="NQS338" s="1"/>
      <c r="NQT338" s="1"/>
      <c r="NQU338" s="1"/>
      <c r="NQV338" s="1"/>
      <c r="NQW338" s="1"/>
      <c r="NQX338" s="1"/>
      <c r="NQY338" s="1"/>
      <c r="NQZ338" s="1"/>
      <c r="NRA338" s="1"/>
      <c r="NRB338" s="1"/>
      <c r="NRC338" s="1"/>
      <c r="NRD338" s="1"/>
      <c r="NRE338" s="1"/>
      <c r="NRF338" s="1"/>
      <c r="NRG338" s="1"/>
      <c r="NRH338" s="1"/>
      <c r="NRI338" s="1"/>
      <c r="NRJ338" s="1"/>
      <c r="NRK338" s="1"/>
      <c r="NRL338" s="1"/>
      <c r="NRM338" s="1"/>
      <c r="NRN338" s="1"/>
      <c r="NRO338" s="1"/>
      <c r="NRP338" s="1"/>
      <c r="NRQ338" s="1"/>
      <c r="NRR338" s="1"/>
      <c r="NRS338" s="1"/>
      <c r="NRT338" s="1"/>
      <c r="NRU338" s="1"/>
      <c r="NRV338" s="1"/>
      <c r="NRW338" s="1"/>
      <c r="NRX338" s="1"/>
      <c r="NRY338" s="1"/>
      <c r="NRZ338" s="1"/>
      <c r="NSA338" s="1"/>
      <c r="NSB338" s="1"/>
      <c r="NSC338" s="1"/>
      <c r="NSD338" s="1"/>
      <c r="NSE338" s="1"/>
      <c r="NSF338" s="1"/>
      <c r="NSG338" s="1"/>
      <c r="NSH338" s="1"/>
      <c r="NSI338" s="1"/>
      <c r="NSJ338" s="1"/>
      <c r="NSK338" s="1"/>
      <c r="NSL338" s="1"/>
      <c r="NSM338" s="1"/>
      <c r="NSN338" s="1"/>
      <c r="NSO338" s="1"/>
      <c r="NSP338" s="1"/>
      <c r="NSQ338" s="1"/>
      <c r="NSR338" s="1"/>
      <c r="NSS338" s="1"/>
      <c r="NST338" s="1"/>
      <c r="NSU338" s="1"/>
      <c r="NSV338" s="1"/>
      <c r="NSW338" s="1"/>
      <c r="NSX338" s="1"/>
      <c r="NSY338" s="1"/>
      <c r="NSZ338" s="1"/>
      <c r="NTA338" s="1"/>
      <c r="NTB338" s="1"/>
      <c r="NTC338" s="1"/>
      <c r="NTD338" s="1"/>
      <c r="NTE338" s="1"/>
      <c r="NTF338" s="1"/>
      <c r="NTG338" s="1"/>
      <c r="NTH338" s="1"/>
      <c r="NTI338" s="1"/>
      <c r="NTJ338" s="1"/>
      <c r="NTK338" s="1"/>
      <c r="NTL338" s="1"/>
      <c r="NTM338" s="1"/>
      <c r="NTN338" s="1"/>
      <c r="NTO338" s="1"/>
      <c r="NTP338" s="1"/>
      <c r="NTQ338" s="1"/>
      <c r="NTR338" s="1"/>
      <c r="NTS338" s="1"/>
      <c r="NTT338" s="1"/>
      <c r="NTU338" s="1"/>
      <c r="NTV338" s="1"/>
      <c r="NTW338" s="1"/>
      <c r="NTX338" s="1"/>
      <c r="NTY338" s="1"/>
      <c r="NTZ338" s="1"/>
      <c r="NUA338" s="1"/>
      <c r="NUB338" s="1"/>
      <c r="NUC338" s="1"/>
      <c r="NUD338" s="1"/>
      <c r="NUE338" s="1"/>
      <c r="NUF338" s="1"/>
      <c r="NUG338" s="1"/>
      <c r="NUH338" s="1"/>
      <c r="NUI338" s="1"/>
      <c r="NUJ338" s="1"/>
      <c r="NUK338" s="1"/>
      <c r="NUL338" s="1"/>
      <c r="NUM338" s="1"/>
      <c r="NUN338" s="1"/>
      <c r="NUO338" s="1"/>
      <c r="NUP338" s="1"/>
      <c r="NUQ338" s="1"/>
      <c r="NUR338" s="1"/>
      <c r="NUS338" s="1"/>
      <c r="NUT338" s="1"/>
      <c r="NUU338" s="1"/>
      <c r="NUV338" s="1"/>
      <c r="NUW338" s="1"/>
      <c r="NUX338" s="1"/>
      <c r="NUY338" s="1"/>
      <c r="NUZ338" s="1"/>
      <c r="NVA338" s="1"/>
      <c r="NVB338" s="1"/>
      <c r="NVC338" s="1"/>
      <c r="NVD338" s="1"/>
      <c r="NVE338" s="1"/>
      <c r="NVF338" s="1"/>
      <c r="NVG338" s="1"/>
      <c r="NVH338" s="1"/>
      <c r="NVI338" s="1"/>
      <c r="NVJ338" s="1"/>
      <c r="NVK338" s="1"/>
      <c r="NVL338" s="1"/>
      <c r="NVM338" s="1"/>
      <c r="NVN338" s="1"/>
      <c r="NVO338" s="1"/>
      <c r="NVP338" s="1"/>
      <c r="NVQ338" s="1"/>
      <c r="NVR338" s="1"/>
      <c r="NVS338" s="1"/>
      <c r="NVT338" s="1"/>
      <c r="NVU338" s="1"/>
      <c r="NVV338" s="1"/>
      <c r="NVW338" s="1"/>
      <c r="NVX338" s="1"/>
      <c r="NVY338" s="1"/>
      <c r="NVZ338" s="1"/>
      <c r="NWA338" s="1"/>
      <c r="NWB338" s="1"/>
      <c r="NWC338" s="1"/>
      <c r="NWD338" s="1"/>
      <c r="NWE338" s="1"/>
      <c r="NWF338" s="1"/>
      <c r="NWG338" s="1"/>
      <c r="NWH338" s="1"/>
      <c r="NWI338" s="1"/>
      <c r="NWJ338" s="1"/>
      <c r="NWK338" s="1"/>
      <c r="NWL338" s="1"/>
      <c r="NWM338" s="1"/>
      <c r="NWN338" s="1"/>
      <c r="NWO338" s="1"/>
      <c r="NWP338" s="1"/>
      <c r="NWQ338" s="1"/>
      <c r="NWR338" s="1"/>
      <c r="NWS338" s="1"/>
      <c r="NWT338" s="1"/>
      <c r="NWU338" s="1"/>
      <c r="NWV338" s="1"/>
      <c r="NWW338" s="1"/>
      <c r="NWX338" s="1"/>
      <c r="NWY338" s="1"/>
      <c r="NWZ338" s="1"/>
      <c r="NXA338" s="1"/>
      <c r="NXB338" s="1"/>
      <c r="NXC338" s="1"/>
      <c r="NXD338" s="1"/>
      <c r="NXE338" s="1"/>
      <c r="NXF338" s="1"/>
      <c r="NXG338" s="1"/>
      <c r="NXH338" s="1"/>
      <c r="NXI338" s="1"/>
      <c r="NXJ338" s="1"/>
      <c r="NXK338" s="1"/>
      <c r="NXL338" s="1"/>
      <c r="NXM338" s="1"/>
      <c r="NXN338" s="1"/>
      <c r="NXO338" s="1"/>
      <c r="NXP338" s="1"/>
      <c r="NXQ338" s="1"/>
      <c r="NXR338" s="1"/>
      <c r="NXS338" s="1"/>
      <c r="NXT338" s="1"/>
      <c r="NXU338" s="1"/>
      <c r="NXV338" s="1"/>
      <c r="NXW338" s="1"/>
      <c r="NXX338" s="1"/>
      <c r="NXY338" s="1"/>
      <c r="NXZ338" s="1"/>
      <c r="NYA338" s="1"/>
      <c r="NYB338" s="1"/>
      <c r="NYC338" s="1"/>
      <c r="NYD338" s="1"/>
      <c r="NYE338" s="1"/>
      <c r="NYF338" s="1"/>
      <c r="NYG338" s="1"/>
      <c r="NYH338" s="1"/>
      <c r="NYI338" s="1"/>
      <c r="NYJ338" s="1"/>
      <c r="NYK338" s="1"/>
      <c r="NYL338" s="1"/>
      <c r="NYM338" s="1"/>
      <c r="NYN338" s="1"/>
      <c r="NYO338" s="1"/>
      <c r="NYP338" s="1"/>
      <c r="NYQ338" s="1"/>
      <c r="NYR338" s="1"/>
      <c r="NYS338" s="1"/>
      <c r="NYT338" s="1"/>
      <c r="NYU338" s="1"/>
      <c r="NYV338" s="1"/>
      <c r="NYW338" s="1"/>
      <c r="NYX338" s="1"/>
      <c r="NYY338" s="1"/>
      <c r="NYZ338" s="1"/>
      <c r="NZA338" s="1"/>
      <c r="NZB338" s="1"/>
      <c r="NZC338" s="1"/>
      <c r="NZD338" s="1"/>
      <c r="NZE338" s="1"/>
      <c r="NZF338" s="1"/>
      <c r="NZG338" s="1"/>
      <c r="NZH338" s="1"/>
      <c r="NZI338" s="1"/>
      <c r="NZJ338" s="1"/>
      <c r="NZK338" s="1"/>
      <c r="NZL338" s="1"/>
      <c r="NZM338" s="1"/>
      <c r="NZN338" s="1"/>
      <c r="NZO338" s="1"/>
      <c r="NZP338" s="1"/>
      <c r="NZQ338" s="1"/>
      <c r="NZR338" s="1"/>
      <c r="NZS338" s="1"/>
      <c r="NZT338" s="1"/>
      <c r="NZU338" s="1"/>
      <c r="NZV338" s="1"/>
      <c r="NZW338" s="1"/>
      <c r="NZX338" s="1"/>
      <c r="NZY338" s="1"/>
      <c r="NZZ338" s="1"/>
      <c r="OAA338" s="1"/>
      <c r="OAB338" s="1"/>
      <c r="OAC338" s="1"/>
      <c r="OAD338" s="1"/>
      <c r="OAE338" s="1"/>
      <c r="OAF338" s="1"/>
      <c r="OAG338" s="1"/>
      <c r="OAH338" s="1"/>
      <c r="OAI338" s="1"/>
      <c r="OAJ338" s="1"/>
      <c r="OAK338" s="1"/>
      <c r="OAL338" s="1"/>
      <c r="OAM338" s="1"/>
      <c r="OAN338" s="1"/>
      <c r="OAO338" s="1"/>
      <c r="OAP338" s="1"/>
      <c r="OAQ338" s="1"/>
      <c r="OAR338" s="1"/>
      <c r="OAS338" s="1"/>
      <c r="OAT338" s="1"/>
      <c r="OAU338" s="1"/>
      <c r="OAV338" s="1"/>
      <c r="OAW338" s="1"/>
      <c r="OAX338" s="1"/>
      <c r="OAY338" s="1"/>
      <c r="OAZ338" s="1"/>
      <c r="OBA338" s="1"/>
      <c r="OBB338" s="1"/>
      <c r="OBC338" s="1"/>
      <c r="OBD338" s="1"/>
      <c r="OBE338" s="1"/>
      <c r="OBF338" s="1"/>
      <c r="OBG338" s="1"/>
      <c r="OBH338" s="1"/>
      <c r="OBI338" s="1"/>
      <c r="OBJ338" s="1"/>
      <c r="OBK338" s="1"/>
      <c r="OBL338" s="1"/>
      <c r="OBM338" s="1"/>
      <c r="OBN338" s="1"/>
      <c r="OBO338" s="1"/>
      <c r="OBP338" s="1"/>
      <c r="OBQ338" s="1"/>
      <c r="OBR338" s="1"/>
      <c r="OBS338" s="1"/>
      <c r="OBT338" s="1"/>
      <c r="OBU338" s="1"/>
      <c r="OBV338" s="1"/>
      <c r="OBW338" s="1"/>
      <c r="OBX338" s="1"/>
      <c r="OBY338" s="1"/>
      <c r="OBZ338" s="1"/>
      <c r="OCA338" s="1"/>
      <c r="OCB338" s="1"/>
      <c r="OCC338" s="1"/>
      <c r="OCD338" s="1"/>
      <c r="OCE338" s="1"/>
      <c r="OCF338" s="1"/>
      <c r="OCG338" s="1"/>
      <c r="OCH338" s="1"/>
      <c r="OCI338" s="1"/>
      <c r="OCJ338" s="1"/>
      <c r="OCK338" s="1"/>
      <c r="OCL338" s="1"/>
      <c r="OCM338" s="1"/>
      <c r="OCN338" s="1"/>
      <c r="OCO338" s="1"/>
      <c r="OCP338" s="1"/>
      <c r="OCQ338" s="1"/>
      <c r="OCR338" s="1"/>
      <c r="OCS338" s="1"/>
      <c r="OCT338" s="1"/>
      <c r="OCU338" s="1"/>
      <c r="OCV338" s="1"/>
      <c r="OCW338" s="1"/>
      <c r="OCX338" s="1"/>
      <c r="OCY338" s="1"/>
      <c r="OCZ338" s="1"/>
      <c r="ODA338" s="1"/>
      <c r="ODB338" s="1"/>
      <c r="ODC338" s="1"/>
      <c r="ODD338" s="1"/>
      <c r="ODE338" s="1"/>
      <c r="ODF338" s="1"/>
      <c r="ODG338" s="1"/>
      <c r="ODH338" s="1"/>
      <c r="ODI338" s="1"/>
      <c r="ODJ338" s="1"/>
      <c r="ODK338" s="1"/>
      <c r="ODL338" s="1"/>
      <c r="ODM338" s="1"/>
      <c r="ODN338" s="1"/>
      <c r="ODO338" s="1"/>
      <c r="ODP338" s="1"/>
      <c r="ODQ338" s="1"/>
      <c r="ODR338" s="1"/>
      <c r="ODS338" s="1"/>
      <c r="ODT338" s="1"/>
      <c r="ODU338" s="1"/>
      <c r="ODV338" s="1"/>
      <c r="ODW338" s="1"/>
      <c r="ODX338" s="1"/>
      <c r="ODY338" s="1"/>
      <c r="ODZ338" s="1"/>
      <c r="OEA338" s="1"/>
      <c r="OEB338" s="1"/>
      <c r="OEC338" s="1"/>
      <c r="OED338" s="1"/>
      <c r="OEE338" s="1"/>
      <c r="OEF338" s="1"/>
      <c r="OEG338" s="1"/>
      <c r="OEH338" s="1"/>
      <c r="OEI338" s="1"/>
      <c r="OEJ338" s="1"/>
      <c r="OEK338" s="1"/>
      <c r="OEL338" s="1"/>
      <c r="OEM338" s="1"/>
      <c r="OEN338" s="1"/>
      <c r="OEO338" s="1"/>
      <c r="OEP338" s="1"/>
      <c r="OEQ338" s="1"/>
      <c r="OER338" s="1"/>
      <c r="OES338" s="1"/>
      <c r="OET338" s="1"/>
      <c r="OEU338" s="1"/>
      <c r="OEV338" s="1"/>
      <c r="OEW338" s="1"/>
      <c r="OEX338" s="1"/>
      <c r="OEY338" s="1"/>
      <c r="OEZ338" s="1"/>
      <c r="OFA338" s="1"/>
      <c r="OFB338" s="1"/>
      <c r="OFC338" s="1"/>
      <c r="OFD338" s="1"/>
      <c r="OFE338" s="1"/>
      <c r="OFF338" s="1"/>
      <c r="OFG338" s="1"/>
      <c r="OFH338" s="1"/>
      <c r="OFI338" s="1"/>
      <c r="OFJ338" s="1"/>
      <c r="OFK338" s="1"/>
      <c r="OFL338" s="1"/>
      <c r="OFM338" s="1"/>
      <c r="OFN338" s="1"/>
      <c r="OFO338" s="1"/>
      <c r="OFP338" s="1"/>
      <c r="OFQ338" s="1"/>
      <c r="OFR338" s="1"/>
      <c r="OFS338" s="1"/>
      <c r="OFT338" s="1"/>
      <c r="OFU338" s="1"/>
      <c r="OFV338" s="1"/>
      <c r="OFW338" s="1"/>
      <c r="OFX338" s="1"/>
      <c r="OFY338" s="1"/>
      <c r="OFZ338" s="1"/>
      <c r="OGA338" s="1"/>
      <c r="OGB338" s="1"/>
      <c r="OGC338" s="1"/>
      <c r="OGD338" s="1"/>
      <c r="OGE338" s="1"/>
      <c r="OGF338" s="1"/>
      <c r="OGG338" s="1"/>
      <c r="OGH338" s="1"/>
      <c r="OGI338" s="1"/>
      <c r="OGJ338" s="1"/>
      <c r="OGK338" s="1"/>
      <c r="OGL338" s="1"/>
      <c r="OGM338" s="1"/>
      <c r="OGN338" s="1"/>
      <c r="OGO338" s="1"/>
      <c r="OGP338" s="1"/>
      <c r="OGQ338" s="1"/>
      <c r="OGR338" s="1"/>
      <c r="OGS338" s="1"/>
      <c r="OGT338" s="1"/>
      <c r="OGU338" s="1"/>
      <c r="OGV338" s="1"/>
      <c r="OGW338" s="1"/>
      <c r="OGX338" s="1"/>
      <c r="OGY338" s="1"/>
      <c r="OGZ338" s="1"/>
      <c r="OHA338" s="1"/>
      <c r="OHB338" s="1"/>
      <c r="OHC338" s="1"/>
      <c r="OHD338" s="1"/>
      <c r="OHE338" s="1"/>
      <c r="OHF338" s="1"/>
      <c r="OHG338" s="1"/>
      <c r="OHH338" s="1"/>
      <c r="OHI338" s="1"/>
      <c r="OHJ338" s="1"/>
      <c r="OHK338" s="1"/>
      <c r="OHL338" s="1"/>
      <c r="OHM338" s="1"/>
      <c r="OHN338" s="1"/>
      <c r="OHO338" s="1"/>
      <c r="OHP338" s="1"/>
      <c r="OHQ338" s="1"/>
      <c r="OHR338" s="1"/>
      <c r="OHS338" s="1"/>
      <c r="OHT338" s="1"/>
      <c r="OHU338" s="1"/>
      <c r="OHV338" s="1"/>
      <c r="OHW338" s="1"/>
      <c r="OHX338" s="1"/>
      <c r="OHY338" s="1"/>
      <c r="OHZ338" s="1"/>
      <c r="OIA338" s="1"/>
      <c r="OIB338" s="1"/>
      <c r="OIC338" s="1"/>
      <c r="OID338" s="1"/>
      <c r="OIE338" s="1"/>
      <c r="OIF338" s="1"/>
      <c r="OIG338" s="1"/>
      <c r="OIH338" s="1"/>
      <c r="OII338" s="1"/>
      <c r="OIJ338" s="1"/>
      <c r="OIK338" s="1"/>
      <c r="OIL338" s="1"/>
      <c r="OIM338" s="1"/>
      <c r="OIN338" s="1"/>
      <c r="OIO338" s="1"/>
      <c r="OIP338" s="1"/>
      <c r="OIQ338" s="1"/>
      <c r="OIR338" s="1"/>
      <c r="OIS338" s="1"/>
      <c r="OIT338" s="1"/>
      <c r="OIU338" s="1"/>
      <c r="OIV338" s="1"/>
      <c r="OIW338" s="1"/>
      <c r="OIX338" s="1"/>
      <c r="OIY338" s="1"/>
      <c r="OIZ338" s="1"/>
      <c r="OJA338" s="1"/>
      <c r="OJB338" s="1"/>
      <c r="OJC338" s="1"/>
      <c r="OJD338" s="1"/>
      <c r="OJE338" s="1"/>
      <c r="OJF338" s="1"/>
      <c r="OJG338" s="1"/>
      <c r="OJH338" s="1"/>
      <c r="OJI338" s="1"/>
      <c r="OJJ338" s="1"/>
      <c r="OJK338" s="1"/>
      <c r="OJL338" s="1"/>
      <c r="OJM338" s="1"/>
      <c r="OJN338" s="1"/>
      <c r="OJO338" s="1"/>
      <c r="OJP338" s="1"/>
      <c r="OJQ338" s="1"/>
      <c r="OJR338" s="1"/>
      <c r="OJS338" s="1"/>
      <c r="OJT338" s="1"/>
      <c r="OJU338" s="1"/>
      <c r="OJV338" s="1"/>
      <c r="OJW338" s="1"/>
      <c r="OJX338" s="1"/>
      <c r="OJY338" s="1"/>
      <c r="OJZ338" s="1"/>
      <c r="OKA338" s="1"/>
      <c r="OKB338" s="1"/>
      <c r="OKC338" s="1"/>
      <c r="OKD338" s="1"/>
      <c r="OKE338" s="1"/>
      <c r="OKF338" s="1"/>
      <c r="OKG338" s="1"/>
      <c r="OKH338" s="1"/>
      <c r="OKI338" s="1"/>
      <c r="OKJ338" s="1"/>
      <c r="OKK338" s="1"/>
      <c r="OKL338" s="1"/>
      <c r="OKM338" s="1"/>
      <c r="OKN338" s="1"/>
      <c r="OKO338" s="1"/>
      <c r="OKP338" s="1"/>
      <c r="OKQ338" s="1"/>
      <c r="OKR338" s="1"/>
      <c r="OKS338" s="1"/>
      <c r="OKT338" s="1"/>
      <c r="OKU338" s="1"/>
      <c r="OKV338" s="1"/>
      <c r="OKW338" s="1"/>
      <c r="OKX338" s="1"/>
      <c r="OKY338" s="1"/>
      <c r="OKZ338" s="1"/>
      <c r="OLA338" s="1"/>
      <c r="OLB338" s="1"/>
      <c r="OLC338" s="1"/>
      <c r="OLD338" s="1"/>
      <c r="OLE338" s="1"/>
      <c r="OLF338" s="1"/>
      <c r="OLG338" s="1"/>
      <c r="OLH338" s="1"/>
      <c r="OLI338" s="1"/>
      <c r="OLJ338" s="1"/>
      <c r="OLK338" s="1"/>
      <c r="OLL338" s="1"/>
      <c r="OLM338" s="1"/>
      <c r="OLN338" s="1"/>
      <c r="OLO338" s="1"/>
      <c r="OLP338" s="1"/>
      <c r="OLQ338" s="1"/>
      <c r="OLR338" s="1"/>
      <c r="OLS338" s="1"/>
      <c r="OLT338" s="1"/>
      <c r="OLU338" s="1"/>
      <c r="OLV338" s="1"/>
      <c r="OLW338" s="1"/>
      <c r="OLX338" s="1"/>
      <c r="OLY338" s="1"/>
      <c r="OLZ338" s="1"/>
      <c r="OMA338" s="1"/>
      <c r="OMB338" s="1"/>
      <c r="OMC338" s="1"/>
      <c r="OMD338" s="1"/>
      <c r="OME338" s="1"/>
      <c r="OMF338" s="1"/>
      <c r="OMG338" s="1"/>
      <c r="OMH338" s="1"/>
      <c r="OMI338" s="1"/>
      <c r="OMJ338" s="1"/>
      <c r="OMK338" s="1"/>
      <c r="OML338" s="1"/>
      <c r="OMM338" s="1"/>
      <c r="OMN338" s="1"/>
      <c r="OMO338" s="1"/>
      <c r="OMP338" s="1"/>
      <c r="OMQ338" s="1"/>
      <c r="OMR338" s="1"/>
      <c r="OMS338" s="1"/>
      <c r="OMT338" s="1"/>
      <c r="OMU338" s="1"/>
      <c r="OMV338" s="1"/>
      <c r="OMW338" s="1"/>
      <c r="OMX338" s="1"/>
      <c r="OMY338" s="1"/>
      <c r="OMZ338" s="1"/>
      <c r="ONA338" s="1"/>
      <c r="ONB338" s="1"/>
      <c r="ONC338" s="1"/>
      <c r="OND338" s="1"/>
      <c r="ONE338" s="1"/>
      <c r="ONF338" s="1"/>
      <c r="ONG338" s="1"/>
      <c r="ONH338" s="1"/>
      <c r="ONI338" s="1"/>
      <c r="ONJ338" s="1"/>
      <c r="ONK338" s="1"/>
      <c r="ONL338" s="1"/>
      <c r="ONM338" s="1"/>
      <c r="ONN338" s="1"/>
      <c r="ONO338" s="1"/>
      <c r="ONP338" s="1"/>
      <c r="ONQ338" s="1"/>
      <c r="ONR338" s="1"/>
      <c r="ONS338" s="1"/>
      <c r="ONT338" s="1"/>
      <c r="ONU338" s="1"/>
      <c r="ONV338" s="1"/>
      <c r="ONW338" s="1"/>
      <c r="ONX338" s="1"/>
      <c r="ONY338" s="1"/>
      <c r="ONZ338" s="1"/>
      <c r="OOA338" s="1"/>
      <c r="OOB338" s="1"/>
      <c r="OOC338" s="1"/>
      <c r="OOD338" s="1"/>
      <c r="OOE338" s="1"/>
      <c r="OOF338" s="1"/>
      <c r="OOG338" s="1"/>
      <c r="OOH338" s="1"/>
      <c r="OOI338" s="1"/>
      <c r="OOJ338" s="1"/>
      <c r="OOK338" s="1"/>
      <c r="OOL338" s="1"/>
      <c r="OOM338" s="1"/>
      <c r="OON338" s="1"/>
      <c r="OOO338" s="1"/>
      <c r="OOP338" s="1"/>
      <c r="OOQ338" s="1"/>
      <c r="OOR338" s="1"/>
      <c r="OOS338" s="1"/>
      <c r="OOT338" s="1"/>
      <c r="OOU338" s="1"/>
      <c r="OOV338" s="1"/>
      <c r="OOW338" s="1"/>
      <c r="OOX338" s="1"/>
      <c r="OOY338" s="1"/>
      <c r="OOZ338" s="1"/>
      <c r="OPA338" s="1"/>
      <c r="OPB338" s="1"/>
      <c r="OPC338" s="1"/>
      <c r="OPD338" s="1"/>
      <c r="OPE338" s="1"/>
      <c r="OPF338" s="1"/>
      <c r="OPG338" s="1"/>
      <c r="OPH338" s="1"/>
      <c r="OPI338" s="1"/>
      <c r="OPJ338" s="1"/>
      <c r="OPK338" s="1"/>
      <c r="OPL338" s="1"/>
      <c r="OPM338" s="1"/>
      <c r="OPN338" s="1"/>
      <c r="OPO338" s="1"/>
      <c r="OPP338" s="1"/>
      <c r="OPQ338" s="1"/>
      <c r="OPR338" s="1"/>
      <c r="OPS338" s="1"/>
      <c r="OPT338" s="1"/>
      <c r="OPU338" s="1"/>
      <c r="OPV338" s="1"/>
      <c r="OPW338" s="1"/>
      <c r="OPX338" s="1"/>
      <c r="OPY338" s="1"/>
      <c r="OPZ338" s="1"/>
      <c r="OQA338" s="1"/>
      <c r="OQB338" s="1"/>
      <c r="OQC338" s="1"/>
      <c r="OQD338" s="1"/>
      <c r="OQE338" s="1"/>
      <c r="OQF338" s="1"/>
      <c r="OQG338" s="1"/>
      <c r="OQH338" s="1"/>
      <c r="OQI338" s="1"/>
      <c r="OQJ338" s="1"/>
      <c r="OQK338" s="1"/>
      <c r="OQL338" s="1"/>
      <c r="OQM338" s="1"/>
      <c r="OQN338" s="1"/>
      <c r="OQO338" s="1"/>
      <c r="OQP338" s="1"/>
      <c r="OQQ338" s="1"/>
      <c r="OQR338" s="1"/>
      <c r="OQS338" s="1"/>
      <c r="OQT338" s="1"/>
      <c r="OQU338" s="1"/>
      <c r="OQV338" s="1"/>
      <c r="OQW338" s="1"/>
      <c r="OQX338" s="1"/>
      <c r="OQY338" s="1"/>
      <c r="OQZ338" s="1"/>
      <c r="ORA338" s="1"/>
      <c r="ORB338" s="1"/>
      <c r="ORC338" s="1"/>
      <c r="ORD338" s="1"/>
      <c r="ORE338" s="1"/>
      <c r="ORF338" s="1"/>
      <c r="ORG338" s="1"/>
      <c r="ORH338" s="1"/>
      <c r="ORI338" s="1"/>
      <c r="ORJ338" s="1"/>
      <c r="ORK338" s="1"/>
      <c r="ORL338" s="1"/>
      <c r="ORM338" s="1"/>
      <c r="ORN338" s="1"/>
      <c r="ORO338" s="1"/>
      <c r="ORP338" s="1"/>
      <c r="ORQ338" s="1"/>
      <c r="ORR338" s="1"/>
      <c r="ORS338" s="1"/>
      <c r="ORT338" s="1"/>
      <c r="ORU338" s="1"/>
      <c r="ORV338" s="1"/>
      <c r="ORW338" s="1"/>
      <c r="ORX338" s="1"/>
      <c r="ORY338" s="1"/>
      <c r="ORZ338" s="1"/>
      <c r="OSA338" s="1"/>
      <c r="OSB338" s="1"/>
      <c r="OSC338" s="1"/>
      <c r="OSD338" s="1"/>
      <c r="OSE338" s="1"/>
      <c r="OSF338" s="1"/>
      <c r="OSG338" s="1"/>
      <c r="OSH338" s="1"/>
      <c r="OSI338" s="1"/>
      <c r="OSJ338" s="1"/>
      <c r="OSK338" s="1"/>
      <c r="OSL338" s="1"/>
      <c r="OSM338" s="1"/>
      <c r="OSN338" s="1"/>
      <c r="OSO338" s="1"/>
      <c r="OSP338" s="1"/>
      <c r="OSQ338" s="1"/>
      <c r="OSR338" s="1"/>
      <c r="OSS338" s="1"/>
      <c r="OST338" s="1"/>
      <c r="OSU338" s="1"/>
      <c r="OSV338" s="1"/>
      <c r="OSW338" s="1"/>
      <c r="OSX338" s="1"/>
      <c r="OSY338" s="1"/>
      <c r="OSZ338" s="1"/>
      <c r="OTA338" s="1"/>
      <c r="OTB338" s="1"/>
      <c r="OTC338" s="1"/>
      <c r="OTD338" s="1"/>
      <c r="OTE338" s="1"/>
      <c r="OTF338" s="1"/>
      <c r="OTG338" s="1"/>
      <c r="OTH338" s="1"/>
      <c r="OTI338" s="1"/>
      <c r="OTJ338" s="1"/>
      <c r="OTK338" s="1"/>
      <c r="OTL338" s="1"/>
      <c r="OTM338" s="1"/>
      <c r="OTN338" s="1"/>
      <c r="OTO338" s="1"/>
      <c r="OTP338" s="1"/>
      <c r="OTQ338" s="1"/>
      <c r="OTR338" s="1"/>
      <c r="OTS338" s="1"/>
      <c r="OTT338" s="1"/>
      <c r="OTU338" s="1"/>
      <c r="OTV338" s="1"/>
      <c r="OTW338" s="1"/>
      <c r="OTX338" s="1"/>
      <c r="OTY338" s="1"/>
      <c r="OTZ338" s="1"/>
      <c r="OUA338" s="1"/>
      <c r="OUB338" s="1"/>
      <c r="OUC338" s="1"/>
      <c r="OUD338" s="1"/>
      <c r="OUE338" s="1"/>
      <c r="OUF338" s="1"/>
      <c r="OUG338" s="1"/>
      <c r="OUH338" s="1"/>
      <c r="OUI338" s="1"/>
      <c r="OUJ338" s="1"/>
      <c r="OUK338" s="1"/>
      <c r="OUL338" s="1"/>
      <c r="OUM338" s="1"/>
      <c r="OUN338" s="1"/>
      <c r="OUO338" s="1"/>
      <c r="OUP338" s="1"/>
      <c r="OUQ338" s="1"/>
      <c r="OUR338" s="1"/>
      <c r="OUS338" s="1"/>
      <c r="OUT338" s="1"/>
      <c r="OUU338" s="1"/>
      <c r="OUV338" s="1"/>
      <c r="OUW338" s="1"/>
      <c r="OUX338" s="1"/>
      <c r="OUY338" s="1"/>
      <c r="OUZ338" s="1"/>
      <c r="OVA338" s="1"/>
      <c r="OVB338" s="1"/>
      <c r="OVC338" s="1"/>
      <c r="OVD338" s="1"/>
      <c r="OVE338" s="1"/>
      <c r="OVF338" s="1"/>
      <c r="OVG338" s="1"/>
      <c r="OVH338" s="1"/>
      <c r="OVI338" s="1"/>
      <c r="OVJ338" s="1"/>
      <c r="OVK338" s="1"/>
      <c r="OVL338" s="1"/>
      <c r="OVM338" s="1"/>
      <c r="OVN338" s="1"/>
      <c r="OVO338" s="1"/>
      <c r="OVP338" s="1"/>
      <c r="OVQ338" s="1"/>
      <c r="OVR338" s="1"/>
      <c r="OVS338" s="1"/>
      <c r="OVT338" s="1"/>
      <c r="OVU338" s="1"/>
      <c r="OVV338" s="1"/>
      <c r="OVW338" s="1"/>
      <c r="OVX338" s="1"/>
      <c r="OVY338" s="1"/>
      <c r="OVZ338" s="1"/>
      <c r="OWA338" s="1"/>
      <c r="OWB338" s="1"/>
      <c r="OWC338" s="1"/>
      <c r="OWD338" s="1"/>
      <c r="OWE338" s="1"/>
      <c r="OWF338" s="1"/>
      <c r="OWG338" s="1"/>
      <c r="OWH338" s="1"/>
      <c r="OWI338" s="1"/>
      <c r="OWJ338" s="1"/>
      <c r="OWK338" s="1"/>
      <c r="OWL338" s="1"/>
      <c r="OWM338" s="1"/>
      <c r="OWN338" s="1"/>
      <c r="OWO338" s="1"/>
      <c r="OWP338" s="1"/>
      <c r="OWQ338" s="1"/>
      <c r="OWR338" s="1"/>
      <c r="OWS338" s="1"/>
      <c r="OWT338" s="1"/>
      <c r="OWU338" s="1"/>
      <c r="OWV338" s="1"/>
      <c r="OWW338" s="1"/>
      <c r="OWX338" s="1"/>
      <c r="OWY338" s="1"/>
      <c r="OWZ338" s="1"/>
      <c r="OXA338" s="1"/>
      <c r="OXB338" s="1"/>
      <c r="OXC338" s="1"/>
      <c r="OXD338" s="1"/>
      <c r="OXE338" s="1"/>
      <c r="OXF338" s="1"/>
      <c r="OXG338" s="1"/>
      <c r="OXH338" s="1"/>
      <c r="OXI338" s="1"/>
      <c r="OXJ338" s="1"/>
      <c r="OXK338" s="1"/>
      <c r="OXL338" s="1"/>
      <c r="OXM338" s="1"/>
      <c r="OXN338" s="1"/>
      <c r="OXO338" s="1"/>
      <c r="OXP338" s="1"/>
      <c r="OXQ338" s="1"/>
      <c r="OXR338" s="1"/>
      <c r="OXS338" s="1"/>
      <c r="OXT338" s="1"/>
      <c r="OXU338" s="1"/>
      <c r="OXV338" s="1"/>
      <c r="OXW338" s="1"/>
      <c r="OXX338" s="1"/>
      <c r="OXY338" s="1"/>
      <c r="OXZ338" s="1"/>
      <c r="OYA338" s="1"/>
      <c r="OYB338" s="1"/>
      <c r="OYC338" s="1"/>
      <c r="OYD338" s="1"/>
      <c r="OYE338" s="1"/>
      <c r="OYF338" s="1"/>
      <c r="OYG338" s="1"/>
      <c r="OYH338" s="1"/>
      <c r="OYI338" s="1"/>
      <c r="OYJ338" s="1"/>
      <c r="OYK338" s="1"/>
      <c r="OYL338" s="1"/>
      <c r="OYM338" s="1"/>
      <c r="OYN338" s="1"/>
      <c r="OYO338" s="1"/>
      <c r="OYP338" s="1"/>
      <c r="OYQ338" s="1"/>
      <c r="OYR338" s="1"/>
      <c r="OYS338" s="1"/>
      <c r="OYT338" s="1"/>
      <c r="OYU338" s="1"/>
      <c r="OYV338" s="1"/>
      <c r="OYW338" s="1"/>
      <c r="OYX338" s="1"/>
      <c r="OYY338" s="1"/>
      <c r="OYZ338" s="1"/>
      <c r="OZA338" s="1"/>
      <c r="OZB338" s="1"/>
      <c r="OZC338" s="1"/>
      <c r="OZD338" s="1"/>
      <c r="OZE338" s="1"/>
      <c r="OZF338" s="1"/>
      <c r="OZG338" s="1"/>
      <c r="OZH338" s="1"/>
      <c r="OZI338" s="1"/>
      <c r="OZJ338" s="1"/>
      <c r="OZK338" s="1"/>
      <c r="OZL338" s="1"/>
      <c r="OZM338" s="1"/>
      <c r="OZN338" s="1"/>
      <c r="OZO338" s="1"/>
      <c r="OZP338" s="1"/>
      <c r="OZQ338" s="1"/>
      <c r="OZR338" s="1"/>
      <c r="OZS338" s="1"/>
      <c r="OZT338" s="1"/>
      <c r="OZU338" s="1"/>
      <c r="OZV338" s="1"/>
      <c r="OZW338" s="1"/>
      <c r="OZX338" s="1"/>
      <c r="OZY338" s="1"/>
      <c r="OZZ338" s="1"/>
      <c r="PAA338" s="1"/>
      <c r="PAB338" s="1"/>
      <c r="PAC338" s="1"/>
      <c r="PAD338" s="1"/>
      <c r="PAE338" s="1"/>
      <c r="PAF338" s="1"/>
      <c r="PAG338" s="1"/>
      <c r="PAH338" s="1"/>
      <c r="PAI338" s="1"/>
      <c r="PAJ338" s="1"/>
      <c r="PAK338" s="1"/>
      <c r="PAL338" s="1"/>
      <c r="PAM338" s="1"/>
      <c r="PAN338" s="1"/>
      <c r="PAO338" s="1"/>
      <c r="PAP338" s="1"/>
      <c r="PAQ338" s="1"/>
      <c r="PAR338" s="1"/>
      <c r="PAS338" s="1"/>
      <c r="PAT338" s="1"/>
      <c r="PAU338" s="1"/>
      <c r="PAV338" s="1"/>
      <c r="PAW338" s="1"/>
      <c r="PAX338" s="1"/>
      <c r="PAY338" s="1"/>
      <c r="PAZ338" s="1"/>
      <c r="PBA338" s="1"/>
      <c r="PBB338" s="1"/>
      <c r="PBC338" s="1"/>
      <c r="PBD338" s="1"/>
      <c r="PBE338" s="1"/>
      <c r="PBF338" s="1"/>
      <c r="PBG338" s="1"/>
      <c r="PBH338" s="1"/>
      <c r="PBI338" s="1"/>
      <c r="PBJ338" s="1"/>
      <c r="PBK338" s="1"/>
      <c r="PBL338" s="1"/>
      <c r="PBM338" s="1"/>
      <c r="PBN338" s="1"/>
      <c r="PBO338" s="1"/>
      <c r="PBP338" s="1"/>
      <c r="PBQ338" s="1"/>
      <c r="PBR338" s="1"/>
      <c r="PBS338" s="1"/>
      <c r="PBT338" s="1"/>
      <c r="PBU338" s="1"/>
      <c r="PBV338" s="1"/>
      <c r="PBW338" s="1"/>
      <c r="PBX338" s="1"/>
      <c r="PBY338" s="1"/>
      <c r="PBZ338" s="1"/>
      <c r="PCA338" s="1"/>
      <c r="PCB338" s="1"/>
      <c r="PCC338" s="1"/>
      <c r="PCD338" s="1"/>
      <c r="PCE338" s="1"/>
      <c r="PCF338" s="1"/>
      <c r="PCG338" s="1"/>
      <c r="PCH338" s="1"/>
      <c r="PCI338" s="1"/>
      <c r="PCJ338" s="1"/>
      <c r="PCK338" s="1"/>
      <c r="PCL338" s="1"/>
      <c r="PCM338" s="1"/>
      <c r="PCN338" s="1"/>
      <c r="PCO338" s="1"/>
      <c r="PCP338" s="1"/>
      <c r="PCQ338" s="1"/>
      <c r="PCR338" s="1"/>
      <c r="PCS338" s="1"/>
      <c r="PCT338" s="1"/>
      <c r="PCU338" s="1"/>
      <c r="PCV338" s="1"/>
      <c r="PCW338" s="1"/>
      <c r="PCX338" s="1"/>
      <c r="PCY338" s="1"/>
      <c r="PCZ338" s="1"/>
      <c r="PDA338" s="1"/>
      <c r="PDB338" s="1"/>
      <c r="PDC338" s="1"/>
      <c r="PDD338" s="1"/>
      <c r="PDE338" s="1"/>
      <c r="PDF338" s="1"/>
      <c r="PDG338" s="1"/>
      <c r="PDH338" s="1"/>
      <c r="PDI338" s="1"/>
      <c r="PDJ338" s="1"/>
      <c r="PDK338" s="1"/>
      <c r="PDL338" s="1"/>
      <c r="PDM338" s="1"/>
      <c r="PDN338" s="1"/>
      <c r="PDO338" s="1"/>
      <c r="PDP338" s="1"/>
      <c r="PDQ338" s="1"/>
      <c r="PDR338" s="1"/>
      <c r="PDS338" s="1"/>
      <c r="PDT338" s="1"/>
      <c r="PDU338" s="1"/>
      <c r="PDV338" s="1"/>
      <c r="PDW338" s="1"/>
      <c r="PDX338" s="1"/>
      <c r="PDY338" s="1"/>
      <c r="PDZ338" s="1"/>
      <c r="PEA338" s="1"/>
      <c r="PEB338" s="1"/>
      <c r="PEC338" s="1"/>
      <c r="PED338" s="1"/>
      <c r="PEE338" s="1"/>
      <c r="PEF338" s="1"/>
      <c r="PEG338" s="1"/>
      <c r="PEH338" s="1"/>
      <c r="PEI338" s="1"/>
      <c r="PEJ338" s="1"/>
      <c r="PEK338" s="1"/>
      <c r="PEL338" s="1"/>
      <c r="PEM338" s="1"/>
      <c r="PEN338" s="1"/>
      <c r="PEO338" s="1"/>
      <c r="PEP338" s="1"/>
      <c r="PEQ338" s="1"/>
      <c r="PER338" s="1"/>
      <c r="PES338" s="1"/>
      <c r="PET338" s="1"/>
      <c r="PEU338" s="1"/>
      <c r="PEV338" s="1"/>
      <c r="PEW338" s="1"/>
      <c r="PEX338" s="1"/>
      <c r="PEY338" s="1"/>
      <c r="PEZ338" s="1"/>
      <c r="PFA338" s="1"/>
      <c r="PFB338" s="1"/>
      <c r="PFC338" s="1"/>
      <c r="PFD338" s="1"/>
      <c r="PFE338" s="1"/>
      <c r="PFF338" s="1"/>
      <c r="PFG338" s="1"/>
      <c r="PFH338" s="1"/>
      <c r="PFI338" s="1"/>
      <c r="PFJ338" s="1"/>
      <c r="PFK338" s="1"/>
      <c r="PFL338" s="1"/>
      <c r="PFM338" s="1"/>
      <c r="PFN338" s="1"/>
      <c r="PFO338" s="1"/>
      <c r="PFP338" s="1"/>
      <c r="PFQ338" s="1"/>
      <c r="PFR338" s="1"/>
      <c r="PFS338" s="1"/>
      <c r="PFT338" s="1"/>
      <c r="PFU338" s="1"/>
      <c r="PFV338" s="1"/>
      <c r="PFW338" s="1"/>
      <c r="PFX338" s="1"/>
      <c r="PFY338" s="1"/>
      <c r="PFZ338" s="1"/>
      <c r="PGA338" s="1"/>
      <c r="PGB338" s="1"/>
      <c r="PGC338" s="1"/>
      <c r="PGD338" s="1"/>
      <c r="PGE338" s="1"/>
      <c r="PGF338" s="1"/>
      <c r="PGG338" s="1"/>
      <c r="PGH338" s="1"/>
      <c r="PGI338" s="1"/>
      <c r="PGJ338" s="1"/>
      <c r="PGK338" s="1"/>
      <c r="PGL338" s="1"/>
      <c r="PGM338" s="1"/>
      <c r="PGN338" s="1"/>
      <c r="PGO338" s="1"/>
      <c r="PGP338" s="1"/>
      <c r="PGQ338" s="1"/>
      <c r="PGR338" s="1"/>
      <c r="PGS338" s="1"/>
      <c r="PGT338" s="1"/>
      <c r="PGU338" s="1"/>
      <c r="PGV338" s="1"/>
      <c r="PGW338" s="1"/>
      <c r="PGX338" s="1"/>
      <c r="PGY338" s="1"/>
      <c r="PGZ338" s="1"/>
      <c r="PHA338" s="1"/>
      <c r="PHB338" s="1"/>
      <c r="PHC338" s="1"/>
      <c r="PHD338" s="1"/>
      <c r="PHE338" s="1"/>
      <c r="PHF338" s="1"/>
      <c r="PHG338" s="1"/>
      <c r="PHH338" s="1"/>
      <c r="PHI338" s="1"/>
      <c r="PHJ338" s="1"/>
      <c r="PHK338" s="1"/>
      <c r="PHL338" s="1"/>
      <c r="PHM338" s="1"/>
      <c r="PHN338" s="1"/>
      <c r="PHO338" s="1"/>
      <c r="PHP338" s="1"/>
      <c r="PHQ338" s="1"/>
      <c r="PHR338" s="1"/>
      <c r="PHS338" s="1"/>
      <c r="PHT338" s="1"/>
      <c r="PHU338" s="1"/>
      <c r="PHV338" s="1"/>
      <c r="PHW338" s="1"/>
      <c r="PHX338" s="1"/>
      <c r="PHY338" s="1"/>
      <c r="PHZ338" s="1"/>
      <c r="PIA338" s="1"/>
      <c r="PIB338" s="1"/>
      <c r="PIC338" s="1"/>
      <c r="PID338" s="1"/>
      <c r="PIE338" s="1"/>
      <c r="PIF338" s="1"/>
      <c r="PIG338" s="1"/>
      <c r="PIH338" s="1"/>
      <c r="PII338" s="1"/>
      <c r="PIJ338" s="1"/>
      <c r="PIK338" s="1"/>
      <c r="PIL338" s="1"/>
      <c r="PIM338" s="1"/>
      <c r="PIN338" s="1"/>
      <c r="PIO338" s="1"/>
      <c r="PIP338" s="1"/>
      <c r="PIQ338" s="1"/>
      <c r="PIR338" s="1"/>
      <c r="PIS338" s="1"/>
      <c r="PIT338" s="1"/>
      <c r="PIU338" s="1"/>
      <c r="PIV338" s="1"/>
      <c r="PIW338" s="1"/>
      <c r="PIX338" s="1"/>
      <c r="PIY338" s="1"/>
      <c r="PIZ338" s="1"/>
      <c r="PJA338" s="1"/>
      <c r="PJB338" s="1"/>
      <c r="PJC338" s="1"/>
      <c r="PJD338" s="1"/>
      <c r="PJE338" s="1"/>
      <c r="PJF338" s="1"/>
      <c r="PJG338" s="1"/>
      <c r="PJH338" s="1"/>
      <c r="PJI338" s="1"/>
      <c r="PJJ338" s="1"/>
      <c r="PJK338" s="1"/>
      <c r="PJL338" s="1"/>
      <c r="PJM338" s="1"/>
      <c r="PJN338" s="1"/>
      <c r="PJO338" s="1"/>
      <c r="PJP338" s="1"/>
      <c r="PJQ338" s="1"/>
      <c r="PJR338" s="1"/>
      <c r="PJS338" s="1"/>
      <c r="PJT338" s="1"/>
      <c r="PJU338" s="1"/>
      <c r="PJV338" s="1"/>
      <c r="PJW338" s="1"/>
      <c r="PJX338" s="1"/>
      <c r="PJY338" s="1"/>
      <c r="PJZ338" s="1"/>
      <c r="PKA338" s="1"/>
      <c r="PKB338" s="1"/>
      <c r="PKC338" s="1"/>
      <c r="PKD338" s="1"/>
      <c r="PKE338" s="1"/>
      <c r="PKF338" s="1"/>
      <c r="PKG338" s="1"/>
      <c r="PKH338" s="1"/>
      <c r="PKI338" s="1"/>
      <c r="PKJ338" s="1"/>
      <c r="PKK338" s="1"/>
      <c r="PKL338" s="1"/>
      <c r="PKM338" s="1"/>
      <c r="PKN338" s="1"/>
      <c r="PKO338" s="1"/>
      <c r="PKP338" s="1"/>
      <c r="PKQ338" s="1"/>
      <c r="PKR338" s="1"/>
      <c r="PKS338" s="1"/>
      <c r="PKT338" s="1"/>
      <c r="PKU338" s="1"/>
      <c r="PKV338" s="1"/>
      <c r="PKW338" s="1"/>
      <c r="PKX338" s="1"/>
      <c r="PKY338" s="1"/>
      <c r="PKZ338" s="1"/>
      <c r="PLA338" s="1"/>
      <c r="PLB338" s="1"/>
      <c r="PLC338" s="1"/>
      <c r="PLD338" s="1"/>
      <c r="PLE338" s="1"/>
      <c r="PLF338" s="1"/>
      <c r="PLG338" s="1"/>
      <c r="PLH338" s="1"/>
      <c r="PLI338" s="1"/>
      <c r="PLJ338" s="1"/>
      <c r="PLK338" s="1"/>
      <c r="PLL338" s="1"/>
      <c r="PLM338" s="1"/>
      <c r="PLN338" s="1"/>
      <c r="PLO338" s="1"/>
      <c r="PLP338" s="1"/>
      <c r="PLQ338" s="1"/>
      <c r="PLR338" s="1"/>
      <c r="PLS338" s="1"/>
      <c r="PLT338" s="1"/>
      <c r="PLU338" s="1"/>
      <c r="PLV338" s="1"/>
      <c r="PLW338" s="1"/>
      <c r="PLX338" s="1"/>
      <c r="PLY338" s="1"/>
      <c r="PLZ338" s="1"/>
      <c r="PMA338" s="1"/>
      <c r="PMB338" s="1"/>
      <c r="PMC338" s="1"/>
      <c r="PMD338" s="1"/>
      <c r="PME338" s="1"/>
      <c r="PMF338" s="1"/>
      <c r="PMG338" s="1"/>
      <c r="PMH338" s="1"/>
      <c r="PMI338" s="1"/>
      <c r="PMJ338" s="1"/>
      <c r="PMK338" s="1"/>
      <c r="PML338" s="1"/>
      <c r="PMM338" s="1"/>
      <c r="PMN338" s="1"/>
      <c r="PMO338" s="1"/>
      <c r="PMP338" s="1"/>
      <c r="PMQ338" s="1"/>
      <c r="PMR338" s="1"/>
      <c r="PMS338" s="1"/>
      <c r="PMT338" s="1"/>
      <c r="PMU338" s="1"/>
      <c r="PMV338" s="1"/>
      <c r="PMW338" s="1"/>
      <c r="PMX338" s="1"/>
      <c r="PMY338" s="1"/>
      <c r="PMZ338" s="1"/>
      <c r="PNA338" s="1"/>
      <c r="PNB338" s="1"/>
      <c r="PNC338" s="1"/>
      <c r="PND338" s="1"/>
      <c r="PNE338" s="1"/>
      <c r="PNF338" s="1"/>
      <c r="PNG338" s="1"/>
      <c r="PNH338" s="1"/>
      <c r="PNI338" s="1"/>
      <c r="PNJ338" s="1"/>
      <c r="PNK338" s="1"/>
      <c r="PNL338" s="1"/>
      <c r="PNM338" s="1"/>
      <c r="PNN338" s="1"/>
      <c r="PNO338" s="1"/>
      <c r="PNP338" s="1"/>
      <c r="PNQ338" s="1"/>
      <c r="PNR338" s="1"/>
      <c r="PNS338" s="1"/>
      <c r="PNT338" s="1"/>
      <c r="PNU338" s="1"/>
      <c r="PNV338" s="1"/>
      <c r="PNW338" s="1"/>
      <c r="PNX338" s="1"/>
      <c r="PNY338" s="1"/>
      <c r="PNZ338" s="1"/>
      <c r="POA338" s="1"/>
      <c r="POB338" s="1"/>
      <c r="POC338" s="1"/>
      <c r="POD338" s="1"/>
      <c r="POE338" s="1"/>
      <c r="POF338" s="1"/>
      <c r="POG338" s="1"/>
      <c r="POH338" s="1"/>
      <c r="POI338" s="1"/>
      <c r="POJ338" s="1"/>
      <c r="POK338" s="1"/>
      <c r="POL338" s="1"/>
      <c r="POM338" s="1"/>
      <c r="PON338" s="1"/>
      <c r="POO338" s="1"/>
      <c r="POP338" s="1"/>
      <c r="POQ338" s="1"/>
      <c r="POR338" s="1"/>
      <c r="POS338" s="1"/>
      <c r="POT338" s="1"/>
      <c r="POU338" s="1"/>
      <c r="POV338" s="1"/>
      <c r="POW338" s="1"/>
      <c r="POX338" s="1"/>
      <c r="POY338" s="1"/>
      <c r="POZ338" s="1"/>
      <c r="PPA338" s="1"/>
      <c r="PPB338" s="1"/>
      <c r="PPC338" s="1"/>
      <c r="PPD338" s="1"/>
      <c r="PPE338" s="1"/>
      <c r="PPF338" s="1"/>
      <c r="PPG338" s="1"/>
      <c r="PPH338" s="1"/>
      <c r="PPI338" s="1"/>
      <c r="PPJ338" s="1"/>
      <c r="PPK338" s="1"/>
      <c r="PPL338" s="1"/>
      <c r="PPM338" s="1"/>
      <c r="PPN338" s="1"/>
      <c r="PPO338" s="1"/>
      <c r="PPP338" s="1"/>
      <c r="PPQ338" s="1"/>
      <c r="PPR338" s="1"/>
      <c r="PPS338" s="1"/>
      <c r="PPT338" s="1"/>
      <c r="PPU338" s="1"/>
      <c r="PPV338" s="1"/>
      <c r="PPW338" s="1"/>
      <c r="PPX338" s="1"/>
      <c r="PPY338" s="1"/>
      <c r="PPZ338" s="1"/>
      <c r="PQA338" s="1"/>
      <c r="PQB338" s="1"/>
      <c r="PQC338" s="1"/>
      <c r="PQD338" s="1"/>
      <c r="PQE338" s="1"/>
      <c r="PQF338" s="1"/>
      <c r="PQG338" s="1"/>
      <c r="PQH338" s="1"/>
      <c r="PQI338" s="1"/>
      <c r="PQJ338" s="1"/>
      <c r="PQK338" s="1"/>
      <c r="PQL338" s="1"/>
      <c r="PQM338" s="1"/>
      <c r="PQN338" s="1"/>
      <c r="PQO338" s="1"/>
      <c r="PQP338" s="1"/>
      <c r="PQQ338" s="1"/>
      <c r="PQR338" s="1"/>
      <c r="PQS338" s="1"/>
      <c r="PQT338" s="1"/>
      <c r="PQU338" s="1"/>
      <c r="PQV338" s="1"/>
      <c r="PQW338" s="1"/>
      <c r="PQX338" s="1"/>
      <c r="PQY338" s="1"/>
      <c r="PQZ338" s="1"/>
      <c r="PRA338" s="1"/>
      <c r="PRB338" s="1"/>
      <c r="PRC338" s="1"/>
      <c r="PRD338" s="1"/>
      <c r="PRE338" s="1"/>
      <c r="PRF338" s="1"/>
      <c r="PRG338" s="1"/>
      <c r="PRH338" s="1"/>
      <c r="PRI338" s="1"/>
      <c r="PRJ338" s="1"/>
      <c r="PRK338" s="1"/>
      <c r="PRL338" s="1"/>
      <c r="PRM338" s="1"/>
      <c r="PRN338" s="1"/>
      <c r="PRO338" s="1"/>
      <c r="PRP338" s="1"/>
      <c r="PRQ338" s="1"/>
      <c r="PRR338" s="1"/>
      <c r="PRS338" s="1"/>
      <c r="PRT338" s="1"/>
      <c r="PRU338" s="1"/>
      <c r="PRV338" s="1"/>
      <c r="PRW338" s="1"/>
      <c r="PRX338" s="1"/>
      <c r="PRY338" s="1"/>
      <c r="PRZ338" s="1"/>
      <c r="PSA338" s="1"/>
      <c r="PSB338" s="1"/>
      <c r="PSC338" s="1"/>
      <c r="PSD338" s="1"/>
      <c r="PSE338" s="1"/>
      <c r="PSF338" s="1"/>
      <c r="PSG338" s="1"/>
      <c r="PSH338" s="1"/>
      <c r="PSI338" s="1"/>
      <c r="PSJ338" s="1"/>
      <c r="PSK338" s="1"/>
      <c r="PSL338" s="1"/>
      <c r="PSM338" s="1"/>
      <c r="PSN338" s="1"/>
      <c r="PSO338" s="1"/>
      <c r="PSP338" s="1"/>
      <c r="PSQ338" s="1"/>
      <c r="PSR338" s="1"/>
      <c r="PSS338" s="1"/>
      <c r="PST338" s="1"/>
      <c r="PSU338" s="1"/>
      <c r="PSV338" s="1"/>
      <c r="PSW338" s="1"/>
      <c r="PSX338" s="1"/>
      <c r="PSY338" s="1"/>
      <c r="PSZ338" s="1"/>
      <c r="PTA338" s="1"/>
      <c r="PTB338" s="1"/>
      <c r="PTC338" s="1"/>
      <c r="PTD338" s="1"/>
      <c r="PTE338" s="1"/>
      <c r="PTF338" s="1"/>
      <c r="PTG338" s="1"/>
      <c r="PTH338" s="1"/>
      <c r="PTI338" s="1"/>
      <c r="PTJ338" s="1"/>
      <c r="PTK338" s="1"/>
      <c r="PTL338" s="1"/>
      <c r="PTM338" s="1"/>
      <c r="PTN338" s="1"/>
      <c r="PTO338" s="1"/>
      <c r="PTP338" s="1"/>
      <c r="PTQ338" s="1"/>
      <c r="PTR338" s="1"/>
      <c r="PTS338" s="1"/>
      <c r="PTT338" s="1"/>
      <c r="PTU338" s="1"/>
      <c r="PTV338" s="1"/>
      <c r="PTW338" s="1"/>
      <c r="PTX338" s="1"/>
      <c r="PTY338" s="1"/>
      <c r="PTZ338" s="1"/>
      <c r="PUA338" s="1"/>
      <c r="PUB338" s="1"/>
      <c r="PUC338" s="1"/>
      <c r="PUD338" s="1"/>
      <c r="PUE338" s="1"/>
      <c r="PUF338" s="1"/>
      <c r="PUG338" s="1"/>
      <c r="PUH338" s="1"/>
      <c r="PUI338" s="1"/>
      <c r="PUJ338" s="1"/>
      <c r="PUK338" s="1"/>
      <c r="PUL338" s="1"/>
      <c r="PUM338" s="1"/>
      <c r="PUN338" s="1"/>
      <c r="PUO338" s="1"/>
      <c r="PUP338" s="1"/>
      <c r="PUQ338" s="1"/>
      <c r="PUR338" s="1"/>
      <c r="PUS338" s="1"/>
      <c r="PUT338" s="1"/>
      <c r="PUU338" s="1"/>
      <c r="PUV338" s="1"/>
      <c r="PUW338" s="1"/>
      <c r="PUX338" s="1"/>
      <c r="PUY338" s="1"/>
      <c r="PUZ338" s="1"/>
      <c r="PVA338" s="1"/>
      <c r="PVB338" s="1"/>
      <c r="PVC338" s="1"/>
      <c r="PVD338" s="1"/>
      <c r="PVE338" s="1"/>
      <c r="PVF338" s="1"/>
      <c r="PVG338" s="1"/>
      <c r="PVH338" s="1"/>
      <c r="PVI338" s="1"/>
      <c r="PVJ338" s="1"/>
      <c r="PVK338" s="1"/>
      <c r="PVL338" s="1"/>
      <c r="PVM338" s="1"/>
      <c r="PVN338" s="1"/>
      <c r="PVO338" s="1"/>
      <c r="PVP338" s="1"/>
      <c r="PVQ338" s="1"/>
      <c r="PVR338" s="1"/>
      <c r="PVS338" s="1"/>
      <c r="PVT338" s="1"/>
      <c r="PVU338" s="1"/>
      <c r="PVV338" s="1"/>
      <c r="PVW338" s="1"/>
      <c r="PVX338" s="1"/>
      <c r="PVY338" s="1"/>
      <c r="PVZ338" s="1"/>
      <c r="PWA338" s="1"/>
      <c r="PWB338" s="1"/>
      <c r="PWC338" s="1"/>
      <c r="PWD338" s="1"/>
      <c r="PWE338" s="1"/>
      <c r="PWF338" s="1"/>
      <c r="PWG338" s="1"/>
      <c r="PWH338" s="1"/>
      <c r="PWI338" s="1"/>
      <c r="PWJ338" s="1"/>
      <c r="PWK338" s="1"/>
      <c r="PWL338" s="1"/>
      <c r="PWM338" s="1"/>
      <c r="PWN338" s="1"/>
      <c r="PWO338" s="1"/>
      <c r="PWP338" s="1"/>
      <c r="PWQ338" s="1"/>
      <c r="PWR338" s="1"/>
      <c r="PWS338" s="1"/>
      <c r="PWT338" s="1"/>
      <c r="PWU338" s="1"/>
      <c r="PWV338" s="1"/>
      <c r="PWW338" s="1"/>
      <c r="PWX338" s="1"/>
      <c r="PWY338" s="1"/>
      <c r="PWZ338" s="1"/>
      <c r="PXA338" s="1"/>
      <c r="PXB338" s="1"/>
      <c r="PXC338" s="1"/>
      <c r="PXD338" s="1"/>
      <c r="PXE338" s="1"/>
      <c r="PXF338" s="1"/>
      <c r="PXG338" s="1"/>
      <c r="PXH338" s="1"/>
      <c r="PXI338" s="1"/>
      <c r="PXJ338" s="1"/>
      <c r="PXK338" s="1"/>
      <c r="PXL338" s="1"/>
      <c r="PXM338" s="1"/>
      <c r="PXN338" s="1"/>
      <c r="PXO338" s="1"/>
      <c r="PXP338" s="1"/>
      <c r="PXQ338" s="1"/>
      <c r="PXR338" s="1"/>
      <c r="PXS338" s="1"/>
      <c r="PXT338" s="1"/>
      <c r="PXU338" s="1"/>
      <c r="PXV338" s="1"/>
      <c r="PXW338" s="1"/>
      <c r="PXX338" s="1"/>
      <c r="PXY338" s="1"/>
      <c r="PXZ338" s="1"/>
      <c r="PYA338" s="1"/>
      <c r="PYB338" s="1"/>
      <c r="PYC338" s="1"/>
      <c r="PYD338" s="1"/>
      <c r="PYE338" s="1"/>
      <c r="PYF338" s="1"/>
      <c r="PYG338" s="1"/>
      <c r="PYH338" s="1"/>
      <c r="PYI338" s="1"/>
      <c r="PYJ338" s="1"/>
      <c r="PYK338" s="1"/>
      <c r="PYL338" s="1"/>
      <c r="PYM338" s="1"/>
      <c r="PYN338" s="1"/>
      <c r="PYO338" s="1"/>
      <c r="PYP338" s="1"/>
      <c r="PYQ338" s="1"/>
      <c r="PYR338" s="1"/>
      <c r="PYS338" s="1"/>
      <c r="PYT338" s="1"/>
      <c r="PYU338" s="1"/>
      <c r="PYV338" s="1"/>
      <c r="PYW338" s="1"/>
      <c r="PYX338" s="1"/>
      <c r="PYY338" s="1"/>
      <c r="PYZ338" s="1"/>
      <c r="PZA338" s="1"/>
      <c r="PZB338" s="1"/>
      <c r="PZC338" s="1"/>
      <c r="PZD338" s="1"/>
      <c r="PZE338" s="1"/>
      <c r="PZF338" s="1"/>
      <c r="PZG338" s="1"/>
      <c r="PZH338" s="1"/>
      <c r="PZI338" s="1"/>
      <c r="PZJ338" s="1"/>
      <c r="PZK338" s="1"/>
      <c r="PZL338" s="1"/>
      <c r="PZM338" s="1"/>
      <c r="PZN338" s="1"/>
      <c r="PZO338" s="1"/>
      <c r="PZP338" s="1"/>
      <c r="PZQ338" s="1"/>
      <c r="PZR338" s="1"/>
      <c r="PZS338" s="1"/>
      <c r="PZT338" s="1"/>
      <c r="PZU338" s="1"/>
      <c r="PZV338" s="1"/>
      <c r="PZW338" s="1"/>
      <c r="PZX338" s="1"/>
      <c r="PZY338" s="1"/>
      <c r="PZZ338" s="1"/>
      <c r="QAA338" s="1"/>
      <c r="QAB338" s="1"/>
      <c r="QAC338" s="1"/>
      <c r="QAD338" s="1"/>
      <c r="QAE338" s="1"/>
      <c r="QAF338" s="1"/>
      <c r="QAG338" s="1"/>
      <c r="QAH338" s="1"/>
      <c r="QAI338" s="1"/>
      <c r="QAJ338" s="1"/>
      <c r="QAK338" s="1"/>
      <c r="QAL338" s="1"/>
      <c r="QAM338" s="1"/>
      <c r="QAN338" s="1"/>
      <c r="QAO338" s="1"/>
      <c r="QAP338" s="1"/>
      <c r="QAQ338" s="1"/>
      <c r="QAR338" s="1"/>
      <c r="QAS338" s="1"/>
      <c r="QAT338" s="1"/>
      <c r="QAU338" s="1"/>
      <c r="QAV338" s="1"/>
      <c r="QAW338" s="1"/>
      <c r="QAX338" s="1"/>
      <c r="QAY338" s="1"/>
      <c r="QAZ338" s="1"/>
      <c r="QBA338" s="1"/>
      <c r="QBB338" s="1"/>
      <c r="QBC338" s="1"/>
      <c r="QBD338" s="1"/>
      <c r="QBE338" s="1"/>
      <c r="QBF338" s="1"/>
      <c r="QBG338" s="1"/>
      <c r="QBH338" s="1"/>
      <c r="QBI338" s="1"/>
      <c r="QBJ338" s="1"/>
      <c r="QBK338" s="1"/>
      <c r="QBL338" s="1"/>
      <c r="QBM338" s="1"/>
      <c r="QBN338" s="1"/>
      <c r="QBO338" s="1"/>
      <c r="QBP338" s="1"/>
      <c r="QBQ338" s="1"/>
      <c r="QBR338" s="1"/>
      <c r="QBS338" s="1"/>
      <c r="QBT338" s="1"/>
      <c r="QBU338" s="1"/>
      <c r="QBV338" s="1"/>
      <c r="QBW338" s="1"/>
      <c r="QBX338" s="1"/>
      <c r="QBY338" s="1"/>
      <c r="QBZ338" s="1"/>
      <c r="QCA338" s="1"/>
      <c r="QCB338" s="1"/>
      <c r="QCC338" s="1"/>
      <c r="QCD338" s="1"/>
      <c r="QCE338" s="1"/>
      <c r="QCF338" s="1"/>
      <c r="QCG338" s="1"/>
      <c r="QCH338" s="1"/>
      <c r="QCI338" s="1"/>
      <c r="QCJ338" s="1"/>
      <c r="QCK338" s="1"/>
      <c r="QCL338" s="1"/>
      <c r="QCM338" s="1"/>
      <c r="QCN338" s="1"/>
      <c r="QCO338" s="1"/>
      <c r="QCP338" s="1"/>
      <c r="QCQ338" s="1"/>
      <c r="QCR338" s="1"/>
      <c r="QCS338" s="1"/>
      <c r="QCT338" s="1"/>
      <c r="QCU338" s="1"/>
      <c r="QCV338" s="1"/>
      <c r="QCW338" s="1"/>
      <c r="QCX338" s="1"/>
      <c r="QCY338" s="1"/>
      <c r="QCZ338" s="1"/>
      <c r="QDA338" s="1"/>
      <c r="QDB338" s="1"/>
      <c r="QDC338" s="1"/>
      <c r="QDD338" s="1"/>
      <c r="QDE338" s="1"/>
      <c r="QDF338" s="1"/>
      <c r="QDG338" s="1"/>
      <c r="QDH338" s="1"/>
      <c r="QDI338" s="1"/>
      <c r="QDJ338" s="1"/>
      <c r="QDK338" s="1"/>
      <c r="QDL338" s="1"/>
      <c r="QDM338" s="1"/>
      <c r="QDN338" s="1"/>
      <c r="QDO338" s="1"/>
      <c r="QDP338" s="1"/>
      <c r="QDQ338" s="1"/>
      <c r="QDR338" s="1"/>
      <c r="QDS338" s="1"/>
      <c r="QDT338" s="1"/>
      <c r="QDU338" s="1"/>
      <c r="QDV338" s="1"/>
      <c r="QDW338" s="1"/>
      <c r="QDX338" s="1"/>
      <c r="QDY338" s="1"/>
      <c r="QDZ338" s="1"/>
      <c r="QEA338" s="1"/>
      <c r="QEB338" s="1"/>
      <c r="QEC338" s="1"/>
      <c r="QED338" s="1"/>
      <c r="QEE338" s="1"/>
      <c r="QEF338" s="1"/>
      <c r="QEG338" s="1"/>
      <c r="QEH338" s="1"/>
      <c r="QEI338" s="1"/>
      <c r="QEJ338" s="1"/>
      <c r="QEK338" s="1"/>
      <c r="QEL338" s="1"/>
      <c r="QEM338" s="1"/>
      <c r="QEN338" s="1"/>
      <c r="QEO338" s="1"/>
      <c r="QEP338" s="1"/>
      <c r="QEQ338" s="1"/>
      <c r="QER338" s="1"/>
      <c r="QES338" s="1"/>
      <c r="QET338" s="1"/>
      <c r="QEU338" s="1"/>
      <c r="QEV338" s="1"/>
      <c r="QEW338" s="1"/>
      <c r="QEX338" s="1"/>
      <c r="QEY338" s="1"/>
      <c r="QEZ338" s="1"/>
      <c r="QFA338" s="1"/>
      <c r="QFB338" s="1"/>
      <c r="QFC338" s="1"/>
      <c r="QFD338" s="1"/>
      <c r="QFE338" s="1"/>
      <c r="QFF338" s="1"/>
      <c r="QFG338" s="1"/>
      <c r="QFH338" s="1"/>
      <c r="QFI338" s="1"/>
      <c r="QFJ338" s="1"/>
      <c r="QFK338" s="1"/>
      <c r="QFL338" s="1"/>
      <c r="QFM338" s="1"/>
      <c r="QFN338" s="1"/>
      <c r="QFO338" s="1"/>
      <c r="QFP338" s="1"/>
      <c r="QFQ338" s="1"/>
      <c r="QFR338" s="1"/>
      <c r="QFS338" s="1"/>
      <c r="QFT338" s="1"/>
      <c r="QFU338" s="1"/>
      <c r="QFV338" s="1"/>
      <c r="QFW338" s="1"/>
      <c r="QFX338" s="1"/>
      <c r="QFY338" s="1"/>
      <c r="QFZ338" s="1"/>
      <c r="QGA338" s="1"/>
      <c r="QGB338" s="1"/>
      <c r="QGC338" s="1"/>
      <c r="QGD338" s="1"/>
      <c r="QGE338" s="1"/>
      <c r="QGF338" s="1"/>
      <c r="QGG338" s="1"/>
      <c r="QGH338" s="1"/>
      <c r="QGI338" s="1"/>
      <c r="QGJ338" s="1"/>
      <c r="QGK338" s="1"/>
      <c r="QGL338" s="1"/>
      <c r="QGM338" s="1"/>
      <c r="QGN338" s="1"/>
      <c r="QGO338" s="1"/>
      <c r="QGP338" s="1"/>
      <c r="QGQ338" s="1"/>
      <c r="QGR338" s="1"/>
      <c r="QGS338" s="1"/>
      <c r="QGT338" s="1"/>
      <c r="QGU338" s="1"/>
      <c r="QGV338" s="1"/>
      <c r="QGW338" s="1"/>
      <c r="QGX338" s="1"/>
      <c r="QGY338" s="1"/>
      <c r="QGZ338" s="1"/>
      <c r="QHA338" s="1"/>
      <c r="QHB338" s="1"/>
      <c r="QHC338" s="1"/>
      <c r="QHD338" s="1"/>
      <c r="QHE338" s="1"/>
      <c r="QHF338" s="1"/>
      <c r="QHG338" s="1"/>
      <c r="QHH338" s="1"/>
      <c r="QHI338" s="1"/>
      <c r="QHJ338" s="1"/>
      <c r="QHK338" s="1"/>
      <c r="QHL338" s="1"/>
      <c r="QHM338" s="1"/>
      <c r="QHN338" s="1"/>
      <c r="QHO338" s="1"/>
      <c r="QHP338" s="1"/>
      <c r="QHQ338" s="1"/>
      <c r="QHR338" s="1"/>
      <c r="QHS338" s="1"/>
      <c r="QHT338" s="1"/>
      <c r="QHU338" s="1"/>
      <c r="QHV338" s="1"/>
      <c r="QHW338" s="1"/>
      <c r="QHX338" s="1"/>
      <c r="QHY338" s="1"/>
      <c r="QHZ338" s="1"/>
      <c r="QIA338" s="1"/>
      <c r="QIB338" s="1"/>
      <c r="QIC338" s="1"/>
      <c r="QID338" s="1"/>
      <c r="QIE338" s="1"/>
      <c r="QIF338" s="1"/>
      <c r="QIG338" s="1"/>
      <c r="QIH338" s="1"/>
      <c r="QII338" s="1"/>
      <c r="QIJ338" s="1"/>
      <c r="QIK338" s="1"/>
      <c r="QIL338" s="1"/>
      <c r="QIM338" s="1"/>
      <c r="QIN338" s="1"/>
      <c r="QIO338" s="1"/>
      <c r="QIP338" s="1"/>
      <c r="QIQ338" s="1"/>
      <c r="QIR338" s="1"/>
      <c r="QIS338" s="1"/>
      <c r="QIT338" s="1"/>
      <c r="QIU338" s="1"/>
      <c r="QIV338" s="1"/>
      <c r="QIW338" s="1"/>
      <c r="QIX338" s="1"/>
      <c r="QIY338" s="1"/>
      <c r="QIZ338" s="1"/>
      <c r="QJA338" s="1"/>
      <c r="QJB338" s="1"/>
      <c r="QJC338" s="1"/>
      <c r="QJD338" s="1"/>
      <c r="QJE338" s="1"/>
      <c r="QJF338" s="1"/>
      <c r="QJG338" s="1"/>
      <c r="QJH338" s="1"/>
      <c r="QJI338" s="1"/>
      <c r="QJJ338" s="1"/>
      <c r="QJK338" s="1"/>
      <c r="QJL338" s="1"/>
      <c r="QJM338" s="1"/>
      <c r="QJN338" s="1"/>
      <c r="QJO338" s="1"/>
      <c r="QJP338" s="1"/>
      <c r="QJQ338" s="1"/>
      <c r="QJR338" s="1"/>
      <c r="QJS338" s="1"/>
      <c r="QJT338" s="1"/>
      <c r="QJU338" s="1"/>
      <c r="QJV338" s="1"/>
      <c r="QJW338" s="1"/>
      <c r="QJX338" s="1"/>
      <c r="QJY338" s="1"/>
      <c r="QJZ338" s="1"/>
      <c r="QKA338" s="1"/>
      <c r="QKB338" s="1"/>
      <c r="QKC338" s="1"/>
      <c r="QKD338" s="1"/>
      <c r="QKE338" s="1"/>
      <c r="QKF338" s="1"/>
      <c r="QKG338" s="1"/>
      <c r="QKH338" s="1"/>
      <c r="QKI338" s="1"/>
      <c r="QKJ338" s="1"/>
      <c r="QKK338" s="1"/>
      <c r="QKL338" s="1"/>
      <c r="QKM338" s="1"/>
      <c r="QKN338" s="1"/>
      <c r="QKO338" s="1"/>
      <c r="QKP338" s="1"/>
      <c r="QKQ338" s="1"/>
      <c r="QKR338" s="1"/>
      <c r="QKS338" s="1"/>
      <c r="QKT338" s="1"/>
      <c r="QKU338" s="1"/>
      <c r="QKV338" s="1"/>
      <c r="QKW338" s="1"/>
      <c r="QKX338" s="1"/>
      <c r="QKY338" s="1"/>
      <c r="QKZ338" s="1"/>
      <c r="QLA338" s="1"/>
      <c r="QLB338" s="1"/>
      <c r="QLC338" s="1"/>
      <c r="QLD338" s="1"/>
      <c r="QLE338" s="1"/>
      <c r="QLF338" s="1"/>
      <c r="QLG338" s="1"/>
      <c r="QLH338" s="1"/>
      <c r="QLI338" s="1"/>
      <c r="QLJ338" s="1"/>
      <c r="QLK338" s="1"/>
      <c r="QLL338" s="1"/>
      <c r="QLM338" s="1"/>
      <c r="QLN338" s="1"/>
      <c r="QLO338" s="1"/>
      <c r="QLP338" s="1"/>
      <c r="QLQ338" s="1"/>
      <c r="QLR338" s="1"/>
      <c r="QLS338" s="1"/>
      <c r="QLT338" s="1"/>
      <c r="QLU338" s="1"/>
      <c r="QLV338" s="1"/>
      <c r="QLW338" s="1"/>
      <c r="QLX338" s="1"/>
      <c r="QLY338" s="1"/>
      <c r="QLZ338" s="1"/>
      <c r="QMA338" s="1"/>
      <c r="QMB338" s="1"/>
      <c r="QMC338" s="1"/>
      <c r="QMD338" s="1"/>
      <c r="QME338" s="1"/>
      <c r="QMF338" s="1"/>
      <c r="QMG338" s="1"/>
      <c r="QMH338" s="1"/>
      <c r="QMI338" s="1"/>
      <c r="QMJ338" s="1"/>
      <c r="QMK338" s="1"/>
      <c r="QML338" s="1"/>
      <c r="QMM338" s="1"/>
      <c r="QMN338" s="1"/>
      <c r="QMO338" s="1"/>
      <c r="QMP338" s="1"/>
      <c r="QMQ338" s="1"/>
      <c r="QMR338" s="1"/>
      <c r="QMS338" s="1"/>
      <c r="QMT338" s="1"/>
      <c r="QMU338" s="1"/>
      <c r="QMV338" s="1"/>
      <c r="QMW338" s="1"/>
      <c r="QMX338" s="1"/>
      <c r="QMY338" s="1"/>
      <c r="QMZ338" s="1"/>
      <c r="QNA338" s="1"/>
      <c r="QNB338" s="1"/>
      <c r="QNC338" s="1"/>
      <c r="QND338" s="1"/>
      <c r="QNE338" s="1"/>
      <c r="QNF338" s="1"/>
      <c r="QNG338" s="1"/>
      <c r="QNH338" s="1"/>
      <c r="QNI338" s="1"/>
      <c r="QNJ338" s="1"/>
      <c r="QNK338" s="1"/>
      <c r="QNL338" s="1"/>
      <c r="QNM338" s="1"/>
      <c r="QNN338" s="1"/>
      <c r="QNO338" s="1"/>
      <c r="QNP338" s="1"/>
      <c r="QNQ338" s="1"/>
      <c r="QNR338" s="1"/>
      <c r="QNS338" s="1"/>
      <c r="QNT338" s="1"/>
      <c r="QNU338" s="1"/>
      <c r="QNV338" s="1"/>
      <c r="QNW338" s="1"/>
      <c r="QNX338" s="1"/>
      <c r="QNY338" s="1"/>
      <c r="QNZ338" s="1"/>
      <c r="QOA338" s="1"/>
      <c r="QOB338" s="1"/>
      <c r="QOC338" s="1"/>
      <c r="QOD338" s="1"/>
      <c r="QOE338" s="1"/>
      <c r="QOF338" s="1"/>
      <c r="QOG338" s="1"/>
      <c r="QOH338" s="1"/>
      <c r="QOI338" s="1"/>
      <c r="QOJ338" s="1"/>
      <c r="QOK338" s="1"/>
      <c r="QOL338" s="1"/>
      <c r="QOM338" s="1"/>
      <c r="QON338" s="1"/>
      <c r="QOO338" s="1"/>
      <c r="QOP338" s="1"/>
      <c r="QOQ338" s="1"/>
      <c r="QOR338" s="1"/>
      <c r="QOS338" s="1"/>
      <c r="QOT338" s="1"/>
      <c r="QOU338" s="1"/>
      <c r="QOV338" s="1"/>
      <c r="QOW338" s="1"/>
      <c r="QOX338" s="1"/>
      <c r="QOY338" s="1"/>
      <c r="QOZ338" s="1"/>
      <c r="QPA338" s="1"/>
      <c r="QPB338" s="1"/>
      <c r="QPC338" s="1"/>
      <c r="QPD338" s="1"/>
      <c r="QPE338" s="1"/>
      <c r="QPF338" s="1"/>
      <c r="QPG338" s="1"/>
      <c r="QPH338" s="1"/>
      <c r="QPI338" s="1"/>
      <c r="QPJ338" s="1"/>
      <c r="QPK338" s="1"/>
      <c r="QPL338" s="1"/>
      <c r="QPM338" s="1"/>
      <c r="QPN338" s="1"/>
      <c r="QPO338" s="1"/>
      <c r="QPP338" s="1"/>
      <c r="QPQ338" s="1"/>
      <c r="QPR338" s="1"/>
      <c r="QPS338" s="1"/>
      <c r="QPT338" s="1"/>
      <c r="QPU338" s="1"/>
      <c r="QPV338" s="1"/>
      <c r="QPW338" s="1"/>
      <c r="QPX338" s="1"/>
      <c r="QPY338" s="1"/>
      <c r="QPZ338" s="1"/>
      <c r="QQA338" s="1"/>
      <c r="QQB338" s="1"/>
      <c r="QQC338" s="1"/>
      <c r="QQD338" s="1"/>
      <c r="QQE338" s="1"/>
      <c r="QQF338" s="1"/>
      <c r="QQG338" s="1"/>
      <c r="QQH338" s="1"/>
      <c r="QQI338" s="1"/>
      <c r="QQJ338" s="1"/>
      <c r="QQK338" s="1"/>
      <c r="QQL338" s="1"/>
      <c r="QQM338" s="1"/>
      <c r="QQN338" s="1"/>
      <c r="QQO338" s="1"/>
      <c r="QQP338" s="1"/>
      <c r="QQQ338" s="1"/>
      <c r="QQR338" s="1"/>
      <c r="QQS338" s="1"/>
      <c r="QQT338" s="1"/>
      <c r="QQU338" s="1"/>
      <c r="QQV338" s="1"/>
      <c r="QQW338" s="1"/>
      <c r="QQX338" s="1"/>
      <c r="QQY338" s="1"/>
      <c r="QQZ338" s="1"/>
      <c r="QRA338" s="1"/>
      <c r="QRB338" s="1"/>
      <c r="QRC338" s="1"/>
      <c r="QRD338" s="1"/>
      <c r="QRE338" s="1"/>
      <c r="QRF338" s="1"/>
      <c r="QRG338" s="1"/>
      <c r="QRH338" s="1"/>
      <c r="QRI338" s="1"/>
      <c r="QRJ338" s="1"/>
      <c r="QRK338" s="1"/>
      <c r="QRL338" s="1"/>
      <c r="QRM338" s="1"/>
      <c r="QRN338" s="1"/>
      <c r="QRO338" s="1"/>
      <c r="QRP338" s="1"/>
      <c r="QRQ338" s="1"/>
      <c r="QRR338" s="1"/>
      <c r="QRS338" s="1"/>
      <c r="QRT338" s="1"/>
      <c r="QRU338" s="1"/>
      <c r="QRV338" s="1"/>
      <c r="QRW338" s="1"/>
      <c r="QRX338" s="1"/>
      <c r="QRY338" s="1"/>
      <c r="QRZ338" s="1"/>
      <c r="QSA338" s="1"/>
      <c r="QSB338" s="1"/>
      <c r="QSC338" s="1"/>
      <c r="QSD338" s="1"/>
      <c r="QSE338" s="1"/>
      <c r="QSF338" s="1"/>
      <c r="QSG338" s="1"/>
      <c r="QSH338" s="1"/>
      <c r="QSI338" s="1"/>
      <c r="QSJ338" s="1"/>
      <c r="QSK338" s="1"/>
      <c r="QSL338" s="1"/>
      <c r="QSM338" s="1"/>
      <c r="QSN338" s="1"/>
      <c r="QSO338" s="1"/>
      <c r="QSP338" s="1"/>
      <c r="QSQ338" s="1"/>
      <c r="QSR338" s="1"/>
      <c r="QSS338" s="1"/>
      <c r="QST338" s="1"/>
      <c r="QSU338" s="1"/>
      <c r="QSV338" s="1"/>
      <c r="QSW338" s="1"/>
      <c r="QSX338" s="1"/>
      <c r="QSY338" s="1"/>
      <c r="QSZ338" s="1"/>
      <c r="QTA338" s="1"/>
      <c r="QTB338" s="1"/>
      <c r="QTC338" s="1"/>
      <c r="QTD338" s="1"/>
      <c r="QTE338" s="1"/>
      <c r="QTF338" s="1"/>
      <c r="QTG338" s="1"/>
      <c r="QTH338" s="1"/>
      <c r="QTI338" s="1"/>
      <c r="QTJ338" s="1"/>
      <c r="QTK338" s="1"/>
      <c r="QTL338" s="1"/>
      <c r="QTM338" s="1"/>
      <c r="QTN338" s="1"/>
      <c r="QTO338" s="1"/>
      <c r="QTP338" s="1"/>
      <c r="QTQ338" s="1"/>
      <c r="QTR338" s="1"/>
      <c r="QTS338" s="1"/>
      <c r="QTT338" s="1"/>
      <c r="QTU338" s="1"/>
      <c r="QTV338" s="1"/>
      <c r="QTW338" s="1"/>
      <c r="QTX338" s="1"/>
      <c r="QTY338" s="1"/>
      <c r="QTZ338" s="1"/>
      <c r="QUA338" s="1"/>
      <c r="QUB338" s="1"/>
      <c r="QUC338" s="1"/>
      <c r="QUD338" s="1"/>
      <c r="QUE338" s="1"/>
      <c r="QUF338" s="1"/>
      <c r="QUG338" s="1"/>
      <c r="QUH338" s="1"/>
      <c r="QUI338" s="1"/>
      <c r="QUJ338" s="1"/>
      <c r="QUK338" s="1"/>
      <c r="QUL338" s="1"/>
      <c r="QUM338" s="1"/>
      <c r="QUN338" s="1"/>
      <c r="QUO338" s="1"/>
      <c r="QUP338" s="1"/>
      <c r="QUQ338" s="1"/>
      <c r="QUR338" s="1"/>
      <c r="QUS338" s="1"/>
      <c r="QUT338" s="1"/>
      <c r="QUU338" s="1"/>
      <c r="QUV338" s="1"/>
      <c r="QUW338" s="1"/>
      <c r="QUX338" s="1"/>
      <c r="QUY338" s="1"/>
      <c r="QUZ338" s="1"/>
      <c r="QVA338" s="1"/>
      <c r="QVB338" s="1"/>
      <c r="QVC338" s="1"/>
      <c r="QVD338" s="1"/>
      <c r="QVE338" s="1"/>
      <c r="QVF338" s="1"/>
      <c r="QVG338" s="1"/>
      <c r="QVH338" s="1"/>
      <c r="QVI338" s="1"/>
      <c r="QVJ338" s="1"/>
      <c r="QVK338" s="1"/>
      <c r="QVL338" s="1"/>
      <c r="QVM338" s="1"/>
      <c r="QVN338" s="1"/>
      <c r="QVO338" s="1"/>
      <c r="QVP338" s="1"/>
      <c r="QVQ338" s="1"/>
      <c r="QVR338" s="1"/>
      <c r="QVS338" s="1"/>
      <c r="QVT338" s="1"/>
      <c r="QVU338" s="1"/>
      <c r="QVV338" s="1"/>
      <c r="QVW338" s="1"/>
      <c r="QVX338" s="1"/>
      <c r="QVY338" s="1"/>
      <c r="QVZ338" s="1"/>
      <c r="QWA338" s="1"/>
      <c r="QWB338" s="1"/>
      <c r="QWC338" s="1"/>
      <c r="QWD338" s="1"/>
      <c r="QWE338" s="1"/>
      <c r="QWF338" s="1"/>
      <c r="QWG338" s="1"/>
      <c r="QWH338" s="1"/>
      <c r="QWI338" s="1"/>
      <c r="QWJ338" s="1"/>
      <c r="QWK338" s="1"/>
      <c r="QWL338" s="1"/>
      <c r="QWM338" s="1"/>
      <c r="QWN338" s="1"/>
      <c r="QWO338" s="1"/>
      <c r="QWP338" s="1"/>
      <c r="QWQ338" s="1"/>
      <c r="QWR338" s="1"/>
      <c r="QWS338" s="1"/>
      <c r="QWT338" s="1"/>
      <c r="QWU338" s="1"/>
      <c r="QWV338" s="1"/>
      <c r="QWW338" s="1"/>
      <c r="QWX338" s="1"/>
      <c r="QWY338" s="1"/>
      <c r="QWZ338" s="1"/>
      <c r="QXA338" s="1"/>
      <c r="QXB338" s="1"/>
      <c r="QXC338" s="1"/>
      <c r="QXD338" s="1"/>
      <c r="QXE338" s="1"/>
      <c r="QXF338" s="1"/>
      <c r="QXG338" s="1"/>
      <c r="QXH338" s="1"/>
      <c r="QXI338" s="1"/>
      <c r="QXJ338" s="1"/>
      <c r="QXK338" s="1"/>
      <c r="QXL338" s="1"/>
      <c r="QXM338" s="1"/>
      <c r="QXN338" s="1"/>
      <c r="QXO338" s="1"/>
      <c r="QXP338" s="1"/>
      <c r="QXQ338" s="1"/>
      <c r="QXR338" s="1"/>
      <c r="QXS338" s="1"/>
      <c r="QXT338" s="1"/>
      <c r="QXU338" s="1"/>
      <c r="QXV338" s="1"/>
      <c r="QXW338" s="1"/>
      <c r="QXX338" s="1"/>
      <c r="QXY338" s="1"/>
      <c r="QXZ338" s="1"/>
      <c r="QYA338" s="1"/>
      <c r="QYB338" s="1"/>
      <c r="QYC338" s="1"/>
      <c r="QYD338" s="1"/>
      <c r="QYE338" s="1"/>
      <c r="QYF338" s="1"/>
      <c r="QYG338" s="1"/>
      <c r="QYH338" s="1"/>
      <c r="QYI338" s="1"/>
      <c r="QYJ338" s="1"/>
      <c r="QYK338" s="1"/>
      <c r="QYL338" s="1"/>
      <c r="QYM338" s="1"/>
      <c r="QYN338" s="1"/>
      <c r="QYO338" s="1"/>
      <c r="QYP338" s="1"/>
      <c r="QYQ338" s="1"/>
      <c r="QYR338" s="1"/>
      <c r="QYS338" s="1"/>
      <c r="QYT338" s="1"/>
      <c r="QYU338" s="1"/>
      <c r="QYV338" s="1"/>
      <c r="QYW338" s="1"/>
      <c r="QYX338" s="1"/>
      <c r="QYY338" s="1"/>
      <c r="QYZ338" s="1"/>
      <c r="QZA338" s="1"/>
      <c r="QZB338" s="1"/>
      <c r="QZC338" s="1"/>
      <c r="QZD338" s="1"/>
      <c r="QZE338" s="1"/>
      <c r="QZF338" s="1"/>
      <c r="QZG338" s="1"/>
      <c r="QZH338" s="1"/>
      <c r="QZI338" s="1"/>
      <c r="QZJ338" s="1"/>
      <c r="QZK338" s="1"/>
      <c r="QZL338" s="1"/>
      <c r="QZM338" s="1"/>
      <c r="QZN338" s="1"/>
      <c r="QZO338" s="1"/>
      <c r="QZP338" s="1"/>
      <c r="QZQ338" s="1"/>
      <c r="QZR338" s="1"/>
      <c r="QZS338" s="1"/>
      <c r="QZT338" s="1"/>
      <c r="QZU338" s="1"/>
      <c r="QZV338" s="1"/>
      <c r="QZW338" s="1"/>
      <c r="QZX338" s="1"/>
      <c r="QZY338" s="1"/>
      <c r="QZZ338" s="1"/>
      <c r="RAA338" s="1"/>
      <c r="RAB338" s="1"/>
      <c r="RAC338" s="1"/>
      <c r="RAD338" s="1"/>
      <c r="RAE338" s="1"/>
      <c r="RAF338" s="1"/>
      <c r="RAG338" s="1"/>
      <c r="RAH338" s="1"/>
      <c r="RAI338" s="1"/>
      <c r="RAJ338" s="1"/>
      <c r="RAK338" s="1"/>
      <c r="RAL338" s="1"/>
      <c r="RAM338" s="1"/>
      <c r="RAN338" s="1"/>
      <c r="RAO338" s="1"/>
      <c r="RAP338" s="1"/>
      <c r="RAQ338" s="1"/>
      <c r="RAR338" s="1"/>
      <c r="RAS338" s="1"/>
      <c r="RAT338" s="1"/>
      <c r="RAU338" s="1"/>
      <c r="RAV338" s="1"/>
      <c r="RAW338" s="1"/>
      <c r="RAX338" s="1"/>
      <c r="RAY338" s="1"/>
      <c r="RAZ338" s="1"/>
      <c r="RBA338" s="1"/>
      <c r="RBB338" s="1"/>
      <c r="RBC338" s="1"/>
      <c r="RBD338" s="1"/>
      <c r="RBE338" s="1"/>
      <c r="RBF338" s="1"/>
      <c r="RBG338" s="1"/>
      <c r="RBH338" s="1"/>
      <c r="RBI338" s="1"/>
      <c r="RBJ338" s="1"/>
      <c r="RBK338" s="1"/>
      <c r="RBL338" s="1"/>
      <c r="RBM338" s="1"/>
      <c r="RBN338" s="1"/>
      <c r="RBO338" s="1"/>
      <c r="RBP338" s="1"/>
      <c r="RBQ338" s="1"/>
      <c r="RBR338" s="1"/>
      <c r="RBS338" s="1"/>
      <c r="RBT338" s="1"/>
      <c r="RBU338" s="1"/>
      <c r="RBV338" s="1"/>
      <c r="RBW338" s="1"/>
      <c r="RBX338" s="1"/>
      <c r="RBY338" s="1"/>
      <c r="RBZ338" s="1"/>
      <c r="RCA338" s="1"/>
      <c r="RCB338" s="1"/>
      <c r="RCC338" s="1"/>
      <c r="RCD338" s="1"/>
      <c r="RCE338" s="1"/>
      <c r="RCF338" s="1"/>
      <c r="RCG338" s="1"/>
      <c r="RCH338" s="1"/>
      <c r="RCI338" s="1"/>
      <c r="RCJ338" s="1"/>
      <c r="RCK338" s="1"/>
      <c r="RCL338" s="1"/>
      <c r="RCM338" s="1"/>
      <c r="RCN338" s="1"/>
      <c r="RCO338" s="1"/>
      <c r="RCP338" s="1"/>
      <c r="RCQ338" s="1"/>
      <c r="RCR338" s="1"/>
      <c r="RCS338" s="1"/>
      <c r="RCT338" s="1"/>
      <c r="RCU338" s="1"/>
      <c r="RCV338" s="1"/>
      <c r="RCW338" s="1"/>
      <c r="RCX338" s="1"/>
      <c r="RCY338" s="1"/>
      <c r="RCZ338" s="1"/>
      <c r="RDA338" s="1"/>
      <c r="RDB338" s="1"/>
      <c r="RDC338" s="1"/>
      <c r="RDD338" s="1"/>
      <c r="RDE338" s="1"/>
      <c r="RDF338" s="1"/>
      <c r="RDG338" s="1"/>
      <c r="RDH338" s="1"/>
      <c r="RDI338" s="1"/>
      <c r="RDJ338" s="1"/>
      <c r="RDK338" s="1"/>
      <c r="RDL338" s="1"/>
      <c r="RDM338" s="1"/>
      <c r="RDN338" s="1"/>
      <c r="RDO338" s="1"/>
      <c r="RDP338" s="1"/>
      <c r="RDQ338" s="1"/>
      <c r="RDR338" s="1"/>
      <c r="RDS338" s="1"/>
      <c r="RDT338" s="1"/>
      <c r="RDU338" s="1"/>
      <c r="RDV338" s="1"/>
      <c r="RDW338" s="1"/>
      <c r="RDX338" s="1"/>
      <c r="RDY338" s="1"/>
      <c r="RDZ338" s="1"/>
      <c r="REA338" s="1"/>
      <c r="REB338" s="1"/>
      <c r="REC338" s="1"/>
      <c r="RED338" s="1"/>
      <c r="REE338" s="1"/>
      <c r="REF338" s="1"/>
      <c r="REG338" s="1"/>
      <c r="REH338" s="1"/>
      <c r="REI338" s="1"/>
      <c r="REJ338" s="1"/>
      <c r="REK338" s="1"/>
      <c r="REL338" s="1"/>
      <c r="REM338" s="1"/>
      <c r="REN338" s="1"/>
      <c r="REO338" s="1"/>
      <c r="REP338" s="1"/>
      <c r="REQ338" s="1"/>
      <c r="RER338" s="1"/>
      <c r="RES338" s="1"/>
      <c r="RET338" s="1"/>
      <c r="REU338" s="1"/>
      <c r="REV338" s="1"/>
      <c r="REW338" s="1"/>
      <c r="REX338" s="1"/>
      <c r="REY338" s="1"/>
      <c r="REZ338" s="1"/>
      <c r="RFA338" s="1"/>
      <c r="RFB338" s="1"/>
      <c r="RFC338" s="1"/>
      <c r="RFD338" s="1"/>
      <c r="RFE338" s="1"/>
      <c r="RFF338" s="1"/>
      <c r="RFG338" s="1"/>
      <c r="RFH338" s="1"/>
      <c r="RFI338" s="1"/>
      <c r="RFJ338" s="1"/>
      <c r="RFK338" s="1"/>
      <c r="RFL338" s="1"/>
      <c r="RFM338" s="1"/>
      <c r="RFN338" s="1"/>
      <c r="RFO338" s="1"/>
      <c r="RFP338" s="1"/>
      <c r="RFQ338" s="1"/>
      <c r="RFR338" s="1"/>
      <c r="RFS338" s="1"/>
      <c r="RFT338" s="1"/>
      <c r="RFU338" s="1"/>
      <c r="RFV338" s="1"/>
      <c r="RFW338" s="1"/>
      <c r="RFX338" s="1"/>
      <c r="RFY338" s="1"/>
      <c r="RFZ338" s="1"/>
      <c r="RGA338" s="1"/>
      <c r="RGB338" s="1"/>
      <c r="RGC338" s="1"/>
      <c r="RGD338" s="1"/>
      <c r="RGE338" s="1"/>
      <c r="RGF338" s="1"/>
      <c r="RGG338" s="1"/>
      <c r="RGH338" s="1"/>
      <c r="RGI338" s="1"/>
      <c r="RGJ338" s="1"/>
      <c r="RGK338" s="1"/>
      <c r="RGL338" s="1"/>
      <c r="RGM338" s="1"/>
      <c r="RGN338" s="1"/>
      <c r="RGO338" s="1"/>
      <c r="RGP338" s="1"/>
      <c r="RGQ338" s="1"/>
      <c r="RGR338" s="1"/>
      <c r="RGS338" s="1"/>
      <c r="RGT338" s="1"/>
      <c r="RGU338" s="1"/>
      <c r="RGV338" s="1"/>
      <c r="RGW338" s="1"/>
      <c r="RGX338" s="1"/>
      <c r="RGY338" s="1"/>
      <c r="RGZ338" s="1"/>
      <c r="RHA338" s="1"/>
      <c r="RHB338" s="1"/>
      <c r="RHC338" s="1"/>
      <c r="RHD338" s="1"/>
      <c r="RHE338" s="1"/>
      <c r="RHF338" s="1"/>
      <c r="RHG338" s="1"/>
      <c r="RHH338" s="1"/>
      <c r="RHI338" s="1"/>
      <c r="RHJ338" s="1"/>
      <c r="RHK338" s="1"/>
      <c r="RHL338" s="1"/>
      <c r="RHM338" s="1"/>
      <c r="RHN338" s="1"/>
      <c r="RHO338" s="1"/>
      <c r="RHP338" s="1"/>
      <c r="RHQ338" s="1"/>
      <c r="RHR338" s="1"/>
      <c r="RHS338" s="1"/>
      <c r="RHT338" s="1"/>
      <c r="RHU338" s="1"/>
      <c r="RHV338" s="1"/>
      <c r="RHW338" s="1"/>
      <c r="RHX338" s="1"/>
      <c r="RHY338" s="1"/>
      <c r="RHZ338" s="1"/>
      <c r="RIA338" s="1"/>
      <c r="RIB338" s="1"/>
      <c r="RIC338" s="1"/>
      <c r="RID338" s="1"/>
      <c r="RIE338" s="1"/>
      <c r="RIF338" s="1"/>
      <c r="RIG338" s="1"/>
      <c r="RIH338" s="1"/>
      <c r="RII338" s="1"/>
      <c r="RIJ338" s="1"/>
      <c r="RIK338" s="1"/>
      <c r="RIL338" s="1"/>
      <c r="RIM338" s="1"/>
      <c r="RIN338" s="1"/>
      <c r="RIO338" s="1"/>
      <c r="RIP338" s="1"/>
      <c r="RIQ338" s="1"/>
      <c r="RIR338" s="1"/>
      <c r="RIS338" s="1"/>
      <c r="RIT338" s="1"/>
      <c r="RIU338" s="1"/>
      <c r="RIV338" s="1"/>
      <c r="RIW338" s="1"/>
      <c r="RIX338" s="1"/>
      <c r="RIY338" s="1"/>
      <c r="RIZ338" s="1"/>
      <c r="RJA338" s="1"/>
      <c r="RJB338" s="1"/>
      <c r="RJC338" s="1"/>
      <c r="RJD338" s="1"/>
      <c r="RJE338" s="1"/>
      <c r="RJF338" s="1"/>
      <c r="RJG338" s="1"/>
      <c r="RJH338" s="1"/>
      <c r="RJI338" s="1"/>
      <c r="RJJ338" s="1"/>
      <c r="RJK338" s="1"/>
      <c r="RJL338" s="1"/>
      <c r="RJM338" s="1"/>
      <c r="RJN338" s="1"/>
      <c r="RJO338" s="1"/>
      <c r="RJP338" s="1"/>
      <c r="RJQ338" s="1"/>
      <c r="RJR338" s="1"/>
      <c r="RJS338" s="1"/>
      <c r="RJT338" s="1"/>
      <c r="RJU338" s="1"/>
      <c r="RJV338" s="1"/>
      <c r="RJW338" s="1"/>
      <c r="RJX338" s="1"/>
      <c r="RJY338" s="1"/>
      <c r="RJZ338" s="1"/>
      <c r="RKA338" s="1"/>
      <c r="RKB338" s="1"/>
      <c r="RKC338" s="1"/>
      <c r="RKD338" s="1"/>
      <c r="RKE338" s="1"/>
      <c r="RKF338" s="1"/>
      <c r="RKG338" s="1"/>
      <c r="RKH338" s="1"/>
      <c r="RKI338" s="1"/>
      <c r="RKJ338" s="1"/>
      <c r="RKK338" s="1"/>
      <c r="RKL338" s="1"/>
      <c r="RKM338" s="1"/>
      <c r="RKN338" s="1"/>
      <c r="RKO338" s="1"/>
      <c r="RKP338" s="1"/>
      <c r="RKQ338" s="1"/>
      <c r="RKR338" s="1"/>
      <c r="RKS338" s="1"/>
      <c r="RKT338" s="1"/>
      <c r="RKU338" s="1"/>
      <c r="RKV338" s="1"/>
      <c r="RKW338" s="1"/>
      <c r="RKX338" s="1"/>
      <c r="RKY338" s="1"/>
      <c r="RKZ338" s="1"/>
      <c r="RLA338" s="1"/>
      <c r="RLB338" s="1"/>
      <c r="RLC338" s="1"/>
      <c r="RLD338" s="1"/>
      <c r="RLE338" s="1"/>
      <c r="RLF338" s="1"/>
      <c r="RLG338" s="1"/>
      <c r="RLH338" s="1"/>
      <c r="RLI338" s="1"/>
      <c r="RLJ338" s="1"/>
      <c r="RLK338" s="1"/>
      <c r="RLL338" s="1"/>
      <c r="RLM338" s="1"/>
      <c r="RLN338" s="1"/>
      <c r="RLO338" s="1"/>
      <c r="RLP338" s="1"/>
      <c r="RLQ338" s="1"/>
      <c r="RLR338" s="1"/>
      <c r="RLS338" s="1"/>
      <c r="RLT338" s="1"/>
      <c r="RLU338" s="1"/>
      <c r="RLV338" s="1"/>
      <c r="RLW338" s="1"/>
      <c r="RLX338" s="1"/>
      <c r="RLY338" s="1"/>
      <c r="RLZ338" s="1"/>
      <c r="RMA338" s="1"/>
      <c r="RMB338" s="1"/>
      <c r="RMC338" s="1"/>
      <c r="RMD338" s="1"/>
      <c r="RME338" s="1"/>
      <c r="RMF338" s="1"/>
      <c r="RMG338" s="1"/>
      <c r="RMH338" s="1"/>
      <c r="RMI338" s="1"/>
      <c r="RMJ338" s="1"/>
      <c r="RMK338" s="1"/>
      <c r="RML338" s="1"/>
      <c r="RMM338" s="1"/>
      <c r="RMN338" s="1"/>
      <c r="RMO338" s="1"/>
      <c r="RMP338" s="1"/>
      <c r="RMQ338" s="1"/>
      <c r="RMR338" s="1"/>
      <c r="RMS338" s="1"/>
      <c r="RMT338" s="1"/>
      <c r="RMU338" s="1"/>
      <c r="RMV338" s="1"/>
      <c r="RMW338" s="1"/>
      <c r="RMX338" s="1"/>
      <c r="RMY338" s="1"/>
      <c r="RMZ338" s="1"/>
      <c r="RNA338" s="1"/>
      <c r="RNB338" s="1"/>
      <c r="RNC338" s="1"/>
      <c r="RND338" s="1"/>
      <c r="RNE338" s="1"/>
      <c r="RNF338" s="1"/>
      <c r="RNG338" s="1"/>
      <c r="RNH338" s="1"/>
      <c r="RNI338" s="1"/>
      <c r="RNJ338" s="1"/>
      <c r="RNK338" s="1"/>
      <c r="RNL338" s="1"/>
      <c r="RNM338" s="1"/>
      <c r="RNN338" s="1"/>
      <c r="RNO338" s="1"/>
      <c r="RNP338" s="1"/>
      <c r="RNQ338" s="1"/>
      <c r="RNR338" s="1"/>
      <c r="RNS338" s="1"/>
      <c r="RNT338" s="1"/>
      <c r="RNU338" s="1"/>
      <c r="RNV338" s="1"/>
      <c r="RNW338" s="1"/>
      <c r="RNX338" s="1"/>
      <c r="RNY338" s="1"/>
      <c r="RNZ338" s="1"/>
      <c r="ROA338" s="1"/>
      <c r="ROB338" s="1"/>
      <c r="ROC338" s="1"/>
      <c r="ROD338" s="1"/>
      <c r="ROE338" s="1"/>
      <c r="ROF338" s="1"/>
      <c r="ROG338" s="1"/>
      <c r="ROH338" s="1"/>
      <c r="ROI338" s="1"/>
      <c r="ROJ338" s="1"/>
      <c r="ROK338" s="1"/>
      <c r="ROL338" s="1"/>
      <c r="ROM338" s="1"/>
      <c r="RON338" s="1"/>
      <c r="ROO338" s="1"/>
      <c r="ROP338" s="1"/>
      <c r="ROQ338" s="1"/>
      <c r="ROR338" s="1"/>
      <c r="ROS338" s="1"/>
      <c r="ROT338" s="1"/>
      <c r="ROU338" s="1"/>
      <c r="ROV338" s="1"/>
      <c r="ROW338" s="1"/>
      <c r="ROX338" s="1"/>
      <c r="ROY338" s="1"/>
      <c r="ROZ338" s="1"/>
      <c r="RPA338" s="1"/>
      <c r="RPB338" s="1"/>
      <c r="RPC338" s="1"/>
      <c r="RPD338" s="1"/>
      <c r="RPE338" s="1"/>
      <c r="RPF338" s="1"/>
      <c r="RPG338" s="1"/>
      <c r="RPH338" s="1"/>
      <c r="RPI338" s="1"/>
      <c r="RPJ338" s="1"/>
      <c r="RPK338" s="1"/>
      <c r="RPL338" s="1"/>
      <c r="RPM338" s="1"/>
      <c r="RPN338" s="1"/>
      <c r="RPO338" s="1"/>
      <c r="RPP338" s="1"/>
      <c r="RPQ338" s="1"/>
      <c r="RPR338" s="1"/>
      <c r="RPS338" s="1"/>
      <c r="RPT338" s="1"/>
      <c r="RPU338" s="1"/>
      <c r="RPV338" s="1"/>
      <c r="RPW338" s="1"/>
      <c r="RPX338" s="1"/>
      <c r="RPY338" s="1"/>
      <c r="RPZ338" s="1"/>
      <c r="RQA338" s="1"/>
      <c r="RQB338" s="1"/>
      <c r="RQC338" s="1"/>
      <c r="RQD338" s="1"/>
      <c r="RQE338" s="1"/>
      <c r="RQF338" s="1"/>
      <c r="RQG338" s="1"/>
      <c r="RQH338" s="1"/>
      <c r="RQI338" s="1"/>
      <c r="RQJ338" s="1"/>
      <c r="RQK338" s="1"/>
      <c r="RQL338" s="1"/>
      <c r="RQM338" s="1"/>
      <c r="RQN338" s="1"/>
      <c r="RQO338" s="1"/>
      <c r="RQP338" s="1"/>
      <c r="RQQ338" s="1"/>
      <c r="RQR338" s="1"/>
      <c r="RQS338" s="1"/>
      <c r="RQT338" s="1"/>
      <c r="RQU338" s="1"/>
      <c r="RQV338" s="1"/>
      <c r="RQW338" s="1"/>
      <c r="RQX338" s="1"/>
      <c r="RQY338" s="1"/>
      <c r="RQZ338" s="1"/>
      <c r="RRA338" s="1"/>
      <c r="RRB338" s="1"/>
      <c r="RRC338" s="1"/>
      <c r="RRD338" s="1"/>
      <c r="RRE338" s="1"/>
      <c r="RRF338" s="1"/>
      <c r="RRG338" s="1"/>
      <c r="RRH338" s="1"/>
      <c r="RRI338" s="1"/>
      <c r="RRJ338" s="1"/>
      <c r="RRK338" s="1"/>
      <c r="RRL338" s="1"/>
      <c r="RRM338" s="1"/>
      <c r="RRN338" s="1"/>
      <c r="RRO338" s="1"/>
      <c r="RRP338" s="1"/>
      <c r="RRQ338" s="1"/>
      <c r="RRR338" s="1"/>
      <c r="RRS338" s="1"/>
      <c r="RRT338" s="1"/>
      <c r="RRU338" s="1"/>
      <c r="RRV338" s="1"/>
      <c r="RRW338" s="1"/>
      <c r="RRX338" s="1"/>
      <c r="RRY338" s="1"/>
      <c r="RRZ338" s="1"/>
      <c r="RSA338" s="1"/>
      <c r="RSB338" s="1"/>
      <c r="RSC338" s="1"/>
      <c r="RSD338" s="1"/>
      <c r="RSE338" s="1"/>
      <c r="RSF338" s="1"/>
      <c r="RSG338" s="1"/>
      <c r="RSH338" s="1"/>
      <c r="RSI338" s="1"/>
      <c r="RSJ338" s="1"/>
      <c r="RSK338" s="1"/>
      <c r="RSL338" s="1"/>
      <c r="RSM338" s="1"/>
      <c r="RSN338" s="1"/>
      <c r="RSO338" s="1"/>
      <c r="RSP338" s="1"/>
      <c r="RSQ338" s="1"/>
      <c r="RSR338" s="1"/>
      <c r="RSS338" s="1"/>
      <c r="RST338" s="1"/>
      <c r="RSU338" s="1"/>
      <c r="RSV338" s="1"/>
      <c r="RSW338" s="1"/>
      <c r="RSX338" s="1"/>
      <c r="RSY338" s="1"/>
      <c r="RSZ338" s="1"/>
      <c r="RTA338" s="1"/>
      <c r="RTB338" s="1"/>
      <c r="RTC338" s="1"/>
      <c r="RTD338" s="1"/>
      <c r="RTE338" s="1"/>
      <c r="RTF338" s="1"/>
      <c r="RTG338" s="1"/>
      <c r="RTH338" s="1"/>
      <c r="RTI338" s="1"/>
      <c r="RTJ338" s="1"/>
      <c r="RTK338" s="1"/>
      <c r="RTL338" s="1"/>
      <c r="RTM338" s="1"/>
      <c r="RTN338" s="1"/>
      <c r="RTO338" s="1"/>
      <c r="RTP338" s="1"/>
      <c r="RTQ338" s="1"/>
      <c r="RTR338" s="1"/>
      <c r="RTS338" s="1"/>
      <c r="RTT338" s="1"/>
      <c r="RTU338" s="1"/>
      <c r="RTV338" s="1"/>
      <c r="RTW338" s="1"/>
      <c r="RTX338" s="1"/>
      <c r="RTY338" s="1"/>
      <c r="RTZ338" s="1"/>
      <c r="RUA338" s="1"/>
      <c r="RUB338" s="1"/>
      <c r="RUC338" s="1"/>
      <c r="RUD338" s="1"/>
      <c r="RUE338" s="1"/>
      <c r="RUF338" s="1"/>
      <c r="RUG338" s="1"/>
      <c r="RUH338" s="1"/>
      <c r="RUI338" s="1"/>
      <c r="RUJ338" s="1"/>
      <c r="RUK338" s="1"/>
      <c r="RUL338" s="1"/>
      <c r="RUM338" s="1"/>
      <c r="RUN338" s="1"/>
      <c r="RUO338" s="1"/>
      <c r="RUP338" s="1"/>
      <c r="RUQ338" s="1"/>
      <c r="RUR338" s="1"/>
      <c r="RUS338" s="1"/>
      <c r="RUT338" s="1"/>
      <c r="RUU338" s="1"/>
      <c r="RUV338" s="1"/>
      <c r="RUW338" s="1"/>
      <c r="RUX338" s="1"/>
      <c r="RUY338" s="1"/>
      <c r="RUZ338" s="1"/>
      <c r="RVA338" s="1"/>
      <c r="RVB338" s="1"/>
      <c r="RVC338" s="1"/>
      <c r="RVD338" s="1"/>
      <c r="RVE338" s="1"/>
      <c r="RVF338" s="1"/>
      <c r="RVG338" s="1"/>
      <c r="RVH338" s="1"/>
      <c r="RVI338" s="1"/>
      <c r="RVJ338" s="1"/>
      <c r="RVK338" s="1"/>
      <c r="RVL338" s="1"/>
      <c r="RVM338" s="1"/>
      <c r="RVN338" s="1"/>
      <c r="RVO338" s="1"/>
      <c r="RVP338" s="1"/>
      <c r="RVQ338" s="1"/>
      <c r="RVR338" s="1"/>
      <c r="RVS338" s="1"/>
      <c r="RVT338" s="1"/>
      <c r="RVU338" s="1"/>
      <c r="RVV338" s="1"/>
      <c r="RVW338" s="1"/>
      <c r="RVX338" s="1"/>
      <c r="RVY338" s="1"/>
      <c r="RVZ338" s="1"/>
      <c r="RWA338" s="1"/>
      <c r="RWB338" s="1"/>
      <c r="RWC338" s="1"/>
      <c r="RWD338" s="1"/>
      <c r="RWE338" s="1"/>
      <c r="RWF338" s="1"/>
      <c r="RWG338" s="1"/>
      <c r="RWH338" s="1"/>
      <c r="RWI338" s="1"/>
      <c r="RWJ338" s="1"/>
      <c r="RWK338" s="1"/>
      <c r="RWL338" s="1"/>
      <c r="RWM338" s="1"/>
      <c r="RWN338" s="1"/>
      <c r="RWO338" s="1"/>
      <c r="RWP338" s="1"/>
      <c r="RWQ338" s="1"/>
      <c r="RWR338" s="1"/>
      <c r="RWS338" s="1"/>
      <c r="RWT338" s="1"/>
      <c r="RWU338" s="1"/>
      <c r="RWV338" s="1"/>
      <c r="RWW338" s="1"/>
      <c r="RWX338" s="1"/>
      <c r="RWY338" s="1"/>
      <c r="RWZ338" s="1"/>
      <c r="RXA338" s="1"/>
      <c r="RXB338" s="1"/>
      <c r="RXC338" s="1"/>
      <c r="RXD338" s="1"/>
      <c r="RXE338" s="1"/>
      <c r="RXF338" s="1"/>
      <c r="RXG338" s="1"/>
      <c r="RXH338" s="1"/>
      <c r="RXI338" s="1"/>
      <c r="RXJ338" s="1"/>
      <c r="RXK338" s="1"/>
      <c r="RXL338" s="1"/>
      <c r="RXM338" s="1"/>
      <c r="RXN338" s="1"/>
      <c r="RXO338" s="1"/>
      <c r="RXP338" s="1"/>
      <c r="RXQ338" s="1"/>
      <c r="RXR338" s="1"/>
      <c r="RXS338" s="1"/>
      <c r="RXT338" s="1"/>
      <c r="RXU338" s="1"/>
      <c r="RXV338" s="1"/>
      <c r="RXW338" s="1"/>
      <c r="RXX338" s="1"/>
      <c r="RXY338" s="1"/>
      <c r="RXZ338" s="1"/>
      <c r="RYA338" s="1"/>
      <c r="RYB338" s="1"/>
      <c r="RYC338" s="1"/>
      <c r="RYD338" s="1"/>
      <c r="RYE338" s="1"/>
      <c r="RYF338" s="1"/>
      <c r="RYG338" s="1"/>
      <c r="RYH338" s="1"/>
      <c r="RYI338" s="1"/>
      <c r="RYJ338" s="1"/>
      <c r="RYK338" s="1"/>
      <c r="RYL338" s="1"/>
      <c r="RYM338" s="1"/>
      <c r="RYN338" s="1"/>
      <c r="RYO338" s="1"/>
      <c r="RYP338" s="1"/>
      <c r="RYQ338" s="1"/>
      <c r="RYR338" s="1"/>
      <c r="RYS338" s="1"/>
      <c r="RYT338" s="1"/>
      <c r="RYU338" s="1"/>
      <c r="RYV338" s="1"/>
      <c r="RYW338" s="1"/>
      <c r="RYX338" s="1"/>
      <c r="RYY338" s="1"/>
      <c r="RYZ338" s="1"/>
      <c r="RZA338" s="1"/>
      <c r="RZB338" s="1"/>
      <c r="RZC338" s="1"/>
      <c r="RZD338" s="1"/>
      <c r="RZE338" s="1"/>
      <c r="RZF338" s="1"/>
      <c r="RZG338" s="1"/>
      <c r="RZH338" s="1"/>
      <c r="RZI338" s="1"/>
      <c r="RZJ338" s="1"/>
      <c r="RZK338" s="1"/>
      <c r="RZL338" s="1"/>
      <c r="RZM338" s="1"/>
      <c r="RZN338" s="1"/>
      <c r="RZO338" s="1"/>
      <c r="RZP338" s="1"/>
      <c r="RZQ338" s="1"/>
      <c r="RZR338" s="1"/>
      <c r="RZS338" s="1"/>
      <c r="RZT338" s="1"/>
      <c r="RZU338" s="1"/>
      <c r="RZV338" s="1"/>
      <c r="RZW338" s="1"/>
      <c r="RZX338" s="1"/>
      <c r="RZY338" s="1"/>
      <c r="RZZ338" s="1"/>
      <c r="SAA338" s="1"/>
      <c r="SAB338" s="1"/>
      <c r="SAC338" s="1"/>
      <c r="SAD338" s="1"/>
      <c r="SAE338" s="1"/>
      <c r="SAF338" s="1"/>
      <c r="SAG338" s="1"/>
      <c r="SAH338" s="1"/>
      <c r="SAI338" s="1"/>
      <c r="SAJ338" s="1"/>
      <c r="SAK338" s="1"/>
      <c r="SAL338" s="1"/>
      <c r="SAM338" s="1"/>
      <c r="SAN338" s="1"/>
      <c r="SAO338" s="1"/>
      <c r="SAP338" s="1"/>
      <c r="SAQ338" s="1"/>
      <c r="SAR338" s="1"/>
      <c r="SAS338" s="1"/>
      <c r="SAT338" s="1"/>
      <c r="SAU338" s="1"/>
      <c r="SAV338" s="1"/>
      <c r="SAW338" s="1"/>
      <c r="SAX338" s="1"/>
      <c r="SAY338" s="1"/>
      <c r="SAZ338" s="1"/>
      <c r="SBA338" s="1"/>
      <c r="SBB338" s="1"/>
      <c r="SBC338" s="1"/>
      <c r="SBD338" s="1"/>
      <c r="SBE338" s="1"/>
      <c r="SBF338" s="1"/>
      <c r="SBG338" s="1"/>
      <c r="SBH338" s="1"/>
      <c r="SBI338" s="1"/>
      <c r="SBJ338" s="1"/>
      <c r="SBK338" s="1"/>
      <c r="SBL338" s="1"/>
      <c r="SBM338" s="1"/>
      <c r="SBN338" s="1"/>
      <c r="SBO338" s="1"/>
      <c r="SBP338" s="1"/>
      <c r="SBQ338" s="1"/>
      <c r="SBR338" s="1"/>
      <c r="SBS338" s="1"/>
      <c r="SBT338" s="1"/>
      <c r="SBU338" s="1"/>
      <c r="SBV338" s="1"/>
      <c r="SBW338" s="1"/>
      <c r="SBX338" s="1"/>
      <c r="SBY338" s="1"/>
      <c r="SBZ338" s="1"/>
      <c r="SCA338" s="1"/>
      <c r="SCB338" s="1"/>
      <c r="SCC338" s="1"/>
      <c r="SCD338" s="1"/>
      <c r="SCE338" s="1"/>
      <c r="SCF338" s="1"/>
      <c r="SCG338" s="1"/>
      <c r="SCH338" s="1"/>
      <c r="SCI338" s="1"/>
      <c r="SCJ338" s="1"/>
      <c r="SCK338" s="1"/>
      <c r="SCL338" s="1"/>
      <c r="SCM338" s="1"/>
      <c r="SCN338" s="1"/>
      <c r="SCO338" s="1"/>
      <c r="SCP338" s="1"/>
      <c r="SCQ338" s="1"/>
      <c r="SCR338" s="1"/>
      <c r="SCS338" s="1"/>
      <c r="SCT338" s="1"/>
      <c r="SCU338" s="1"/>
      <c r="SCV338" s="1"/>
      <c r="SCW338" s="1"/>
      <c r="SCX338" s="1"/>
      <c r="SCY338" s="1"/>
      <c r="SCZ338" s="1"/>
      <c r="SDA338" s="1"/>
      <c r="SDB338" s="1"/>
      <c r="SDC338" s="1"/>
      <c r="SDD338" s="1"/>
      <c r="SDE338" s="1"/>
      <c r="SDF338" s="1"/>
      <c r="SDG338" s="1"/>
      <c r="SDH338" s="1"/>
      <c r="SDI338" s="1"/>
      <c r="SDJ338" s="1"/>
      <c r="SDK338" s="1"/>
      <c r="SDL338" s="1"/>
      <c r="SDM338" s="1"/>
      <c r="SDN338" s="1"/>
      <c r="SDO338" s="1"/>
      <c r="SDP338" s="1"/>
      <c r="SDQ338" s="1"/>
      <c r="SDR338" s="1"/>
      <c r="SDS338" s="1"/>
      <c r="SDT338" s="1"/>
      <c r="SDU338" s="1"/>
      <c r="SDV338" s="1"/>
      <c r="SDW338" s="1"/>
      <c r="SDX338" s="1"/>
      <c r="SDY338" s="1"/>
      <c r="SDZ338" s="1"/>
      <c r="SEA338" s="1"/>
      <c r="SEB338" s="1"/>
      <c r="SEC338" s="1"/>
      <c r="SED338" s="1"/>
      <c r="SEE338" s="1"/>
      <c r="SEF338" s="1"/>
      <c r="SEG338" s="1"/>
      <c r="SEH338" s="1"/>
      <c r="SEI338" s="1"/>
      <c r="SEJ338" s="1"/>
      <c r="SEK338" s="1"/>
      <c r="SEL338" s="1"/>
      <c r="SEM338" s="1"/>
      <c r="SEN338" s="1"/>
      <c r="SEO338" s="1"/>
      <c r="SEP338" s="1"/>
      <c r="SEQ338" s="1"/>
      <c r="SER338" s="1"/>
      <c r="SES338" s="1"/>
      <c r="SET338" s="1"/>
      <c r="SEU338" s="1"/>
      <c r="SEV338" s="1"/>
      <c r="SEW338" s="1"/>
      <c r="SEX338" s="1"/>
      <c r="SEY338" s="1"/>
      <c r="SEZ338" s="1"/>
      <c r="SFA338" s="1"/>
      <c r="SFB338" s="1"/>
      <c r="SFC338" s="1"/>
      <c r="SFD338" s="1"/>
      <c r="SFE338" s="1"/>
      <c r="SFF338" s="1"/>
      <c r="SFG338" s="1"/>
      <c r="SFH338" s="1"/>
      <c r="SFI338" s="1"/>
      <c r="SFJ338" s="1"/>
      <c r="SFK338" s="1"/>
      <c r="SFL338" s="1"/>
      <c r="SFM338" s="1"/>
      <c r="SFN338" s="1"/>
      <c r="SFO338" s="1"/>
      <c r="SFP338" s="1"/>
      <c r="SFQ338" s="1"/>
      <c r="SFR338" s="1"/>
      <c r="SFS338" s="1"/>
      <c r="SFT338" s="1"/>
      <c r="SFU338" s="1"/>
      <c r="SFV338" s="1"/>
      <c r="SFW338" s="1"/>
      <c r="SFX338" s="1"/>
      <c r="SFY338" s="1"/>
      <c r="SFZ338" s="1"/>
      <c r="SGA338" s="1"/>
      <c r="SGB338" s="1"/>
      <c r="SGC338" s="1"/>
      <c r="SGD338" s="1"/>
      <c r="SGE338" s="1"/>
      <c r="SGF338" s="1"/>
      <c r="SGG338" s="1"/>
      <c r="SGH338" s="1"/>
      <c r="SGI338" s="1"/>
      <c r="SGJ338" s="1"/>
      <c r="SGK338" s="1"/>
      <c r="SGL338" s="1"/>
      <c r="SGM338" s="1"/>
      <c r="SGN338" s="1"/>
      <c r="SGO338" s="1"/>
      <c r="SGP338" s="1"/>
      <c r="SGQ338" s="1"/>
      <c r="SGR338" s="1"/>
      <c r="SGS338" s="1"/>
      <c r="SGT338" s="1"/>
      <c r="SGU338" s="1"/>
      <c r="SGV338" s="1"/>
      <c r="SGW338" s="1"/>
      <c r="SGX338" s="1"/>
      <c r="SGY338" s="1"/>
      <c r="SGZ338" s="1"/>
      <c r="SHA338" s="1"/>
      <c r="SHB338" s="1"/>
      <c r="SHC338" s="1"/>
      <c r="SHD338" s="1"/>
      <c r="SHE338" s="1"/>
      <c r="SHF338" s="1"/>
      <c r="SHG338" s="1"/>
      <c r="SHH338" s="1"/>
      <c r="SHI338" s="1"/>
      <c r="SHJ338" s="1"/>
      <c r="SHK338" s="1"/>
      <c r="SHL338" s="1"/>
      <c r="SHM338" s="1"/>
      <c r="SHN338" s="1"/>
      <c r="SHO338" s="1"/>
      <c r="SHP338" s="1"/>
      <c r="SHQ338" s="1"/>
      <c r="SHR338" s="1"/>
      <c r="SHS338" s="1"/>
      <c r="SHT338" s="1"/>
      <c r="SHU338" s="1"/>
      <c r="SHV338" s="1"/>
      <c r="SHW338" s="1"/>
      <c r="SHX338" s="1"/>
      <c r="SHY338" s="1"/>
      <c r="SHZ338" s="1"/>
      <c r="SIA338" s="1"/>
      <c r="SIB338" s="1"/>
      <c r="SIC338" s="1"/>
      <c r="SID338" s="1"/>
      <c r="SIE338" s="1"/>
      <c r="SIF338" s="1"/>
      <c r="SIG338" s="1"/>
      <c r="SIH338" s="1"/>
      <c r="SII338" s="1"/>
      <c r="SIJ338" s="1"/>
      <c r="SIK338" s="1"/>
      <c r="SIL338" s="1"/>
      <c r="SIM338" s="1"/>
      <c r="SIN338" s="1"/>
      <c r="SIO338" s="1"/>
      <c r="SIP338" s="1"/>
      <c r="SIQ338" s="1"/>
      <c r="SIR338" s="1"/>
      <c r="SIS338" s="1"/>
      <c r="SIT338" s="1"/>
      <c r="SIU338" s="1"/>
      <c r="SIV338" s="1"/>
      <c r="SIW338" s="1"/>
      <c r="SIX338" s="1"/>
      <c r="SIY338" s="1"/>
      <c r="SIZ338" s="1"/>
      <c r="SJA338" s="1"/>
      <c r="SJB338" s="1"/>
      <c r="SJC338" s="1"/>
      <c r="SJD338" s="1"/>
      <c r="SJE338" s="1"/>
      <c r="SJF338" s="1"/>
      <c r="SJG338" s="1"/>
      <c r="SJH338" s="1"/>
      <c r="SJI338" s="1"/>
      <c r="SJJ338" s="1"/>
      <c r="SJK338" s="1"/>
      <c r="SJL338" s="1"/>
      <c r="SJM338" s="1"/>
      <c r="SJN338" s="1"/>
      <c r="SJO338" s="1"/>
      <c r="SJP338" s="1"/>
      <c r="SJQ338" s="1"/>
      <c r="SJR338" s="1"/>
      <c r="SJS338" s="1"/>
      <c r="SJT338" s="1"/>
      <c r="SJU338" s="1"/>
      <c r="SJV338" s="1"/>
      <c r="SJW338" s="1"/>
      <c r="SJX338" s="1"/>
      <c r="SJY338" s="1"/>
      <c r="SJZ338" s="1"/>
      <c r="SKA338" s="1"/>
      <c r="SKB338" s="1"/>
      <c r="SKC338" s="1"/>
      <c r="SKD338" s="1"/>
      <c r="SKE338" s="1"/>
      <c r="SKF338" s="1"/>
      <c r="SKG338" s="1"/>
      <c r="SKH338" s="1"/>
      <c r="SKI338" s="1"/>
      <c r="SKJ338" s="1"/>
      <c r="SKK338" s="1"/>
      <c r="SKL338" s="1"/>
      <c r="SKM338" s="1"/>
      <c r="SKN338" s="1"/>
      <c r="SKO338" s="1"/>
      <c r="SKP338" s="1"/>
      <c r="SKQ338" s="1"/>
      <c r="SKR338" s="1"/>
      <c r="SKS338" s="1"/>
      <c r="SKT338" s="1"/>
      <c r="SKU338" s="1"/>
      <c r="SKV338" s="1"/>
      <c r="SKW338" s="1"/>
      <c r="SKX338" s="1"/>
      <c r="SKY338" s="1"/>
      <c r="SKZ338" s="1"/>
      <c r="SLA338" s="1"/>
      <c r="SLB338" s="1"/>
      <c r="SLC338" s="1"/>
      <c r="SLD338" s="1"/>
      <c r="SLE338" s="1"/>
      <c r="SLF338" s="1"/>
      <c r="SLG338" s="1"/>
      <c r="SLH338" s="1"/>
      <c r="SLI338" s="1"/>
      <c r="SLJ338" s="1"/>
      <c r="SLK338" s="1"/>
      <c r="SLL338" s="1"/>
      <c r="SLM338" s="1"/>
      <c r="SLN338" s="1"/>
      <c r="SLO338" s="1"/>
      <c r="SLP338" s="1"/>
      <c r="SLQ338" s="1"/>
      <c r="SLR338" s="1"/>
      <c r="SLS338" s="1"/>
      <c r="SLT338" s="1"/>
      <c r="SLU338" s="1"/>
      <c r="SLV338" s="1"/>
      <c r="SLW338" s="1"/>
      <c r="SLX338" s="1"/>
      <c r="SLY338" s="1"/>
      <c r="SLZ338" s="1"/>
      <c r="SMA338" s="1"/>
      <c r="SMB338" s="1"/>
      <c r="SMC338" s="1"/>
      <c r="SMD338" s="1"/>
      <c r="SME338" s="1"/>
      <c r="SMF338" s="1"/>
      <c r="SMG338" s="1"/>
      <c r="SMH338" s="1"/>
      <c r="SMI338" s="1"/>
      <c r="SMJ338" s="1"/>
      <c r="SMK338" s="1"/>
      <c r="SML338" s="1"/>
      <c r="SMM338" s="1"/>
      <c r="SMN338" s="1"/>
      <c r="SMO338" s="1"/>
      <c r="SMP338" s="1"/>
      <c r="SMQ338" s="1"/>
      <c r="SMR338" s="1"/>
      <c r="SMS338" s="1"/>
      <c r="SMT338" s="1"/>
      <c r="SMU338" s="1"/>
      <c r="SMV338" s="1"/>
      <c r="SMW338" s="1"/>
      <c r="SMX338" s="1"/>
      <c r="SMY338" s="1"/>
      <c r="SMZ338" s="1"/>
      <c r="SNA338" s="1"/>
      <c r="SNB338" s="1"/>
      <c r="SNC338" s="1"/>
      <c r="SND338" s="1"/>
      <c r="SNE338" s="1"/>
      <c r="SNF338" s="1"/>
      <c r="SNG338" s="1"/>
      <c r="SNH338" s="1"/>
      <c r="SNI338" s="1"/>
      <c r="SNJ338" s="1"/>
      <c r="SNK338" s="1"/>
      <c r="SNL338" s="1"/>
      <c r="SNM338" s="1"/>
      <c r="SNN338" s="1"/>
      <c r="SNO338" s="1"/>
      <c r="SNP338" s="1"/>
      <c r="SNQ338" s="1"/>
      <c r="SNR338" s="1"/>
      <c r="SNS338" s="1"/>
      <c r="SNT338" s="1"/>
      <c r="SNU338" s="1"/>
      <c r="SNV338" s="1"/>
      <c r="SNW338" s="1"/>
      <c r="SNX338" s="1"/>
      <c r="SNY338" s="1"/>
      <c r="SNZ338" s="1"/>
      <c r="SOA338" s="1"/>
      <c r="SOB338" s="1"/>
      <c r="SOC338" s="1"/>
      <c r="SOD338" s="1"/>
      <c r="SOE338" s="1"/>
      <c r="SOF338" s="1"/>
      <c r="SOG338" s="1"/>
      <c r="SOH338" s="1"/>
      <c r="SOI338" s="1"/>
      <c r="SOJ338" s="1"/>
      <c r="SOK338" s="1"/>
      <c r="SOL338" s="1"/>
      <c r="SOM338" s="1"/>
      <c r="SON338" s="1"/>
      <c r="SOO338" s="1"/>
      <c r="SOP338" s="1"/>
      <c r="SOQ338" s="1"/>
      <c r="SOR338" s="1"/>
      <c r="SOS338" s="1"/>
      <c r="SOT338" s="1"/>
      <c r="SOU338" s="1"/>
      <c r="SOV338" s="1"/>
      <c r="SOW338" s="1"/>
      <c r="SOX338" s="1"/>
      <c r="SOY338" s="1"/>
      <c r="SOZ338" s="1"/>
      <c r="SPA338" s="1"/>
      <c r="SPB338" s="1"/>
      <c r="SPC338" s="1"/>
      <c r="SPD338" s="1"/>
      <c r="SPE338" s="1"/>
      <c r="SPF338" s="1"/>
      <c r="SPG338" s="1"/>
      <c r="SPH338" s="1"/>
      <c r="SPI338" s="1"/>
      <c r="SPJ338" s="1"/>
      <c r="SPK338" s="1"/>
      <c r="SPL338" s="1"/>
      <c r="SPM338" s="1"/>
      <c r="SPN338" s="1"/>
      <c r="SPO338" s="1"/>
      <c r="SPP338" s="1"/>
      <c r="SPQ338" s="1"/>
      <c r="SPR338" s="1"/>
      <c r="SPS338" s="1"/>
      <c r="SPT338" s="1"/>
      <c r="SPU338" s="1"/>
      <c r="SPV338" s="1"/>
      <c r="SPW338" s="1"/>
      <c r="SPX338" s="1"/>
      <c r="SPY338" s="1"/>
      <c r="SPZ338" s="1"/>
      <c r="SQA338" s="1"/>
      <c r="SQB338" s="1"/>
      <c r="SQC338" s="1"/>
      <c r="SQD338" s="1"/>
      <c r="SQE338" s="1"/>
      <c r="SQF338" s="1"/>
      <c r="SQG338" s="1"/>
      <c r="SQH338" s="1"/>
      <c r="SQI338" s="1"/>
      <c r="SQJ338" s="1"/>
      <c r="SQK338" s="1"/>
      <c r="SQL338" s="1"/>
      <c r="SQM338" s="1"/>
      <c r="SQN338" s="1"/>
      <c r="SQO338" s="1"/>
      <c r="SQP338" s="1"/>
      <c r="SQQ338" s="1"/>
      <c r="SQR338" s="1"/>
      <c r="SQS338" s="1"/>
      <c r="SQT338" s="1"/>
      <c r="SQU338" s="1"/>
      <c r="SQV338" s="1"/>
      <c r="SQW338" s="1"/>
      <c r="SQX338" s="1"/>
      <c r="SQY338" s="1"/>
      <c r="SQZ338" s="1"/>
      <c r="SRA338" s="1"/>
      <c r="SRB338" s="1"/>
      <c r="SRC338" s="1"/>
      <c r="SRD338" s="1"/>
      <c r="SRE338" s="1"/>
      <c r="SRF338" s="1"/>
      <c r="SRG338" s="1"/>
      <c r="SRH338" s="1"/>
      <c r="SRI338" s="1"/>
      <c r="SRJ338" s="1"/>
      <c r="SRK338" s="1"/>
      <c r="SRL338" s="1"/>
      <c r="SRM338" s="1"/>
      <c r="SRN338" s="1"/>
      <c r="SRO338" s="1"/>
      <c r="SRP338" s="1"/>
      <c r="SRQ338" s="1"/>
      <c r="SRR338" s="1"/>
      <c r="SRS338" s="1"/>
      <c r="SRT338" s="1"/>
      <c r="SRU338" s="1"/>
      <c r="SRV338" s="1"/>
      <c r="SRW338" s="1"/>
      <c r="SRX338" s="1"/>
      <c r="SRY338" s="1"/>
      <c r="SRZ338" s="1"/>
      <c r="SSA338" s="1"/>
      <c r="SSB338" s="1"/>
      <c r="SSC338" s="1"/>
      <c r="SSD338" s="1"/>
      <c r="SSE338" s="1"/>
      <c r="SSF338" s="1"/>
      <c r="SSG338" s="1"/>
      <c r="SSH338" s="1"/>
      <c r="SSI338" s="1"/>
      <c r="SSJ338" s="1"/>
      <c r="SSK338" s="1"/>
      <c r="SSL338" s="1"/>
      <c r="SSM338" s="1"/>
      <c r="SSN338" s="1"/>
      <c r="SSO338" s="1"/>
      <c r="SSP338" s="1"/>
      <c r="SSQ338" s="1"/>
      <c r="SSR338" s="1"/>
      <c r="SSS338" s="1"/>
      <c r="SST338" s="1"/>
      <c r="SSU338" s="1"/>
      <c r="SSV338" s="1"/>
      <c r="SSW338" s="1"/>
      <c r="SSX338" s="1"/>
      <c r="SSY338" s="1"/>
      <c r="SSZ338" s="1"/>
      <c r="STA338" s="1"/>
      <c r="STB338" s="1"/>
      <c r="STC338" s="1"/>
      <c r="STD338" s="1"/>
      <c r="STE338" s="1"/>
      <c r="STF338" s="1"/>
      <c r="STG338" s="1"/>
      <c r="STH338" s="1"/>
      <c r="STI338" s="1"/>
      <c r="STJ338" s="1"/>
      <c r="STK338" s="1"/>
      <c r="STL338" s="1"/>
      <c r="STM338" s="1"/>
      <c r="STN338" s="1"/>
      <c r="STO338" s="1"/>
      <c r="STP338" s="1"/>
      <c r="STQ338" s="1"/>
      <c r="STR338" s="1"/>
      <c r="STS338" s="1"/>
      <c r="STT338" s="1"/>
      <c r="STU338" s="1"/>
      <c r="STV338" s="1"/>
      <c r="STW338" s="1"/>
      <c r="STX338" s="1"/>
      <c r="STY338" s="1"/>
      <c r="STZ338" s="1"/>
      <c r="SUA338" s="1"/>
      <c r="SUB338" s="1"/>
      <c r="SUC338" s="1"/>
      <c r="SUD338" s="1"/>
      <c r="SUE338" s="1"/>
      <c r="SUF338" s="1"/>
      <c r="SUG338" s="1"/>
      <c r="SUH338" s="1"/>
      <c r="SUI338" s="1"/>
      <c r="SUJ338" s="1"/>
      <c r="SUK338" s="1"/>
      <c r="SUL338" s="1"/>
      <c r="SUM338" s="1"/>
      <c r="SUN338" s="1"/>
      <c r="SUO338" s="1"/>
      <c r="SUP338" s="1"/>
      <c r="SUQ338" s="1"/>
      <c r="SUR338" s="1"/>
      <c r="SUS338" s="1"/>
      <c r="SUT338" s="1"/>
      <c r="SUU338" s="1"/>
      <c r="SUV338" s="1"/>
      <c r="SUW338" s="1"/>
      <c r="SUX338" s="1"/>
      <c r="SUY338" s="1"/>
      <c r="SUZ338" s="1"/>
      <c r="SVA338" s="1"/>
      <c r="SVB338" s="1"/>
      <c r="SVC338" s="1"/>
      <c r="SVD338" s="1"/>
      <c r="SVE338" s="1"/>
      <c r="SVF338" s="1"/>
      <c r="SVG338" s="1"/>
      <c r="SVH338" s="1"/>
      <c r="SVI338" s="1"/>
      <c r="SVJ338" s="1"/>
      <c r="SVK338" s="1"/>
      <c r="SVL338" s="1"/>
      <c r="SVM338" s="1"/>
      <c r="SVN338" s="1"/>
      <c r="SVO338" s="1"/>
      <c r="SVP338" s="1"/>
      <c r="SVQ338" s="1"/>
      <c r="SVR338" s="1"/>
      <c r="SVS338" s="1"/>
      <c r="SVT338" s="1"/>
      <c r="SVU338" s="1"/>
      <c r="SVV338" s="1"/>
      <c r="SVW338" s="1"/>
      <c r="SVX338" s="1"/>
      <c r="SVY338" s="1"/>
      <c r="SVZ338" s="1"/>
      <c r="SWA338" s="1"/>
      <c r="SWB338" s="1"/>
      <c r="SWC338" s="1"/>
      <c r="SWD338" s="1"/>
      <c r="SWE338" s="1"/>
      <c r="SWF338" s="1"/>
      <c r="SWG338" s="1"/>
      <c r="SWH338" s="1"/>
      <c r="SWI338" s="1"/>
      <c r="SWJ338" s="1"/>
      <c r="SWK338" s="1"/>
      <c r="SWL338" s="1"/>
      <c r="SWM338" s="1"/>
      <c r="SWN338" s="1"/>
      <c r="SWO338" s="1"/>
      <c r="SWP338" s="1"/>
      <c r="SWQ338" s="1"/>
      <c r="SWR338" s="1"/>
      <c r="SWS338" s="1"/>
      <c r="SWT338" s="1"/>
      <c r="SWU338" s="1"/>
      <c r="SWV338" s="1"/>
      <c r="SWW338" s="1"/>
      <c r="SWX338" s="1"/>
      <c r="SWY338" s="1"/>
      <c r="SWZ338" s="1"/>
      <c r="SXA338" s="1"/>
      <c r="SXB338" s="1"/>
      <c r="SXC338" s="1"/>
      <c r="SXD338" s="1"/>
      <c r="SXE338" s="1"/>
      <c r="SXF338" s="1"/>
      <c r="SXG338" s="1"/>
      <c r="SXH338" s="1"/>
      <c r="SXI338" s="1"/>
      <c r="SXJ338" s="1"/>
      <c r="SXK338" s="1"/>
      <c r="SXL338" s="1"/>
      <c r="SXM338" s="1"/>
      <c r="SXN338" s="1"/>
      <c r="SXO338" s="1"/>
      <c r="SXP338" s="1"/>
      <c r="SXQ338" s="1"/>
      <c r="SXR338" s="1"/>
      <c r="SXS338" s="1"/>
      <c r="SXT338" s="1"/>
      <c r="SXU338" s="1"/>
      <c r="SXV338" s="1"/>
      <c r="SXW338" s="1"/>
      <c r="SXX338" s="1"/>
      <c r="SXY338" s="1"/>
      <c r="SXZ338" s="1"/>
      <c r="SYA338" s="1"/>
      <c r="SYB338" s="1"/>
      <c r="SYC338" s="1"/>
      <c r="SYD338" s="1"/>
      <c r="SYE338" s="1"/>
      <c r="SYF338" s="1"/>
      <c r="SYG338" s="1"/>
      <c r="SYH338" s="1"/>
      <c r="SYI338" s="1"/>
      <c r="SYJ338" s="1"/>
      <c r="SYK338" s="1"/>
      <c r="SYL338" s="1"/>
      <c r="SYM338" s="1"/>
      <c r="SYN338" s="1"/>
      <c r="SYO338" s="1"/>
      <c r="SYP338" s="1"/>
      <c r="SYQ338" s="1"/>
      <c r="SYR338" s="1"/>
      <c r="SYS338" s="1"/>
      <c r="SYT338" s="1"/>
      <c r="SYU338" s="1"/>
      <c r="SYV338" s="1"/>
      <c r="SYW338" s="1"/>
      <c r="SYX338" s="1"/>
      <c r="SYY338" s="1"/>
      <c r="SYZ338" s="1"/>
      <c r="SZA338" s="1"/>
      <c r="SZB338" s="1"/>
      <c r="SZC338" s="1"/>
      <c r="SZD338" s="1"/>
      <c r="SZE338" s="1"/>
      <c r="SZF338" s="1"/>
      <c r="SZG338" s="1"/>
      <c r="SZH338" s="1"/>
      <c r="SZI338" s="1"/>
      <c r="SZJ338" s="1"/>
      <c r="SZK338" s="1"/>
      <c r="SZL338" s="1"/>
      <c r="SZM338" s="1"/>
      <c r="SZN338" s="1"/>
      <c r="SZO338" s="1"/>
      <c r="SZP338" s="1"/>
      <c r="SZQ338" s="1"/>
      <c r="SZR338" s="1"/>
      <c r="SZS338" s="1"/>
      <c r="SZT338" s="1"/>
      <c r="SZU338" s="1"/>
      <c r="SZV338" s="1"/>
      <c r="SZW338" s="1"/>
      <c r="SZX338" s="1"/>
      <c r="SZY338" s="1"/>
      <c r="SZZ338" s="1"/>
      <c r="TAA338" s="1"/>
      <c r="TAB338" s="1"/>
      <c r="TAC338" s="1"/>
      <c r="TAD338" s="1"/>
      <c r="TAE338" s="1"/>
      <c r="TAF338" s="1"/>
      <c r="TAG338" s="1"/>
      <c r="TAH338" s="1"/>
      <c r="TAI338" s="1"/>
      <c r="TAJ338" s="1"/>
      <c r="TAK338" s="1"/>
      <c r="TAL338" s="1"/>
      <c r="TAM338" s="1"/>
      <c r="TAN338" s="1"/>
      <c r="TAO338" s="1"/>
      <c r="TAP338" s="1"/>
      <c r="TAQ338" s="1"/>
      <c r="TAR338" s="1"/>
      <c r="TAS338" s="1"/>
      <c r="TAT338" s="1"/>
      <c r="TAU338" s="1"/>
      <c r="TAV338" s="1"/>
      <c r="TAW338" s="1"/>
      <c r="TAX338" s="1"/>
      <c r="TAY338" s="1"/>
      <c r="TAZ338" s="1"/>
      <c r="TBA338" s="1"/>
      <c r="TBB338" s="1"/>
      <c r="TBC338" s="1"/>
      <c r="TBD338" s="1"/>
      <c r="TBE338" s="1"/>
      <c r="TBF338" s="1"/>
      <c r="TBG338" s="1"/>
      <c r="TBH338" s="1"/>
      <c r="TBI338" s="1"/>
      <c r="TBJ338" s="1"/>
      <c r="TBK338" s="1"/>
      <c r="TBL338" s="1"/>
      <c r="TBM338" s="1"/>
      <c r="TBN338" s="1"/>
      <c r="TBO338" s="1"/>
      <c r="TBP338" s="1"/>
      <c r="TBQ338" s="1"/>
      <c r="TBR338" s="1"/>
      <c r="TBS338" s="1"/>
      <c r="TBT338" s="1"/>
      <c r="TBU338" s="1"/>
      <c r="TBV338" s="1"/>
      <c r="TBW338" s="1"/>
      <c r="TBX338" s="1"/>
      <c r="TBY338" s="1"/>
      <c r="TBZ338" s="1"/>
      <c r="TCA338" s="1"/>
      <c r="TCB338" s="1"/>
      <c r="TCC338" s="1"/>
      <c r="TCD338" s="1"/>
      <c r="TCE338" s="1"/>
      <c r="TCF338" s="1"/>
      <c r="TCG338" s="1"/>
      <c r="TCH338" s="1"/>
      <c r="TCI338" s="1"/>
      <c r="TCJ338" s="1"/>
      <c r="TCK338" s="1"/>
      <c r="TCL338" s="1"/>
      <c r="TCM338" s="1"/>
      <c r="TCN338" s="1"/>
      <c r="TCO338" s="1"/>
      <c r="TCP338" s="1"/>
      <c r="TCQ338" s="1"/>
      <c r="TCR338" s="1"/>
      <c r="TCS338" s="1"/>
      <c r="TCT338" s="1"/>
      <c r="TCU338" s="1"/>
      <c r="TCV338" s="1"/>
      <c r="TCW338" s="1"/>
      <c r="TCX338" s="1"/>
      <c r="TCY338" s="1"/>
      <c r="TCZ338" s="1"/>
      <c r="TDA338" s="1"/>
      <c r="TDB338" s="1"/>
      <c r="TDC338" s="1"/>
      <c r="TDD338" s="1"/>
      <c r="TDE338" s="1"/>
      <c r="TDF338" s="1"/>
      <c r="TDG338" s="1"/>
      <c r="TDH338" s="1"/>
      <c r="TDI338" s="1"/>
      <c r="TDJ338" s="1"/>
      <c r="TDK338" s="1"/>
      <c r="TDL338" s="1"/>
      <c r="TDM338" s="1"/>
      <c r="TDN338" s="1"/>
      <c r="TDO338" s="1"/>
      <c r="TDP338" s="1"/>
      <c r="TDQ338" s="1"/>
      <c r="TDR338" s="1"/>
      <c r="TDS338" s="1"/>
      <c r="TDT338" s="1"/>
      <c r="TDU338" s="1"/>
      <c r="TDV338" s="1"/>
      <c r="TDW338" s="1"/>
      <c r="TDX338" s="1"/>
      <c r="TDY338" s="1"/>
      <c r="TDZ338" s="1"/>
      <c r="TEA338" s="1"/>
      <c r="TEB338" s="1"/>
      <c r="TEC338" s="1"/>
      <c r="TED338" s="1"/>
      <c r="TEE338" s="1"/>
      <c r="TEF338" s="1"/>
      <c r="TEG338" s="1"/>
      <c r="TEH338" s="1"/>
      <c r="TEI338" s="1"/>
      <c r="TEJ338" s="1"/>
      <c r="TEK338" s="1"/>
      <c r="TEL338" s="1"/>
      <c r="TEM338" s="1"/>
      <c r="TEN338" s="1"/>
      <c r="TEO338" s="1"/>
      <c r="TEP338" s="1"/>
      <c r="TEQ338" s="1"/>
      <c r="TER338" s="1"/>
      <c r="TES338" s="1"/>
      <c r="TET338" s="1"/>
      <c r="TEU338" s="1"/>
      <c r="TEV338" s="1"/>
      <c r="TEW338" s="1"/>
      <c r="TEX338" s="1"/>
      <c r="TEY338" s="1"/>
      <c r="TEZ338" s="1"/>
      <c r="TFA338" s="1"/>
      <c r="TFB338" s="1"/>
      <c r="TFC338" s="1"/>
      <c r="TFD338" s="1"/>
      <c r="TFE338" s="1"/>
      <c r="TFF338" s="1"/>
      <c r="TFG338" s="1"/>
      <c r="TFH338" s="1"/>
      <c r="TFI338" s="1"/>
      <c r="TFJ338" s="1"/>
      <c r="TFK338" s="1"/>
      <c r="TFL338" s="1"/>
      <c r="TFM338" s="1"/>
      <c r="TFN338" s="1"/>
      <c r="TFO338" s="1"/>
      <c r="TFP338" s="1"/>
      <c r="TFQ338" s="1"/>
      <c r="TFR338" s="1"/>
      <c r="TFS338" s="1"/>
      <c r="TFT338" s="1"/>
      <c r="TFU338" s="1"/>
      <c r="TFV338" s="1"/>
      <c r="TFW338" s="1"/>
      <c r="TFX338" s="1"/>
      <c r="TFY338" s="1"/>
      <c r="TFZ338" s="1"/>
      <c r="TGA338" s="1"/>
      <c r="TGB338" s="1"/>
      <c r="TGC338" s="1"/>
      <c r="TGD338" s="1"/>
      <c r="TGE338" s="1"/>
      <c r="TGF338" s="1"/>
      <c r="TGG338" s="1"/>
      <c r="TGH338" s="1"/>
      <c r="TGI338" s="1"/>
      <c r="TGJ338" s="1"/>
      <c r="TGK338" s="1"/>
      <c r="TGL338" s="1"/>
      <c r="TGM338" s="1"/>
      <c r="TGN338" s="1"/>
      <c r="TGO338" s="1"/>
      <c r="TGP338" s="1"/>
      <c r="TGQ338" s="1"/>
      <c r="TGR338" s="1"/>
      <c r="TGS338" s="1"/>
      <c r="TGT338" s="1"/>
      <c r="TGU338" s="1"/>
      <c r="TGV338" s="1"/>
      <c r="TGW338" s="1"/>
      <c r="TGX338" s="1"/>
      <c r="TGY338" s="1"/>
      <c r="TGZ338" s="1"/>
      <c r="THA338" s="1"/>
      <c r="THB338" s="1"/>
      <c r="THC338" s="1"/>
      <c r="THD338" s="1"/>
      <c r="THE338" s="1"/>
      <c r="THF338" s="1"/>
      <c r="THG338" s="1"/>
      <c r="THH338" s="1"/>
      <c r="THI338" s="1"/>
      <c r="THJ338" s="1"/>
      <c r="THK338" s="1"/>
      <c r="THL338" s="1"/>
      <c r="THM338" s="1"/>
      <c r="THN338" s="1"/>
      <c r="THO338" s="1"/>
      <c r="THP338" s="1"/>
      <c r="THQ338" s="1"/>
      <c r="THR338" s="1"/>
      <c r="THS338" s="1"/>
      <c r="THT338" s="1"/>
      <c r="THU338" s="1"/>
      <c r="THV338" s="1"/>
      <c r="THW338" s="1"/>
      <c r="THX338" s="1"/>
      <c r="THY338" s="1"/>
      <c r="THZ338" s="1"/>
      <c r="TIA338" s="1"/>
      <c r="TIB338" s="1"/>
      <c r="TIC338" s="1"/>
      <c r="TID338" s="1"/>
      <c r="TIE338" s="1"/>
      <c r="TIF338" s="1"/>
      <c r="TIG338" s="1"/>
      <c r="TIH338" s="1"/>
      <c r="TII338" s="1"/>
      <c r="TIJ338" s="1"/>
      <c r="TIK338" s="1"/>
      <c r="TIL338" s="1"/>
      <c r="TIM338" s="1"/>
      <c r="TIN338" s="1"/>
      <c r="TIO338" s="1"/>
      <c r="TIP338" s="1"/>
      <c r="TIQ338" s="1"/>
      <c r="TIR338" s="1"/>
      <c r="TIS338" s="1"/>
      <c r="TIT338" s="1"/>
      <c r="TIU338" s="1"/>
      <c r="TIV338" s="1"/>
      <c r="TIW338" s="1"/>
      <c r="TIX338" s="1"/>
      <c r="TIY338" s="1"/>
      <c r="TIZ338" s="1"/>
      <c r="TJA338" s="1"/>
      <c r="TJB338" s="1"/>
      <c r="TJC338" s="1"/>
      <c r="TJD338" s="1"/>
      <c r="TJE338" s="1"/>
      <c r="TJF338" s="1"/>
      <c r="TJG338" s="1"/>
      <c r="TJH338" s="1"/>
      <c r="TJI338" s="1"/>
      <c r="TJJ338" s="1"/>
      <c r="TJK338" s="1"/>
      <c r="TJL338" s="1"/>
      <c r="TJM338" s="1"/>
      <c r="TJN338" s="1"/>
      <c r="TJO338" s="1"/>
      <c r="TJP338" s="1"/>
      <c r="TJQ338" s="1"/>
      <c r="TJR338" s="1"/>
      <c r="TJS338" s="1"/>
      <c r="TJT338" s="1"/>
      <c r="TJU338" s="1"/>
      <c r="TJV338" s="1"/>
      <c r="TJW338" s="1"/>
      <c r="TJX338" s="1"/>
      <c r="TJY338" s="1"/>
      <c r="TJZ338" s="1"/>
      <c r="TKA338" s="1"/>
      <c r="TKB338" s="1"/>
      <c r="TKC338" s="1"/>
      <c r="TKD338" s="1"/>
      <c r="TKE338" s="1"/>
      <c r="TKF338" s="1"/>
      <c r="TKG338" s="1"/>
      <c r="TKH338" s="1"/>
      <c r="TKI338" s="1"/>
      <c r="TKJ338" s="1"/>
      <c r="TKK338" s="1"/>
      <c r="TKL338" s="1"/>
      <c r="TKM338" s="1"/>
      <c r="TKN338" s="1"/>
      <c r="TKO338" s="1"/>
      <c r="TKP338" s="1"/>
      <c r="TKQ338" s="1"/>
      <c r="TKR338" s="1"/>
      <c r="TKS338" s="1"/>
      <c r="TKT338" s="1"/>
      <c r="TKU338" s="1"/>
      <c r="TKV338" s="1"/>
      <c r="TKW338" s="1"/>
      <c r="TKX338" s="1"/>
      <c r="TKY338" s="1"/>
      <c r="TKZ338" s="1"/>
      <c r="TLA338" s="1"/>
      <c r="TLB338" s="1"/>
      <c r="TLC338" s="1"/>
      <c r="TLD338" s="1"/>
      <c r="TLE338" s="1"/>
      <c r="TLF338" s="1"/>
      <c r="TLG338" s="1"/>
      <c r="TLH338" s="1"/>
      <c r="TLI338" s="1"/>
      <c r="TLJ338" s="1"/>
      <c r="TLK338" s="1"/>
      <c r="TLL338" s="1"/>
      <c r="TLM338" s="1"/>
      <c r="TLN338" s="1"/>
      <c r="TLO338" s="1"/>
      <c r="TLP338" s="1"/>
      <c r="TLQ338" s="1"/>
      <c r="TLR338" s="1"/>
      <c r="TLS338" s="1"/>
      <c r="TLT338" s="1"/>
      <c r="TLU338" s="1"/>
      <c r="TLV338" s="1"/>
      <c r="TLW338" s="1"/>
      <c r="TLX338" s="1"/>
      <c r="TLY338" s="1"/>
      <c r="TLZ338" s="1"/>
      <c r="TMA338" s="1"/>
      <c r="TMB338" s="1"/>
      <c r="TMC338" s="1"/>
      <c r="TMD338" s="1"/>
      <c r="TME338" s="1"/>
      <c r="TMF338" s="1"/>
      <c r="TMG338" s="1"/>
      <c r="TMH338" s="1"/>
      <c r="TMI338" s="1"/>
      <c r="TMJ338" s="1"/>
      <c r="TMK338" s="1"/>
      <c r="TML338" s="1"/>
      <c r="TMM338" s="1"/>
      <c r="TMN338" s="1"/>
      <c r="TMO338" s="1"/>
      <c r="TMP338" s="1"/>
      <c r="TMQ338" s="1"/>
      <c r="TMR338" s="1"/>
      <c r="TMS338" s="1"/>
      <c r="TMT338" s="1"/>
      <c r="TMU338" s="1"/>
      <c r="TMV338" s="1"/>
      <c r="TMW338" s="1"/>
      <c r="TMX338" s="1"/>
      <c r="TMY338" s="1"/>
      <c r="TMZ338" s="1"/>
      <c r="TNA338" s="1"/>
      <c r="TNB338" s="1"/>
      <c r="TNC338" s="1"/>
      <c r="TND338" s="1"/>
      <c r="TNE338" s="1"/>
      <c r="TNF338" s="1"/>
      <c r="TNG338" s="1"/>
      <c r="TNH338" s="1"/>
      <c r="TNI338" s="1"/>
      <c r="TNJ338" s="1"/>
      <c r="TNK338" s="1"/>
      <c r="TNL338" s="1"/>
      <c r="TNM338" s="1"/>
      <c r="TNN338" s="1"/>
      <c r="TNO338" s="1"/>
      <c r="TNP338" s="1"/>
      <c r="TNQ338" s="1"/>
      <c r="TNR338" s="1"/>
      <c r="TNS338" s="1"/>
      <c r="TNT338" s="1"/>
      <c r="TNU338" s="1"/>
      <c r="TNV338" s="1"/>
      <c r="TNW338" s="1"/>
      <c r="TNX338" s="1"/>
      <c r="TNY338" s="1"/>
      <c r="TNZ338" s="1"/>
      <c r="TOA338" s="1"/>
      <c r="TOB338" s="1"/>
      <c r="TOC338" s="1"/>
      <c r="TOD338" s="1"/>
      <c r="TOE338" s="1"/>
      <c r="TOF338" s="1"/>
      <c r="TOG338" s="1"/>
      <c r="TOH338" s="1"/>
      <c r="TOI338" s="1"/>
      <c r="TOJ338" s="1"/>
      <c r="TOK338" s="1"/>
      <c r="TOL338" s="1"/>
      <c r="TOM338" s="1"/>
      <c r="TON338" s="1"/>
      <c r="TOO338" s="1"/>
      <c r="TOP338" s="1"/>
      <c r="TOQ338" s="1"/>
      <c r="TOR338" s="1"/>
      <c r="TOS338" s="1"/>
      <c r="TOT338" s="1"/>
      <c r="TOU338" s="1"/>
      <c r="TOV338" s="1"/>
      <c r="TOW338" s="1"/>
      <c r="TOX338" s="1"/>
      <c r="TOY338" s="1"/>
      <c r="TOZ338" s="1"/>
      <c r="TPA338" s="1"/>
      <c r="TPB338" s="1"/>
      <c r="TPC338" s="1"/>
      <c r="TPD338" s="1"/>
      <c r="TPE338" s="1"/>
      <c r="TPF338" s="1"/>
      <c r="TPG338" s="1"/>
      <c r="TPH338" s="1"/>
      <c r="TPI338" s="1"/>
      <c r="TPJ338" s="1"/>
      <c r="TPK338" s="1"/>
      <c r="TPL338" s="1"/>
      <c r="TPM338" s="1"/>
      <c r="TPN338" s="1"/>
      <c r="TPO338" s="1"/>
      <c r="TPP338" s="1"/>
      <c r="TPQ338" s="1"/>
      <c r="TPR338" s="1"/>
      <c r="TPS338" s="1"/>
      <c r="TPT338" s="1"/>
      <c r="TPU338" s="1"/>
      <c r="TPV338" s="1"/>
      <c r="TPW338" s="1"/>
      <c r="TPX338" s="1"/>
      <c r="TPY338" s="1"/>
      <c r="TPZ338" s="1"/>
      <c r="TQA338" s="1"/>
      <c r="TQB338" s="1"/>
      <c r="TQC338" s="1"/>
      <c r="TQD338" s="1"/>
      <c r="TQE338" s="1"/>
      <c r="TQF338" s="1"/>
      <c r="TQG338" s="1"/>
      <c r="TQH338" s="1"/>
      <c r="TQI338" s="1"/>
      <c r="TQJ338" s="1"/>
      <c r="TQK338" s="1"/>
      <c r="TQL338" s="1"/>
      <c r="TQM338" s="1"/>
      <c r="TQN338" s="1"/>
      <c r="TQO338" s="1"/>
      <c r="TQP338" s="1"/>
      <c r="TQQ338" s="1"/>
      <c r="TQR338" s="1"/>
      <c r="TQS338" s="1"/>
      <c r="TQT338" s="1"/>
      <c r="TQU338" s="1"/>
      <c r="TQV338" s="1"/>
      <c r="TQW338" s="1"/>
      <c r="TQX338" s="1"/>
      <c r="TQY338" s="1"/>
      <c r="TQZ338" s="1"/>
      <c r="TRA338" s="1"/>
      <c r="TRB338" s="1"/>
      <c r="TRC338" s="1"/>
      <c r="TRD338" s="1"/>
      <c r="TRE338" s="1"/>
      <c r="TRF338" s="1"/>
      <c r="TRG338" s="1"/>
      <c r="TRH338" s="1"/>
      <c r="TRI338" s="1"/>
      <c r="TRJ338" s="1"/>
      <c r="TRK338" s="1"/>
      <c r="TRL338" s="1"/>
      <c r="TRM338" s="1"/>
      <c r="TRN338" s="1"/>
      <c r="TRO338" s="1"/>
      <c r="TRP338" s="1"/>
      <c r="TRQ338" s="1"/>
      <c r="TRR338" s="1"/>
      <c r="TRS338" s="1"/>
      <c r="TRT338" s="1"/>
      <c r="TRU338" s="1"/>
      <c r="TRV338" s="1"/>
      <c r="TRW338" s="1"/>
      <c r="TRX338" s="1"/>
      <c r="TRY338" s="1"/>
      <c r="TRZ338" s="1"/>
      <c r="TSA338" s="1"/>
      <c r="TSB338" s="1"/>
      <c r="TSC338" s="1"/>
      <c r="TSD338" s="1"/>
      <c r="TSE338" s="1"/>
      <c r="TSF338" s="1"/>
      <c r="TSG338" s="1"/>
      <c r="TSH338" s="1"/>
      <c r="TSI338" s="1"/>
      <c r="TSJ338" s="1"/>
      <c r="TSK338" s="1"/>
      <c r="TSL338" s="1"/>
      <c r="TSM338" s="1"/>
      <c r="TSN338" s="1"/>
      <c r="TSO338" s="1"/>
      <c r="TSP338" s="1"/>
      <c r="TSQ338" s="1"/>
      <c r="TSR338" s="1"/>
      <c r="TSS338" s="1"/>
      <c r="TST338" s="1"/>
      <c r="TSU338" s="1"/>
      <c r="TSV338" s="1"/>
      <c r="TSW338" s="1"/>
      <c r="TSX338" s="1"/>
      <c r="TSY338" s="1"/>
      <c r="TSZ338" s="1"/>
      <c r="TTA338" s="1"/>
      <c r="TTB338" s="1"/>
      <c r="TTC338" s="1"/>
      <c r="TTD338" s="1"/>
      <c r="TTE338" s="1"/>
      <c r="TTF338" s="1"/>
      <c r="TTG338" s="1"/>
      <c r="TTH338" s="1"/>
      <c r="TTI338" s="1"/>
      <c r="TTJ338" s="1"/>
      <c r="TTK338" s="1"/>
      <c r="TTL338" s="1"/>
      <c r="TTM338" s="1"/>
      <c r="TTN338" s="1"/>
      <c r="TTO338" s="1"/>
      <c r="TTP338" s="1"/>
      <c r="TTQ338" s="1"/>
      <c r="TTR338" s="1"/>
      <c r="TTS338" s="1"/>
      <c r="TTT338" s="1"/>
      <c r="TTU338" s="1"/>
      <c r="TTV338" s="1"/>
      <c r="TTW338" s="1"/>
      <c r="TTX338" s="1"/>
      <c r="TTY338" s="1"/>
      <c r="TTZ338" s="1"/>
      <c r="TUA338" s="1"/>
      <c r="TUB338" s="1"/>
      <c r="TUC338" s="1"/>
      <c r="TUD338" s="1"/>
      <c r="TUE338" s="1"/>
      <c r="TUF338" s="1"/>
      <c r="TUG338" s="1"/>
      <c r="TUH338" s="1"/>
      <c r="TUI338" s="1"/>
      <c r="TUJ338" s="1"/>
      <c r="TUK338" s="1"/>
      <c r="TUL338" s="1"/>
      <c r="TUM338" s="1"/>
      <c r="TUN338" s="1"/>
      <c r="TUO338" s="1"/>
      <c r="TUP338" s="1"/>
      <c r="TUQ338" s="1"/>
      <c r="TUR338" s="1"/>
      <c r="TUS338" s="1"/>
      <c r="TUT338" s="1"/>
      <c r="TUU338" s="1"/>
      <c r="TUV338" s="1"/>
      <c r="TUW338" s="1"/>
      <c r="TUX338" s="1"/>
      <c r="TUY338" s="1"/>
      <c r="TUZ338" s="1"/>
      <c r="TVA338" s="1"/>
      <c r="TVB338" s="1"/>
      <c r="TVC338" s="1"/>
      <c r="TVD338" s="1"/>
      <c r="TVE338" s="1"/>
      <c r="TVF338" s="1"/>
      <c r="TVG338" s="1"/>
      <c r="TVH338" s="1"/>
      <c r="TVI338" s="1"/>
      <c r="TVJ338" s="1"/>
      <c r="TVK338" s="1"/>
      <c r="TVL338" s="1"/>
      <c r="TVM338" s="1"/>
      <c r="TVN338" s="1"/>
      <c r="TVO338" s="1"/>
      <c r="TVP338" s="1"/>
      <c r="TVQ338" s="1"/>
      <c r="TVR338" s="1"/>
      <c r="TVS338" s="1"/>
      <c r="TVT338" s="1"/>
      <c r="TVU338" s="1"/>
      <c r="TVV338" s="1"/>
      <c r="TVW338" s="1"/>
      <c r="TVX338" s="1"/>
      <c r="TVY338" s="1"/>
      <c r="TVZ338" s="1"/>
      <c r="TWA338" s="1"/>
      <c r="TWB338" s="1"/>
      <c r="TWC338" s="1"/>
      <c r="TWD338" s="1"/>
      <c r="TWE338" s="1"/>
      <c r="TWF338" s="1"/>
      <c r="TWG338" s="1"/>
      <c r="TWH338" s="1"/>
      <c r="TWI338" s="1"/>
      <c r="TWJ338" s="1"/>
      <c r="TWK338" s="1"/>
      <c r="TWL338" s="1"/>
      <c r="TWM338" s="1"/>
      <c r="TWN338" s="1"/>
      <c r="TWO338" s="1"/>
      <c r="TWP338" s="1"/>
      <c r="TWQ338" s="1"/>
      <c r="TWR338" s="1"/>
      <c r="TWS338" s="1"/>
      <c r="TWT338" s="1"/>
      <c r="TWU338" s="1"/>
      <c r="TWV338" s="1"/>
      <c r="TWW338" s="1"/>
      <c r="TWX338" s="1"/>
      <c r="TWY338" s="1"/>
      <c r="TWZ338" s="1"/>
      <c r="TXA338" s="1"/>
      <c r="TXB338" s="1"/>
      <c r="TXC338" s="1"/>
      <c r="TXD338" s="1"/>
      <c r="TXE338" s="1"/>
      <c r="TXF338" s="1"/>
      <c r="TXG338" s="1"/>
      <c r="TXH338" s="1"/>
      <c r="TXI338" s="1"/>
      <c r="TXJ338" s="1"/>
      <c r="TXK338" s="1"/>
      <c r="TXL338" s="1"/>
      <c r="TXM338" s="1"/>
      <c r="TXN338" s="1"/>
      <c r="TXO338" s="1"/>
      <c r="TXP338" s="1"/>
      <c r="TXQ338" s="1"/>
      <c r="TXR338" s="1"/>
      <c r="TXS338" s="1"/>
      <c r="TXT338" s="1"/>
      <c r="TXU338" s="1"/>
      <c r="TXV338" s="1"/>
      <c r="TXW338" s="1"/>
      <c r="TXX338" s="1"/>
      <c r="TXY338" s="1"/>
      <c r="TXZ338" s="1"/>
      <c r="TYA338" s="1"/>
      <c r="TYB338" s="1"/>
      <c r="TYC338" s="1"/>
      <c r="TYD338" s="1"/>
      <c r="TYE338" s="1"/>
      <c r="TYF338" s="1"/>
      <c r="TYG338" s="1"/>
      <c r="TYH338" s="1"/>
      <c r="TYI338" s="1"/>
      <c r="TYJ338" s="1"/>
      <c r="TYK338" s="1"/>
      <c r="TYL338" s="1"/>
      <c r="TYM338" s="1"/>
      <c r="TYN338" s="1"/>
      <c r="TYO338" s="1"/>
      <c r="TYP338" s="1"/>
      <c r="TYQ338" s="1"/>
      <c r="TYR338" s="1"/>
      <c r="TYS338" s="1"/>
      <c r="TYT338" s="1"/>
      <c r="TYU338" s="1"/>
      <c r="TYV338" s="1"/>
      <c r="TYW338" s="1"/>
      <c r="TYX338" s="1"/>
      <c r="TYY338" s="1"/>
      <c r="TYZ338" s="1"/>
      <c r="TZA338" s="1"/>
      <c r="TZB338" s="1"/>
      <c r="TZC338" s="1"/>
      <c r="TZD338" s="1"/>
      <c r="TZE338" s="1"/>
      <c r="TZF338" s="1"/>
      <c r="TZG338" s="1"/>
      <c r="TZH338" s="1"/>
      <c r="TZI338" s="1"/>
      <c r="TZJ338" s="1"/>
      <c r="TZK338" s="1"/>
      <c r="TZL338" s="1"/>
      <c r="TZM338" s="1"/>
      <c r="TZN338" s="1"/>
      <c r="TZO338" s="1"/>
      <c r="TZP338" s="1"/>
      <c r="TZQ338" s="1"/>
      <c r="TZR338" s="1"/>
      <c r="TZS338" s="1"/>
      <c r="TZT338" s="1"/>
      <c r="TZU338" s="1"/>
      <c r="TZV338" s="1"/>
      <c r="TZW338" s="1"/>
      <c r="TZX338" s="1"/>
      <c r="TZY338" s="1"/>
      <c r="TZZ338" s="1"/>
      <c r="UAA338" s="1"/>
      <c r="UAB338" s="1"/>
      <c r="UAC338" s="1"/>
      <c r="UAD338" s="1"/>
      <c r="UAE338" s="1"/>
      <c r="UAF338" s="1"/>
      <c r="UAG338" s="1"/>
      <c r="UAH338" s="1"/>
      <c r="UAI338" s="1"/>
      <c r="UAJ338" s="1"/>
      <c r="UAK338" s="1"/>
      <c r="UAL338" s="1"/>
      <c r="UAM338" s="1"/>
      <c r="UAN338" s="1"/>
      <c r="UAO338" s="1"/>
      <c r="UAP338" s="1"/>
      <c r="UAQ338" s="1"/>
      <c r="UAR338" s="1"/>
      <c r="UAS338" s="1"/>
      <c r="UAT338" s="1"/>
      <c r="UAU338" s="1"/>
      <c r="UAV338" s="1"/>
      <c r="UAW338" s="1"/>
      <c r="UAX338" s="1"/>
      <c r="UAY338" s="1"/>
      <c r="UAZ338" s="1"/>
      <c r="UBA338" s="1"/>
      <c r="UBB338" s="1"/>
      <c r="UBC338" s="1"/>
      <c r="UBD338" s="1"/>
      <c r="UBE338" s="1"/>
      <c r="UBF338" s="1"/>
      <c r="UBG338" s="1"/>
      <c r="UBH338" s="1"/>
      <c r="UBI338" s="1"/>
      <c r="UBJ338" s="1"/>
      <c r="UBK338" s="1"/>
      <c r="UBL338" s="1"/>
      <c r="UBM338" s="1"/>
      <c r="UBN338" s="1"/>
      <c r="UBO338" s="1"/>
      <c r="UBP338" s="1"/>
      <c r="UBQ338" s="1"/>
      <c r="UBR338" s="1"/>
      <c r="UBS338" s="1"/>
      <c r="UBT338" s="1"/>
      <c r="UBU338" s="1"/>
      <c r="UBV338" s="1"/>
      <c r="UBW338" s="1"/>
      <c r="UBX338" s="1"/>
      <c r="UBY338" s="1"/>
      <c r="UBZ338" s="1"/>
      <c r="UCA338" s="1"/>
      <c r="UCB338" s="1"/>
      <c r="UCC338" s="1"/>
      <c r="UCD338" s="1"/>
      <c r="UCE338" s="1"/>
      <c r="UCF338" s="1"/>
      <c r="UCG338" s="1"/>
      <c r="UCH338" s="1"/>
      <c r="UCI338" s="1"/>
      <c r="UCJ338" s="1"/>
      <c r="UCK338" s="1"/>
      <c r="UCL338" s="1"/>
      <c r="UCM338" s="1"/>
      <c r="UCN338" s="1"/>
      <c r="UCO338" s="1"/>
      <c r="UCP338" s="1"/>
      <c r="UCQ338" s="1"/>
      <c r="UCR338" s="1"/>
      <c r="UCS338" s="1"/>
      <c r="UCT338" s="1"/>
      <c r="UCU338" s="1"/>
      <c r="UCV338" s="1"/>
      <c r="UCW338" s="1"/>
      <c r="UCX338" s="1"/>
      <c r="UCY338" s="1"/>
      <c r="UCZ338" s="1"/>
      <c r="UDA338" s="1"/>
      <c r="UDB338" s="1"/>
      <c r="UDC338" s="1"/>
      <c r="UDD338" s="1"/>
      <c r="UDE338" s="1"/>
      <c r="UDF338" s="1"/>
      <c r="UDG338" s="1"/>
      <c r="UDH338" s="1"/>
      <c r="UDI338" s="1"/>
      <c r="UDJ338" s="1"/>
      <c r="UDK338" s="1"/>
      <c r="UDL338" s="1"/>
      <c r="UDM338" s="1"/>
      <c r="UDN338" s="1"/>
      <c r="UDO338" s="1"/>
      <c r="UDP338" s="1"/>
      <c r="UDQ338" s="1"/>
      <c r="UDR338" s="1"/>
      <c r="UDS338" s="1"/>
      <c r="UDT338" s="1"/>
      <c r="UDU338" s="1"/>
      <c r="UDV338" s="1"/>
      <c r="UDW338" s="1"/>
      <c r="UDX338" s="1"/>
      <c r="UDY338" s="1"/>
      <c r="UDZ338" s="1"/>
      <c r="UEA338" s="1"/>
      <c r="UEB338" s="1"/>
      <c r="UEC338" s="1"/>
      <c r="UED338" s="1"/>
      <c r="UEE338" s="1"/>
      <c r="UEF338" s="1"/>
      <c r="UEG338" s="1"/>
      <c r="UEH338" s="1"/>
      <c r="UEI338" s="1"/>
      <c r="UEJ338" s="1"/>
      <c r="UEK338" s="1"/>
      <c r="UEL338" s="1"/>
      <c r="UEM338" s="1"/>
      <c r="UEN338" s="1"/>
      <c r="UEO338" s="1"/>
      <c r="UEP338" s="1"/>
      <c r="UEQ338" s="1"/>
      <c r="UER338" s="1"/>
      <c r="UES338" s="1"/>
      <c r="UET338" s="1"/>
      <c r="UEU338" s="1"/>
      <c r="UEV338" s="1"/>
      <c r="UEW338" s="1"/>
      <c r="UEX338" s="1"/>
      <c r="UEY338" s="1"/>
      <c r="UEZ338" s="1"/>
      <c r="UFA338" s="1"/>
      <c r="UFB338" s="1"/>
      <c r="UFC338" s="1"/>
      <c r="UFD338" s="1"/>
      <c r="UFE338" s="1"/>
      <c r="UFF338" s="1"/>
      <c r="UFG338" s="1"/>
      <c r="UFH338" s="1"/>
      <c r="UFI338" s="1"/>
      <c r="UFJ338" s="1"/>
      <c r="UFK338" s="1"/>
      <c r="UFL338" s="1"/>
      <c r="UFM338" s="1"/>
      <c r="UFN338" s="1"/>
      <c r="UFO338" s="1"/>
      <c r="UFP338" s="1"/>
      <c r="UFQ338" s="1"/>
      <c r="UFR338" s="1"/>
      <c r="UFS338" s="1"/>
      <c r="UFT338" s="1"/>
      <c r="UFU338" s="1"/>
      <c r="UFV338" s="1"/>
      <c r="UFW338" s="1"/>
      <c r="UFX338" s="1"/>
      <c r="UFY338" s="1"/>
      <c r="UFZ338" s="1"/>
      <c r="UGA338" s="1"/>
      <c r="UGB338" s="1"/>
      <c r="UGC338" s="1"/>
      <c r="UGD338" s="1"/>
      <c r="UGE338" s="1"/>
      <c r="UGF338" s="1"/>
      <c r="UGG338" s="1"/>
      <c r="UGH338" s="1"/>
      <c r="UGI338" s="1"/>
      <c r="UGJ338" s="1"/>
      <c r="UGK338" s="1"/>
      <c r="UGL338" s="1"/>
      <c r="UGM338" s="1"/>
      <c r="UGN338" s="1"/>
      <c r="UGO338" s="1"/>
      <c r="UGP338" s="1"/>
      <c r="UGQ338" s="1"/>
      <c r="UGR338" s="1"/>
      <c r="UGS338" s="1"/>
      <c r="UGT338" s="1"/>
      <c r="UGU338" s="1"/>
      <c r="UGV338" s="1"/>
      <c r="UGW338" s="1"/>
      <c r="UGX338" s="1"/>
      <c r="UGY338" s="1"/>
      <c r="UGZ338" s="1"/>
      <c r="UHA338" s="1"/>
      <c r="UHB338" s="1"/>
      <c r="UHC338" s="1"/>
      <c r="UHD338" s="1"/>
      <c r="UHE338" s="1"/>
      <c r="UHF338" s="1"/>
      <c r="UHG338" s="1"/>
      <c r="UHH338" s="1"/>
      <c r="UHI338" s="1"/>
      <c r="UHJ338" s="1"/>
      <c r="UHK338" s="1"/>
      <c r="UHL338" s="1"/>
      <c r="UHM338" s="1"/>
      <c r="UHN338" s="1"/>
      <c r="UHO338" s="1"/>
      <c r="UHP338" s="1"/>
      <c r="UHQ338" s="1"/>
      <c r="UHR338" s="1"/>
      <c r="UHS338" s="1"/>
      <c r="UHT338" s="1"/>
      <c r="UHU338" s="1"/>
      <c r="UHV338" s="1"/>
      <c r="UHW338" s="1"/>
      <c r="UHX338" s="1"/>
      <c r="UHY338" s="1"/>
      <c r="UHZ338" s="1"/>
      <c r="UIA338" s="1"/>
      <c r="UIB338" s="1"/>
      <c r="UIC338" s="1"/>
      <c r="UID338" s="1"/>
      <c r="UIE338" s="1"/>
      <c r="UIF338" s="1"/>
      <c r="UIG338" s="1"/>
      <c r="UIH338" s="1"/>
      <c r="UII338" s="1"/>
      <c r="UIJ338" s="1"/>
      <c r="UIK338" s="1"/>
      <c r="UIL338" s="1"/>
      <c r="UIM338" s="1"/>
      <c r="UIN338" s="1"/>
      <c r="UIO338" s="1"/>
      <c r="UIP338" s="1"/>
      <c r="UIQ338" s="1"/>
      <c r="UIR338" s="1"/>
      <c r="UIS338" s="1"/>
      <c r="UIT338" s="1"/>
      <c r="UIU338" s="1"/>
      <c r="UIV338" s="1"/>
      <c r="UIW338" s="1"/>
      <c r="UIX338" s="1"/>
      <c r="UIY338" s="1"/>
      <c r="UIZ338" s="1"/>
      <c r="UJA338" s="1"/>
      <c r="UJB338" s="1"/>
      <c r="UJC338" s="1"/>
      <c r="UJD338" s="1"/>
      <c r="UJE338" s="1"/>
      <c r="UJF338" s="1"/>
      <c r="UJG338" s="1"/>
      <c r="UJH338" s="1"/>
      <c r="UJI338" s="1"/>
      <c r="UJJ338" s="1"/>
      <c r="UJK338" s="1"/>
      <c r="UJL338" s="1"/>
      <c r="UJM338" s="1"/>
      <c r="UJN338" s="1"/>
      <c r="UJO338" s="1"/>
      <c r="UJP338" s="1"/>
      <c r="UJQ338" s="1"/>
      <c r="UJR338" s="1"/>
      <c r="UJS338" s="1"/>
      <c r="UJT338" s="1"/>
      <c r="UJU338" s="1"/>
      <c r="UJV338" s="1"/>
      <c r="UJW338" s="1"/>
      <c r="UJX338" s="1"/>
      <c r="UJY338" s="1"/>
      <c r="UJZ338" s="1"/>
      <c r="UKA338" s="1"/>
      <c r="UKB338" s="1"/>
      <c r="UKC338" s="1"/>
      <c r="UKD338" s="1"/>
      <c r="UKE338" s="1"/>
      <c r="UKF338" s="1"/>
      <c r="UKG338" s="1"/>
      <c r="UKH338" s="1"/>
      <c r="UKI338" s="1"/>
      <c r="UKJ338" s="1"/>
      <c r="UKK338" s="1"/>
      <c r="UKL338" s="1"/>
      <c r="UKM338" s="1"/>
      <c r="UKN338" s="1"/>
      <c r="UKO338" s="1"/>
      <c r="UKP338" s="1"/>
      <c r="UKQ338" s="1"/>
      <c r="UKR338" s="1"/>
      <c r="UKS338" s="1"/>
      <c r="UKT338" s="1"/>
      <c r="UKU338" s="1"/>
      <c r="UKV338" s="1"/>
      <c r="UKW338" s="1"/>
      <c r="UKX338" s="1"/>
      <c r="UKY338" s="1"/>
      <c r="UKZ338" s="1"/>
      <c r="ULA338" s="1"/>
      <c r="ULB338" s="1"/>
      <c r="ULC338" s="1"/>
      <c r="ULD338" s="1"/>
      <c r="ULE338" s="1"/>
      <c r="ULF338" s="1"/>
      <c r="ULG338" s="1"/>
      <c r="ULH338" s="1"/>
      <c r="ULI338" s="1"/>
      <c r="ULJ338" s="1"/>
      <c r="ULK338" s="1"/>
      <c r="ULL338" s="1"/>
      <c r="ULM338" s="1"/>
      <c r="ULN338" s="1"/>
      <c r="ULO338" s="1"/>
      <c r="ULP338" s="1"/>
      <c r="ULQ338" s="1"/>
      <c r="ULR338" s="1"/>
      <c r="ULS338" s="1"/>
      <c r="ULT338" s="1"/>
      <c r="ULU338" s="1"/>
      <c r="ULV338" s="1"/>
      <c r="ULW338" s="1"/>
      <c r="ULX338" s="1"/>
      <c r="ULY338" s="1"/>
      <c r="ULZ338" s="1"/>
      <c r="UMA338" s="1"/>
      <c r="UMB338" s="1"/>
      <c r="UMC338" s="1"/>
      <c r="UMD338" s="1"/>
      <c r="UME338" s="1"/>
      <c r="UMF338" s="1"/>
      <c r="UMG338" s="1"/>
      <c r="UMH338" s="1"/>
      <c r="UMI338" s="1"/>
      <c r="UMJ338" s="1"/>
      <c r="UMK338" s="1"/>
      <c r="UML338" s="1"/>
      <c r="UMM338" s="1"/>
      <c r="UMN338" s="1"/>
      <c r="UMO338" s="1"/>
      <c r="UMP338" s="1"/>
      <c r="UMQ338" s="1"/>
      <c r="UMR338" s="1"/>
      <c r="UMS338" s="1"/>
      <c r="UMT338" s="1"/>
      <c r="UMU338" s="1"/>
      <c r="UMV338" s="1"/>
      <c r="UMW338" s="1"/>
      <c r="UMX338" s="1"/>
      <c r="UMY338" s="1"/>
      <c r="UMZ338" s="1"/>
      <c r="UNA338" s="1"/>
      <c r="UNB338" s="1"/>
      <c r="UNC338" s="1"/>
      <c r="UND338" s="1"/>
      <c r="UNE338" s="1"/>
      <c r="UNF338" s="1"/>
      <c r="UNG338" s="1"/>
      <c r="UNH338" s="1"/>
      <c r="UNI338" s="1"/>
      <c r="UNJ338" s="1"/>
      <c r="UNK338" s="1"/>
      <c r="UNL338" s="1"/>
      <c r="UNM338" s="1"/>
      <c r="UNN338" s="1"/>
      <c r="UNO338" s="1"/>
      <c r="UNP338" s="1"/>
      <c r="UNQ338" s="1"/>
      <c r="UNR338" s="1"/>
      <c r="UNS338" s="1"/>
      <c r="UNT338" s="1"/>
      <c r="UNU338" s="1"/>
      <c r="UNV338" s="1"/>
      <c r="UNW338" s="1"/>
      <c r="UNX338" s="1"/>
      <c r="UNY338" s="1"/>
      <c r="UNZ338" s="1"/>
      <c r="UOA338" s="1"/>
      <c r="UOB338" s="1"/>
      <c r="UOC338" s="1"/>
      <c r="UOD338" s="1"/>
      <c r="UOE338" s="1"/>
      <c r="UOF338" s="1"/>
      <c r="UOG338" s="1"/>
      <c r="UOH338" s="1"/>
      <c r="UOI338" s="1"/>
      <c r="UOJ338" s="1"/>
      <c r="UOK338" s="1"/>
      <c r="UOL338" s="1"/>
      <c r="UOM338" s="1"/>
      <c r="UON338" s="1"/>
      <c r="UOO338" s="1"/>
      <c r="UOP338" s="1"/>
      <c r="UOQ338" s="1"/>
      <c r="UOR338" s="1"/>
      <c r="UOS338" s="1"/>
      <c r="UOT338" s="1"/>
      <c r="UOU338" s="1"/>
      <c r="UOV338" s="1"/>
      <c r="UOW338" s="1"/>
      <c r="UOX338" s="1"/>
      <c r="UOY338" s="1"/>
      <c r="UOZ338" s="1"/>
      <c r="UPA338" s="1"/>
      <c r="UPB338" s="1"/>
      <c r="UPC338" s="1"/>
      <c r="UPD338" s="1"/>
      <c r="UPE338" s="1"/>
      <c r="UPF338" s="1"/>
      <c r="UPG338" s="1"/>
      <c r="UPH338" s="1"/>
      <c r="UPI338" s="1"/>
      <c r="UPJ338" s="1"/>
      <c r="UPK338" s="1"/>
      <c r="UPL338" s="1"/>
      <c r="UPM338" s="1"/>
      <c r="UPN338" s="1"/>
      <c r="UPO338" s="1"/>
      <c r="UPP338" s="1"/>
      <c r="UPQ338" s="1"/>
      <c r="UPR338" s="1"/>
      <c r="UPS338" s="1"/>
      <c r="UPT338" s="1"/>
      <c r="UPU338" s="1"/>
      <c r="UPV338" s="1"/>
      <c r="UPW338" s="1"/>
      <c r="UPX338" s="1"/>
      <c r="UPY338" s="1"/>
      <c r="UPZ338" s="1"/>
      <c r="UQA338" s="1"/>
      <c r="UQB338" s="1"/>
      <c r="UQC338" s="1"/>
      <c r="UQD338" s="1"/>
      <c r="UQE338" s="1"/>
      <c r="UQF338" s="1"/>
      <c r="UQG338" s="1"/>
      <c r="UQH338" s="1"/>
      <c r="UQI338" s="1"/>
      <c r="UQJ338" s="1"/>
      <c r="UQK338" s="1"/>
      <c r="UQL338" s="1"/>
      <c r="UQM338" s="1"/>
      <c r="UQN338" s="1"/>
      <c r="UQO338" s="1"/>
      <c r="UQP338" s="1"/>
      <c r="UQQ338" s="1"/>
      <c r="UQR338" s="1"/>
      <c r="UQS338" s="1"/>
      <c r="UQT338" s="1"/>
      <c r="UQU338" s="1"/>
      <c r="UQV338" s="1"/>
      <c r="UQW338" s="1"/>
      <c r="UQX338" s="1"/>
      <c r="UQY338" s="1"/>
      <c r="UQZ338" s="1"/>
      <c r="URA338" s="1"/>
      <c r="URB338" s="1"/>
      <c r="URC338" s="1"/>
      <c r="URD338" s="1"/>
      <c r="URE338" s="1"/>
      <c r="URF338" s="1"/>
      <c r="URG338" s="1"/>
      <c r="URH338" s="1"/>
      <c r="URI338" s="1"/>
      <c r="URJ338" s="1"/>
      <c r="URK338" s="1"/>
      <c r="URL338" s="1"/>
      <c r="URM338" s="1"/>
      <c r="URN338" s="1"/>
      <c r="URO338" s="1"/>
      <c r="URP338" s="1"/>
      <c r="URQ338" s="1"/>
      <c r="URR338" s="1"/>
      <c r="URS338" s="1"/>
      <c r="URT338" s="1"/>
      <c r="URU338" s="1"/>
      <c r="URV338" s="1"/>
      <c r="URW338" s="1"/>
      <c r="URX338" s="1"/>
      <c r="URY338" s="1"/>
      <c r="URZ338" s="1"/>
      <c r="USA338" s="1"/>
      <c r="USB338" s="1"/>
      <c r="USC338" s="1"/>
      <c r="USD338" s="1"/>
      <c r="USE338" s="1"/>
      <c r="USF338" s="1"/>
      <c r="USG338" s="1"/>
      <c r="USH338" s="1"/>
      <c r="USI338" s="1"/>
      <c r="USJ338" s="1"/>
      <c r="USK338" s="1"/>
      <c r="USL338" s="1"/>
      <c r="USM338" s="1"/>
      <c r="USN338" s="1"/>
      <c r="USO338" s="1"/>
      <c r="USP338" s="1"/>
      <c r="USQ338" s="1"/>
      <c r="USR338" s="1"/>
      <c r="USS338" s="1"/>
      <c r="UST338" s="1"/>
      <c r="USU338" s="1"/>
      <c r="USV338" s="1"/>
      <c r="USW338" s="1"/>
      <c r="USX338" s="1"/>
      <c r="USY338" s="1"/>
      <c r="USZ338" s="1"/>
      <c r="UTA338" s="1"/>
      <c r="UTB338" s="1"/>
      <c r="UTC338" s="1"/>
      <c r="UTD338" s="1"/>
      <c r="UTE338" s="1"/>
      <c r="UTF338" s="1"/>
      <c r="UTG338" s="1"/>
      <c r="UTH338" s="1"/>
      <c r="UTI338" s="1"/>
      <c r="UTJ338" s="1"/>
      <c r="UTK338" s="1"/>
      <c r="UTL338" s="1"/>
      <c r="UTM338" s="1"/>
      <c r="UTN338" s="1"/>
      <c r="UTO338" s="1"/>
      <c r="UTP338" s="1"/>
      <c r="UTQ338" s="1"/>
      <c r="UTR338" s="1"/>
      <c r="UTS338" s="1"/>
      <c r="UTT338" s="1"/>
      <c r="UTU338" s="1"/>
      <c r="UTV338" s="1"/>
      <c r="UTW338" s="1"/>
      <c r="UTX338" s="1"/>
      <c r="UTY338" s="1"/>
      <c r="UTZ338" s="1"/>
      <c r="UUA338" s="1"/>
      <c r="UUB338" s="1"/>
      <c r="UUC338" s="1"/>
      <c r="UUD338" s="1"/>
      <c r="UUE338" s="1"/>
      <c r="UUF338" s="1"/>
      <c r="UUG338" s="1"/>
      <c r="UUH338" s="1"/>
      <c r="UUI338" s="1"/>
      <c r="UUJ338" s="1"/>
      <c r="UUK338" s="1"/>
      <c r="UUL338" s="1"/>
      <c r="UUM338" s="1"/>
      <c r="UUN338" s="1"/>
      <c r="UUO338" s="1"/>
      <c r="UUP338" s="1"/>
      <c r="UUQ338" s="1"/>
      <c r="UUR338" s="1"/>
      <c r="UUS338" s="1"/>
      <c r="UUT338" s="1"/>
      <c r="UUU338" s="1"/>
      <c r="UUV338" s="1"/>
      <c r="UUW338" s="1"/>
      <c r="UUX338" s="1"/>
      <c r="UUY338" s="1"/>
      <c r="UUZ338" s="1"/>
      <c r="UVA338" s="1"/>
      <c r="UVB338" s="1"/>
      <c r="UVC338" s="1"/>
      <c r="UVD338" s="1"/>
      <c r="UVE338" s="1"/>
      <c r="UVF338" s="1"/>
      <c r="UVG338" s="1"/>
      <c r="UVH338" s="1"/>
      <c r="UVI338" s="1"/>
      <c r="UVJ338" s="1"/>
      <c r="UVK338" s="1"/>
      <c r="UVL338" s="1"/>
      <c r="UVM338" s="1"/>
      <c r="UVN338" s="1"/>
      <c r="UVO338" s="1"/>
      <c r="UVP338" s="1"/>
      <c r="UVQ338" s="1"/>
      <c r="UVR338" s="1"/>
      <c r="UVS338" s="1"/>
      <c r="UVT338" s="1"/>
      <c r="UVU338" s="1"/>
      <c r="UVV338" s="1"/>
      <c r="UVW338" s="1"/>
      <c r="UVX338" s="1"/>
      <c r="UVY338" s="1"/>
      <c r="UVZ338" s="1"/>
      <c r="UWA338" s="1"/>
      <c r="UWB338" s="1"/>
      <c r="UWC338" s="1"/>
      <c r="UWD338" s="1"/>
      <c r="UWE338" s="1"/>
      <c r="UWF338" s="1"/>
      <c r="UWG338" s="1"/>
      <c r="UWH338" s="1"/>
      <c r="UWI338" s="1"/>
      <c r="UWJ338" s="1"/>
      <c r="UWK338" s="1"/>
      <c r="UWL338" s="1"/>
      <c r="UWM338" s="1"/>
      <c r="UWN338" s="1"/>
      <c r="UWO338" s="1"/>
      <c r="UWP338" s="1"/>
      <c r="UWQ338" s="1"/>
      <c r="UWR338" s="1"/>
      <c r="UWS338" s="1"/>
      <c r="UWT338" s="1"/>
      <c r="UWU338" s="1"/>
      <c r="UWV338" s="1"/>
      <c r="UWW338" s="1"/>
      <c r="UWX338" s="1"/>
      <c r="UWY338" s="1"/>
      <c r="UWZ338" s="1"/>
      <c r="UXA338" s="1"/>
      <c r="UXB338" s="1"/>
      <c r="UXC338" s="1"/>
      <c r="UXD338" s="1"/>
      <c r="UXE338" s="1"/>
      <c r="UXF338" s="1"/>
      <c r="UXG338" s="1"/>
      <c r="UXH338" s="1"/>
      <c r="UXI338" s="1"/>
      <c r="UXJ338" s="1"/>
      <c r="UXK338" s="1"/>
      <c r="UXL338" s="1"/>
      <c r="UXM338" s="1"/>
      <c r="UXN338" s="1"/>
      <c r="UXO338" s="1"/>
      <c r="UXP338" s="1"/>
      <c r="UXQ338" s="1"/>
      <c r="UXR338" s="1"/>
      <c r="UXS338" s="1"/>
      <c r="UXT338" s="1"/>
      <c r="UXU338" s="1"/>
      <c r="UXV338" s="1"/>
      <c r="UXW338" s="1"/>
      <c r="UXX338" s="1"/>
      <c r="UXY338" s="1"/>
      <c r="UXZ338" s="1"/>
      <c r="UYA338" s="1"/>
      <c r="UYB338" s="1"/>
      <c r="UYC338" s="1"/>
      <c r="UYD338" s="1"/>
      <c r="UYE338" s="1"/>
      <c r="UYF338" s="1"/>
      <c r="UYG338" s="1"/>
      <c r="UYH338" s="1"/>
      <c r="UYI338" s="1"/>
      <c r="UYJ338" s="1"/>
      <c r="UYK338" s="1"/>
      <c r="UYL338" s="1"/>
      <c r="UYM338" s="1"/>
      <c r="UYN338" s="1"/>
      <c r="UYO338" s="1"/>
      <c r="UYP338" s="1"/>
      <c r="UYQ338" s="1"/>
      <c r="UYR338" s="1"/>
      <c r="UYS338" s="1"/>
      <c r="UYT338" s="1"/>
      <c r="UYU338" s="1"/>
      <c r="UYV338" s="1"/>
      <c r="UYW338" s="1"/>
      <c r="UYX338" s="1"/>
      <c r="UYY338" s="1"/>
      <c r="UYZ338" s="1"/>
      <c r="UZA338" s="1"/>
      <c r="UZB338" s="1"/>
      <c r="UZC338" s="1"/>
      <c r="UZD338" s="1"/>
      <c r="UZE338" s="1"/>
      <c r="UZF338" s="1"/>
      <c r="UZG338" s="1"/>
      <c r="UZH338" s="1"/>
      <c r="UZI338" s="1"/>
      <c r="UZJ338" s="1"/>
      <c r="UZK338" s="1"/>
      <c r="UZL338" s="1"/>
      <c r="UZM338" s="1"/>
      <c r="UZN338" s="1"/>
      <c r="UZO338" s="1"/>
      <c r="UZP338" s="1"/>
      <c r="UZQ338" s="1"/>
      <c r="UZR338" s="1"/>
      <c r="UZS338" s="1"/>
      <c r="UZT338" s="1"/>
      <c r="UZU338" s="1"/>
      <c r="UZV338" s="1"/>
      <c r="UZW338" s="1"/>
      <c r="UZX338" s="1"/>
      <c r="UZY338" s="1"/>
      <c r="UZZ338" s="1"/>
      <c r="VAA338" s="1"/>
      <c r="VAB338" s="1"/>
      <c r="VAC338" s="1"/>
      <c r="VAD338" s="1"/>
      <c r="VAE338" s="1"/>
      <c r="VAF338" s="1"/>
      <c r="VAG338" s="1"/>
      <c r="VAH338" s="1"/>
      <c r="VAI338" s="1"/>
      <c r="VAJ338" s="1"/>
      <c r="VAK338" s="1"/>
      <c r="VAL338" s="1"/>
      <c r="VAM338" s="1"/>
      <c r="VAN338" s="1"/>
      <c r="VAO338" s="1"/>
      <c r="VAP338" s="1"/>
      <c r="VAQ338" s="1"/>
      <c r="VAR338" s="1"/>
      <c r="VAS338" s="1"/>
      <c r="VAT338" s="1"/>
      <c r="VAU338" s="1"/>
      <c r="VAV338" s="1"/>
      <c r="VAW338" s="1"/>
      <c r="VAX338" s="1"/>
      <c r="VAY338" s="1"/>
      <c r="VAZ338" s="1"/>
      <c r="VBA338" s="1"/>
      <c r="VBB338" s="1"/>
      <c r="VBC338" s="1"/>
      <c r="VBD338" s="1"/>
      <c r="VBE338" s="1"/>
      <c r="VBF338" s="1"/>
      <c r="VBG338" s="1"/>
      <c r="VBH338" s="1"/>
      <c r="VBI338" s="1"/>
      <c r="VBJ338" s="1"/>
      <c r="VBK338" s="1"/>
      <c r="VBL338" s="1"/>
      <c r="VBM338" s="1"/>
      <c r="VBN338" s="1"/>
      <c r="VBO338" s="1"/>
      <c r="VBP338" s="1"/>
      <c r="VBQ338" s="1"/>
      <c r="VBR338" s="1"/>
      <c r="VBS338" s="1"/>
      <c r="VBT338" s="1"/>
      <c r="VBU338" s="1"/>
      <c r="VBV338" s="1"/>
      <c r="VBW338" s="1"/>
      <c r="VBX338" s="1"/>
      <c r="VBY338" s="1"/>
      <c r="VBZ338" s="1"/>
      <c r="VCA338" s="1"/>
      <c r="VCB338" s="1"/>
      <c r="VCC338" s="1"/>
      <c r="VCD338" s="1"/>
      <c r="VCE338" s="1"/>
      <c r="VCF338" s="1"/>
      <c r="VCG338" s="1"/>
      <c r="VCH338" s="1"/>
      <c r="VCI338" s="1"/>
      <c r="VCJ338" s="1"/>
      <c r="VCK338" s="1"/>
      <c r="VCL338" s="1"/>
      <c r="VCM338" s="1"/>
      <c r="VCN338" s="1"/>
      <c r="VCO338" s="1"/>
      <c r="VCP338" s="1"/>
      <c r="VCQ338" s="1"/>
      <c r="VCR338" s="1"/>
      <c r="VCS338" s="1"/>
      <c r="VCT338" s="1"/>
      <c r="VCU338" s="1"/>
      <c r="VCV338" s="1"/>
      <c r="VCW338" s="1"/>
      <c r="VCX338" s="1"/>
      <c r="VCY338" s="1"/>
      <c r="VCZ338" s="1"/>
      <c r="VDA338" s="1"/>
      <c r="VDB338" s="1"/>
      <c r="VDC338" s="1"/>
      <c r="VDD338" s="1"/>
      <c r="VDE338" s="1"/>
      <c r="VDF338" s="1"/>
      <c r="VDG338" s="1"/>
      <c r="VDH338" s="1"/>
      <c r="VDI338" s="1"/>
      <c r="VDJ338" s="1"/>
      <c r="VDK338" s="1"/>
      <c r="VDL338" s="1"/>
      <c r="VDM338" s="1"/>
      <c r="VDN338" s="1"/>
      <c r="VDO338" s="1"/>
      <c r="VDP338" s="1"/>
      <c r="VDQ338" s="1"/>
      <c r="VDR338" s="1"/>
      <c r="VDS338" s="1"/>
      <c r="VDT338" s="1"/>
      <c r="VDU338" s="1"/>
      <c r="VDV338" s="1"/>
      <c r="VDW338" s="1"/>
      <c r="VDX338" s="1"/>
      <c r="VDY338" s="1"/>
      <c r="VDZ338" s="1"/>
      <c r="VEA338" s="1"/>
      <c r="VEB338" s="1"/>
      <c r="VEC338" s="1"/>
      <c r="VED338" s="1"/>
      <c r="VEE338" s="1"/>
      <c r="VEF338" s="1"/>
      <c r="VEG338" s="1"/>
      <c r="VEH338" s="1"/>
      <c r="VEI338" s="1"/>
      <c r="VEJ338" s="1"/>
      <c r="VEK338" s="1"/>
      <c r="VEL338" s="1"/>
      <c r="VEM338" s="1"/>
      <c r="VEN338" s="1"/>
      <c r="VEO338" s="1"/>
      <c r="VEP338" s="1"/>
      <c r="VEQ338" s="1"/>
      <c r="VER338" s="1"/>
      <c r="VES338" s="1"/>
      <c r="VET338" s="1"/>
      <c r="VEU338" s="1"/>
      <c r="VEV338" s="1"/>
      <c r="VEW338" s="1"/>
      <c r="VEX338" s="1"/>
      <c r="VEY338" s="1"/>
      <c r="VEZ338" s="1"/>
      <c r="VFA338" s="1"/>
      <c r="VFB338" s="1"/>
      <c r="VFC338" s="1"/>
      <c r="VFD338" s="1"/>
      <c r="VFE338" s="1"/>
      <c r="VFF338" s="1"/>
      <c r="VFG338" s="1"/>
      <c r="VFH338" s="1"/>
      <c r="VFI338" s="1"/>
      <c r="VFJ338" s="1"/>
      <c r="VFK338" s="1"/>
      <c r="VFL338" s="1"/>
      <c r="VFM338" s="1"/>
      <c r="VFN338" s="1"/>
      <c r="VFO338" s="1"/>
      <c r="VFP338" s="1"/>
      <c r="VFQ338" s="1"/>
      <c r="VFR338" s="1"/>
      <c r="VFS338" s="1"/>
      <c r="VFT338" s="1"/>
      <c r="VFU338" s="1"/>
      <c r="VFV338" s="1"/>
      <c r="VFW338" s="1"/>
      <c r="VFX338" s="1"/>
      <c r="VFY338" s="1"/>
      <c r="VFZ338" s="1"/>
      <c r="VGA338" s="1"/>
      <c r="VGB338" s="1"/>
      <c r="VGC338" s="1"/>
      <c r="VGD338" s="1"/>
      <c r="VGE338" s="1"/>
      <c r="VGF338" s="1"/>
      <c r="VGG338" s="1"/>
      <c r="VGH338" s="1"/>
      <c r="VGI338" s="1"/>
      <c r="VGJ338" s="1"/>
      <c r="VGK338" s="1"/>
      <c r="VGL338" s="1"/>
      <c r="VGM338" s="1"/>
      <c r="VGN338" s="1"/>
      <c r="VGO338" s="1"/>
      <c r="VGP338" s="1"/>
      <c r="VGQ338" s="1"/>
      <c r="VGR338" s="1"/>
      <c r="VGS338" s="1"/>
      <c r="VGT338" s="1"/>
      <c r="VGU338" s="1"/>
      <c r="VGV338" s="1"/>
      <c r="VGW338" s="1"/>
      <c r="VGX338" s="1"/>
      <c r="VGY338" s="1"/>
      <c r="VGZ338" s="1"/>
      <c r="VHA338" s="1"/>
      <c r="VHB338" s="1"/>
      <c r="VHC338" s="1"/>
      <c r="VHD338" s="1"/>
      <c r="VHE338" s="1"/>
      <c r="VHF338" s="1"/>
      <c r="VHG338" s="1"/>
      <c r="VHH338" s="1"/>
      <c r="VHI338" s="1"/>
      <c r="VHJ338" s="1"/>
      <c r="VHK338" s="1"/>
      <c r="VHL338" s="1"/>
      <c r="VHM338" s="1"/>
      <c r="VHN338" s="1"/>
      <c r="VHO338" s="1"/>
      <c r="VHP338" s="1"/>
      <c r="VHQ338" s="1"/>
      <c r="VHR338" s="1"/>
      <c r="VHS338" s="1"/>
      <c r="VHT338" s="1"/>
      <c r="VHU338" s="1"/>
      <c r="VHV338" s="1"/>
      <c r="VHW338" s="1"/>
      <c r="VHX338" s="1"/>
      <c r="VHY338" s="1"/>
      <c r="VHZ338" s="1"/>
      <c r="VIA338" s="1"/>
      <c r="VIB338" s="1"/>
      <c r="VIC338" s="1"/>
      <c r="VID338" s="1"/>
      <c r="VIE338" s="1"/>
      <c r="VIF338" s="1"/>
      <c r="VIG338" s="1"/>
      <c r="VIH338" s="1"/>
      <c r="VII338" s="1"/>
      <c r="VIJ338" s="1"/>
      <c r="VIK338" s="1"/>
      <c r="VIL338" s="1"/>
      <c r="VIM338" s="1"/>
      <c r="VIN338" s="1"/>
      <c r="VIO338" s="1"/>
      <c r="VIP338" s="1"/>
      <c r="VIQ338" s="1"/>
      <c r="VIR338" s="1"/>
      <c r="VIS338" s="1"/>
      <c r="VIT338" s="1"/>
      <c r="VIU338" s="1"/>
      <c r="VIV338" s="1"/>
      <c r="VIW338" s="1"/>
      <c r="VIX338" s="1"/>
      <c r="VIY338" s="1"/>
      <c r="VIZ338" s="1"/>
      <c r="VJA338" s="1"/>
      <c r="VJB338" s="1"/>
      <c r="VJC338" s="1"/>
      <c r="VJD338" s="1"/>
      <c r="VJE338" s="1"/>
      <c r="VJF338" s="1"/>
      <c r="VJG338" s="1"/>
      <c r="VJH338" s="1"/>
      <c r="VJI338" s="1"/>
      <c r="VJJ338" s="1"/>
      <c r="VJK338" s="1"/>
      <c r="VJL338" s="1"/>
      <c r="VJM338" s="1"/>
      <c r="VJN338" s="1"/>
      <c r="VJO338" s="1"/>
      <c r="VJP338" s="1"/>
      <c r="VJQ338" s="1"/>
      <c r="VJR338" s="1"/>
      <c r="VJS338" s="1"/>
      <c r="VJT338" s="1"/>
      <c r="VJU338" s="1"/>
      <c r="VJV338" s="1"/>
      <c r="VJW338" s="1"/>
      <c r="VJX338" s="1"/>
      <c r="VJY338" s="1"/>
      <c r="VJZ338" s="1"/>
      <c r="VKA338" s="1"/>
      <c r="VKB338" s="1"/>
      <c r="VKC338" s="1"/>
      <c r="VKD338" s="1"/>
      <c r="VKE338" s="1"/>
      <c r="VKF338" s="1"/>
      <c r="VKG338" s="1"/>
      <c r="VKH338" s="1"/>
      <c r="VKI338" s="1"/>
      <c r="VKJ338" s="1"/>
      <c r="VKK338" s="1"/>
      <c r="VKL338" s="1"/>
      <c r="VKM338" s="1"/>
      <c r="VKN338" s="1"/>
      <c r="VKO338" s="1"/>
      <c r="VKP338" s="1"/>
      <c r="VKQ338" s="1"/>
      <c r="VKR338" s="1"/>
      <c r="VKS338" s="1"/>
      <c r="VKT338" s="1"/>
      <c r="VKU338" s="1"/>
      <c r="VKV338" s="1"/>
      <c r="VKW338" s="1"/>
      <c r="VKX338" s="1"/>
      <c r="VKY338" s="1"/>
      <c r="VKZ338" s="1"/>
      <c r="VLA338" s="1"/>
      <c r="VLB338" s="1"/>
      <c r="VLC338" s="1"/>
      <c r="VLD338" s="1"/>
      <c r="VLE338" s="1"/>
      <c r="VLF338" s="1"/>
      <c r="VLG338" s="1"/>
      <c r="VLH338" s="1"/>
      <c r="VLI338" s="1"/>
      <c r="VLJ338" s="1"/>
      <c r="VLK338" s="1"/>
      <c r="VLL338" s="1"/>
      <c r="VLM338" s="1"/>
      <c r="VLN338" s="1"/>
      <c r="VLO338" s="1"/>
      <c r="VLP338" s="1"/>
      <c r="VLQ338" s="1"/>
      <c r="VLR338" s="1"/>
      <c r="VLS338" s="1"/>
      <c r="VLT338" s="1"/>
      <c r="VLU338" s="1"/>
      <c r="VLV338" s="1"/>
      <c r="VLW338" s="1"/>
      <c r="VLX338" s="1"/>
      <c r="VLY338" s="1"/>
      <c r="VLZ338" s="1"/>
      <c r="VMA338" s="1"/>
      <c r="VMB338" s="1"/>
      <c r="VMC338" s="1"/>
      <c r="VMD338" s="1"/>
      <c r="VME338" s="1"/>
      <c r="VMF338" s="1"/>
      <c r="VMG338" s="1"/>
      <c r="VMH338" s="1"/>
      <c r="VMI338" s="1"/>
      <c r="VMJ338" s="1"/>
      <c r="VMK338" s="1"/>
      <c r="VML338" s="1"/>
      <c r="VMM338" s="1"/>
      <c r="VMN338" s="1"/>
      <c r="VMO338" s="1"/>
      <c r="VMP338" s="1"/>
      <c r="VMQ338" s="1"/>
      <c r="VMR338" s="1"/>
      <c r="VMS338" s="1"/>
      <c r="VMT338" s="1"/>
      <c r="VMU338" s="1"/>
      <c r="VMV338" s="1"/>
      <c r="VMW338" s="1"/>
      <c r="VMX338" s="1"/>
      <c r="VMY338" s="1"/>
      <c r="VMZ338" s="1"/>
      <c r="VNA338" s="1"/>
      <c r="VNB338" s="1"/>
      <c r="VNC338" s="1"/>
      <c r="VND338" s="1"/>
      <c r="VNE338" s="1"/>
      <c r="VNF338" s="1"/>
      <c r="VNG338" s="1"/>
      <c r="VNH338" s="1"/>
      <c r="VNI338" s="1"/>
      <c r="VNJ338" s="1"/>
      <c r="VNK338" s="1"/>
      <c r="VNL338" s="1"/>
      <c r="VNM338" s="1"/>
      <c r="VNN338" s="1"/>
      <c r="VNO338" s="1"/>
      <c r="VNP338" s="1"/>
      <c r="VNQ338" s="1"/>
      <c r="VNR338" s="1"/>
      <c r="VNS338" s="1"/>
      <c r="VNT338" s="1"/>
      <c r="VNU338" s="1"/>
      <c r="VNV338" s="1"/>
      <c r="VNW338" s="1"/>
      <c r="VNX338" s="1"/>
      <c r="VNY338" s="1"/>
      <c r="VNZ338" s="1"/>
      <c r="VOA338" s="1"/>
      <c r="VOB338" s="1"/>
      <c r="VOC338" s="1"/>
      <c r="VOD338" s="1"/>
      <c r="VOE338" s="1"/>
      <c r="VOF338" s="1"/>
      <c r="VOG338" s="1"/>
      <c r="VOH338" s="1"/>
      <c r="VOI338" s="1"/>
      <c r="VOJ338" s="1"/>
      <c r="VOK338" s="1"/>
      <c r="VOL338" s="1"/>
      <c r="VOM338" s="1"/>
      <c r="VON338" s="1"/>
      <c r="VOO338" s="1"/>
      <c r="VOP338" s="1"/>
      <c r="VOQ338" s="1"/>
      <c r="VOR338" s="1"/>
      <c r="VOS338" s="1"/>
      <c r="VOT338" s="1"/>
      <c r="VOU338" s="1"/>
      <c r="VOV338" s="1"/>
      <c r="VOW338" s="1"/>
      <c r="VOX338" s="1"/>
      <c r="VOY338" s="1"/>
      <c r="VOZ338" s="1"/>
      <c r="VPA338" s="1"/>
      <c r="VPB338" s="1"/>
      <c r="VPC338" s="1"/>
      <c r="VPD338" s="1"/>
      <c r="VPE338" s="1"/>
      <c r="VPF338" s="1"/>
      <c r="VPG338" s="1"/>
      <c r="VPH338" s="1"/>
      <c r="VPI338" s="1"/>
      <c r="VPJ338" s="1"/>
      <c r="VPK338" s="1"/>
      <c r="VPL338" s="1"/>
      <c r="VPM338" s="1"/>
      <c r="VPN338" s="1"/>
      <c r="VPO338" s="1"/>
      <c r="VPP338" s="1"/>
      <c r="VPQ338" s="1"/>
      <c r="VPR338" s="1"/>
      <c r="VPS338" s="1"/>
      <c r="VPT338" s="1"/>
      <c r="VPU338" s="1"/>
      <c r="VPV338" s="1"/>
      <c r="VPW338" s="1"/>
      <c r="VPX338" s="1"/>
      <c r="VPY338" s="1"/>
      <c r="VPZ338" s="1"/>
      <c r="VQA338" s="1"/>
      <c r="VQB338" s="1"/>
      <c r="VQC338" s="1"/>
      <c r="VQD338" s="1"/>
      <c r="VQE338" s="1"/>
      <c r="VQF338" s="1"/>
      <c r="VQG338" s="1"/>
      <c r="VQH338" s="1"/>
      <c r="VQI338" s="1"/>
      <c r="VQJ338" s="1"/>
      <c r="VQK338" s="1"/>
      <c r="VQL338" s="1"/>
      <c r="VQM338" s="1"/>
      <c r="VQN338" s="1"/>
      <c r="VQO338" s="1"/>
      <c r="VQP338" s="1"/>
      <c r="VQQ338" s="1"/>
      <c r="VQR338" s="1"/>
      <c r="VQS338" s="1"/>
      <c r="VQT338" s="1"/>
      <c r="VQU338" s="1"/>
      <c r="VQV338" s="1"/>
      <c r="VQW338" s="1"/>
      <c r="VQX338" s="1"/>
      <c r="VQY338" s="1"/>
      <c r="VQZ338" s="1"/>
      <c r="VRA338" s="1"/>
      <c r="VRB338" s="1"/>
      <c r="VRC338" s="1"/>
      <c r="VRD338" s="1"/>
      <c r="VRE338" s="1"/>
      <c r="VRF338" s="1"/>
      <c r="VRG338" s="1"/>
      <c r="VRH338" s="1"/>
      <c r="VRI338" s="1"/>
      <c r="VRJ338" s="1"/>
      <c r="VRK338" s="1"/>
      <c r="VRL338" s="1"/>
      <c r="VRM338" s="1"/>
      <c r="VRN338" s="1"/>
      <c r="VRO338" s="1"/>
      <c r="VRP338" s="1"/>
      <c r="VRQ338" s="1"/>
      <c r="VRR338" s="1"/>
      <c r="VRS338" s="1"/>
      <c r="VRT338" s="1"/>
      <c r="VRU338" s="1"/>
      <c r="VRV338" s="1"/>
      <c r="VRW338" s="1"/>
      <c r="VRX338" s="1"/>
      <c r="VRY338" s="1"/>
      <c r="VRZ338" s="1"/>
      <c r="VSA338" s="1"/>
      <c r="VSB338" s="1"/>
      <c r="VSC338" s="1"/>
      <c r="VSD338" s="1"/>
      <c r="VSE338" s="1"/>
      <c r="VSF338" s="1"/>
      <c r="VSG338" s="1"/>
      <c r="VSH338" s="1"/>
      <c r="VSI338" s="1"/>
      <c r="VSJ338" s="1"/>
      <c r="VSK338" s="1"/>
      <c r="VSL338" s="1"/>
      <c r="VSM338" s="1"/>
      <c r="VSN338" s="1"/>
      <c r="VSO338" s="1"/>
      <c r="VSP338" s="1"/>
      <c r="VSQ338" s="1"/>
      <c r="VSR338" s="1"/>
      <c r="VSS338" s="1"/>
      <c r="VST338" s="1"/>
      <c r="VSU338" s="1"/>
      <c r="VSV338" s="1"/>
      <c r="VSW338" s="1"/>
      <c r="VSX338" s="1"/>
      <c r="VSY338" s="1"/>
      <c r="VSZ338" s="1"/>
      <c r="VTA338" s="1"/>
      <c r="VTB338" s="1"/>
      <c r="VTC338" s="1"/>
      <c r="VTD338" s="1"/>
      <c r="VTE338" s="1"/>
      <c r="VTF338" s="1"/>
      <c r="VTG338" s="1"/>
      <c r="VTH338" s="1"/>
      <c r="VTI338" s="1"/>
      <c r="VTJ338" s="1"/>
      <c r="VTK338" s="1"/>
      <c r="VTL338" s="1"/>
      <c r="VTM338" s="1"/>
      <c r="VTN338" s="1"/>
      <c r="VTO338" s="1"/>
      <c r="VTP338" s="1"/>
      <c r="VTQ338" s="1"/>
      <c r="VTR338" s="1"/>
      <c r="VTS338" s="1"/>
      <c r="VTT338" s="1"/>
      <c r="VTU338" s="1"/>
      <c r="VTV338" s="1"/>
      <c r="VTW338" s="1"/>
      <c r="VTX338" s="1"/>
      <c r="VTY338" s="1"/>
      <c r="VTZ338" s="1"/>
      <c r="VUA338" s="1"/>
      <c r="VUB338" s="1"/>
      <c r="VUC338" s="1"/>
      <c r="VUD338" s="1"/>
      <c r="VUE338" s="1"/>
      <c r="VUF338" s="1"/>
      <c r="VUG338" s="1"/>
      <c r="VUH338" s="1"/>
      <c r="VUI338" s="1"/>
      <c r="VUJ338" s="1"/>
      <c r="VUK338" s="1"/>
      <c r="VUL338" s="1"/>
      <c r="VUM338" s="1"/>
      <c r="VUN338" s="1"/>
      <c r="VUO338" s="1"/>
      <c r="VUP338" s="1"/>
      <c r="VUQ338" s="1"/>
      <c r="VUR338" s="1"/>
      <c r="VUS338" s="1"/>
      <c r="VUT338" s="1"/>
      <c r="VUU338" s="1"/>
      <c r="VUV338" s="1"/>
      <c r="VUW338" s="1"/>
      <c r="VUX338" s="1"/>
      <c r="VUY338" s="1"/>
      <c r="VUZ338" s="1"/>
      <c r="VVA338" s="1"/>
      <c r="VVB338" s="1"/>
      <c r="VVC338" s="1"/>
      <c r="VVD338" s="1"/>
      <c r="VVE338" s="1"/>
      <c r="VVF338" s="1"/>
      <c r="VVG338" s="1"/>
      <c r="VVH338" s="1"/>
      <c r="VVI338" s="1"/>
      <c r="VVJ338" s="1"/>
      <c r="VVK338" s="1"/>
      <c r="VVL338" s="1"/>
      <c r="VVM338" s="1"/>
      <c r="VVN338" s="1"/>
      <c r="VVO338" s="1"/>
      <c r="VVP338" s="1"/>
      <c r="VVQ338" s="1"/>
      <c r="VVR338" s="1"/>
      <c r="VVS338" s="1"/>
      <c r="VVT338" s="1"/>
      <c r="VVU338" s="1"/>
      <c r="VVV338" s="1"/>
      <c r="VVW338" s="1"/>
      <c r="VVX338" s="1"/>
      <c r="VVY338" s="1"/>
      <c r="VVZ338" s="1"/>
      <c r="VWA338" s="1"/>
      <c r="VWB338" s="1"/>
      <c r="VWC338" s="1"/>
      <c r="VWD338" s="1"/>
      <c r="VWE338" s="1"/>
      <c r="VWF338" s="1"/>
      <c r="VWG338" s="1"/>
      <c r="VWH338" s="1"/>
      <c r="VWI338" s="1"/>
      <c r="VWJ338" s="1"/>
      <c r="VWK338" s="1"/>
      <c r="VWL338" s="1"/>
      <c r="VWM338" s="1"/>
      <c r="VWN338" s="1"/>
      <c r="VWO338" s="1"/>
      <c r="VWP338" s="1"/>
      <c r="VWQ338" s="1"/>
      <c r="VWR338" s="1"/>
      <c r="VWS338" s="1"/>
      <c r="VWT338" s="1"/>
      <c r="VWU338" s="1"/>
      <c r="VWV338" s="1"/>
      <c r="VWW338" s="1"/>
      <c r="VWX338" s="1"/>
      <c r="VWY338" s="1"/>
      <c r="VWZ338" s="1"/>
      <c r="VXA338" s="1"/>
      <c r="VXB338" s="1"/>
      <c r="VXC338" s="1"/>
      <c r="VXD338" s="1"/>
      <c r="VXE338" s="1"/>
      <c r="VXF338" s="1"/>
      <c r="VXG338" s="1"/>
      <c r="VXH338" s="1"/>
      <c r="VXI338" s="1"/>
      <c r="VXJ338" s="1"/>
      <c r="VXK338" s="1"/>
      <c r="VXL338" s="1"/>
      <c r="VXM338" s="1"/>
      <c r="VXN338" s="1"/>
      <c r="VXO338" s="1"/>
      <c r="VXP338" s="1"/>
      <c r="VXQ338" s="1"/>
      <c r="VXR338" s="1"/>
      <c r="VXS338" s="1"/>
      <c r="VXT338" s="1"/>
      <c r="VXU338" s="1"/>
      <c r="VXV338" s="1"/>
      <c r="VXW338" s="1"/>
      <c r="VXX338" s="1"/>
      <c r="VXY338" s="1"/>
      <c r="VXZ338" s="1"/>
      <c r="VYA338" s="1"/>
      <c r="VYB338" s="1"/>
      <c r="VYC338" s="1"/>
      <c r="VYD338" s="1"/>
      <c r="VYE338" s="1"/>
      <c r="VYF338" s="1"/>
      <c r="VYG338" s="1"/>
      <c r="VYH338" s="1"/>
      <c r="VYI338" s="1"/>
      <c r="VYJ338" s="1"/>
      <c r="VYK338" s="1"/>
      <c r="VYL338" s="1"/>
      <c r="VYM338" s="1"/>
      <c r="VYN338" s="1"/>
      <c r="VYO338" s="1"/>
      <c r="VYP338" s="1"/>
      <c r="VYQ338" s="1"/>
      <c r="VYR338" s="1"/>
      <c r="VYS338" s="1"/>
      <c r="VYT338" s="1"/>
      <c r="VYU338" s="1"/>
      <c r="VYV338" s="1"/>
      <c r="VYW338" s="1"/>
      <c r="VYX338" s="1"/>
      <c r="VYY338" s="1"/>
      <c r="VYZ338" s="1"/>
      <c r="VZA338" s="1"/>
      <c r="VZB338" s="1"/>
      <c r="VZC338" s="1"/>
      <c r="VZD338" s="1"/>
      <c r="VZE338" s="1"/>
      <c r="VZF338" s="1"/>
      <c r="VZG338" s="1"/>
      <c r="VZH338" s="1"/>
      <c r="VZI338" s="1"/>
      <c r="VZJ338" s="1"/>
      <c r="VZK338" s="1"/>
      <c r="VZL338" s="1"/>
      <c r="VZM338" s="1"/>
      <c r="VZN338" s="1"/>
      <c r="VZO338" s="1"/>
      <c r="VZP338" s="1"/>
      <c r="VZQ338" s="1"/>
      <c r="VZR338" s="1"/>
      <c r="VZS338" s="1"/>
      <c r="VZT338" s="1"/>
      <c r="VZU338" s="1"/>
      <c r="VZV338" s="1"/>
      <c r="VZW338" s="1"/>
      <c r="VZX338" s="1"/>
      <c r="VZY338" s="1"/>
      <c r="VZZ338" s="1"/>
      <c r="WAA338" s="1"/>
      <c r="WAB338" s="1"/>
      <c r="WAC338" s="1"/>
      <c r="WAD338" s="1"/>
      <c r="WAE338" s="1"/>
      <c r="WAF338" s="1"/>
      <c r="WAG338" s="1"/>
      <c r="WAH338" s="1"/>
      <c r="WAI338" s="1"/>
      <c r="WAJ338" s="1"/>
      <c r="WAK338" s="1"/>
      <c r="WAL338" s="1"/>
      <c r="WAM338" s="1"/>
      <c r="WAN338" s="1"/>
      <c r="WAO338" s="1"/>
      <c r="WAP338" s="1"/>
      <c r="WAQ338" s="1"/>
      <c r="WAR338" s="1"/>
      <c r="WAS338" s="1"/>
      <c r="WAT338" s="1"/>
      <c r="WAU338" s="1"/>
      <c r="WAV338" s="1"/>
      <c r="WAW338" s="1"/>
      <c r="WAX338" s="1"/>
      <c r="WAY338" s="1"/>
      <c r="WAZ338" s="1"/>
      <c r="WBA338" s="1"/>
      <c r="WBB338" s="1"/>
      <c r="WBC338" s="1"/>
      <c r="WBD338" s="1"/>
      <c r="WBE338" s="1"/>
      <c r="WBF338" s="1"/>
      <c r="WBG338" s="1"/>
      <c r="WBH338" s="1"/>
      <c r="WBI338" s="1"/>
      <c r="WBJ338" s="1"/>
      <c r="WBK338" s="1"/>
      <c r="WBL338" s="1"/>
      <c r="WBM338" s="1"/>
      <c r="WBN338" s="1"/>
      <c r="WBO338" s="1"/>
      <c r="WBP338" s="1"/>
      <c r="WBQ338" s="1"/>
      <c r="WBR338" s="1"/>
      <c r="WBS338" s="1"/>
      <c r="WBT338" s="1"/>
      <c r="WBU338" s="1"/>
      <c r="WBV338" s="1"/>
      <c r="WBW338" s="1"/>
      <c r="WBX338" s="1"/>
      <c r="WBY338" s="1"/>
      <c r="WBZ338" s="1"/>
      <c r="WCA338" s="1"/>
      <c r="WCB338" s="1"/>
      <c r="WCC338" s="1"/>
      <c r="WCD338" s="1"/>
      <c r="WCE338" s="1"/>
      <c r="WCF338" s="1"/>
      <c r="WCG338" s="1"/>
      <c r="WCH338" s="1"/>
      <c r="WCI338" s="1"/>
      <c r="WCJ338" s="1"/>
      <c r="WCK338" s="1"/>
      <c r="WCL338" s="1"/>
      <c r="WCM338" s="1"/>
      <c r="WCN338" s="1"/>
      <c r="WCO338" s="1"/>
      <c r="WCP338" s="1"/>
      <c r="WCQ338" s="1"/>
      <c r="WCR338" s="1"/>
      <c r="WCS338" s="1"/>
      <c r="WCT338" s="1"/>
      <c r="WCU338" s="1"/>
      <c r="WCV338" s="1"/>
      <c r="WCW338" s="1"/>
      <c r="WCX338" s="1"/>
      <c r="WCY338" s="1"/>
      <c r="WCZ338" s="1"/>
      <c r="WDA338" s="1"/>
      <c r="WDB338" s="1"/>
      <c r="WDC338" s="1"/>
      <c r="WDD338" s="1"/>
      <c r="WDE338" s="1"/>
      <c r="WDF338" s="1"/>
      <c r="WDG338" s="1"/>
      <c r="WDH338" s="1"/>
      <c r="WDI338" s="1"/>
      <c r="WDJ338" s="1"/>
      <c r="WDK338" s="1"/>
      <c r="WDL338" s="1"/>
      <c r="WDM338" s="1"/>
      <c r="WDN338" s="1"/>
      <c r="WDO338" s="1"/>
      <c r="WDP338" s="1"/>
      <c r="WDQ338" s="1"/>
      <c r="WDR338" s="1"/>
      <c r="WDS338" s="1"/>
      <c r="WDT338" s="1"/>
      <c r="WDU338" s="1"/>
      <c r="WDV338" s="1"/>
      <c r="WDW338" s="1"/>
      <c r="WDX338" s="1"/>
      <c r="WDY338" s="1"/>
      <c r="WDZ338" s="1"/>
      <c r="WEA338" s="1"/>
      <c r="WEB338" s="1"/>
      <c r="WEC338" s="1"/>
      <c r="WED338" s="1"/>
      <c r="WEE338" s="1"/>
      <c r="WEF338" s="1"/>
      <c r="WEG338" s="1"/>
      <c r="WEH338" s="1"/>
      <c r="WEI338" s="1"/>
      <c r="WEJ338" s="1"/>
      <c r="WEK338" s="1"/>
      <c r="WEL338" s="1"/>
      <c r="WEM338" s="1"/>
      <c r="WEN338" s="1"/>
      <c r="WEO338" s="1"/>
      <c r="WEP338" s="1"/>
      <c r="WEQ338" s="1"/>
      <c r="WER338" s="1"/>
      <c r="WES338" s="1"/>
      <c r="WET338" s="1"/>
      <c r="WEU338" s="1"/>
      <c r="WEV338" s="1"/>
      <c r="WEW338" s="1"/>
      <c r="WEX338" s="1"/>
      <c r="WEY338" s="1"/>
      <c r="WEZ338" s="1"/>
      <c r="WFA338" s="1"/>
      <c r="WFB338" s="1"/>
      <c r="WFC338" s="1"/>
      <c r="WFD338" s="1"/>
      <c r="WFE338" s="1"/>
      <c r="WFF338" s="1"/>
      <c r="WFG338" s="1"/>
      <c r="WFH338" s="1"/>
      <c r="WFI338" s="1"/>
      <c r="WFJ338" s="1"/>
      <c r="WFK338" s="1"/>
      <c r="WFL338" s="1"/>
      <c r="WFM338" s="1"/>
      <c r="WFN338" s="1"/>
      <c r="WFO338" s="1"/>
      <c r="WFP338" s="1"/>
      <c r="WFQ338" s="1"/>
      <c r="WFR338" s="1"/>
      <c r="WFS338" s="1"/>
      <c r="WFT338" s="1"/>
      <c r="WFU338" s="1"/>
      <c r="WFV338" s="1"/>
      <c r="WFW338" s="1"/>
      <c r="WFX338" s="1"/>
      <c r="WFY338" s="1"/>
      <c r="WFZ338" s="1"/>
      <c r="WGA338" s="1"/>
      <c r="WGB338" s="1"/>
      <c r="WGC338" s="1"/>
      <c r="WGD338" s="1"/>
      <c r="WGE338" s="1"/>
      <c r="WGF338" s="1"/>
      <c r="WGG338" s="1"/>
      <c r="WGH338" s="1"/>
      <c r="WGI338" s="1"/>
      <c r="WGJ338" s="1"/>
      <c r="WGK338" s="1"/>
      <c r="WGL338" s="1"/>
      <c r="WGM338" s="1"/>
      <c r="WGN338" s="1"/>
      <c r="WGO338" s="1"/>
      <c r="WGP338" s="1"/>
      <c r="WGQ338" s="1"/>
      <c r="WGR338" s="1"/>
      <c r="WGS338" s="1"/>
      <c r="WGT338" s="1"/>
      <c r="WGU338" s="1"/>
      <c r="WGV338" s="1"/>
      <c r="WGW338" s="1"/>
      <c r="WGX338" s="1"/>
      <c r="WGY338" s="1"/>
      <c r="WGZ338" s="1"/>
      <c r="WHA338" s="1"/>
      <c r="WHB338" s="1"/>
      <c r="WHC338" s="1"/>
      <c r="WHD338" s="1"/>
      <c r="WHE338" s="1"/>
      <c r="WHF338" s="1"/>
      <c r="WHG338" s="1"/>
      <c r="WHH338" s="1"/>
      <c r="WHI338" s="1"/>
      <c r="WHJ338" s="1"/>
      <c r="WHK338" s="1"/>
      <c r="WHL338" s="1"/>
      <c r="WHM338" s="1"/>
      <c r="WHN338" s="1"/>
      <c r="WHO338" s="1"/>
      <c r="WHP338" s="1"/>
      <c r="WHQ338" s="1"/>
      <c r="WHR338" s="1"/>
      <c r="WHS338" s="1"/>
      <c r="WHT338" s="1"/>
      <c r="WHU338" s="1"/>
      <c r="WHV338" s="1"/>
      <c r="WHW338" s="1"/>
      <c r="WHX338" s="1"/>
      <c r="WHY338" s="1"/>
      <c r="WHZ338" s="1"/>
      <c r="WIA338" s="1"/>
      <c r="WIB338" s="1"/>
      <c r="WIC338" s="1"/>
      <c r="WID338" s="1"/>
      <c r="WIE338" s="1"/>
      <c r="WIF338" s="1"/>
      <c r="WIG338" s="1"/>
      <c r="WIH338" s="1"/>
      <c r="WII338" s="1"/>
      <c r="WIJ338" s="1"/>
      <c r="WIK338" s="1"/>
      <c r="WIL338" s="1"/>
      <c r="WIM338" s="1"/>
      <c r="WIN338" s="1"/>
      <c r="WIO338" s="1"/>
      <c r="WIP338" s="1"/>
      <c r="WIQ338" s="1"/>
      <c r="WIR338" s="1"/>
      <c r="WIS338" s="1"/>
      <c r="WIT338" s="1"/>
      <c r="WIU338" s="1"/>
      <c r="WIV338" s="1"/>
      <c r="WIW338" s="1"/>
      <c r="WIX338" s="1"/>
      <c r="WIY338" s="1"/>
      <c r="WIZ338" s="1"/>
      <c r="WJA338" s="1"/>
      <c r="WJB338" s="1"/>
      <c r="WJC338" s="1"/>
      <c r="WJD338" s="1"/>
      <c r="WJE338" s="1"/>
      <c r="WJF338" s="1"/>
      <c r="WJG338" s="1"/>
      <c r="WJH338" s="1"/>
      <c r="WJI338" s="1"/>
      <c r="WJJ338" s="1"/>
      <c r="WJK338" s="1"/>
      <c r="WJL338" s="1"/>
      <c r="WJM338" s="1"/>
      <c r="WJN338" s="1"/>
      <c r="WJO338" s="1"/>
      <c r="WJP338" s="1"/>
      <c r="WJQ338" s="1"/>
      <c r="WJR338" s="1"/>
      <c r="WJS338" s="1"/>
      <c r="WJT338" s="1"/>
      <c r="WJU338" s="1"/>
      <c r="WJV338" s="1"/>
      <c r="WJW338" s="1"/>
      <c r="WJX338" s="1"/>
      <c r="WJY338" s="1"/>
      <c r="WJZ338" s="1"/>
      <c r="WKA338" s="1"/>
      <c r="WKB338" s="1"/>
      <c r="WKC338" s="1"/>
      <c r="WKD338" s="1"/>
      <c r="WKE338" s="1"/>
      <c r="WKF338" s="1"/>
      <c r="WKG338" s="1"/>
      <c r="WKH338" s="1"/>
      <c r="WKI338" s="1"/>
      <c r="WKJ338" s="1"/>
      <c r="WKK338" s="1"/>
      <c r="WKL338" s="1"/>
      <c r="WKM338" s="1"/>
      <c r="WKN338" s="1"/>
      <c r="WKO338" s="1"/>
      <c r="WKP338" s="1"/>
      <c r="WKQ338" s="1"/>
      <c r="WKR338" s="1"/>
      <c r="WKS338" s="1"/>
      <c r="WKT338" s="1"/>
      <c r="WKU338" s="1"/>
      <c r="WKV338" s="1"/>
      <c r="WKW338" s="1"/>
      <c r="WKX338" s="1"/>
      <c r="WKY338" s="1"/>
      <c r="WKZ338" s="1"/>
      <c r="WLA338" s="1"/>
      <c r="WLB338" s="1"/>
      <c r="WLC338" s="1"/>
      <c r="WLD338" s="1"/>
      <c r="WLE338" s="1"/>
      <c r="WLF338" s="1"/>
      <c r="WLG338" s="1"/>
      <c r="WLH338" s="1"/>
      <c r="WLI338" s="1"/>
      <c r="WLJ338" s="1"/>
      <c r="WLK338" s="1"/>
      <c r="WLL338" s="1"/>
      <c r="WLM338" s="1"/>
      <c r="WLN338" s="1"/>
      <c r="WLO338" s="1"/>
      <c r="WLP338" s="1"/>
      <c r="WLQ338" s="1"/>
      <c r="WLR338" s="1"/>
      <c r="WLS338" s="1"/>
      <c r="WLT338" s="1"/>
      <c r="WLU338" s="1"/>
      <c r="WLV338" s="1"/>
      <c r="WLW338" s="1"/>
      <c r="WLX338" s="1"/>
      <c r="WLY338" s="1"/>
      <c r="WLZ338" s="1"/>
      <c r="WMA338" s="1"/>
      <c r="WMB338" s="1"/>
      <c r="WMC338" s="1"/>
      <c r="WMD338" s="1"/>
      <c r="WME338" s="1"/>
      <c r="WMF338" s="1"/>
      <c r="WMG338" s="1"/>
      <c r="WMH338" s="1"/>
      <c r="WMI338" s="1"/>
      <c r="WMJ338" s="1"/>
      <c r="WMK338" s="1"/>
      <c r="WML338" s="1"/>
      <c r="WMM338" s="1"/>
      <c r="WMN338" s="1"/>
      <c r="WMO338" s="1"/>
      <c r="WMP338" s="1"/>
      <c r="WMQ338" s="1"/>
      <c r="WMR338" s="1"/>
      <c r="WMS338" s="1"/>
      <c r="WMT338" s="1"/>
      <c r="WMU338" s="1"/>
      <c r="WMV338" s="1"/>
      <c r="WMW338" s="1"/>
      <c r="WMX338" s="1"/>
      <c r="WMY338" s="1"/>
      <c r="WMZ338" s="1"/>
      <c r="WNA338" s="1"/>
      <c r="WNB338" s="1"/>
      <c r="WNC338" s="1"/>
      <c r="WND338" s="1"/>
      <c r="WNE338" s="1"/>
      <c r="WNF338" s="1"/>
      <c r="WNG338" s="1"/>
      <c r="WNH338" s="1"/>
      <c r="WNI338" s="1"/>
      <c r="WNJ338" s="1"/>
      <c r="WNK338" s="1"/>
      <c r="WNL338" s="1"/>
      <c r="WNM338" s="1"/>
      <c r="WNN338" s="1"/>
      <c r="WNO338" s="1"/>
      <c r="WNP338" s="1"/>
      <c r="WNQ338" s="1"/>
      <c r="WNR338" s="1"/>
      <c r="WNS338" s="1"/>
      <c r="WNT338" s="1"/>
      <c r="WNU338" s="1"/>
      <c r="WNV338" s="1"/>
      <c r="WNW338" s="1"/>
      <c r="WNX338" s="1"/>
      <c r="WNY338" s="1"/>
      <c r="WNZ338" s="1"/>
      <c r="WOA338" s="1"/>
      <c r="WOB338" s="1"/>
      <c r="WOC338" s="1"/>
      <c r="WOD338" s="1"/>
      <c r="WOE338" s="1"/>
      <c r="WOF338" s="1"/>
      <c r="WOG338" s="1"/>
      <c r="WOH338" s="1"/>
      <c r="WOI338" s="1"/>
      <c r="WOJ338" s="1"/>
      <c r="WOK338" s="1"/>
      <c r="WOL338" s="1"/>
      <c r="WOM338" s="1"/>
      <c r="WON338" s="1"/>
      <c r="WOO338" s="1"/>
      <c r="WOP338" s="1"/>
      <c r="WOQ338" s="1"/>
      <c r="WOR338" s="1"/>
      <c r="WOS338" s="1"/>
      <c r="WOT338" s="1"/>
      <c r="WOU338" s="1"/>
      <c r="WOV338" s="1"/>
      <c r="WOW338" s="1"/>
      <c r="WOX338" s="1"/>
      <c r="WOY338" s="1"/>
      <c r="WOZ338" s="1"/>
      <c r="WPA338" s="1"/>
      <c r="WPB338" s="1"/>
      <c r="WPC338" s="1"/>
      <c r="WPD338" s="1"/>
      <c r="WPE338" s="1"/>
      <c r="WPF338" s="1"/>
      <c r="WPG338" s="1"/>
      <c r="WPH338" s="1"/>
      <c r="WPI338" s="1"/>
      <c r="WPJ338" s="1"/>
      <c r="WPK338" s="1"/>
      <c r="WPL338" s="1"/>
      <c r="WPM338" s="1"/>
      <c r="WPN338" s="1"/>
      <c r="WPO338" s="1"/>
      <c r="WPP338" s="1"/>
      <c r="WPQ338" s="1"/>
      <c r="WPR338" s="1"/>
      <c r="WPS338" s="1"/>
      <c r="WPT338" s="1"/>
      <c r="WPU338" s="1"/>
      <c r="WPV338" s="1"/>
      <c r="WPW338" s="1"/>
      <c r="WPX338" s="1"/>
      <c r="WPY338" s="1"/>
      <c r="WPZ338" s="1"/>
      <c r="WQA338" s="1"/>
      <c r="WQB338" s="1"/>
      <c r="WQC338" s="1"/>
      <c r="WQD338" s="1"/>
      <c r="WQE338" s="1"/>
      <c r="WQF338" s="1"/>
      <c r="WQG338" s="1"/>
      <c r="WQH338" s="1"/>
      <c r="WQI338" s="1"/>
      <c r="WQJ338" s="1"/>
      <c r="WQK338" s="1"/>
      <c r="WQL338" s="1"/>
      <c r="WQM338" s="1"/>
      <c r="WQN338" s="1"/>
      <c r="WQO338" s="1"/>
      <c r="WQP338" s="1"/>
      <c r="WQQ338" s="1"/>
      <c r="WQR338" s="1"/>
      <c r="WQS338" s="1"/>
      <c r="WQT338" s="1"/>
      <c r="WQU338" s="1"/>
      <c r="WQV338" s="1"/>
      <c r="WQW338" s="1"/>
      <c r="WQX338" s="1"/>
      <c r="WQY338" s="1"/>
      <c r="WQZ338" s="1"/>
      <c r="WRA338" s="1"/>
      <c r="WRB338" s="1"/>
      <c r="WRC338" s="1"/>
      <c r="WRD338" s="1"/>
      <c r="WRE338" s="1"/>
      <c r="WRF338" s="1"/>
      <c r="WRG338" s="1"/>
      <c r="WRH338" s="1"/>
      <c r="WRI338" s="1"/>
      <c r="WRJ338" s="1"/>
      <c r="WRK338" s="1"/>
      <c r="WRL338" s="1"/>
      <c r="WRM338" s="1"/>
      <c r="WRN338" s="1"/>
      <c r="WRO338" s="1"/>
      <c r="WRP338" s="1"/>
      <c r="WRQ338" s="1"/>
      <c r="WRR338" s="1"/>
      <c r="WRS338" s="1"/>
      <c r="WRT338" s="1"/>
      <c r="WRU338" s="1"/>
      <c r="WRV338" s="1"/>
      <c r="WRW338" s="1"/>
      <c r="WRX338" s="1"/>
      <c r="WRY338" s="1"/>
      <c r="WRZ338" s="1"/>
      <c r="WSA338" s="1"/>
      <c r="WSB338" s="1"/>
      <c r="WSC338" s="1"/>
      <c r="WSD338" s="1"/>
      <c r="WSE338" s="1"/>
      <c r="WSF338" s="1"/>
      <c r="WSG338" s="1"/>
      <c r="WSH338" s="1"/>
      <c r="WSI338" s="1"/>
      <c r="WSJ338" s="1"/>
      <c r="WSK338" s="1"/>
      <c r="WSL338" s="1"/>
      <c r="WSM338" s="1"/>
      <c r="WSN338" s="1"/>
      <c r="WSO338" s="1"/>
      <c r="WSP338" s="1"/>
      <c r="WSQ338" s="1"/>
      <c r="WSR338" s="1"/>
      <c r="WSS338" s="1"/>
      <c r="WST338" s="1"/>
      <c r="WSU338" s="1"/>
      <c r="WSV338" s="1"/>
      <c r="WSW338" s="1"/>
      <c r="WSX338" s="1"/>
      <c r="WSY338" s="1"/>
      <c r="WSZ338" s="1"/>
      <c r="WTA338" s="1"/>
      <c r="WTB338" s="1"/>
      <c r="WTC338" s="1"/>
      <c r="WTD338" s="1"/>
      <c r="WTE338" s="1"/>
      <c r="WTF338" s="1"/>
      <c r="WTG338" s="1"/>
      <c r="WTH338" s="1"/>
      <c r="WTI338" s="1"/>
      <c r="WTJ338" s="1"/>
      <c r="WTK338" s="1"/>
      <c r="WTL338" s="1"/>
      <c r="WTM338" s="1"/>
      <c r="WTN338" s="1"/>
      <c r="WTO338" s="1"/>
      <c r="WTP338" s="1"/>
      <c r="WTQ338" s="1"/>
      <c r="WTR338" s="1"/>
      <c r="WTS338" s="1"/>
      <c r="WTT338" s="1"/>
      <c r="WTU338" s="1"/>
      <c r="WTV338" s="1"/>
      <c r="WTW338" s="1"/>
      <c r="WTX338" s="1"/>
      <c r="WTY338" s="1"/>
      <c r="WTZ338" s="1"/>
      <c r="WUA338" s="1"/>
      <c r="WUB338" s="1"/>
      <c r="WUC338" s="1"/>
      <c r="WUD338" s="1"/>
      <c r="WUE338" s="1"/>
      <c r="WUF338" s="1"/>
      <c r="WUG338" s="1"/>
      <c r="WUH338" s="1"/>
      <c r="WUI338" s="1"/>
      <c r="WUJ338" s="1"/>
      <c r="WUK338" s="1"/>
      <c r="WUL338" s="1"/>
      <c r="WUM338" s="1"/>
      <c r="WUN338" s="1"/>
      <c r="WUO338" s="1"/>
      <c r="WUP338" s="1"/>
      <c r="WUQ338" s="1"/>
      <c r="WUR338" s="1"/>
      <c r="WUS338" s="1"/>
      <c r="WUT338" s="1"/>
      <c r="WUU338" s="1"/>
      <c r="WUV338" s="1"/>
      <c r="WUW338" s="1"/>
      <c r="WUX338" s="1"/>
      <c r="WUY338" s="1"/>
      <c r="WUZ338" s="1"/>
      <c r="WVA338" s="1"/>
      <c r="WVB338" s="1"/>
      <c r="WVC338" s="1"/>
      <c r="WVD338" s="1"/>
      <c r="WVE338" s="1"/>
      <c r="WVF338" s="1"/>
      <c r="WVG338" s="1"/>
      <c r="WVH338" s="1"/>
      <c r="WVI338" s="1"/>
      <c r="WVJ338" s="1"/>
      <c r="WVK338" s="1"/>
      <c r="WVL338" s="1"/>
      <c r="WVM338" s="1"/>
      <c r="WVN338" s="1"/>
      <c r="WVO338" s="1"/>
      <c r="WVP338" s="1"/>
      <c r="WVQ338" s="1"/>
      <c r="WVR338" s="1"/>
      <c r="WVS338" s="1"/>
      <c r="WVT338" s="1"/>
      <c r="WVU338" s="1"/>
      <c r="WVV338" s="1"/>
      <c r="WVW338" s="1"/>
      <c r="WVX338" s="1"/>
      <c r="WVY338" s="1"/>
      <c r="WVZ338" s="1"/>
      <c r="WWA338" s="1"/>
      <c r="WWB338" s="1"/>
      <c r="WWC338" s="1"/>
      <c r="WWD338" s="1"/>
      <c r="WWE338" s="1"/>
      <c r="WWF338" s="1"/>
      <c r="WWG338" s="1"/>
      <c r="WWH338" s="1"/>
      <c r="WWI338" s="1"/>
      <c r="WWJ338" s="1"/>
      <c r="WWK338" s="1"/>
      <c r="WWL338" s="1"/>
      <c r="WWM338" s="1"/>
      <c r="WWN338" s="1"/>
      <c r="WWO338" s="1"/>
      <c r="WWP338" s="1"/>
      <c r="WWQ338" s="1"/>
      <c r="WWR338" s="1"/>
      <c r="WWS338" s="1"/>
      <c r="WWT338" s="1"/>
      <c r="WWU338" s="1"/>
      <c r="WWV338" s="1"/>
      <c r="WWW338" s="1"/>
      <c r="WWX338" s="1"/>
      <c r="WWY338" s="1"/>
      <c r="WWZ338" s="1"/>
      <c r="WXA338" s="1"/>
      <c r="WXB338" s="1"/>
      <c r="WXC338" s="1"/>
      <c r="WXD338" s="1"/>
      <c r="WXE338" s="1"/>
      <c r="WXF338" s="1"/>
      <c r="WXG338" s="1"/>
      <c r="WXH338" s="1"/>
      <c r="WXI338" s="1"/>
      <c r="WXJ338" s="1"/>
      <c r="WXK338" s="1"/>
      <c r="WXL338" s="1"/>
      <c r="WXM338" s="1"/>
      <c r="WXN338" s="1"/>
      <c r="WXO338" s="1"/>
      <c r="WXP338" s="1"/>
      <c r="WXQ338" s="1"/>
      <c r="WXR338" s="1"/>
      <c r="WXS338" s="1"/>
      <c r="WXT338" s="1"/>
      <c r="WXU338" s="1"/>
      <c r="WXV338" s="1"/>
      <c r="WXW338" s="1"/>
      <c r="WXX338" s="1"/>
      <c r="WXY338" s="1"/>
      <c r="WXZ338" s="1"/>
      <c r="WYA338" s="1"/>
      <c r="WYB338" s="1"/>
      <c r="WYC338" s="1"/>
      <c r="WYD338" s="1"/>
      <c r="WYE338" s="1"/>
      <c r="WYF338" s="1"/>
      <c r="WYG338" s="1"/>
      <c r="WYH338" s="1"/>
      <c r="WYI338" s="1"/>
      <c r="WYJ338" s="1"/>
      <c r="WYK338" s="1"/>
      <c r="WYL338" s="1"/>
      <c r="WYM338" s="1"/>
      <c r="WYN338" s="1"/>
      <c r="WYO338" s="1"/>
      <c r="WYP338" s="1"/>
      <c r="WYQ338" s="1"/>
      <c r="WYR338" s="1"/>
      <c r="WYS338" s="1"/>
      <c r="WYT338" s="1"/>
      <c r="WYU338" s="1"/>
      <c r="WYV338" s="1"/>
      <c r="WYW338" s="1"/>
      <c r="WYX338" s="1"/>
      <c r="WYY338" s="1"/>
      <c r="WYZ338" s="1"/>
      <c r="WZA338" s="1"/>
      <c r="WZB338" s="1"/>
      <c r="WZC338" s="1"/>
      <c r="WZD338" s="1"/>
      <c r="WZE338" s="1"/>
      <c r="WZF338" s="1"/>
      <c r="WZG338" s="1"/>
      <c r="WZH338" s="1"/>
      <c r="WZI338" s="1"/>
      <c r="WZJ338" s="1"/>
      <c r="WZK338" s="1"/>
      <c r="WZL338" s="1"/>
      <c r="WZM338" s="1"/>
      <c r="WZN338" s="1"/>
      <c r="WZO338" s="1"/>
      <c r="WZP338" s="1"/>
      <c r="WZQ338" s="1"/>
      <c r="WZR338" s="1"/>
      <c r="WZS338" s="1"/>
      <c r="WZT338" s="1"/>
      <c r="WZU338" s="1"/>
      <c r="WZV338" s="1"/>
      <c r="WZW338" s="1"/>
      <c r="WZX338" s="1"/>
      <c r="WZY338" s="1"/>
      <c r="WZZ338" s="1"/>
      <c r="XAA338" s="1"/>
      <c r="XAB338" s="1"/>
      <c r="XAC338" s="1"/>
      <c r="XAD338" s="1"/>
      <c r="XAE338" s="1"/>
      <c r="XAF338" s="1"/>
      <c r="XAG338" s="1"/>
      <c r="XAH338" s="1"/>
      <c r="XAI338" s="1"/>
      <c r="XAJ338" s="1"/>
      <c r="XAK338" s="1"/>
      <c r="XAL338" s="1"/>
      <c r="XAM338" s="1"/>
      <c r="XAN338" s="1"/>
      <c r="XAO338" s="1"/>
      <c r="XAP338" s="1"/>
      <c r="XAQ338" s="1"/>
      <c r="XAR338" s="1"/>
      <c r="XAS338" s="1"/>
      <c r="XAT338" s="1"/>
      <c r="XAU338" s="1"/>
      <c r="XAV338" s="1"/>
      <c r="XAW338" s="1"/>
      <c r="XAX338" s="1"/>
      <c r="XAY338" s="1"/>
      <c r="XAZ338" s="1"/>
      <c r="XBA338" s="1"/>
      <c r="XBB338" s="1"/>
      <c r="XBC338" s="1"/>
      <c r="XBD338" s="1"/>
      <c r="XBE338" s="1"/>
      <c r="XBF338" s="1"/>
      <c r="XBG338" s="1"/>
      <c r="XBH338" s="1"/>
      <c r="XBI338" s="1"/>
      <c r="XBJ338" s="1"/>
      <c r="XBK338" s="1"/>
      <c r="XBL338" s="1"/>
      <c r="XBM338" s="1"/>
      <c r="XBN338" s="1"/>
      <c r="XBO338" s="1"/>
      <c r="XBP338" s="1"/>
      <c r="XBQ338" s="1"/>
      <c r="XBR338" s="1"/>
      <c r="XBS338" s="1"/>
      <c r="XBT338" s="1"/>
      <c r="XBU338" s="1"/>
      <c r="XBV338" s="1"/>
      <c r="XBW338" s="1"/>
      <c r="XBX338" s="1"/>
      <c r="XBY338" s="1"/>
      <c r="XBZ338" s="1"/>
      <c r="XCA338" s="1"/>
      <c r="XCB338" s="1"/>
      <c r="XCC338" s="1"/>
      <c r="XCD338" s="1"/>
      <c r="XCE338" s="1"/>
      <c r="XCF338" s="1"/>
      <c r="XCG338" s="1"/>
      <c r="XCH338" s="1"/>
      <c r="XCI338" s="1"/>
      <c r="XCJ338" s="1"/>
      <c r="XCK338" s="1"/>
      <c r="XCL338" s="1"/>
      <c r="XCM338" s="1"/>
      <c r="XCN338" s="1"/>
      <c r="XCO338" s="1"/>
      <c r="XCP338" s="1"/>
      <c r="XCQ338" s="1"/>
      <c r="XCR338" s="1"/>
      <c r="XCS338" s="1"/>
      <c r="XCT338" s="1"/>
      <c r="XCU338" s="1"/>
      <c r="XCV338" s="1"/>
      <c r="XCW338" s="1"/>
      <c r="XCX338" s="1"/>
      <c r="XCY338" s="1"/>
      <c r="XCZ338" s="1"/>
      <c r="XDA338" s="1"/>
      <c r="XDB338" s="1"/>
      <c r="XDC338" s="1"/>
      <c r="XDD338" s="1"/>
      <c r="XDE338" s="1"/>
      <c r="XDF338" s="1"/>
      <c r="XDG338" s="1"/>
      <c r="XDH338" s="1"/>
      <c r="XDI338" s="1"/>
      <c r="XDJ338" s="1"/>
      <c r="XDK338" s="1"/>
      <c r="XDL338" s="1"/>
      <c r="XDM338" s="1"/>
      <c r="XDN338" s="1"/>
      <c r="XDO338" s="1"/>
      <c r="XDP338" s="1"/>
      <c r="XDQ338" s="1"/>
      <c r="XDR338" s="1"/>
      <c r="XDS338" s="1"/>
      <c r="XDT338" s="1"/>
      <c r="XDU338" s="1"/>
      <c r="XDV338" s="1"/>
      <c r="XDW338" s="1"/>
      <c r="XDX338" s="1"/>
      <c r="XDY338" s="1"/>
      <c r="XDZ338" s="1"/>
      <c r="XEA338" s="1"/>
      <c r="XEB338" s="1"/>
      <c r="XEC338" s="1"/>
      <c r="XED338" s="1"/>
      <c r="XEE338" s="1"/>
      <c r="XEF338" s="1"/>
      <c r="XEG338" s="1"/>
      <c r="XEH338" s="1"/>
      <c r="XEI338" s="1"/>
      <c r="XEJ338" s="1"/>
      <c r="XEK338" s="1"/>
      <c r="XEL338" s="1"/>
      <c r="XEM338" s="1"/>
      <c r="XEN338" s="1"/>
      <c r="XEO338" s="1"/>
      <c r="XEP338" s="1"/>
      <c r="XEQ338" s="1"/>
      <c r="XER338" s="1"/>
      <c r="XES338" s="1"/>
      <c r="XET338" s="1"/>
      <c r="XEU338" s="1"/>
      <c r="XEV338" s="1"/>
      <c r="XEW338" s="1"/>
      <c r="XEX338" s="1"/>
      <c r="XEY338" s="1"/>
      <c r="XEZ338" s="1"/>
    </row>
    <row r="339" spans="1:16380" s="1" customFormat="1" ht="15.6">
      <c r="A339" s="361"/>
      <c r="B339" s="362"/>
      <c r="C339" s="368"/>
      <c r="D339" s="365"/>
      <c r="E339" s="390"/>
      <c r="F339" s="362" t="s">
        <v>2150</v>
      </c>
      <c r="G339" s="8" t="s">
        <v>2151</v>
      </c>
      <c r="H339" s="8"/>
      <c r="I339" s="58">
        <v>1</v>
      </c>
      <c r="J339" s="22" t="s">
        <v>1653</v>
      </c>
      <c r="K339" s="344">
        <v>1623</v>
      </c>
      <c r="L339" s="344">
        <v>1623</v>
      </c>
      <c r="M339" s="344">
        <v>1623</v>
      </c>
      <c r="N339" s="482">
        <v>1623</v>
      </c>
      <c r="O339" s="482">
        <v>1623</v>
      </c>
      <c r="P339" s="482">
        <v>1623</v>
      </c>
      <c r="Q339" s="482">
        <v>1623</v>
      </c>
      <c r="R339" s="672">
        <v>1623</v>
      </c>
      <c r="S339" s="482">
        <v>1623</v>
      </c>
      <c r="T339" s="482">
        <v>1623</v>
      </c>
      <c r="U339" s="482">
        <v>1623</v>
      </c>
      <c r="V339" s="344">
        <v>3383</v>
      </c>
      <c r="W339" s="482">
        <v>3383</v>
      </c>
      <c r="X339" s="344">
        <v>3383</v>
      </c>
      <c r="Y339" s="344">
        <v>3383</v>
      </c>
      <c r="Z339" s="344">
        <v>3383</v>
      </c>
      <c r="AA339" s="344">
        <v>3383</v>
      </c>
      <c r="AB339" s="344">
        <v>3383</v>
      </c>
      <c r="AC339" s="344">
        <v>3383</v>
      </c>
      <c r="AD339" s="344">
        <v>3383</v>
      </c>
      <c r="AE339" s="344">
        <v>3383</v>
      </c>
      <c r="AF339" s="344">
        <v>3383</v>
      </c>
      <c r="AG339" s="344">
        <v>3383</v>
      </c>
      <c r="AH339" s="344">
        <v>3383</v>
      </c>
      <c r="AI339" s="1">
        <v>3383</v>
      </c>
      <c r="AJ339" s="1">
        <v>3383</v>
      </c>
      <c r="AK339" s="1">
        <v>3383</v>
      </c>
    </row>
    <row r="340" spans="1:16380" s="1" customFormat="1" ht="16.149999999999999" thickBot="1">
      <c r="A340" s="361" t="s">
        <v>2152</v>
      </c>
      <c r="B340" s="361" t="s">
        <v>2153</v>
      </c>
      <c r="C340" s="360">
        <f ca="1">OFFSET(K340,0,COUNT(L340:AJ340))</f>
        <v>0</v>
      </c>
      <c r="D340" s="365" t="s">
        <v>418</v>
      </c>
      <c r="E340" s="390"/>
      <c r="F340" s="362"/>
      <c r="G340" s="8"/>
      <c r="H340" s="8"/>
      <c r="I340" s="58"/>
      <c r="J340" s="22"/>
      <c r="K340" s="340"/>
      <c r="L340" s="340">
        <f t="shared" ref="L340:Z340" si="131">IF(ISNUMBER(L339),(L339-K339),"")</f>
        <v>0</v>
      </c>
      <c r="M340" s="340">
        <f t="shared" si="131"/>
        <v>0</v>
      </c>
      <c r="N340" s="340">
        <f t="shared" si="131"/>
        <v>0</v>
      </c>
      <c r="O340" s="340">
        <f t="shared" si="131"/>
        <v>0</v>
      </c>
      <c r="P340" s="340">
        <f t="shared" si="131"/>
        <v>0</v>
      </c>
      <c r="Q340" s="340">
        <f t="shared" si="131"/>
        <v>0</v>
      </c>
      <c r="R340" s="350">
        <f t="shared" si="131"/>
        <v>0</v>
      </c>
      <c r="S340" s="340">
        <f t="shared" si="131"/>
        <v>0</v>
      </c>
      <c r="T340" s="340">
        <f t="shared" si="131"/>
        <v>0</v>
      </c>
      <c r="U340" s="340">
        <f t="shared" si="131"/>
        <v>0</v>
      </c>
      <c r="V340" s="340">
        <f t="shared" si="131"/>
        <v>1760</v>
      </c>
      <c r="W340" s="340">
        <f t="shared" si="131"/>
        <v>0</v>
      </c>
      <c r="X340" s="340">
        <f t="shared" si="131"/>
        <v>0</v>
      </c>
      <c r="Y340" s="340">
        <f t="shared" si="131"/>
        <v>0</v>
      </c>
      <c r="Z340" s="340">
        <f t="shared" si="131"/>
        <v>0</v>
      </c>
      <c r="AA340" s="340">
        <f t="shared" ref="AA340" si="132">IF(ISNUMBER(AA339),(AA339-Z339),"")</f>
        <v>0</v>
      </c>
      <c r="AB340" s="340">
        <f t="shared" ref="AB340" si="133">IF(ISNUMBER(AB339),(AB339-AA339),"")</f>
        <v>0</v>
      </c>
      <c r="AC340" s="340">
        <f t="shared" ref="AC340" si="134">IF(ISNUMBER(AC339),(AC339-AB339),"")</f>
        <v>0</v>
      </c>
      <c r="AD340" s="340">
        <f t="shared" ref="AD340" si="135">IF(ISNUMBER(AD339),(AD339-AC339),"")</f>
        <v>0</v>
      </c>
      <c r="AE340" s="340">
        <f t="shared" ref="AE340" si="136">IF(ISNUMBER(AE339),(AE339-AD339),"")</f>
        <v>0</v>
      </c>
      <c r="AF340" s="340">
        <f t="shared" ref="AF340" si="137">IF(ISNUMBER(AF339),(AF339-AE339),"")</f>
        <v>0</v>
      </c>
      <c r="AG340" s="340">
        <f t="shared" ref="AG340" si="138">IF(ISNUMBER(AG339),(AG339-AF339),"")</f>
        <v>0</v>
      </c>
      <c r="AH340" s="340">
        <f t="shared" ref="AH340" si="139">IF(ISNUMBER(AH339),(AH339-AG339),"")</f>
        <v>0</v>
      </c>
      <c r="AI340" s="340">
        <f t="shared" ref="AI340" si="140">IF(ISNUMBER(AI339),(AI339-AH339),"")</f>
        <v>0</v>
      </c>
      <c r="AJ340" s="340">
        <f t="shared" ref="AJ340" si="141">IF(ISNUMBER(AJ339),(AJ339-AI339),"")</f>
        <v>0</v>
      </c>
      <c r="AK340" s="340">
        <f t="shared" ref="AK340:AL340" si="142">IF(ISNUMBER(AK339),(AK339-AJ339),"")</f>
        <v>0</v>
      </c>
      <c r="AL340" s="340" t="str">
        <f t="shared" si="142"/>
        <v/>
      </c>
      <c r="AM340" s="340" t="str">
        <f t="shared" ref="AM340" si="143">IF(ISNUMBER(AM339),(AM339-AL339),"")</f>
        <v/>
      </c>
      <c r="AN340" s="340" t="str">
        <f t="shared" ref="AN340" si="144">IF(ISNUMBER(AN339),(AN339-AM339),"")</f>
        <v/>
      </c>
      <c r="AO340" s="340" t="str">
        <f t="shared" ref="AO340" si="145">IF(ISNUMBER(AO339),(AO339-AN339),"")</f>
        <v/>
      </c>
      <c r="AP340" s="340" t="str">
        <f t="shared" ref="AP340" si="146">IF(ISNUMBER(AP339),(AP339-AO339),"")</f>
        <v/>
      </c>
      <c r="AQ340" s="340" t="str">
        <f t="shared" ref="AQ340" si="147">IF(ISNUMBER(AQ339),(AQ339-AP339),"")</f>
        <v/>
      </c>
      <c r="AR340" s="340" t="str">
        <f t="shared" ref="AR340" si="148">IF(ISNUMBER(AR339),(AR339-AQ339),"")</f>
        <v/>
      </c>
      <c r="AS340" s="340" t="str">
        <f t="shared" ref="AS340" si="149">IF(ISNUMBER(AS339),(AS339-AR339),"")</f>
        <v/>
      </c>
      <c r="AT340" s="340" t="str">
        <f t="shared" ref="AT340" si="150">IF(ISNUMBER(AT339),(AT339-AS339),"")</f>
        <v/>
      </c>
      <c r="AU340" s="340" t="str">
        <f t="shared" ref="AU340" si="151">IF(ISNUMBER(AU339),(AU339-AT339),"")</f>
        <v/>
      </c>
      <c r="AV340" s="340" t="str">
        <f t="shared" ref="AV340" si="152">IF(ISNUMBER(AV339),(AV339-AU339),"")</f>
        <v/>
      </c>
      <c r="AW340" s="340" t="str">
        <f t="shared" ref="AW340" si="153">IF(ISNUMBER(AW339),(AW339-AV339),"")</f>
        <v/>
      </c>
    </row>
    <row r="341" spans="1:16380" s="1" customFormat="1" ht="15.6">
      <c r="A341" s="367"/>
      <c r="B341" s="367"/>
      <c r="C341" s="368"/>
      <c r="D341" s="367"/>
      <c r="E341" s="387"/>
      <c r="F341" s="362" t="s">
        <v>2154</v>
      </c>
      <c r="G341" s="8"/>
      <c r="H341" s="8"/>
      <c r="I341" s="58">
        <v>1</v>
      </c>
      <c r="J341" s="22" t="s">
        <v>1649</v>
      </c>
      <c r="K341" s="351"/>
      <c r="L341" s="352"/>
      <c r="M341" s="351"/>
      <c r="N341" s="351"/>
      <c r="O341" s="351"/>
      <c r="P341" s="351"/>
      <c r="Q341" s="351"/>
      <c r="R341" s="351"/>
      <c r="S341" s="351"/>
      <c r="T341" s="351"/>
      <c r="U341" s="351"/>
      <c r="V341" s="351"/>
      <c r="W341" s="351"/>
      <c r="X341" s="352"/>
      <c r="Y341" s="352"/>
      <c r="Z341" s="352"/>
      <c r="AA341" s="352"/>
      <c r="AB341" s="352"/>
    </row>
    <row r="342" spans="1:16380" s="1" customFormat="1" ht="15.6">
      <c r="A342" s="361" t="s">
        <v>2155</v>
      </c>
      <c r="B342" s="371" t="s">
        <v>1448</v>
      </c>
      <c r="C342" s="368"/>
      <c r="D342" s="372" t="s">
        <v>418</v>
      </c>
      <c r="E342" s="389"/>
      <c r="F342" s="362"/>
      <c r="G342" s="8"/>
      <c r="H342" s="8"/>
      <c r="I342" s="58"/>
      <c r="J342" s="22"/>
      <c r="K342" s="343"/>
      <c r="L342" s="354"/>
      <c r="M342" s="343"/>
      <c r="N342" s="343"/>
      <c r="O342" s="343"/>
      <c r="P342" s="343"/>
      <c r="Q342" s="343"/>
      <c r="R342" s="675"/>
      <c r="S342" s="343"/>
      <c r="T342" s="343"/>
      <c r="U342" s="343"/>
      <c r="V342" s="343"/>
      <c r="W342" s="343"/>
      <c r="X342" s="354"/>
      <c r="Y342" s="354"/>
      <c r="Z342" s="354"/>
      <c r="AA342" s="354"/>
      <c r="AB342" s="354"/>
    </row>
    <row r="343" spans="1:16380" s="1" customFormat="1" ht="15.6">
      <c r="A343" s="361"/>
      <c r="B343" s="371"/>
      <c r="C343" s="368"/>
      <c r="D343" s="364"/>
      <c r="E343" s="389"/>
      <c r="F343" s="362" t="s">
        <v>2156</v>
      </c>
      <c r="G343" s="8"/>
      <c r="H343" s="8"/>
      <c r="I343" s="58">
        <v>1</v>
      </c>
      <c r="J343" s="22" t="s">
        <v>1649</v>
      </c>
      <c r="K343" s="350"/>
      <c r="L343" s="353"/>
      <c r="M343" s="350"/>
      <c r="N343" s="350"/>
      <c r="O343" s="350"/>
      <c r="P343" s="350"/>
      <c r="Q343" s="350"/>
      <c r="R343" s="350"/>
      <c r="S343" s="350"/>
      <c r="T343" s="350"/>
      <c r="U343" s="350"/>
      <c r="V343" s="350"/>
      <c r="W343" s="350"/>
      <c r="X343" s="353"/>
      <c r="Y343" s="353"/>
      <c r="Z343" s="353"/>
      <c r="AA343" s="353"/>
      <c r="AB343" s="353"/>
    </row>
    <row r="344" spans="1:16380" s="1" customFormat="1" ht="15.6">
      <c r="A344" s="361" t="s">
        <v>2155</v>
      </c>
      <c r="B344" s="371" t="s">
        <v>1448</v>
      </c>
      <c r="C344" s="373"/>
      <c r="D344" s="365" t="s">
        <v>418</v>
      </c>
      <c r="E344" s="390"/>
      <c r="F344" s="362"/>
      <c r="G344" s="8"/>
      <c r="H344" s="8"/>
      <c r="I344" s="58"/>
      <c r="J344" s="22"/>
      <c r="K344" s="340"/>
      <c r="L344" s="347"/>
      <c r="M344" s="340"/>
      <c r="N344" s="340"/>
      <c r="O344" s="340"/>
      <c r="P344" s="340"/>
      <c r="Q344" s="340"/>
      <c r="R344" s="350"/>
      <c r="S344" s="340"/>
      <c r="T344" s="340"/>
      <c r="U344" s="340"/>
      <c r="V344" s="340"/>
      <c r="W344" s="340"/>
      <c r="X344" s="347"/>
      <c r="Y344" s="347"/>
      <c r="Z344" s="347"/>
      <c r="AA344" s="347"/>
      <c r="AB344" s="347"/>
    </row>
    <row r="345" spans="1:16380" s="1" customFormat="1" ht="15.6">
      <c r="A345" s="361"/>
      <c r="B345" s="371"/>
      <c r="C345" s="367"/>
      <c r="D345" s="365"/>
      <c r="E345" s="390"/>
      <c r="F345" s="362"/>
      <c r="G345" s="8"/>
      <c r="H345" s="8"/>
      <c r="I345" s="58"/>
      <c r="J345" s="22" t="s">
        <v>75</v>
      </c>
      <c r="K345" s="340"/>
      <c r="L345" s="347"/>
      <c r="M345" s="340"/>
      <c r="N345" s="340"/>
      <c r="O345" s="340"/>
      <c r="P345" s="340"/>
      <c r="Q345" s="340"/>
      <c r="R345" s="350"/>
      <c r="S345" s="340"/>
      <c r="T345" s="340"/>
      <c r="U345" s="340"/>
      <c r="V345" s="340"/>
      <c r="W345" s="340"/>
      <c r="X345" s="347"/>
      <c r="Y345" s="347"/>
      <c r="Z345" s="347"/>
      <c r="AA345" s="347"/>
      <c r="AB345" s="347"/>
    </row>
    <row r="346" spans="1:16380" s="1" customFormat="1" ht="15.6">
      <c r="A346" s="361" t="s">
        <v>2155</v>
      </c>
      <c r="B346" s="371" t="s">
        <v>1448</v>
      </c>
      <c r="C346" s="360">
        <f ca="1">OFFSET(K346,0,COUNT(L346:AJ346))</f>
        <v>0</v>
      </c>
      <c r="D346" s="365" t="s">
        <v>418</v>
      </c>
      <c r="E346" s="390"/>
      <c r="F346" s="362"/>
      <c r="G346" s="8"/>
      <c r="H346" s="8"/>
      <c r="I346" s="58"/>
      <c r="J346" s="22"/>
      <c r="K346" s="341"/>
      <c r="L346" s="348"/>
      <c r="M346" s="341"/>
      <c r="N346" s="341"/>
      <c r="O346" s="341"/>
      <c r="P346" s="341"/>
      <c r="Q346" s="341"/>
      <c r="R346" s="350"/>
      <c r="S346" s="341"/>
      <c r="T346" s="341"/>
      <c r="U346" s="341"/>
      <c r="V346" s="341"/>
      <c r="W346" s="341"/>
      <c r="X346" s="348"/>
      <c r="Y346" s="348"/>
      <c r="Z346" s="348"/>
      <c r="AA346" s="348"/>
      <c r="AB346" s="348"/>
    </row>
    <row r="347" spans="1:16380" s="1" customFormat="1" ht="15.6">
      <c r="A347" s="367"/>
      <c r="B347" s="367"/>
      <c r="C347" s="368"/>
      <c r="D347" s="365"/>
      <c r="E347" s="390"/>
      <c r="F347" s="362" t="s">
        <v>2095</v>
      </c>
      <c r="G347" s="8" t="s">
        <v>2157</v>
      </c>
      <c r="H347" s="8"/>
      <c r="I347" s="58">
        <v>1</v>
      </c>
      <c r="J347" s="22" t="s">
        <v>1653</v>
      </c>
      <c r="K347" s="482">
        <v>7130</v>
      </c>
      <c r="L347" s="483">
        <f>K347+K348</f>
        <v>7130</v>
      </c>
      <c r="M347" s="344">
        <v>7144</v>
      </c>
      <c r="N347" s="344">
        <v>7154</v>
      </c>
      <c r="O347" s="344">
        <v>7168</v>
      </c>
      <c r="P347" s="344">
        <v>7177</v>
      </c>
      <c r="Q347" s="344">
        <v>7185</v>
      </c>
      <c r="R347" s="672">
        <v>7190</v>
      </c>
      <c r="S347" s="344">
        <v>7198</v>
      </c>
      <c r="T347" s="344">
        <v>7212</v>
      </c>
      <c r="U347" s="482">
        <f>(V347-T347)/2+T347</f>
        <v>7222</v>
      </c>
      <c r="V347" s="344">
        <v>7232</v>
      </c>
      <c r="W347" s="344">
        <v>7237</v>
      </c>
      <c r="X347" s="483">
        <v>7239</v>
      </c>
      <c r="Y347" s="483">
        <v>7244</v>
      </c>
      <c r="Z347" s="483">
        <v>7249</v>
      </c>
      <c r="AA347" s="1077">
        <f>Z347+5</f>
        <v>7254</v>
      </c>
      <c r="AB347" s="483">
        <v>7273</v>
      </c>
      <c r="AC347" s="344">
        <v>7280</v>
      </c>
      <c r="AD347" s="344">
        <v>7292</v>
      </c>
      <c r="AE347" s="344">
        <v>7302</v>
      </c>
      <c r="AF347" s="344">
        <v>7314</v>
      </c>
      <c r="AG347" s="344">
        <v>7324</v>
      </c>
      <c r="AH347" s="344">
        <v>7334</v>
      </c>
      <c r="AI347" s="1">
        <v>7341</v>
      </c>
      <c r="AJ347" s="214">
        <v>7350</v>
      </c>
      <c r="AK347" s="214">
        <v>7355</v>
      </c>
    </row>
    <row r="348" spans="1:16380" s="1" customFormat="1" ht="15.6">
      <c r="A348" s="361" t="s">
        <v>2158</v>
      </c>
      <c r="B348" s="371" t="s">
        <v>2159</v>
      </c>
      <c r="C348" s="360">
        <f ca="1">OFFSET(K348,0,COUNT(L348:AJ348))</f>
        <v>9</v>
      </c>
      <c r="D348" s="365" t="s">
        <v>418</v>
      </c>
      <c r="E348" s="386">
        <f ca="1">((OFFSET(K348,0,COUNT(L348:X348)))/(OFFSET(L348,0,COUNT(M348:X348)-1)))-1</f>
        <v>-0.6</v>
      </c>
      <c r="F348" s="362"/>
      <c r="G348" s="8"/>
      <c r="H348" s="8"/>
      <c r="I348" s="58"/>
      <c r="J348" s="22"/>
      <c r="K348" s="340"/>
      <c r="L348" s="340">
        <f t="shared" ref="L348:Z348" si="154">IF(ISNUMBER(L347),(L347-K347),"")</f>
        <v>0</v>
      </c>
      <c r="M348" s="340">
        <f t="shared" si="154"/>
        <v>14</v>
      </c>
      <c r="N348" s="340">
        <f t="shared" si="154"/>
        <v>10</v>
      </c>
      <c r="O348" s="340">
        <f t="shared" si="154"/>
        <v>14</v>
      </c>
      <c r="P348" s="340">
        <f t="shared" si="154"/>
        <v>9</v>
      </c>
      <c r="Q348" s="340">
        <f t="shared" si="154"/>
        <v>8</v>
      </c>
      <c r="R348" s="350">
        <f t="shared" si="154"/>
        <v>5</v>
      </c>
      <c r="S348" s="340">
        <f t="shared" si="154"/>
        <v>8</v>
      </c>
      <c r="T348" s="340">
        <f t="shared" si="154"/>
        <v>14</v>
      </c>
      <c r="U348" s="340">
        <f t="shared" si="154"/>
        <v>10</v>
      </c>
      <c r="V348" s="340">
        <f t="shared" si="154"/>
        <v>10</v>
      </c>
      <c r="W348" s="340">
        <f t="shared" si="154"/>
        <v>5</v>
      </c>
      <c r="X348" s="340">
        <f t="shared" si="154"/>
        <v>2</v>
      </c>
      <c r="Y348" s="340">
        <f t="shared" si="154"/>
        <v>5</v>
      </c>
      <c r="Z348" s="340">
        <f t="shared" si="154"/>
        <v>5</v>
      </c>
      <c r="AA348" s="340">
        <f t="shared" ref="AA348" si="155">IF(ISNUMBER(AA347),(AA347-Z347),"")</f>
        <v>5</v>
      </c>
      <c r="AB348" s="340">
        <f t="shared" ref="AB348" si="156">IF(ISNUMBER(AB347),(AB347-AA347),"")</f>
        <v>19</v>
      </c>
      <c r="AC348" s="340">
        <f t="shared" ref="AC348" si="157">IF(ISNUMBER(AC347),(AC347-AB347),"")</f>
        <v>7</v>
      </c>
      <c r="AD348" s="340">
        <f>IF(ISNUMBER(AD347),(AD347-AC347),"")</f>
        <v>12</v>
      </c>
      <c r="AE348" s="340">
        <f t="shared" ref="AE348" si="158">IF(ISNUMBER(AE347),(AE347-AD347),"")</f>
        <v>10</v>
      </c>
      <c r="AF348" s="340">
        <f t="shared" ref="AF348" si="159">IF(ISNUMBER(AF347),(AF347-AE347),"")</f>
        <v>12</v>
      </c>
      <c r="AG348" s="340">
        <f t="shared" ref="AG348" si="160">IF(ISNUMBER(AG347),(AG347-AF347),"")</f>
        <v>10</v>
      </c>
      <c r="AH348" s="340">
        <f t="shared" ref="AH348" si="161">IF(ISNUMBER(AH347),(AH347-AG347),"")</f>
        <v>10</v>
      </c>
      <c r="AI348" s="340">
        <f t="shared" ref="AI348" si="162">IF(ISNUMBER(AI347),(AI347-AH347),"")</f>
        <v>7</v>
      </c>
      <c r="AJ348" s="340">
        <f t="shared" ref="AJ348" si="163">IF(ISNUMBER(AJ347),(AJ347-AI347),"")</f>
        <v>9</v>
      </c>
      <c r="AK348" s="340">
        <f t="shared" ref="AK348" si="164">IF(ISNUMBER(AK347),(AK347-AJ347),"")</f>
        <v>5</v>
      </c>
      <c r="AL348" s="340" t="str">
        <f t="shared" ref="AL348" si="165">IF(ISNUMBER(AL347),(AL347-AK347),"")</f>
        <v/>
      </c>
      <c r="AM348" s="340" t="str">
        <f t="shared" ref="AM348" si="166">IF(ISNUMBER(AM347),(AM347-AL347),"")</f>
        <v/>
      </c>
      <c r="AN348" s="340" t="str">
        <f t="shared" ref="AN348" si="167">IF(ISNUMBER(AN347),(AN347-AM347),"")</f>
        <v/>
      </c>
      <c r="AO348" s="340" t="str">
        <f t="shared" ref="AO348" si="168">IF(ISNUMBER(AO347),(AO347-AN347),"")</f>
        <v/>
      </c>
      <c r="AP348" s="340" t="str">
        <f t="shared" ref="AP348" si="169">IF(ISNUMBER(AP347),(AP347-AO347),"")</f>
        <v/>
      </c>
      <c r="AQ348" s="340" t="str">
        <f t="shared" ref="AQ348" si="170">IF(ISNUMBER(AQ347),(AQ347-AP347),"")</f>
        <v/>
      </c>
      <c r="AR348" s="340" t="str">
        <f t="shared" ref="AR348" si="171">IF(ISNUMBER(AR347),(AR347-AQ347),"")</f>
        <v/>
      </c>
      <c r="AS348" s="340" t="str">
        <f t="shared" ref="AS348" si="172">IF(ISNUMBER(AS347),(AS347-AR347),"")</f>
        <v/>
      </c>
      <c r="AT348" s="340" t="str">
        <f t="shared" ref="AT348" si="173">IF(ISNUMBER(AT347),(AT347-AS347),"")</f>
        <v/>
      </c>
      <c r="AU348" s="340" t="str">
        <f t="shared" ref="AU348" si="174">IF(ISNUMBER(AU347),(AU347-AT347),"")</f>
        <v/>
      </c>
      <c r="AV348" s="340" t="str">
        <f t="shared" ref="AV348" si="175">IF(ISNUMBER(AV347),(AV347-AU347),"")</f>
        <v/>
      </c>
      <c r="AW348" s="340" t="str">
        <f t="shared" ref="AW348" si="176">IF(ISNUMBER(AW347),(AW347-AV347),"")</f>
        <v/>
      </c>
    </row>
    <row r="349" spans="1:16380" s="1" customFormat="1" ht="15.6">
      <c r="A349" s="361"/>
      <c r="B349" s="371"/>
      <c r="C349" s="368"/>
      <c r="D349" s="365"/>
      <c r="E349" s="390"/>
      <c r="F349" s="362" t="s">
        <v>2095</v>
      </c>
      <c r="G349" s="8" t="s">
        <v>2160</v>
      </c>
      <c r="H349" s="8"/>
      <c r="I349" s="58">
        <v>1</v>
      </c>
      <c r="J349" s="22" t="s">
        <v>1653</v>
      </c>
      <c r="K349" s="344">
        <v>1877</v>
      </c>
      <c r="L349" s="355">
        <v>1877</v>
      </c>
      <c r="M349" s="344">
        <v>1877</v>
      </c>
      <c r="N349" s="344">
        <v>1877</v>
      </c>
      <c r="O349" s="344">
        <v>1877</v>
      </c>
      <c r="P349" s="344">
        <v>1877</v>
      </c>
      <c r="Q349" s="344">
        <v>1877</v>
      </c>
      <c r="R349" s="674">
        <v>1877</v>
      </c>
      <c r="S349" s="344">
        <v>1877</v>
      </c>
      <c r="T349" s="344">
        <v>1877</v>
      </c>
      <c r="U349" s="344">
        <v>1877</v>
      </c>
      <c r="V349" s="344">
        <v>1877</v>
      </c>
      <c r="W349" s="344">
        <v>1877</v>
      </c>
      <c r="X349" s="355">
        <v>1877</v>
      </c>
      <c r="Y349" s="355">
        <v>1877</v>
      </c>
      <c r="Z349" s="355">
        <v>1877</v>
      </c>
      <c r="AA349" s="355">
        <v>1877</v>
      </c>
      <c r="AB349" s="355">
        <v>1877</v>
      </c>
      <c r="AC349" s="344">
        <v>1877</v>
      </c>
      <c r="AD349" s="344">
        <v>1877</v>
      </c>
      <c r="AE349" s="344">
        <v>1877</v>
      </c>
      <c r="AF349" s="344">
        <v>1877</v>
      </c>
      <c r="AG349" s="344">
        <v>1877</v>
      </c>
      <c r="AH349" s="344">
        <v>1877</v>
      </c>
      <c r="AI349" s="1">
        <v>1877</v>
      </c>
      <c r="AJ349" s="1">
        <v>1877</v>
      </c>
      <c r="AK349" s="1">
        <v>1877</v>
      </c>
      <c r="AL349" s="1">
        <v>1877</v>
      </c>
      <c r="AM349" s="1">
        <v>1877</v>
      </c>
      <c r="AN349" s="1">
        <v>1877</v>
      </c>
    </row>
    <row r="350" spans="1:16380" s="1" customFormat="1" ht="15.6">
      <c r="A350" s="361" t="s">
        <v>2161</v>
      </c>
      <c r="B350" s="361" t="s">
        <v>2162</v>
      </c>
      <c r="C350" s="360">
        <f ca="1">OFFSET(K350,0,COUNT(L350:AJ350))</f>
        <v>0</v>
      </c>
      <c r="D350" s="365" t="s">
        <v>418</v>
      </c>
      <c r="E350" s="386" t="e">
        <f ca="1">((OFFSET(K350,0,COUNT(L350:X350)))/(OFFSET(L350,0,COUNT(M350:X350)-1)))-1</f>
        <v>#DIV/0!</v>
      </c>
      <c r="F350" s="362"/>
      <c r="G350" s="8"/>
      <c r="H350" s="8"/>
      <c r="I350" s="58"/>
      <c r="J350" s="22"/>
      <c r="K350" s="340"/>
      <c r="L350" s="340">
        <f t="shared" ref="L350:Y350" si="177">IF(ISNUMBER(L349),(L349-K349),"")</f>
        <v>0</v>
      </c>
      <c r="M350" s="340">
        <f t="shared" si="177"/>
        <v>0</v>
      </c>
      <c r="N350" s="340">
        <f t="shared" si="177"/>
        <v>0</v>
      </c>
      <c r="O350" s="340">
        <f t="shared" si="177"/>
        <v>0</v>
      </c>
      <c r="P350" s="340">
        <f t="shared" si="177"/>
        <v>0</v>
      </c>
      <c r="Q350" s="340">
        <f t="shared" si="177"/>
        <v>0</v>
      </c>
      <c r="R350" s="350">
        <f t="shared" si="177"/>
        <v>0</v>
      </c>
      <c r="S350" s="340">
        <f t="shared" si="177"/>
        <v>0</v>
      </c>
      <c r="T350" s="340">
        <f t="shared" si="177"/>
        <v>0</v>
      </c>
      <c r="U350" s="340">
        <f t="shared" si="177"/>
        <v>0</v>
      </c>
      <c r="V350" s="340">
        <f t="shared" si="177"/>
        <v>0</v>
      </c>
      <c r="W350" s="340">
        <f t="shared" si="177"/>
        <v>0</v>
      </c>
      <c r="X350" s="340">
        <f t="shared" si="177"/>
        <v>0</v>
      </c>
      <c r="Y350" s="340">
        <f t="shared" si="177"/>
        <v>0</v>
      </c>
      <c r="Z350" s="340">
        <f t="shared" ref="Z350" si="178">IF(ISNUMBER(Z349),(Z349-Y349),"")</f>
        <v>0</v>
      </c>
      <c r="AA350" s="340">
        <f t="shared" ref="AA350" si="179">IF(ISNUMBER(AA349),(AA349-Z349),"")</f>
        <v>0</v>
      </c>
      <c r="AB350" s="340">
        <f t="shared" ref="AB350" si="180">IF(ISNUMBER(AB349),(AB349-AA349),"")</f>
        <v>0</v>
      </c>
      <c r="AC350" s="340">
        <f t="shared" ref="AC350" si="181">IF(ISNUMBER(AC349),(AC349-AB349),"")</f>
        <v>0</v>
      </c>
      <c r="AD350" s="340">
        <f t="shared" ref="AD350" si="182">IF(ISNUMBER(AD349),(AD349-AC349),"")</f>
        <v>0</v>
      </c>
      <c r="AE350" s="340">
        <f t="shared" ref="AE350" si="183">IF(ISNUMBER(AE349),(AE349-AD349),"")</f>
        <v>0</v>
      </c>
      <c r="AF350" s="340">
        <f t="shared" ref="AF350" si="184">IF(ISNUMBER(AF349),(AF349-AE349),"")</f>
        <v>0</v>
      </c>
      <c r="AG350" s="340">
        <f t="shared" ref="AG350" si="185">IF(ISNUMBER(AG349),(AG349-AF349),"")</f>
        <v>0</v>
      </c>
      <c r="AH350" s="340">
        <f t="shared" ref="AH350" si="186">IF(ISNUMBER(AH349),(AH349-AG349),"")</f>
        <v>0</v>
      </c>
      <c r="AI350" s="340">
        <f t="shared" ref="AI350" si="187">IF(ISNUMBER(AI349),(AI349-AH349),"")</f>
        <v>0</v>
      </c>
      <c r="AJ350" s="340">
        <f t="shared" ref="AJ350" si="188">IF(ISNUMBER(AJ349),(AJ349-AI349),"")</f>
        <v>0</v>
      </c>
      <c r="AK350" s="340">
        <f t="shared" ref="AK350" si="189">IF(ISNUMBER(AK349),(AK349-AJ349),"")</f>
        <v>0</v>
      </c>
      <c r="AL350" s="340">
        <f t="shared" ref="AL350" si="190">IF(ISNUMBER(AL349),(AL349-AK349),"")</f>
        <v>0</v>
      </c>
      <c r="AM350" s="340">
        <f t="shared" ref="AM350" si="191">IF(ISNUMBER(AM349),(AM349-AL349),"")</f>
        <v>0</v>
      </c>
      <c r="AN350" s="340">
        <f t="shared" ref="AN350" si="192">IF(ISNUMBER(AN349),(AN349-AM349),"")</f>
        <v>0</v>
      </c>
      <c r="AO350" s="340" t="str">
        <f t="shared" ref="AO350" si="193">IF(ISNUMBER(AO349),(AO349-AN349),"")</f>
        <v/>
      </c>
      <c r="AP350" s="340" t="str">
        <f t="shared" ref="AP350" si="194">IF(ISNUMBER(AP349),(AP349-AO349),"")</f>
        <v/>
      </c>
      <c r="AQ350" s="340" t="str">
        <f t="shared" ref="AQ350" si="195">IF(ISNUMBER(AQ349),(AQ349-AP349),"")</f>
        <v/>
      </c>
      <c r="AR350" s="340" t="str">
        <f t="shared" ref="AR350" si="196">IF(ISNUMBER(AR349),(AR349-AQ349),"")</f>
        <v/>
      </c>
      <c r="AS350" s="340" t="str">
        <f t="shared" ref="AS350" si="197">IF(ISNUMBER(AS349),(AS349-AR349),"")</f>
        <v/>
      </c>
      <c r="AT350" s="340" t="str">
        <f t="shared" ref="AT350" si="198">IF(ISNUMBER(AT349),(AT349-AS349),"")</f>
        <v/>
      </c>
      <c r="AU350" s="340" t="str">
        <f t="shared" ref="AU350" si="199">IF(ISNUMBER(AU349),(AU349-AT349),"")</f>
        <v/>
      </c>
      <c r="AV350" s="340" t="str">
        <f t="shared" ref="AV350" si="200">IF(ISNUMBER(AV349),(AV349-AU349),"")</f>
        <v/>
      </c>
      <c r="AW350" s="340" t="str">
        <f t="shared" ref="AW350" si="201">IF(ISNUMBER(AW349),(AW349-AV349),"")</f>
        <v/>
      </c>
    </row>
    <row r="351" spans="1:16380" s="1" customFormat="1" ht="15.6">
      <c r="A351" s="361"/>
      <c r="B351" s="361"/>
      <c r="C351" s="368"/>
      <c r="D351" s="365"/>
      <c r="E351" s="390"/>
      <c r="F351" s="362" t="s">
        <v>2095</v>
      </c>
      <c r="G351" s="8" t="s">
        <v>2163</v>
      </c>
      <c r="H351" s="8"/>
      <c r="I351" s="58">
        <v>1</v>
      </c>
      <c r="J351" s="22" t="s">
        <v>1653</v>
      </c>
      <c r="K351" s="482">
        <v>1050</v>
      </c>
      <c r="L351" s="510">
        <v>1055</v>
      </c>
      <c r="M351" s="344">
        <v>1074</v>
      </c>
      <c r="N351" s="344">
        <v>1083</v>
      </c>
      <c r="O351" s="344">
        <v>1108</v>
      </c>
      <c r="P351" s="482">
        <v>1130</v>
      </c>
      <c r="Q351" s="344">
        <v>1130</v>
      </c>
      <c r="R351" s="672">
        <v>1130</v>
      </c>
      <c r="S351" s="344">
        <v>1143</v>
      </c>
      <c r="T351" s="344">
        <v>1152</v>
      </c>
      <c r="U351" s="482">
        <f>(V351-T351)/2+T351</f>
        <v>1161</v>
      </c>
      <c r="V351" s="344">
        <v>1170</v>
      </c>
      <c r="W351" s="344">
        <v>1179</v>
      </c>
      <c r="X351" s="510">
        <v>1187</v>
      </c>
      <c r="Y351" s="483">
        <v>1194</v>
      </c>
      <c r="Z351" s="1">
        <v>1203</v>
      </c>
      <c r="AA351" s="483">
        <v>1210</v>
      </c>
      <c r="AB351" s="1">
        <v>1219</v>
      </c>
      <c r="AC351" s="355">
        <v>1228</v>
      </c>
      <c r="AD351" s="355">
        <v>1238</v>
      </c>
      <c r="AE351" s="355">
        <v>1243</v>
      </c>
      <c r="AF351" s="355">
        <v>1252</v>
      </c>
      <c r="AG351" s="355">
        <v>1261</v>
      </c>
      <c r="AH351" s="510">
        <v>1268</v>
      </c>
      <c r="AI351" s="1">
        <v>1272</v>
      </c>
      <c r="AJ351" s="214">
        <v>1275</v>
      </c>
      <c r="AK351" s="214">
        <v>1278</v>
      </c>
    </row>
    <row r="352" spans="1:16380" s="1" customFormat="1" ht="15.6">
      <c r="A352" s="361" t="s">
        <v>2164</v>
      </c>
      <c r="B352" s="361" t="s">
        <v>2165</v>
      </c>
      <c r="C352" s="360">
        <f ca="1">OFFSET(K352,0,COUNT(L352:AJ352))</f>
        <v>3</v>
      </c>
      <c r="D352" s="365" t="s">
        <v>418</v>
      </c>
      <c r="E352" s="390"/>
      <c r="F352" s="362"/>
      <c r="G352" s="8"/>
      <c r="H352" s="8"/>
      <c r="I352" s="58"/>
      <c r="J352" s="22"/>
      <c r="K352" s="340"/>
      <c r="L352" s="340">
        <f t="shared" ref="L352:X352" si="202">IF(ISNUMBER(L351),(L351-K351),"")</f>
        <v>5</v>
      </c>
      <c r="M352" s="340">
        <f t="shared" si="202"/>
        <v>19</v>
      </c>
      <c r="N352" s="340">
        <f t="shared" si="202"/>
        <v>9</v>
      </c>
      <c r="O352" s="340">
        <f t="shared" si="202"/>
        <v>25</v>
      </c>
      <c r="P352" s="340">
        <f t="shared" si="202"/>
        <v>22</v>
      </c>
      <c r="Q352" s="340">
        <f t="shared" si="202"/>
        <v>0</v>
      </c>
      <c r="R352" s="350">
        <f t="shared" si="202"/>
        <v>0</v>
      </c>
      <c r="S352" s="340">
        <f t="shared" si="202"/>
        <v>13</v>
      </c>
      <c r="T352" s="340">
        <f t="shared" si="202"/>
        <v>9</v>
      </c>
      <c r="U352" s="340">
        <f t="shared" si="202"/>
        <v>9</v>
      </c>
      <c r="V352" s="340">
        <f t="shared" si="202"/>
        <v>9</v>
      </c>
      <c r="W352" s="340">
        <f t="shared" si="202"/>
        <v>9</v>
      </c>
      <c r="X352" s="340">
        <f t="shared" si="202"/>
        <v>8</v>
      </c>
      <c r="Y352" s="340">
        <f t="shared" ref="Y352" si="203">IF(ISNUMBER(Y351),(Y351-X351),"")</f>
        <v>7</v>
      </c>
      <c r="Z352" s="340">
        <f>IF(ISNUMBER(Z351),(Z351-Y351),"")</f>
        <v>9</v>
      </c>
      <c r="AA352" s="340">
        <f t="shared" ref="AA352:AE352" si="204">IF(ISNUMBER(AA351),(AA351-Z351),"")</f>
        <v>7</v>
      </c>
      <c r="AB352" s="340">
        <f t="shared" si="204"/>
        <v>9</v>
      </c>
      <c r="AC352" s="340">
        <f t="shared" si="204"/>
        <v>9</v>
      </c>
      <c r="AD352" s="340">
        <f t="shared" si="204"/>
        <v>10</v>
      </c>
      <c r="AE352" s="340">
        <f t="shared" si="204"/>
        <v>5</v>
      </c>
      <c r="AF352" s="340">
        <f t="shared" ref="AF352" si="205">IF(ISNUMBER(AF351),(AF351-AE351),"")</f>
        <v>9</v>
      </c>
      <c r="AG352" s="340">
        <f t="shared" ref="AG352" si="206">IF(ISNUMBER(AG351),(AG351-AF351),"")</f>
        <v>9</v>
      </c>
      <c r="AH352" s="340">
        <f t="shared" ref="AH352" si="207">IF(ISNUMBER(AH351),(AH351-AG351),"")</f>
        <v>7</v>
      </c>
      <c r="AI352" s="340">
        <f t="shared" ref="AI352" si="208">IF(ISNUMBER(AI351),(AI351-AH351),"")</f>
        <v>4</v>
      </c>
      <c r="AJ352" s="340">
        <f t="shared" ref="AJ352" si="209">IF(ISNUMBER(AJ351),(AJ351-AI351),"")</f>
        <v>3</v>
      </c>
      <c r="AK352" s="340">
        <f t="shared" ref="AK352" si="210">IF(ISNUMBER(AK351),(AK351-AJ351),"")</f>
        <v>3</v>
      </c>
      <c r="AL352" s="340" t="str">
        <f t="shared" ref="AL352" si="211">IF(ISNUMBER(AL351),(AL351-AK351),"")</f>
        <v/>
      </c>
      <c r="AM352" s="340" t="str">
        <f t="shared" ref="AM352" si="212">IF(ISNUMBER(AM351),(AM351-AL351),"")</f>
        <v/>
      </c>
      <c r="AN352" s="340" t="str">
        <f t="shared" ref="AN352" si="213">IF(ISNUMBER(AN351),(AN351-AM351),"")</f>
        <v/>
      </c>
      <c r="AO352" s="340" t="str">
        <f t="shared" ref="AO352" si="214">IF(ISNUMBER(AO351),(AO351-AN351),"")</f>
        <v/>
      </c>
      <c r="AP352" s="340" t="str">
        <f t="shared" ref="AP352" si="215">IF(ISNUMBER(AP351),(AP351-AO351),"")</f>
        <v/>
      </c>
      <c r="AQ352" s="340" t="str">
        <f t="shared" ref="AQ352" si="216">IF(ISNUMBER(AQ351),(AQ351-AP351),"")</f>
        <v/>
      </c>
      <c r="AR352" s="340" t="str">
        <f t="shared" ref="AR352" si="217">IF(ISNUMBER(AR351),(AR351-AQ351),"")</f>
        <v/>
      </c>
      <c r="AS352" s="340" t="str">
        <f t="shared" ref="AS352" si="218">IF(ISNUMBER(AS351),(AS351-AR351),"")</f>
        <v/>
      </c>
      <c r="AT352" s="340" t="str">
        <f t="shared" ref="AT352" si="219">IF(ISNUMBER(AT351),(AT351-AS351),"")</f>
        <v/>
      </c>
      <c r="AU352" s="340" t="str">
        <f t="shared" ref="AU352" si="220">IF(ISNUMBER(AU351),(AU351-AT351),"")</f>
        <v/>
      </c>
      <c r="AV352" s="340" t="str">
        <f t="shared" ref="AV352" si="221">IF(ISNUMBER(AV351),(AV351-AU351),"")</f>
        <v/>
      </c>
      <c r="AW352" s="340" t="str">
        <f t="shared" ref="AW352" si="222">IF(ISNUMBER(AW351),(AW351-AV351),"")</f>
        <v/>
      </c>
    </row>
    <row r="353" spans="1:49" s="1" customFormat="1" ht="15.6">
      <c r="A353" s="361"/>
      <c r="B353" s="361"/>
      <c r="C353" s="368"/>
      <c r="D353" s="365"/>
      <c r="E353" s="390"/>
      <c r="F353" s="362" t="s">
        <v>2095</v>
      </c>
      <c r="G353" s="8" t="s">
        <v>2166</v>
      </c>
      <c r="H353" s="8"/>
      <c r="I353" s="58">
        <v>1</v>
      </c>
      <c r="J353" s="22" t="s">
        <v>1653</v>
      </c>
      <c r="K353" s="344">
        <v>4220</v>
      </c>
      <c r="L353" s="355">
        <v>4245</v>
      </c>
      <c r="M353" s="344">
        <v>4268</v>
      </c>
      <c r="N353" s="344">
        <v>4305</v>
      </c>
      <c r="O353" s="344">
        <v>4347</v>
      </c>
      <c r="P353" s="344">
        <v>4393</v>
      </c>
      <c r="Q353" s="344">
        <v>4442</v>
      </c>
      <c r="R353" s="672">
        <v>4504</v>
      </c>
      <c r="S353" s="344">
        <v>4585</v>
      </c>
      <c r="T353" s="344">
        <v>4647</v>
      </c>
      <c r="U353" s="482">
        <f>(V353-T353)/2+T353</f>
        <v>4698</v>
      </c>
      <c r="V353" s="344">
        <v>4749</v>
      </c>
      <c r="W353" s="344">
        <v>4796</v>
      </c>
      <c r="X353" s="355">
        <v>4823</v>
      </c>
      <c r="Y353" s="355">
        <v>4845</v>
      </c>
      <c r="Z353" s="355">
        <v>4937</v>
      </c>
      <c r="AA353" s="510">
        <f>Z353+50</f>
        <v>4987</v>
      </c>
      <c r="AB353" s="355">
        <v>5004</v>
      </c>
      <c r="AC353" s="421">
        <v>5045</v>
      </c>
      <c r="AD353" s="421">
        <v>5073</v>
      </c>
      <c r="AE353" s="421">
        <v>5119</v>
      </c>
      <c r="AF353" s="421">
        <v>5160</v>
      </c>
      <c r="AG353" s="421">
        <v>5199</v>
      </c>
      <c r="AH353" s="421">
        <v>5239</v>
      </c>
      <c r="AI353" s="1">
        <v>5270</v>
      </c>
      <c r="AJ353" s="214">
        <v>5290</v>
      </c>
      <c r="AK353" s="1">
        <v>5307</v>
      </c>
    </row>
    <row r="354" spans="1:49" s="1" customFormat="1" ht="15.6">
      <c r="A354" s="361" t="s">
        <v>2161</v>
      </c>
      <c r="B354" s="371" t="s">
        <v>2167</v>
      </c>
      <c r="C354" s="360">
        <f ca="1">OFFSET(K354,0,COUNT(L354:AJ354))</f>
        <v>20</v>
      </c>
      <c r="D354" s="365" t="s">
        <v>418</v>
      </c>
      <c r="E354" s="386">
        <f ca="1">((OFFSET(K354,0,COUNT(L354:X354)))/(OFFSET(L354,0,COUNT(M354:X354)-1)))-1</f>
        <v>-0.42553191489361697</v>
      </c>
      <c r="F354" s="362"/>
      <c r="G354" s="8"/>
      <c r="H354" s="8"/>
      <c r="I354" s="58"/>
      <c r="J354" s="22"/>
      <c r="K354" s="340"/>
      <c r="L354" s="340">
        <f t="shared" ref="L354:Z354" si="223">IF(ISNUMBER(L353),(L353-K353),"")</f>
        <v>25</v>
      </c>
      <c r="M354" s="340">
        <f t="shared" si="223"/>
        <v>23</v>
      </c>
      <c r="N354" s="340">
        <f t="shared" si="223"/>
        <v>37</v>
      </c>
      <c r="O354" s="340">
        <f t="shared" si="223"/>
        <v>42</v>
      </c>
      <c r="P354" s="340">
        <f t="shared" si="223"/>
        <v>46</v>
      </c>
      <c r="Q354" s="340">
        <f t="shared" si="223"/>
        <v>49</v>
      </c>
      <c r="R354" s="350">
        <f t="shared" si="223"/>
        <v>62</v>
      </c>
      <c r="S354" s="340">
        <f t="shared" si="223"/>
        <v>81</v>
      </c>
      <c r="T354" s="340">
        <f t="shared" si="223"/>
        <v>62</v>
      </c>
      <c r="U354" s="340">
        <f t="shared" si="223"/>
        <v>51</v>
      </c>
      <c r="V354" s="340">
        <f t="shared" si="223"/>
        <v>51</v>
      </c>
      <c r="W354" s="340">
        <f t="shared" si="223"/>
        <v>47</v>
      </c>
      <c r="X354" s="340">
        <f t="shared" si="223"/>
        <v>27</v>
      </c>
      <c r="Y354" s="340">
        <f t="shared" si="223"/>
        <v>22</v>
      </c>
      <c r="Z354" s="340">
        <f t="shared" si="223"/>
        <v>92</v>
      </c>
      <c r="AA354" s="340">
        <f t="shared" ref="AA354" si="224">IF(ISNUMBER(AA353),(AA353-Z353),"")</f>
        <v>50</v>
      </c>
      <c r="AB354" s="340">
        <f t="shared" ref="AB354" si="225">IF(ISNUMBER(AB353),(AB353-AA353),"")</f>
        <v>17</v>
      </c>
      <c r="AC354" s="340">
        <f t="shared" ref="AC354" si="226">IF(ISNUMBER(AC353),(AC353-AB353),"")</f>
        <v>41</v>
      </c>
      <c r="AD354" s="340">
        <f t="shared" ref="AD354" si="227">IF(ISNUMBER(AD353),(AD353-AC353),"")</f>
        <v>28</v>
      </c>
      <c r="AE354" s="340">
        <f t="shared" ref="AE354" si="228">IF(ISNUMBER(AE353),(AE353-AD353),"")</f>
        <v>46</v>
      </c>
      <c r="AF354" s="340">
        <f t="shared" ref="AF354" si="229">IF(ISNUMBER(AF353),(AF353-AE353),"")</f>
        <v>41</v>
      </c>
      <c r="AG354" s="340">
        <f t="shared" ref="AG354" si="230">IF(ISNUMBER(AG353),(AG353-AF353),"")</f>
        <v>39</v>
      </c>
      <c r="AH354" s="340">
        <f t="shared" ref="AH354" si="231">IF(ISNUMBER(AH353),(AH353-AG353),"")</f>
        <v>40</v>
      </c>
      <c r="AI354" s="340">
        <f t="shared" ref="AI354" si="232">IF(ISNUMBER(AI353),(AI353-AH353),"")</f>
        <v>31</v>
      </c>
      <c r="AJ354" s="340">
        <f t="shared" ref="AJ354" si="233">IF(ISNUMBER(AJ353),(AJ353-AI353),"")</f>
        <v>20</v>
      </c>
      <c r="AK354" s="340">
        <f t="shared" ref="AK354" si="234">IF(ISNUMBER(AK353),(AK353-AJ353),"")</f>
        <v>17</v>
      </c>
      <c r="AL354" s="340" t="str">
        <f t="shared" ref="AL354" si="235">IF(ISNUMBER(AL353),(AL353-AK353),"")</f>
        <v/>
      </c>
      <c r="AM354" s="340" t="str">
        <f t="shared" ref="AM354" si="236">IF(ISNUMBER(AM353),(AM353-AL353),"")</f>
        <v/>
      </c>
      <c r="AN354" s="340" t="str">
        <f t="shared" ref="AN354" si="237">IF(ISNUMBER(AN353),(AN353-AM353),"")</f>
        <v/>
      </c>
      <c r="AO354" s="340" t="str">
        <f t="shared" ref="AO354" si="238">IF(ISNUMBER(AO353),(AO353-AN353),"")</f>
        <v/>
      </c>
      <c r="AP354" s="340" t="str">
        <f t="shared" ref="AP354" si="239">IF(ISNUMBER(AP353),(AP353-AO353),"")</f>
        <v/>
      </c>
      <c r="AQ354" s="340" t="str">
        <f t="shared" ref="AQ354" si="240">IF(ISNUMBER(AQ353),(AQ353-AP353),"")</f>
        <v/>
      </c>
      <c r="AR354" s="340" t="str">
        <f t="shared" ref="AR354" si="241">IF(ISNUMBER(AR353),(AR353-AQ353),"")</f>
        <v/>
      </c>
      <c r="AS354" s="340" t="str">
        <f t="shared" ref="AS354" si="242">IF(ISNUMBER(AS353),(AS353-AR353),"")</f>
        <v/>
      </c>
      <c r="AT354" s="340" t="str">
        <f t="shared" ref="AT354" si="243">IF(ISNUMBER(AT353),(AT353-AS353),"")</f>
        <v/>
      </c>
      <c r="AU354" s="340" t="str">
        <f t="shared" ref="AU354" si="244">IF(ISNUMBER(AU353),(AU353-AT353),"")</f>
        <v/>
      </c>
      <c r="AV354" s="340" t="str">
        <f t="shared" ref="AV354" si="245">IF(ISNUMBER(AV353),(AV353-AU353),"")</f>
        <v/>
      </c>
      <c r="AW354" s="340" t="str">
        <f t="shared" ref="AW354" si="246">IF(ISNUMBER(AW353),(AW353-AV353),"")</f>
        <v/>
      </c>
    </row>
    <row r="355" spans="1:49" s="1" customFormat="1" ht="15.6">
      <c r="A355" s="361"/>
      <c r="B355" s="371"/>
      <c r="C355" s="368"/>
      <c r="D355" s="365"/>
      <c r="E355" s="390"/>
      <c r="F355" s="362" t="s">
        <v>2095</v>
      </c>
      <c r="G355" s="8" t="s">
        <v>2168</v>
      </c>
      <c r="H355" s="8"/>
      <c r="I355" s="58">
        <v>1</v>
      </c>
      <c r="J355" s="22" t="s">
        <v>1653</v>
      </c>
      <c r="K355" s="344">
        <v>1374</v>
      </c>
      <c r="L355" s="355">
        <v>1374</v>
      </c>
      <c r="M355" s="344">
        <v>1374</v>
      </c>
      <c r="N355" s="345">
        <v>1374</v>
      </c>
      <c r="O355" s="345">
        <v>1374</v>
      </c>
      <c r="P355" s="345">
        <v>1374</v>
      </c>
      <c r="Q355" s="345">
        <v>1374</v>
      </c>
      <c r="R355" s="350">
        <v>1374</v>
      </c>
      <c r="S355" s="345">
        <v>1374</v>
      </c>
      <c r="T355" s="345">
        <v>1374</v>
      </c>
      <c r="U355" s="345">
        <v>1374</v>
      </c>
      <c r="V355" s="345">
        <v>1374</v>
      </c>
      <c r="W355" s="345">
        <v>1374</v>
      </c>
      <c r="X355" s="355">
        <v>1374</v>
      </c>
      <c r="Y355" s="355">
        <v>1374</v>
      </c>
      <c r="Z355" s="355">
        <v>1374</v>
      </c>
      <c r="AA355" s="355">
        <v>1374</v>
      </c>
      <c r="AB355" s="355">
        <v>1374</v>
      </c>
      <c r="AC355" s="344">
        <v>1374</v>
      </c>
      <c r="AD355" s="344">
        <v>1374</v>
      </c>
      <c r="AE355" s="344">
        <v>1374</v>
      </c>
      <c r="AF355" s="344">
        <v>1374</v>
      </c>
      <c r="AG355" s="344">
        <v>1374</v>
      </c>
      <c r="AH355" s="344">
        <v>1374</v>
      </c>
      <c r="AI355" s="1">
        <v>1374</v>
      </c>
      <c r="AJ355" s="1">
        <v>1374</v>
      </c>
      <c r="AK355" s="1">
        <v>1374</v>
      </c>
      <c r="AL355" s="1">
        <v>1374</v>
      </c>
      <c r="AM355" s="1">
        <v>1374</v>
      </c>
      <c r="AN355" s="1">
        <v>1374</v>
      </c>
    </row>
    <row r="356" spans="1:49" s="1" customFormat="1" ht="15.6">
      <c r="A356" s="361" t="s">
        <v>2161</v>
      </c>
      <c r="B356" s="361" t="s">
        <v>2169</v>
      </c>
      <c r="C356" s="360">
        <f ca="1">OFFSET(K356,0,COUNT(L356:AJ356))</f>
        <v>0</v>
      </c>
      <c r="D356" s="365" t="s">
        <v>418</v>
      </c>
      <c r="E356" s="390"/>
      <c r="F356" s="362"/>
      <c r="G356" s="8"/>
      <c r="H356" s="8"/>
      <c r="I356" s="58"/>
      <c r="J356" s="22"/>
      <c r="K356" s="340"/>
      <c r="L356" s="340">
        <f t="shared" ref="L356:Z356" si="247">IF(ISNUMBER(L355),(L355-K355),"")</f>
        <v>0</v>
      </c>
      <c r="M356" s="340">
        <f t="shared" si="247"/>
        <v>0</v>
      </c>
      <c r="N356" s="340">
        <f t="shared" si="247"/>
        <v>0</v>
      </c>
      <c r="O356" s="340">
        <f t="shared" si="247"/>
        <v>0</v>
      </c>
      <c r="P356" s="340">
        <f t="shared" si="247"/>
        <v>0</v>
      </c>
      <c r="Q356" s="340">
        <f t="shared" si="247"/>
        <v>0</v>
      </c>
      <c r="R356" s="350">
        <f t="shared" si="247"/>
        <v>0</v>
      </c>
      <c r="S356" s="340">
        <f t="shared" si="247"/>
        <v>0</v>
      </c>
      <c r="T356" s="340">
        <f t="shared" si="247"/>
        <v>0</v>
      </c>
      <c r="U356" s="340">
        <f t="shared" si="247"/>
        <v>0</v>
      </c>
      <c r="V356" s="340">
        <f t="shared" si="247"/>
        <v>0</v>
      </c>
      <c r="W356" s="340">
        <f t="shared" si="247"/>
        <v>0</v>
      </c>
      <c r="X356" s="340">
        <f t="shared" si="247"/>
        <v>0</v>
      </c>
      <c r="Y356" s="340">
        <f t="shared" si="247"/>
        <v>0</v>
      </c>
      <c r="Z356" s="340">
        <f t="shared" si="247"/>
        <v>0</v>
      </c>
      <c r="AA356" s="340">
        <f t="shared" ref="AA356" si="248">IF(ISNUMBER(AA355),(AA355-Z355),"")</f>
        <v>0</v>
      </c>
      <c r="AB356" s="340">
        <f t="shared" ref="AB356" si="249">IF(ISNUMBER(AB355),(AB355-AA355),"")</f>
        <v>0</v>
      </c>
      <c r="AC356" s="340">
        <f t="shared" ref="AC356" si="250">IF(ISNUMBER(AC355),(AC355-AB355),"")</f>
        <v>0</v>
      </c>
      <c r="AD356" s="340">
        <f t="shared" ref="AD356" si="251">IF(ISNUMBER(AD355),(AD355-AC355),"")</f>
        <v>0</v>
      </c>
      <c r="AE356" s="340">
        <f t="shared" ref="AE356" si="252">IF(ISNUMBER(AE355),(AE355-AD355),"")</f>
        <v>0</v>
      </c>
      <c r="AF356" s="340">
        <f t="shared" ref="AF356" si="253">IF(ISNUMBER(AF355),(AF355-AE355),"")</f>
        <v>0</v>
      </c>
      <c r="AG356" s="340">
        <f t="shared" ref="AG356" si="254">IF(ISNUMBER(AG355),(AG355-AF355),"")</f>
        <v>0</v>
      </c>
      <c r="AH356" s="340">
        <f t="shared" ref="AH356" si="255">IF(ISNUMBER(AH355),(AH355-AG355),"")</f>
        <v>0</v>
      </c>
      <c r="AI356" s="340">
        <f t="shared" ref="AI356" si="256">IF(ISNUMBER(AI355),(AI355-AH355),"")</f>
        <v>0</v>
      </c>
      <c r="AJ356" s="340">
        <f t="shared" ref="AJ356" si="257">IF(ISNUMBER(AJ355),(AJ355-AI355),"")</f>
        <v>0</v>
      </c>
      <c r="AK356" s="340">
        <f t="shared" ref="AK356" si="258">IF(ISNUMBER(AK355),(AK355-AJ355),"")</f>
        <v>0</v>
      </c>
      <c r="AL356" s="340">
        <f t="shared" ref="AL356" si="259">IF(ISNUMBER(AL355),(AL355-AK355),"")</f>
        <v>0</v>
      </c>
      <c r="AM356" s="340">
        <f t="shared" ref="AM356" si="260">IF(ISNUMBER(AM355),(AM355-AL355),"")</f>
        <v>0</v>
      </c>
      <c r="AN356" s="340">
        <f t="shared" ref="AN356" si="261">IF(ISNUMBER(AN355),(AN355-AM355),"")</f>
        <v>0</v>
      </c>
      <c r="AO356" s="340" t="str">
        <f t="shared" ref="AO356" si="262">IF(ISNUMBER(AO355),(AO355-AN355),"")</f>
        <v/>
      </c>
      <c r="AP356" s="340" t="str">
        <f t="shared" ref="AP356" si="263">IF(ISNUMBER(AP355),(AP355-AO355),"")</f>
        <v/>
      </c>
      <c r="AQ356" s="340" t="str">
        <f t="shared" ref="AQ356" si="264">IF(ISNUMBER(AQ355),(AQ355-AP355),"")</f>
        <v/>
      </c>
      <c r="AR356" s="340" t="str">
        <f t="shared" ref="AR356" si="265">IF(ISNUMBER(AR355),(AR355-AQ355),"")</f>
        <v/>
      </c>
      <c r="AS356" s="340" t="str">
        <f t="shared" ref="AS356" si="266">IF(ISNUMBER(AS355),(AS355-AR355),"")</f>
        <v/>
      </c>
      <c r="AT356" s="340" t="str">
        <f t="shared" ref="AT356" si="267">IF(ISNUMBER(AT355),(AT355-AS355),"")</f>
        <v/>
      </c>
      <c r="AU356" s="340" t="str">
        <f t="shared" ref="AU356" si="268">IF(ISNUMBER(AU355),(AU355-AT355),"")</f>
        <v/>
      </c>
      <c r="AV356" s="340" t="str">
        <f t="shared" ref="AV356" si="269">IF(ISNUMBER(AV355),(AV355-AU355),"")</f>
        <v/>
      </c>
      <c r="AW356" s="340" t="str">
        <f t="shared" ref="AW356" si="270">IF(ISNUMBER(AW355),(AW355-AV355),"")</f>
        <v/>
      </c>
    </row>
    <row r="357" spans="1:49" s="1" customFormat="1" ht="15.6">
      <c r="A357" s="361" t="s">
        <v>1569</v>
      </c>
      <c r="B357" s="361" t="s">
        <v>2170</v>
      </c>
      <c r="C357" s="491">
        <f ca="1">C352+C354</f>
        <v>23</v>
      </c>
      <c r="D357" s="365" t="s">
        <v>418</v>
      </c>
      <c r="E357" s="390"/>
      <c r="F357" s="362"/>
      <c r="G357" s="8"/>
      <c r="H357" s="8"/>
      <c r="I357" s="58"/>
      <c r="J357" s="349" t="s">
        <v>75</v>
      </c>
      <c r="K357" s="341"/>
      <c r="L357" s="348"/>
      <c r="M357" s="341"/>
      <c r="N357" s="341"/>
      <c r="O357" s="341"/>
      <c r="P357" s="341"/>
      <c r="Q357" s="341"/>
      <c r="R357" s="350"/>
      <c r="S357" s="341"/>
      <c r="T357" s="341"/>
      <c r="U357" s="341"/>
      <c r="V357" s="341"/>
      <c r="W357" s="341"/>
      <c r="X357" s="348"/>
      <c r="Y357" s="348"/>
      <c r="Z357" s="348"/>
      <c r="AA357" s="348"/>
      <c r="AB357" s="348"/>
      <c r="AC357" s="344"/>
      <c r="AD357" s="344"/>
      <c r="AE357" s="344"/>
      <c r="AF357" s="344"/>
      <c r="AG357" s="344"/>
      <c r="AH357" s="344"/>
    </row>
    <row r="358" spans="1:49" s="1" customFormat="1" ht="15.6">
      <c r="A358" s="361"/>
      <c r="B358" s="361"/>
      <c r="C358" s="1217"/>
      <c r="D358" s="365"/>
      <c r="E358" s="390"/>
      <c r="F358" s="362"/>
      <c r="G358" s="8"/>
      <c r="H358" s="8"/>
      <c r="I358" s="58"/>
      <c r="J358" s="1098"/>
      <c r="K358" s="341">
        <v>0</v>
      </c>
      <c r="L358" s="348">
        <v>0</v>
      </c>
      <c r="M358" s="341">
        <v>0</v>
      </c>
      <c r="N358" s="341">
        <v>0</v>
      </c>
      <c r="O358" s="341">
        <v>0</v>
      </c>
      <c r="P358" s="341">
        <v>0</v>
      </c>
      <c r="Q358" s="341">
        <v>0</v>
      </c>
      <c r="R358" s="350">
        <v>0</v>
      </c>
      <c r="S358" s="1218">
        <v>0</v>
      </c>
      <c r="T358" s="341">
        <v>0</v>
      </c>
      <c r="U358" s="341">
        <v>0</v>
      </c>
      <c r="V358" s="341">
        <v>0</v>
      </c>
      <c r="W358" s="341">
        <v>0</v>
      </c>
      <c r="X358" s="348">
        <v>0</v>
      </c>
      <c r="Y358" s="348">
        <v>0</v>
      </c>
      <c r="Z358" s="348">
        <v>0</v>
      </c>
      <c r="AA358" s="348">
        <v>0</v>
      </c>
      <c r="AB358" s="348">
        <v>0</v>
      </c>
      <c r="AC358" s="344">
        <v>0</v>
      </c>
      <c r="AD358" s="344">
        <v>0</v>
      </c>
      <c r="AE358" s="344">
        <v>0</v>
      </c>
      <c r="AF358" s="344">
        <v>0</v>
      </c>
      <c r="AG358" s="344">
        <v>0</v>
      </c>
      <c r="AH358" s="344">
        <v>0</v>
      </c>
      <c r="AI358" s="1">
        <v>9999</v>
      </c>
      <c r="AJ358" s="1">
        <v>9999</v>
      </c>
      <c r="AK358" s="1">
        <v>9999</v>
      </c>
    </row>
    <row r="359" spans="1:49" s="1" customFormat="1" ht="15.6">
      <c r="A359" s="361" t="s">
        <v>2171</v>
      </c>
      <c r="B359" s="361" t="s">
        <v>2172</v>
      </c>
      <c r="C359" s="1217">
        <f ca="1">OFFSET(K359,0,COUNT(L359:AJ359))</f>
        <v>0</v>
      </c>
      <c r="D359" s="365" t="s">
        <v>418</v>
      </c>
      <c r="E359" s="390" t="e">
        <f ca="1">((OFFSET(K359,0,COUNT(L359:X359)))/(OFFSET(L359,0,COUNT(M359:X359)-1)))-1</f>
        <v>#DIV/0!</v>
      </c>
      <c r="F359" s="362"/>
      <c r="G359" s="8"/>
      <c r="H359" s="8"/>
      <c r="I359" s="58"/>
      <c r="J359" s="1098"/>
      <c r="K359" s="341"/>
      <c r="L359" s="348">
        <f t="shared" ref="L359" si="271">IF(ISNUMBER(L358),(L358-K358),"")</f>
        <v>0</v>
      </c>
      <c r="M359" s="341">
        <f t="shared" ref="M359" si="272">IF(ISNUMBER(M358),(M358-L358),"")</f>
        <v>0</v>
      </c>
      <c r="N359" s="341">
        <f t="shared" ref="N359" si="273">IF(ISNUMBER(N358),(N358-M358),"")</f>
        <v>0</v>
      </c>
      <c r="O359" s="341">
        <f t="shared" ref="O359" si="274">IF(ISNUMBER(O358),(O358-N358),"")</f>
        <v>0</v>
      </c>
      <c r="P359" s="341">
        <f t="shared" ref="P359" si="275">IF(ISNUMBER(P358),(P358-O358),"")</f>
        <v>0</v>
      </c>
      <c r="Q359" s="341">
        <f t="shared" ref="Q359" si="276">IF(ISNUMBER(Q358),(Q358-P358),"")</f>
        <v>0</v>
      </c>
      <c r="R359" s="350">
        <f t="shared" ref="R359" si="277">IF(ISNUMBER(R358),(R358-Q358),"")</f>
        <v>0</v>
      </c>
      <c r="S359" s="1218">
        <f t="shared" ref="S359" si="278">IF(ISNUMBER(S358),(S358-R358),"")</f>
        <v>0</v>
      </c>
      <c r="T359" s="341">
        <f t="shared" ref="T359" si="279">IF(ISNUMBER(T358),(T358-S358),"")</f>
        <v>0</v>
      </c>
      <c r="U359" s="341">
        <f t="shared" ref="U359" si="280">IF(ISNUMBER(U358),(U358-T358),"")</f>
        <v>0</v>
      </c>
      <c r="V359" s="341">
        <f t="shared" ref="V359" si="281">IF(ISNUMBER(V358),(V358-U358),"")</f>
        <v>0</v>
      </c>
      <c r="W359" s="341">
        <f t="shared" ref="W359" si="282">IF(ISNUMBER(W358),(W358-V358),"")</f>
        <v>0</v>
      </c>
      <c r="X359" s="348">
        <f t="shared" ref="X359" si="283">IF(ISNUMBER(X358),(X358-W358),"")</f>
        <v>0</v>
      </c>
      <c r="Y359" s="348">
        <f t="shared" ref="Y359" si="284">IF(ISNUMBER(Y358),(Y358-X358),"")</f>
        <v>0</v>
      </c>
      <c r="Z359" s="348">
        <f t="shared" ref="Z359" si="285">IF(ISNUMBER(Z358),(Z358-Y358),"")</f>
        <v>0</v>
      </c>
      <c r="AA359" s="348">
        <f t="shared" ref="AA359" si="286">IF(ISNUMBER(AA358),(AA358-Z358),"")</f>
        <v>0</v>
      </c>
      <c r="AB359" s="348">
        <f t="shared" ref="AB359" si="287">IF(ISNUMBER(AB358),(AB358-AA358),"")</f>
        <v>0</v>
      </c>
      <c r="AC359" s="344">
        <f t="shared" ref="AC359" si="288">IF(ISNUMBER(AC358),(AC358-AB358),"")</f>
        <v>0</v>
      </c>
      <c r="AD359" s="344">
        <f t="shared" ref="AD359" si="289">IF(ISNUMBER(AD358),(AD358-AC358),"")</f>
        <v>0</v>
      </c>
      <c r="AE359" s="344">
        <f t="shared" ref="AE359" si="290">IF(ISNUMBER(AE358),(AE358-AD358),"")</f>
        <v>0</v>
      </c>
      <c r="AF359" s="344">
        <f t="shared" ref="AF359" si="291">IF(ISNUMBER(AF358),(AF358-AE358),"")</f>
        <v>0</v>
      </c>
      <c r="AG359" s="344">
        <f t="shared" ref="AG359" si="292">IF(ISNUMBER(AG358),(AG358-AF358),"")</f>
        <v>0</v>
      </c>
      <c r="AH359" s="344">
        <f t="shared" ref="AH359" si="293">IF(ISNUMBER(AH358),(AH358-AG358),"")</f>
        <v>0</v>
      </c>
      <c r="AI359" s="1">
        <v>0</v>
      </c>
      <c r="AJ359" s="1">
        <f t="shared" ref="AJ359" si="294">IF(ISNUMBER(AJ358),(AJ358-AI358),"")</f>
        <v>0</v>
      </c>
      <c r="AK359" s="1">
        <f t="shared" ref="AK359" si="295">IF(ISNUMBER(AK358),(AK358-AJ358),"")</f>
        <v>0</v>
      </c>
      <c r="AL359" s="1" t="str">
        <f t="shared" ref="AL359" si="296">IF(ISNUMBER(AL358),(AL358-AK358),"")</f>
        <v/>
      </c>
      <c r="AM359" s="1" t="str">
        <f t="shared" ref="AM359" si="297">IF(ISNUMBER(AM358),(AM358-AL358),"")</f>
        <v/>
      </c>
      <c r="AN359" s="1" t="str">
        <f t="shared" ref="AN359" si="298">IF(ISNUMBER(AN358),(AN358-AM358),"")</f>
        <v/>
      </c>
      <c r="AO359" s="1" t="str">
        <f t="shared" ref="AO359" si="299">IF(ISNUMBER(AO358),(AO358-AN358),"")</f>
        <v/>
      </c>
      <c r="AP359" s="1" t="str">
        <f t="shared" ref="AP359" si="300">IF(ISNUMBER(AP358),(AP358-AO358),"")</f>
        <v/>
      </c>
      <c r="AQ359" s="1" t="str">
        <f t="shared" ref="AQ359" si="301">IF(ISNUMBER(AQ358),(AQ358-AP358),"")</f>
        <v/>
      </c>
      <c r="AR359" s="1" t="str">
        <f t="shared" ref="AR359" si="302">IF(ISNUMBER(AR358),(AR358-AQ358),"")</f>
        <v/>
      </c>
      <c r="AS359" s="1" t="str">
        <f t="shared" ref="AS359" si="303">IF(ISNUMBER(AS358),(AS358-AR358),"")</f>
        <v/>
      </c>
      <c r="AT359" s="1" t="str">
        <f t="shared" ref="AT359" si="304">IF(ISNUMBER(AT358),(AT358-AS358),"")</f>
        <v/>
      </c>
      <c r="AU359" s="1" t="str">
        <f t="shared" ref="AU359" si="305">IF(ISNUMBER(AU358),(AU358-AT358),"")</f>
        <v/>
      </c>
      <c r="AV359" s="1" t="str">
        <f t="shared" ref="AV359" si="306">IF(ISNUMBER(AV358),(AV358-AU358),"")</f>
        <v/>
      </c>
      <c r="AW359" s="1" t="str">
        <f t="shared" ref="AW359" si="307">IF(ISNUMBER(AW358),(AW358-AV358),"")</f>
        <v/>
      </c>
    </row>
    <row r="360" spans="1:49" s="1" customFormat="1" ht="15.6">
      <c r="A360" s="361"/>
      <c r="B360" s="361"/>
      <c r="C360" s="1099"/>
      <c r="D360" s="365"/>
      <c r="E360" s="390"/>
      <c r="F360" s="362"/>
      <c r="G360" s="8"/>
      <c r="H360" s="8"/>
      <c r="I360" s="58"/>
      <c r="J360" s="1098"/>
      <c r="K360" s="344">
        <v>118570</v>
      </c>
      <c r="L360" s="355">
        <v>122100</v>
      </c>
      <c r="M360" s="344">
        <v>128530</v>
      </c>
      <c r="N360" s="345">
        <v>133050</v>
      </c>
      <c r="O360" s="345">
        <v>142550</v>
      </c>
      <c r="P360" s="345">
        <v>149770</v>
      </c>
      <c r="Q360" s="345">
        <v>159800</v>
      </c>
      <c r="R360" s="345">
        <v>163060</v>
      </c>
      <c r="S360" s="355">
        <v>171250</v>
      </c>
      <c r="T360" s="345">
        <v>185500</v>
      </c>
      <c r="U360" s="345">
        <v>191500</v>
      </c>
      <c r="V360" s="345">
        <v>195860</v>
      </c>
      <c r="W360" s="345">
        <v>198300</v>
      </c>
      <c r="X360" s="355">
        <v>199100</v>
      </c>
      <c r="Y360" s="355">
        <v>201190</v>
      </c>
      <c r="Z360" s="355">
        <v>205710</v>
      </c>
      <c r="AA360" s="355">
        <v>224180</v>
      </c>
      <c r="AB360" s="355">
        <v>233040</v>
      </c>
      <c r="AC360" s="344">
        <v>246120</v>
      </c>
      <c r="AD360" s="344">
        <v>248500</v>
      </c>
      <c r="AE360" s="344">
        <f>AD360+8000</f>
        <v>256500</v>
      </c>
      <c r="AF360" s="344">
        <v>268460</v>
      </c>
      <c r="AG360" s="344">
        <f>AF360+3500</f>
        <v>271960</v>
      </c>
      <c r="AH360" s="344">
        <f>AG360+3000</f>
        <v>274960</v>
      </c>
      <c r="AI360" s="1">
        <v>278910</v>
      </c>
      <c r="AJ360" s="1">
        <v>279230</v>
      </c>
      <c r="AK360" s="1">
        <v>281620</v>
      </c>
    </row>
    <row r="361" spans="1:49" s="1" customFormat="1" ht="15.6">
      <c r="A361" s="361" t="s">
        <v>2173</v>
      </c>
      <c r="B361" s="601" t="s">
        <v>2174</v>
      </c>
      <c r="C361" s="360">
        <f ca="1">OFFSET(K361,0,COUNT(L361:AJ361))</f>
        <v>320</v>
      </c>
      <c r="D361" s="365" t="s">
        <v>418</v>
      </c>
      <c r="E361" s="386">
        <f ca="1">((OFFSET(K361,0,COUNT(L361:X361)))/(OFFSET(L361,0,COUNT(M361:X361)-1)))-1</f>
        <v>-0.67213114754098369</v>
      </c>
      <c r="F361" s="362"/>
      <c r="G361" s="8"/>
      <c r="H361" s="8"/>
      <c r="I361" s="58"/>
      <c r="J361" s="1098"/>
      <c r="K361" s="341"/>
      <c r="L361" s="340">
        <f t="shared" ref="L361" si="308">IF(ISNUMBER(L360),(L360-K360),"")</f>
        <v>3530</v>
      </c>
      <c r="M361" s="340">
        <f t="shared" ref="M361" si="309">IF(ISNUMBER(M360),(M360-L360),"")</f>
        <v>6430</v>
      </c>
      <c r="N361" s="340">
        <f t="shared" ref="N361" si="310">IF(ISNUMBER(N360),(N360-M360),"")</f>
        <v>4520</v>
      </c>
      <c r="O361" s="340">
        <f t="shared" ref="O361" si="311">IF(ISNUMBER(O360),(O360-N360),"")</f>
        <v>9500</v>
      </c>
      <c r="P361" s="340">
        <f t="shared" ref="P361" si="312">IF(ISNUMBER(P360),(P360-O360),"")</f>
        <v>7220</v>
      </c>
      <c r="Q361" s="340">
        <f t="shared" ref="Q361" si="313">IF(ISNUMBER(Q360),(Q360-P360),"")</f>
        <v>10030</v>
      </c>
      <c r="R361" s="350">
        <f t="shared" ref="R361" si="314">IF(ISNUMBER(R360),(R360-Q360),"")</f>
        <v>3260</v>
      </c>
      <c r="S361" s="340">
        <f t="shared" ref="S361:X361" si="315">IF(ISNUMBER(S360),(S360-R360),"")</f>
        <v>8190</v>
      </c>
      <c r="T361" s="340">
        <f t="shared" si="315"/>
        <v>14250</v>
      </c>
      <c r="U361" s="340">
        <f t="shared" si="315"/>
        <v>6000</v>
      </c>
      <c r="V361" s="340">
        <f t="shared" si="315"/>
        <v>4360</v>
      </c>
      <c r="W361" s="340">
        <f t="shared" si="315"/>
        <v>2440</v>
      </c>
      <c r="X361" s="340">
        <f t="shared" si="315"/>
        <v>800</v>
      </c>
      <c r="Y361" s="340">
        <f t="shared" ref="Y361" si="316">IF(ISNUMBER(Y360),(Y360-X360),"")</f>
        <v>2090</v>
      </c>
      <c r="Z361" s="340">
        <f t="shared" ref="Z361" si="317">IF(ISNUMBER(Z360),(Z360-Y360),"")</f>
        <v>4520</v>
      </c>
      <c r="AA361" s="340">
        <f t="shared" ref="AA361" si="318">IF(ISNUMBER(AA360),(AA360-Z360),"")</f>
        <v>18470</v>
      </c>
      <c r="AB361" s="340">
        <f t="shared" ref="AB361" si="319">IF(ISNUMBER(AB360),(AB360-AA360),"")</f>
        <v>8860</v>
      </c>
      <c r="AC361" s="340">
        <f t="shared" ref="AC361" si="320">IF(ISNUMBER(AC360),(AC360-AB360),"")</f>
        <v>13080</v>
      </c>
      <c r="AD361" s="340">
        <f t="shared" ref="AD361" si="321">IF(ISNUMBER(AD360),(AD360-AC360),"")</f>
        <v>2380</v>
      </c>
      <c r="AE361" s="340">
        <f t="shared" ref="AE361" si="322">IF(ISNUMBER(AE360),(AE360-AD360),"")</f>
        <v>8000</v>
      </c>
      <c r="AF361" s="340">
        <f t="shared" ref="AF361" si="323">IF(ISNUMBER(AF360),(AF360-AE360),"")</f>
        <v>11960</v>
      </c>
      <c r="AG361" s="340">
        <f t="shared" ref="AG361" si="324">IF(ISNUMBER(AG360),(AG360-AF360),"")</f>
        <v>3500</v>
      </c>
      <c r="AH361" s="340">
        <f t="shared" ref="AH361" si="325">IF(ISNUMBER(AH360),(AH360-AG360),"")</f>
        <v>3000</v>
      </c>
      <c r="AI361" s="340">
        <f t="shared" ref="AI361" si="326">IF(ISNUMBER(AI360),(AI360-AH360),"")</f>
        <v>3950</v>
      </c>
      <c r="AJ361" s="340">
        <f t="shared" ref="AJ361" si="327">IF(ISNUMBER(AJ360),(AJ360-AI360),"")</f>
        <v>320</v>
      </c>
      <c r="AK361" s="340">
        <f t="shared" ref="AK361" si="328">IF(ISNUMBER(AK360),(AK360-AJ360),"")</f>
        <v>2390</v>
      </c>
      <c r="AL361" s="340" t="str">
        <f t="shared" ref="AL361" si="329">IF(ISNUMBER(AL360),(AL360-AK360),"")</f>
        <v/>
      </c>
      <c r="AM361" s="340" t="str">
        <f t="shared" ref="AM361" si="330">IF(ISNUMBER(AM360),(AM360-AL360),"")</f>
        <v/>
      </c>
      <c r="AN361" s="340" t="str">
        <f t="shared" ref="AN361" si="331">IF(ISNUMBER(AN360),(AN360-AM360),"")</f>
        <v/>
      </c>
      <c r="AO361" s="340" t="str">
        <f t="shared" ref="AO361" si="332">IF(ISNUMBER(AO360),(AO360-AN360),"")</f>
        <v/>
      </c>
      <c r="AP361" s="340" t="str">
        <f t="shared" ref="AP361" si="333">IF(ISNUMBER(AP360),(AP360-AO360),"")</f>
        <v/>
      </c>
      <c r="AQ361" s="340" t="str">
        <f t="shared" ref="AQ361" si="334">IF(ISNUMBER(AQ360),(AQ360-AP360),"")</f>
        <v/>
      </c>
      <c r="AR361" s="340" t="str">
        <f t="shared" ref="AR361" si="335">IF(ISNUMBER(AR360),(AR360-AQ360),"")</f>
        <v/>
      </c>
      <c r="AS361" s="340" t="str">
        <f t="shared" ref="AS361" si="336">IF(ISNUMBER(AS360),(AS360-AR360),"")</f>
        <v/>
      </c>
      <c r="AT361" s="340" t="str">
        <f t="shared" ref="AT361" si="337">IF(ISNUMBER(AT360),(AT360-AS360),"")</f>
        <v/>
      </c>
      <c r="AU361" s="340" t="str">
        <f t="shared" ref="AU361" si="338">IF(ISNUMBER(AU360),(AU360-AT360),"")</f>
        <v/>
      </c>
      <c r="AV361" s="340" t="str">
        <f t="shared" ref="AV361" si="339">IF(ISNUMBER(AV360),(AV360-AU360),"")</f>
        <v/>
      </c>
      <c r="AW361" s="340" t="str">
        <f t="shared" ref="AW361" si="340">IF(ISNUMBER(AW360),(AW360-AV360),"")</f>
        <v/>
      </c>
    </row>
    <row r="362" spans="1:49" s="1" customFormat="1" ht="15.6">
      <c r="A362" s="361"/>
      <c r="B362" s="601"/>
      <c r="C362" s="1099"/>
      <c r="D362" s="365"/>
      <c r="E362" s="390"/>
      <c r="F362" s="362"/>
      <c r="G362" s="8"/>
      <c r="H362" s="8"/>
      <c r="I362" s="58"/>
      <c r="J362" s="1098"/>
      <c r="K362" s="344">
        <v>241249</v>
      </c>
      <c r="L362" s="355">
        <v>242979</v>
      </c>
      <c r="M362" s="344">
        <v>248079</v>
      </c>
      <c r="N362" s="345">
        <v>251039</v>
      </c>
      <c r="O362" s="345">
        <v>257319</v>
      </c>
      <c r="P362" s="345">
        <v>263419</v>
      </c>
      <c r="Q362" s="345">
        <v>274029</v>
      </c>
      <c r="R362" s="345">
        <v>281429</v>
      </c>
      <c r="S362" s="355">
        <v>363129</v>
      </c>
      <c r="T362" s="345">
        <v>377309</v>
      </c>
      <c r="U362" s="345">
        <v>389209</v>
      </c>
      <c r="V362" s="345">
        <v>401839</v>
      </c>
      <c r="W362" s="345">
        <v>408409</v>
      </c>
      <c r="X362" s="355">
        <v>410879</v>
      </c>
      <c r="Y362" s="355">
        <v>414969</v>
      </c>
      <c r="Z362" s="355">
        <v>424529</v>
      </c>
      <c r="AA362" s="355">
        <v>446939</v>
      </c>
      <c r="AB362" s="355">
        <v>459769</v>
      </c>
      <c r="AC362" s="344">
        <v>480679</v>
      </c>
      <c r="AD362" s="344">
        <v>493419</v>
      </c>
      <c r="AE362" s="344">
        <f>AD362+14000</f>
        <v>507419</v>
      </c>
      <c r="AF362" s="344">
        <v>525369</v>
      </c>
      <c r="AG362" s="344">
        <f>AF362+14000</f>
        <v>539369</v>
      </c>
      <c r="AH362" s="344">
        <f>AG362+10000</f>
        <v>549369</v>
      </c>
      <c r="AI362" s="1">
        <v>563659</v>
      </c>
      <c r="AJ362" s="1">
        <v>565959</v>
      </c>
      <c r="AK362" s="1">
        <v>571239</v>
      </c>
    </row>
    <row r="363" spans="1:49" s="1" customFormat="1" ht="15.6">
      <c r="A363" s="361" t="s">
        <v>2175</v>
      </c>
      <c r="B363" s="601" t="s">
        <v>2176</v>
      </c>
      <c r="C363" s="360">
        <f ca="1">OFFSET(K363,0,COUNT(L363:AJ363))</f>
        <v>2300</v>
      </c>
      <c r="D363" s="365" t="s">
        <v>418</v>
      </c>
      <c r="E363" s="386">
        <f ca="1">((OFFSET(K363,0,COUNT(L363:X363)))/(OFFSET(L363,0,COUNT(M363:X363)-1)))-1</f>
        <v>-0.62404870624048714</v>
      </c>
      <c r="F363" s="362"/>
      <c r="G363" s="8"/>
      <c r="H363" s="8"/>
      <c r="I363" s="58"/>
      <c r="J363" s="1098"/>
      <c r="K363" s="341"/>
      <c r="L363" s="340">
        <f t="shared" ref="L363" si="341">IF(ISNUMBER(L362),(L362-K362),"")</f>
        <v>1730</v>
      </c>
      <c r="M363" s="340">
        <f t="shared" ref="M363" si="342">IF(ISNUMBER(M362),(M362-L362),"")</f>
        <v>5100</v>
      </c>
      <c r="N363" s="340">
        <f t="shared" ref="N363" si="343">IF(ISNUMBER(N362),(N362-M362),"")</f>
        <v>2960</v>
      </c>
      <c r="O363" s="340">
        <f t="shared" ref="O363" si="344">IF(ISNUMBER(O362),(O362-N362),"")</f>
        <v>6280</v>
      </c>
      <c r="P363" s="340">
        <f t="shared" ref="P363" si="345">IF(ISNUMBER(P362),(P362-O362),"")</f>
        <v>6100</v>
      </c>
      <c r="Q363" s="340">
        <f t="shared" ref="Q363" si="346">IF(ISNUMBER(Q362),(Q362-P362),"")</f>
        <v>10610</v>
      </c>
      <c r="R363" s="350">
        <f t="shared" ref="R363" si="347">IF(ISNUMBER(R362),(R362-Q362),"")</f>
        <v>7400</v>
      </c>
      <c r="S363" s="340">
        <f t="shared" ref="S363:X363" si="348">IF(ISNUMBER(S362),(S362-R362),"")</f>
        <v>81700</v>
      </c>
      <c r="T363" s="340">
        <f t="shared" si="348"/>
        <v>14180</v>
      </c>
      <c r="U363" s="340">
        <f t="shared" si="348"/>
        <v>11900</v>
      </c>
      <c r="V363" s="340">
        <f t="shared" si="348"/>
        <v>12630</v>
      </c>
      <c r="W363" s="340">
        <f t="shared" si="348"/>
        <v>6570</v>
      </c>
      <c r="X363" s="340">
        <f t="shared" si="348"/>
        <v>2470</v>
      </c>
      <c r="Y363" s="340">
        <f t="shared" ref="Y363" si="349">IF(ISNUMBER(Y362),(Y362-X362),"")</f>
        <v>4090</v>
      </c>
      <c r="Z363" s="340">
        <f t="shared" ref="Z363" si="350">IF(ISNUMBER(Z362),(Z362-Y362),"")</f>
        <v>9560</v>
      </c>
      <c r="AA363" s="340">
        <f t="shared" ref="AA363" si="351">IF(ISNUMBER(AA362),(AA362-Z362),"")</f>
        <v>22410</v>
      </c>
      <c r="AB363" s="340">
        <f t="shared" ref="AB363" si="352">IF(ISNUMBER(AB362),(AB362-AA362),"")</f>
        <v>12830</v>
      </c>
      <c r="AC363" s="340">
        <f t="shared" ref="AC363" si="353">IF(ISNUMBER(AC362),(AC362-AB362),"")</f>
        <v>20910</v>
      </c>
      <c r="AD363" s="340">
        <f t="shared" ref="AD363" si="354">IF(ISNUMBER(AD362),(AD362-AC362),"")</f>
        <v>12740</v>
      </c>
      <c r="AE363" s="340">
        <f t="shared" ref="AE363" si="355">IF(ISNUMBER(AE362),(AE362-AD362),"")</f>
        <v>14000</v>
      </c>
      <c r="AF363" s="340">
        <f t="shared" ref="AF363" si="356">IF(ISNUMBER(AF362),(AF362-AE362),"")</f>
        <v>17950</v>
      </c>
      <c r="AG363" s="340">
        <f t="shared" ref="AG363" si="357">IF(ISNUMBER(AG362),(AG362-AF362),"")</f>
        <v>14000</v>
      </c>
      <c r="AH363" s="340">
        <f t="shared" ref="AH363" si="358">IF(ISNUMBER(AH362),(AH362-AG362),"")</f>
        <v>10000</v>
      </c>
      <c r="AI363" s="340">
        <f t="shared" ref="AI363" si="359">IF(ISNUMBER(AI362),(AI362-AH362),"")</f>
        <v>14290</v>
      </c>
      <c r="AJ363" s="340">
        <f t="shared" ref="AJ363" si="360">IF(ISNUMBER(AJ362),(AJ362-AI362),"")</f>
        <v>2300</v>
      </c>
      <c r="AK363" s="340">
        <f t="shared" ref="AK363" si="361">IF(ISNUMBER(AK362),(AK362-AJ362),"")</f>
        <v>5280</v>
      </c>
      <c r="AL363" s="340" t="str">
        <f t="shared" ref="AL363" si="362">IF(ISNUMBER(AL362),(AL362-AK362),"")</f>
        <v/>
      </c>
      <c r="AM363" s="340" t="str">
        <f t="shared" ref="AM363" si="363">IF(ISNUMBER(AM362),(AM362-AL362),"")</f>
        <v/>
      </c>
      <c r="AN363" s="340" t="str">
        <f t="shared" ref="AN363" si="364">IF(ISNUMBER(AN362),(AN362-AM362),"")</f>
        <v/>
      </c>
      <c r="AO363" s="340" t="str">
        <f t="shared" ref="AO363" si="365">IF(ISNUMBER(AO362),(AO362-AN362),"")</f>
        <v/>
      </c>
      <c r="AP363" s="340" t="str">
        <f t="shared" ref="AP363" si="366">IF(ISNUMBER(AP362),(AP362-AO362),"")</f>
        <v/>
      </c>
      <c r="AQ363" s="340" t="str">
        <f t="shared" ref="AQ363" si="367">IF(ISNUMBER(AQ362),(AQ362-AP362),"")</f>
        <v/>
      </c>
      <c r="AR363" s="340" t="str">
        <f t="shared" ref="AR363" si="368">IF(ISNUMBER(AR362),(AR362-AQ362),"")</f>
        <v/>
      </c>
      <c r="AS363" s="340" t="str">
        <f t="shared" ref="AS363" si="369">IF(ISNUMBER(AS362),(AS362-AR362),"")</f>
        <v/>
      </c>
      <c r="AT363" s="340" t="str">
        <f t="shared" ref="AT363" si="370">IF(ISNUMBER(AT362),(AT362-AS362),"")</f>
        <v/>
      </c>
      <c r="AU363" s="340" t="str">
        <f t="shared" ref="AU363" si="371">IF(ISNUMBER(AU362),(AU362-AT362),"")</f>
        <v/>
      </c>
      <c r="AV363" s="340" t="str">
        <f t="shared" ref="AV363" si="372">IF(ISNUMBER(AV362),(AV362-AU362),"")</f>
        <v/>
      </c>
      <c r="AW363" s="340" t="str">
        <f t="shared" ref="AW363" si="373">IF(ISNUMBER(AW362),(AW362-AV362),"")</f>
        <v/>
      </c>
    </row>
    <row r="364" spans="1:49" s="1" customFormat="1" ht="15.6">
      <c r="A364" s="361"/>
      <c r="B364" s="601"/>
      <c r="C364" s="1099"/>
      <c r="D364" s="365"/>
      <c r="E364" s="390"/>
      <c r="F364" s="362"/>
      <c r="G364" s="8"/>
      <c r="H364" s="8"/>
      <c r="I364" s="58"/>
      <c r="J364" s="1098"/>
      <c r="K364" s="344">
        <v>119180</v>
      </c>
      <c r="L364" s="355">
        <v>120590</v>
      </c>
      <c r="M364" s="344">
        <v>121790</v>
      </c>
      <c r="N364" s="345">
        <v>124890</v>
      </c>
      <c r="O364" s="345">
        <v>127070</v>
      </c>
      <c r="P364" s="345">
        <v>129100</v>
      </c>
      <c r="Q364" s="345">
        <v>133860</v>
      </c>
      <c r="R364" s="345">
        <v>141460</v>
      </c>
      <c r="S364" s="355">
        <v>149450</v>
      </c>
      <c r="T364" s="345">
        <v>162760</v>
      </c>
      <c r="U364" s="345">
        <v>170290</v>
      </c>
      <c r="V364" s="345">
        <v>174580</v>
      </c>
      <c r="W364" s="345">
        <v>179740</v>
      </c>
      <c r="X364" s="355">
        <v>182260</v>
      </c>
      <c r="Y364" s="355">
        <v>183930</v>
      </c>
      <c r="Z364" s="355">
        <v>186970</v>
      </c>
      <c r="AA364" s="355">
        <v>192900</v>
      </c>
      <c r="AB364" s="355">
        <v>197270</v>
      </c>
      <c r="AC364" s="344">
        <v>206410</v>
      </c>
      <c r="AD364" s="344">
        <v>211430</v>
      </c>
      <c r="AE364" s="344">
        <v>215070</v>
      </c>
      <c r="AF364" s="344">
        <v>223370</v>
      </c>
      <c r="AG364" s="344">
        <f>AF364+5000</f>
        <v>228370</v>
      </c>
      <c r="AH364" s="344">
        <f>AG364+4000</f>
        <v>232370</v>
      </c>
      <c r="AI364" s="1">
        <v>236000</v>
      </c>
      <c r="AJ364" s="1">
        <v>237230</v>
      </c>
      <c r="AK364" s="1">
        <v>239060</v>
      </c>
    </row>
    <row r="365" spans="1:49" s="1" customFormat="1" ht="15.6">
      <c r="A365" s="361" t="s">
        <v>2177</v>
      </c>
      <c r="B365" s="601" t="s">
        <v>2178</v>
      </c>
      <c r="C365" s="360">
        <f ca="1">OFFSET(K365,0,COUNT(L365:AJ365))</f>
        <v>1230</v>
      </c>
      <c r="D365" s="365" t="s">
        <v>418</v>
      </c>
      <c r="E365" s="386">
        <f ca="1">((OFFSET(K365,0,COUNT(L365:X365)))/(OFFSET(L365,0,COUNT(M365:X365)-1)))-1</f>
        <v>-0.51162790697674421</v>
      </c>
      <c r="F365" s="362"/>
      <c r="G365" s="8"/>
      <c r="H365" s="8"/>
      <c r="I365" s="58"/>
      <c r="J365" s="1098"/>
      <c r="K365" s="341"/>
      <c r="L365" s="340">
        <f t="shared" ref="L365" si="374">IF(ISNUMBER(L364),(L364-K364),"")</f>
        <v>1410</v>
      </c>
      <c r="M365" s="340">
        <f t="shared" ref="M365" si="375">IF(ISNUMBER(M364),(M364-L364),"")</f>
        <v>1200</v>
      </c>
      <c r="N365" s="340">
        <f t="shared" ref="N365" si="376">IF(ISNUMBER(N364),(N364-M364),"")</f>
        <v>3100</v>
      </c>
      <c r="O365" s="340">
        <f t="shared" ref="O365" si="377">IF(ISNUMBER(O364),(O364-N364),"")</f>
        <v>2180</v>
      </c>
      <c r="P365" s="340">
        <f t="shared" ref="P365" si="378">IF(ISNUMBER(P364),(P364-O364),"")</f>
        <v>2030</v>
      </c>
      <c r="Q365" s="340">
        <f t="shared" ref="Q365" si="379">IF(ISNUMBER(Q364),(Q364-P364),"")</f>
        <v>4760</v>
      </c>
      <c r="R365" s="350">
        <f t="shared" ref="R365" si="380">IF(ISNUMBER(R364),(R364-Q364),"")</f>
        <v>7600</v>
      </c>
      <c r="S365" s="340">
        <f t="shared" ref="S365:W365" si="381">IF(ISNUMBER(S364),(S364-R364),"")</f>
        <v>7990</v>
      </c>
      <c r="T365" s="340">
        <f>IF(ISNUMBER(T364),(T364-S364),"")</f>
        <v>13310</v>
      </c>
      <c r="U365" s="340">
        <f t="shared" si="381"/>
        <v>7530</v>
      </c>
      <c r="V365" s="340">
        <f t="shared" si="381"/>
        <v>4290</v>
      </c>
      <c r="W365" s="340">
        <f t="shared" si="381"/>
        <v>5160</v>
      </c>
      <c r="X365" s="340">
        <f>IF(ISNUMBER(X364),(X364-W364),"")</f>
        <v>2520</v>
      </c>
      <c r="Y365" s="340">
        <f t="shared" ref="Y365" si="382">IF(ISNUMBER(Y364),(Y364-X364),"")</f>
        <v>1670</v>
      </c>
      <c r="Z365" s="340">
        <f t="shared" ref="Z365" si="383">IF(ISNUMBER(Z364),(Z364-Y364),"")</f>
        <v>3040</v>
      </c>
      <c r="AA365" s="340">
        <f t="shared" ref="AA365" si="384">IF(ISNUMBER(AA364),(AA364-Z364),"")</f>
        <v>5930</v>
      </c>
      <c r="AB365" s="340">
        <f t="shared" ref="AB365" si="385">IF(ISNUMBER(AB364),(AB364-AA364),"")</f>
        <v>4370</v>
      </c>
      <c r="AC365" s="340">
        <f t="shared" ref="AC365" si="386">IF(ISNUMBER(AC364),(AC364-AB364),"")</f>
        <v>9140</v>
      </c>
      <c r="AD365" s="340">
        <f t="shared" ref="AD365" si="387">IF(ISNUMBER(AD364),(AD364-AC364),"")</f>
        <v>5020</v>
      </c>
      <c r="AE365" s="340">
        <f t="shared" ref="AE365" si="388">IF(ISNUMBER(AE364),(AE364-AD364),"")</f>
        <v>3640</v>
      </c>
      <c r="AF365" s="340">
        <f t="shared" ref="AF365" si="389">IF(ISNUMBER(AF364),(AF364-AE364),"")</f>
        <v>8300</v>
      </c>
      <c r="AG365" s="340">
        <f t="shared" ref="AG365" si="390">IF(ISNUMBER(AG364),(AG364-AF364),"")</f>
        <v>5000</v>
      </c>
      <c r="AH365" s="340">
        <f t="shared" ref="AH365" si="391">IF(ISNUMBER(AH364),(AH364-AG364),"")</f>
        <v>4000</v>
      </c>
      <c r="AI365" s="340">
        <f t="shared" ref="AI365" si="392">IF(ISNUMBER(AI364),(AI364-AH364),"")</f>
        <v>3630</v>
      </c>
      <c r="AJ365" s="340">
        <f t="shared" ref="AJ365" si="393">IF(ISNUMBER(AJ364),(AJ364-AI364),"")</f>
        <v>1230</v>
      </c>
      <c r="AK365" s="340">
        <f t="shared" ref="AK365" si="394">IF(ISNUMBER(AK364),(AK364-AJ364),"")</f>
        <v>1830</v>
      </c>
      <c r="AL365" s="340" t="str">
        <f t="shared" ref="AL365" si="395">IF(ISNUMBER(AL364),(AL364-AK364),"")</f>
        <v/>
      </c>
      <c r="AM365" s="340" t="str">
        <f t="shared" ref="AM365" si="396">IF(ISNUMBER(AM364),(AM364-AL364),"")</f>
        <v/>
      </c>
      <c r="AN365" s="340" t="str">
        <f t="shared" ref="AN365" si="397">IF(ISNUMBER(AN364),(AN364-AM364),"")</f>
        <v/>
      </c>
      <c r="AO365" s="340" t="str">
        <f t="shared" ref="AO365" si="398">IF(ISNUMBER(AO364),(AO364-AN364),"")</f>
        <v/>
      </c>
      <c r="AP365" s="340" t="str">
        <f t="shared" ref="AP365" si="399">IF(ISNUMBER(AP364),(AP364-AO364),"")</f>
        <v/>
      </c>
      <c r="AQ365" s="340" t="str">
        <f t="shared" ref="AQ365" si="400">IF(ISNUMBER(AQ364),(AQ364-AP364),"")</f>
        <v/>
      </c>
      <c r="AR365" s="340" t="str">
        <f t="shared" ref="AR365" si="401">IF(ISNUMBER(AR364),(AR364-AQ364),"")</f>
        <v/>
      </c>
      <c r="AS365" s="340" t="str">
        <f t="shared" ref="AS365" si="402">IF(ISNUMBER(AS364),(AS364-AR364),"")</f>
        <v/>
      </c>
      <c r="AT365" s="340" t="str">
        <f t="shared" ref="AT365" si="403">IF(ISNUMBER(AT364),(AT364-AS364),"")</f>
        <v/>
      </c>
      <c r="AU365" s="340" t="str">
        <f t="shared" ref="AU365" si="404">IF(ISNUMBER(AU364),(AU364-AT364),"")</f>
        <v/>
      </c>
      <c r="AV365" s="340" t="str">
        <f t="shared" ref="AV365" si="405">IF(ISNUMBER(AV364),(AV364-AU364),"")</f>
        <v/>
      </c>
      <c r="AW365" s="340" t="str">
        <f t="shared" ref="AW365" si="406">IF(ISNUMBER(AW364),(AW364-AV364),"")</f>
        <v/>
      </c>
    </row>
    <row r="366" spans="1:49" s="1" customFormat="1" ht="15.6">
      <c r="A366" s="369"/>
      <c r="B366" s="369"/>
      <c r="C366" s="214"/>
      <c r="D366" s="484"/>
      <c r="E366" s="485"/>
      <c r="F366" s="370"/>
      <c r="G366" s="226"/>
      <c r="H366" s="226"/>
      <c r="I366" s="227"/>
      <c r="K366" s="345">
        <v>1496197</v>
      </c>
      <c r="L366" s="483">
        <v>1508638</v>
      </c>
      <c r="M366" s="344">
        <v>1522996</v>
      </c>
      <c r="N366" s="344">
        <v>1540295</v>
      </c>
      <c r="O366" s="345">
        <v>1564432</v>
      </c>
      <c r="P366" s="345">
        <v>1581040</v>
      </c>
      <c r="Q366" s="345">
        <v>1612384</v>
      </c>
      <c r="R366" s="350">
        <v>1631845</v>
      </c>
      <c r="S366" s="345">
        <v>1653032</v>
      </c>
      <c r="T366" s="344">
        <v>1675701</v>
      </c>
      <c r="U366" s="345">
        <v>1695806</v>
      </c>
      <c r="V366" s="345">
        <v>1717767</v>
      </c>
      <c r="W366" s="345">
        <v>1732570</v>
      </c>
      <c r="X366" s="483">
        <v>1743027</v>
      </c>
      <c r="Y366" s="483">
        <v>1757721</v>
      </c>
      <c r="Z366" s="483">
        <v>1772271</v>
      </c>
      <c r="AA366" s="483">
        <v>1809293</v>
      </c>
      <c r="AB366" s="483">
        <v>1832651</v>
      </c>
      <c r="AC366" s="483">
        <v>1871020</v>
      </c>
      <c r="AD366" s="483">
        <v>1894519</v>
      </c>
      <c r="AE366" s="483">
        <v>1918828</v>
      </c>
      <c r="AF366" s="483">
        <v>1950052</v>
      </c>
      <c r="AG366" s="344">
        <f>AF366+27000</f>
        <v>1977052</v>
      </c>
      <c r="AH366" s="344">
        <f>AG366+22000</f>
        <v>1999052</v>
      </c>
      <c r="AI366" s="1">
        <v>2022408</v>
      </c>
      <c r="AJ366" s="1">
        <v>2031527</v>
      </c>
      <c r="AK366" s="1">
        <v>2044226</v>
      </c>
    </row>
    <row r="367" spans="1:49" s="1" customFormat="1" ht="15.6">
      <c r="A367" s="361" t="s">
        <v>2179</v>
      </c>
      <c r="B367" s="601" t="s">
        <v>2180</v>
      </c>
      <c r="C367" s="360">
        <f ca="1">OFFSET(K367,0,COUNT(L367:AJ367))</f>
        <v>9.1189999999999998</v>
      </c>
      <c r="D367" s="365" t="s">
        <v>418</v>
      </c>
      <c r="E367" s="485"/>
      <c r="F367" s="370"/>
      <c r="G367" s="226"/>
      <c r="H367" s="226"/>
      <c r="I367" s="227"/>
      <c r="J367" s="349" t="s">
        <v>2144</v>
      </c>
      <c r="K367" s="340"/>
      <c r="L367" s="340">
        <f t="shared" ref="L367:X367" si="407">IF(ISNUMBER(L366),(L366-K366)/1000,"")</f>
        <v>12.441000000000001</v>
      </c>
      <c r="M367" s="340">
        <f t="shared" si="407"/>
        <v>14.358000000000001</v>
      </c>
      <c r="N367" s="340">
        <f t="shared" si="407"/>
        <v>17.298999999999999</v>
      </c>
      <c r="O367" s="340">
        <f t="shared" si="407"/>
        <v>24.137</v>
      </c>
      <c r="P367" s="340">
        <f t="shared" si="407"/>
        <v>16.608000000000001</v>
      </c>
      <c r="Q367" s="340">
        <f t="shared" si="407"/>
        <v>31.344000000000001</v>
      </c>
      <c r="R367" s="350">
        <f t="shared" si="407"/>
        <v>19.460999999999999</v>
      </c>
      <c r="S367" s="340">
        <f t="shared" si="407"/>
        <v>21.187000000000001</v>
      </c>
      <c r="T367" s="340">
        <f t="shared" si="407"/>
        <v>22.669</v>
      </c>
      <c r="U367" s="340">
        <f t="shared" si="407"/>
        <v>20.105</v>
      </c>
      <c r="V367" s="340">
        <f t="shared" si="407"/>
        <v>21.960999999999999</v>
      </c>
      <c r="W367" s="340">
        <f t="shared" si="407"/>
        <v>14.803000000000001</v>
      </c>
      <c r="X367" s="340">
        <f t="shared" si="407"/>
        <v>10.457000000000001</v>
      </c>
      <c r="Y367" s="340">
        <f t="shared" ref="Y367" si="408">IF(ISNUMBER(Y366),(Y366-X366)/1000,"")</f>
        <v>14.694000000000001</v>
      </c>
      <c r="Z367" s="340">
        <f t="shared" ref="Z367" si="409">IF(ISNUMBER(Z366),(Z366-Y366)/1000,"")</f>
        <v>14.55</v>
      </c>
      <c r="AA367" s="340">
        <f t="shared" ref="AA367" si="410">IF(ISNUMBER(AA366),(AA366-Z366)/1000,"")</f>
        <v>37.021999999999998</v>
      </c>
      <c r="AB367" s="340">
        <f t="shared" ref="AB367" si="411">IF(ISNUMBER(AB366),(AB366-AA366)/1000,"")</f>
        <v>23.358000000000001</v>
      </c>
      <c r="AC367" s="340">
        <f t="shared" ref="AC367" si="412">IF(ISNUMBER(AC366),(AC366-AB366)/1000,"")</f>
        <v>38.369</v>
      </c>
      <c r="AD367" s="340">
        <f t="shared" ref="AD367" si="413">IF(ISNUMBER(AD366),(AD366-AC366)/1000,"")</f>
        <v>23.498999999999999</v>
      </c>
      <c r="AE367" s="340">
        <f t="shared" ref="AE367" si="414">IF(ISNUMBER(AE366),(AE366-AD366)/1000,"")</f>
        <v>24.309000000000001</v>
      </c>
      <c r="AF367" s="340">
        <f t="shared" ref="AF367" si="415">IF(ISNUMBER(AF366),(AF366-AE366)/1000,"")</f>
        <v>31.224</v>
      </c>
      <c r="AG367" s="340">
        <f t="shared" ref="AG367" si="416">IF(ISNUMBER(AG366),(AG366-AF366)/1000,"")</f>
        <v>27</v>
      </c>
      <c r="AH367" s="340">
        <f t="shared" ref="AH367" si="417">IF(ISNUMBER(AH366),(AH366-AG366)/1000,"")</f>
        <v>22</v>
      </c>
      <c r="AI367" s="340">
        <f t="shared" ref="AI367" si="418">IF(ISNUMBER(AI366),(AI366-AH366)/1000,"")</f>
        <v>23.356000000000002</v>
      </c>
      <c r="AJ367" s="340">
        <f t="shared" ref="AJ367" si="419">IF(ISNUMBER(AJ366),(AJ366-AI366)/1000,"")</f>
        <v>9.1189999999999998</v>
      </c>
      <c r="AK367" s="340">
        <f t="shared" ref="AK367" si="420">IF(ISNUMBER(AK366),(AK366-AJ366)/1000,"")</f>
        <v>12.699</v>
      </c>
      <c r="AL367" s="340" t="str">
        <f t="shared" ref="AL367" si="421">IF(ISNUMBER(AL366),(AL366-AK366)/1000,"")</f>
        <v/>
      </c>
      <c r="AM367" s="340" t="str">
        <f t="shared" ref="AM367" si="422">IF(ISNUMBER(AM366),(AM366-AL366)/1000,"")</f>
        <v/>
      </c>
      <c r="AN367" s="340" t="str">
        <f t="shared" ref="AN367" si="423">IF(ISNUMBER(AN366),(AN366-AM366)/1000,"")</f>
        <v/>
      </c>
      <c r="AO367" s="340" t="str">
        <f t="shared" ref="AO367" si="424">IF(ISNUMBER(AO366),(AO366-AN366)/1000,"")</f>
        <v/>
      </c>
      <c r="AP367" s="340" t="str">
        <f t="shared" ref="AP367" si="425">IF(ISNUMBER(AP366),(AP366-AO366)/1000,"")</f>
        <v/>
      </c>
      <c r="AQ367" s="340" t="str">
        <f t="shared" ref="AQ367" si="426">IF(ISNUMBER(AQ366),(AQ366-AP366)/1000,"")</f>
        <v/>
      </c>
      <c r="AR367" s="340" t="str">
        <f t="shared" ref="AR367" si="427">IF(ISNUMBER(AR366),(AR366-AQ366)/1000,"")</f>
        <v/>
      </c>
      <c r="AS367" s="340" t="str">
        <f t="shared" ref="AS367" si="428">IF(ISNUMBER(AS366),(AS366-AR366)/1000,"")</f>
        <v/>
      </c>
      <c r="AT367" s="340" t="str">
        <f t="shared" ref="AT367" si="429">IF(ISNUMBER(AT366),(AT366-AS366)/1000,"")</f>
        <v/>
      </c>
      <c r="AU367" s="340" t="str">
        <f t="shared" ref="AU367" si="430">IF(ISNUMBER(AU366),(AU366-AT366)/1000,"")</f>
        <v/>
      </c>
      <c r="AV367" s="340" t="str">
        <f t="shared" ref="AV367" si="431">IF(ISNUMBER(AV366),(AV366-AU366)/1000,"")</f>
        <v/>
      </c>
      <c r="AW367" s="340" t="str">
        <f t="shared" ref="AW367" si="432">IF(ISNUMBER(AW366),(AW366-AV366)/1000,"")</f>
        <v/>
      </c>
    </row>
    <row r="368" spans="1:49" s="1" customFormat="1" ht="15.6">
      <c r="A368" s="361"/>
      <c r="B368" s="601"/>
      <c r="C368" s="214"/>
      <c r="D368" s="484"/>
      <c r="E368" s="485"/>
      <c r="F368" s="370"/>
      <c r="G368" s="226"/>
      <c r="H368" s="226"/>
      <c r="I368" s="227"/>
      <c r="J368" s="349"/>
      <c r="K368" s="345">
        <v>16837516</v>
      </c>
      <c r="L368" s="483">
        <v>16845632</v>
      </c>
      <c r="M368" s="344">
        <v>16850128</v>
      </c>
      <c r="N368" s="344">
        <v>16856122</v>
      </c>
      <c r="O368" s="345">
        <v>16864648</v>
      </c>
      <c r="P368" s="345">
        <v>16872694</v>
      </c>
      <c r="Q368" s="345">
        <v>16879652</v>
      </c>
      <c r="R368" s="350">
        <v>16884662</v>
      </c>
      <c r="S368" s="345">
        <v>16891212</v>
      </c>
      <c r="T368" s="344">
        <v>16898202</v>
      </c>
      <c r="U368" s="345">
        <v>16904494</v>
      </c>
      <c r="V368" s="345">
        <v>16912678</v>
      </c>
      <c r="W368" s="345">
        <v>16916348</v>
      </c>
      <c r="X368" s="483">
        <v>16922480</v>
      </c>
      <c r="Y368" s="483">
        <v>16929300</v>
      </c>
      <c r="Z368" s="483">
        <v>16935428</v>
      </c>
      <c r="AA368" s="483">
        <v>16942200</v>
      </c>
      <c r="AB368" s="483">
        <v>16947740</v>
      </c>
      <c r="AC368" s="483">
        <v>16953814</v>
      </c>
      <c r="AD368" s="483">
        <v>16959154</v>
      </c>
      <c r="AE368" s="483">
        <v>16966338</v>
      </c>
      <c r="AF368" s="483">
        <v>16972938</v>
      </c>
      <c r="AG368" s="344">
        <f>AF368+5000</f>
        <v>16977938</v>
      </c>
      <c r="AH368" s="344">
        <f>AG368+5500</f>
        <v>16983438</v>
      </c>
      <c r="AI368" s="1">
        <v>16990022</v>
      </c>
      <c r="AJ368" s="1">
        <v>16996900</v>
      </c>
      <c r="AK368" s="1">
        <v>17003030</v>
      </c>
    </row>
    <row r="369" spans="1:49" s="1" customFormat="1" ht="15.6">
      <c r="A369" s="361" t="s">
        <v>2181</v>
      </c>
      <c r="B369" s="601" t="s">
        <v>2182</v>
      </c>
      <c r="C369" s="360">
        <f ca="1">OFFSET(K369,0,COUNT(L369:AJ369))</f>
        <v>6.8780000000000001</v>
      </c>
      <c r="D369" s="365" t="s">
        <v>418</v>
      </c>
      <c r="E369" s="390"/>
      <c r="F369" s="362"/>
      <c r="G369" s="8"/>
      <c r="H369" s="8"/>
      <c r="I369" s="58"/>
      <c r="J369" s="22" t="s">
        <v>2144</v>
      </c>
      <c r="K369" s="340"/>
      <c r="L369" s="340">
        <f t="shared" ref="L369:X369" si="433">IF(ISNUMBER(L368),(L368-K368)/1000,"")</f>
        <v>8.1159999999999997</v>
      </c>
      <c r="M369" s="340">
        <f t="shared" si="433"/>
        <v>4.4960000000000004</v>
      </c>
      <c r="N369" s="340">
        <f t="shared" si="433"/>
        <v>5.9939999999999998</v>
      </c>
      <c r="O369" s="340">
        <f t="shared" si="433"/>
        <v>8.5259999999999998</v>
      </c>
      <c r="P369" s="340">
        <f t="shared" si="433"/>
        <v>8.0459999999999994</v>
      </c>
      <c r="Q369" s="340">
        <f t="shared" si="433"/>
        <v>6.9580000000000002</v>
      </c>
      <c r="R369" s="350">
        <f t="shared" si="433"/>
        <v>5.01</v>
      </c>
      <c r="S369" s="340">
        <f t="shared" si="433"/>
        <v>6.55</v>
      </c>
      <c r="T369" s="340">
        <f t="shared" si="433"/>
        <v>6.99</v>
      </c>
      <c r="U369" s="340">
        <f t="shared" si="433"/>
        <v>6.2919999999999998</v>
      </c>
      <c r="V369" s="340">
        <f t="shared" si="433"/>
        <v>8.1839999999999993</v>
      </c>
      <c r="W369" s="340">
        <f t="shared" si="433"/>
        <v>3.67</v>
      </c>
      <c r="X369" s="340">
        <f t="shared" si="433"/>
        <v>6.1319999999999997</v>
      </c>
      <c r="Y369" s="340">
        <f t="shared" ref="Y369" si="434">IF(ISNUMBER(Y368),(Y368-X368)/1000,"")</f>
        <v>6.82</v>
      </c>
      <c r="Z369" s="340">
        <f t="shared" ref="Z369" si="435">IF(ISNUMBER(Z368),(Z368-Y368)/1000,"")</f>
        <v>6.1280000000000001</v>
      </c>
      <c r="AA369" s="340">
        <f t="shared" ref="AA369" si="436">IF(ISNUMBER(AA368),(AA368-Z368)/1000,"")</f>
        <v>6.7720000000000002</v>
      </c>
      <c r="AB369" s="340">
        <f t="shared" ref="AB369" si="437">IF(ISNUMBER(AB368),(AB368-AA368)/1000,"")</f>
        <v>5.54</v>
      </c>
      <c r="AC369" s="340">
        <f t="shared" ref="AC369" si="438">IF(ISNUMBER(AC368),(AC368-AB368)/1000,"")</f>
        <v>6.0739999999999998</v>
      </c>
      <c r="AD369" s="340">
        <f>IF(ISNUMBER(AD368),(AD368-AC368)/1000,"")</f>
        <v>5.34</v>
      </c>
      <c r="AE369" s="340">
        <f t="shared" ref="AE369:AF369" si="439">IF(ISNUMBER(AE368),(AE368-AD368)/1000,"")</f>
        <v>7.1840000000000002</v>
      </c>
      <c r="AF369" s="340">
        <f t="shared" si="439"/>
        <v>6.6</v>
      </c>
      <c r="AG369" s="340">
        <f t="shared" ref="AG369" si="440">IF(ISNUMBER(AG368),(AG368-AF368)/1000,"")</f>
        <v>5</v>
      </c>
      <c r="AH369" s="340">
        <f t="shared" ref="AH369" si="441">IF(ISNUMBER(AH368),(AH368-AG368)/1000,"")</f>
        <v>5.5</v>
      </c>
      <c r="AI369" s="340">
        <f t="shared" ref="AI369" si="442">IF(ISNUMBER(AI368),(AI368-AH368)/1000,"")</f>
        <v>6.5839999999999996</v>
      </c>
      <c r="AJ369" s="340">
        <f t="shared" ref="AJ369" si="443">IF(ISNUMBER(AJ368),(AJ368-AI368)/1000,"")</f>
        <v>6.8780000000000001</v>
      </c>
      <c r="AK369" s="340">
        <f t="shared" ref="AK369" si="444">IF(ISNUMBER(AK368),(AK368-AJ368)/1000,"")</f>
        <v>6.13</v>
      </c>
      <c r="AL369" s="340" t="str">
        <f t="shared" ref="AL369" si="445">IF(ISNUMBER(AL368),(AL368-AK368)/1000,"")</f>
        <v/>
      </c>
      <c r="AM369" s="340" t="str">
        <f t="shared" ref="AM369" si="446">IF(ISNUMBER(AM368),(AM368-AL368)/1000,"")</f>
        <v/>
      </c>
      <c r="AN369" s="340" t="str">
        <f t="shared" ref="AN369" si="447">IF(ISNUMBER(AN368),(AN368-AM368)/1000,"")</f>
        <v/>
      </c>
      <c r="AO369" s="340" t="str">
        <f t="shared" ref="AO369" si="448">IF(ISNUMBER(AO368),(AO368-AN368)/1000,"")</f>
        <v/>
      </c>
      <c r="AP369" s="340" t="str">
        <f t="shared" ref="AP369" si="449">IF(ISNUMBER(AP368),(AP368-AO368)/1000,"")</f>
        <v/>
      </c>
      <c r="AQ369" s="340" t="str">
        <f t="shared" ref="AQ369" si="450">IF(ISNUMBER(AQ368),(AQ368-AP368)/1000,"")</f>
        <v/>
      </c>
      <c r="AR369" s="340" t="str">
        <f t="shared" ref="AR369" si="451">IF(ISNUMBER(AR368),(AR368-AQ368)/1000,"")</f>
        <v/>
      </c>
      <c r="AS369" s="340" t="str">
        <f t="shared" ref="AS369" si="452">IF(ISNUMBER(AS368),(AS368-AR368)/1000,"")</f>
        <v/>
      </c>
      <c r="AT369" s="340" t="str">
        <f t="shared" ref="AT369" si="453">IF(ISNUMBER(AT368),(AT368-AS368)/1000,"")</f>
        <v/>
      </c>
      <c r="AU369" s="340" t="str">
        <f t="shared" ref="AU369" si="454">IF(ISNUMBER(AU368),(AU368-AT368)/1000,"")</f>
        <v/>
      </c>
      <c r="AV369" s="340" t="str">
        <f t="shared" ref="AV369" si="455">IF(ISNUMBER(AV368),(AV368-AU368)/1000,"")</f>
        <v/>
      </c>
      <c r="AW369" s="340" t="str">
        <f t="shared" ref="AW369" si="456">IF(ISNUMBER(AW368),(AW368-AV368)/1000,"")</f>
        <v/>
      </c>
    </row>
    <row r="370" spans="1:49" s="1" customFormat="1" ht="15.6">
      <c r="A370" s="361"/>
      <c r="B370" s="361"/>
      <c r="D370" s="365"/>
      <c r="E370" s="390"/>
      <c r="F370" s="362"/>
      <c r="G370" s="8"/>
      <c r="H370" s="8"/>
      <c r="I370" s="58"/>
      <c r="J370" s="22"/>
      <c r="K370" s="341"/>
      <c r="L370" s="348"/>
      <c r="M370" s="341"/>
      <c r="N370" s="341"/>
      <c r="O370" s="341"/>
      <c r="P370" s="341"/>
      <c r="Q370" s="341"/>
      <c r="R370" s="350"/>
      <c r="S370" s="341"/>
      <c r="T370" s="341"/>
      <c r="U370" s="341"/>
      <c r="V370" s="341"/>
      <c r="W370" s="341"/>
      <c r="X370" s="348"/>
      <c r="Y370" s="348"/>
      <c r="Z370" s="348"/>
      <c r="AA370" s="348"/>
      <c r="AB370" s="348"/>
      <c r="AC370" s="340"/>
      <c r="AD370" s="340"/>
      <c r="AE370" s="340"/>
      <c r="AF370" s="340"/>
      <c r="AG370" s="340"/>
      <c r="AH370" s="340"/>
    </row>
    <row r="371" spans="1:49" s="1" customFormat="1" ht="15.6">
      <c r="A371" s="361"/>
      <c r="B371" s="361"/>
      <c r="C371" s="368"/>
      <c r="D371" s="365"/>
      <c r="E371" s="390"/>
      <c r="F371" s="362" t="s">
        <v>2095</v>
      </c>
      <c r="G371" s="8"/>
      <c r="H371" s="8"/>
      <c r="I371" s="58"/>
      <c r="J371" s="22" t="s">
        <v>1653</v>
      </c>
      <c r="K371" s="482">
        <v>600</v>
      </c>
      <c r="L371" s="510">
        <v>603</v>
      </c>
      <c r="M371" s="482">
        <f>L371+L372</f>
        <v>606</v>
      </c>
      <c r="N371" s="482">
        <v>606</v>
      </c>
      <c r="O371" s="346">
        <v>606</v>
      </c>
      <c r="P371" s="346">
        <v>606</v>
      </c>
      <c r="Q371" s="346">
        <v>606</v>
      </c>
      <c r="R371" s="676">
        <v>606</v>
      </c>
      <c r="S371" s="346">
        <v>606</v>
      </c>
      <c r="T371" s="346">
        <v>606</v>
      </c>
      <c r="U371" s="346">
        <v>606</v>
      </c>
      <c r="V371" s="346">
        <v>606</v>
      </c>
      <c r="W371" s="346">
        <v>606</v>
      </c>
      <c r="X371" s="510">
        <v>620</v>
      </c>
      <c r="Y371" s="1060">
        <v>640</v>
      </c>
      <c r="Z371" s="355">
        <v>667</v>
      </c>
      <c r="AA371" s="1060">
        <v>674</v>
      </c>
      <c r="AB371" s="510">
        <v>678</v>
      </c>
      <c r="AC371" s="355">
        <v>685</v>
      </c>
      <c r="AD371" s="355">
        <v>692</v>
      </c>
      <c r="AE371" s="510">
        <v>698</v>
      </c>
      <c r="AF371" s="510">
        <v>706</v>
      </c>
      <c r="AG371" s="355">
        <v>716</v>
      </c>
      <c r="AH371" s="355">
        <v>723</v>
      </c>
      <c r="AI371" s="1">
        <v>730</v>
      </c>
      <c r="AJ371" s="214">
        <v>735</v>
      </c>
      <c r="AK371" s="214">
        <v>740</v>
      </c>
    </row>
    <row r="372" spans="1:49" s="1" customFormat="1" ht="15.6">
      <c r="A372" s="361" t="s">
        <v>1791</v>
      </c>
      <c r="B372" s="361" t="s">
        <v>2183</v>
      </c>
      <c r="C372" s="360">
        <f ca="1">OFFSET(K372,0,COUNT(L372:AJ372))</f>
        <v>5</v>
      </c>
      <c r="D372" s="365" t="s">
        <v>418</v>
      </c>
      <c r="E372" s="390"/>
      <c r="F372" s="362"/>
      <c r="G372" s="8"/>
      <c r="H372" s="8"/>
      <c r="I372" s="58"/>
      <c r="J372" s="22"/>
      <c r="K372" s="340"/>
      <c r="L372" s="340">
        <f t="shared" ref="L372:X372" si="457">IF(ISNUMBER(L371),(L371-K371),"")</f>
        <v>3</v>
      </c>
      <c r="M372" s="340">
        <f t="shared" si="457"/>
        <v>3</v>
      </c>
      <c r="N372" s="340">
        <f t="shared" si="457"/>
        <v>0</v>
      </c>
      <c r="O372" s="340">
        <f t="shared" si="457"/>
        <v>0</v>
      </c>
      <c r="P372" s="340">
        <f t="shared" si="457"/>
        <v>0</v>
      </c>
      <c r="Q372" s="340">
        <f t="shared" si="457"/>
        <v>0</v>
      </c>
      <c r="R372" s="350">
        <f t="shared" si="457"/>
        <v>0</v>
      </c>
      <c r="S372" s="340">
        <f t="shared" si="457"/>
        <v>0</v>
      </c>
      <c r="T372" s="340">
        <f t="shared" si="457"/>
        <v>0</v>
      </c>
      <c r="U372" s="340">
        <f t="shared" si="457"/>
        <v>0</v>
      </c>
      <c r="V372" s="340">
        <f t="shared" si="457"/>
        <v>0</v>
      </c>
      <c r="W372" s="340">
        <f t="shared" si="457"/>
        <v>0</v>
      </c>
      <c r="X372" s="340">
        <f t="shared" si="457"/>
        <v>14</v>
      </c>
      <c r="Y372" s="340">
        <f t="shared" ref="Y372" si="458">IF(ISNUMBER(Y371),(Y371-X371),"")</f>
        <v>20</v>
      </c>
      <c r="Z372" s="340">
        <f t="shared" ref="Z372" si="459">IF(ISNUMBER(Z371),(Z371-Y371),"")</f>
        <v>27</v>
      </c>
      <c r="AA372" s="340">
        <f t="shared" ref="AA372" si="460">IF(ISNUMBER(AA371),(AA371-Z371),"")</f>
        <v>7</v>
      </c>
      <c r="AB372" s="340">
        <f t="shared" ref="AB372" si="461">IF(ISNUMBER(AB371),(AB371-AA371),"")</f>
        <v>4</v>
      </c>
      <c r="AC372" s="340">
        <f t="shared" ref="AC372" si="462">IF(ISNUMBER(AC371),(AC371-AB371),"")</f>
        <v>7</v>
      </c>
      <c r="AD372" s="340">
        <f t="shared" ref="AD372" si="463">IF(ISNUMBER(AD371),(AD371-AC371),"")</f>
        <v>7</v>
      </c>
      <c r="AE372" s="340">
        <f t="shared" ref="AE372" si="464">IF(ISNUMBER(AE371),(AE371-AD371),"")</f>
        <v>6</v>
      </c>
      <c r="AF372" s="340">
        <f t="shared" ref="AF372" si="465">IF(ISNUMBER(AF371),(AF371-AE371),"")</f>
        <v>8</v>
      </c>
      <c r="AG372" s="340">
        <f>IF(ISNUMBER(AG371),(AG371-AF371),"")</f>
        <v>10</v>
      </c>
      <c r="AH372" s="340">
        <f t="shared" ref="AH372" si="466">IF(ISNUMBER(AH371),(AH371-AG371),"")</f>
        <v>7</v>
      </c>
      <c r="AI372" s="340">
        <f t="shared" ref="AI372" si="467">IF(ISNUMBER(AI371),(AI371-AH371),"")</f>
        <v>7</v>
      </c>
      <c r="AJ372" s="340">
        <f t="shared" ref="AJ372" si="468">IF(ISNUMBER(AJ371),(AJ371-AI371),"")</f>
        <v>5</v>
      </c>
      <c r="AK372" s="340">
        <f t="shared" ref="AK372" si="469">IF(ISNUMBER(AK371),(AK371-AJ371),"")</f>
        <v>5</v>
      </c>
      <c r="AL372" s="340" t="str">
        <f t="shared" ref="AL372" si="470">IF(ISNUMBER(AL371),(AL371-AK371),"")</f>
        <v/>
      </c>
      <c r="AM372" s="340" t="str">
        <f t="shared" ref="AM372" si="471">IF(ISNUMBER(AM371),(AM371-AL371),"")</f>
        <v/>
      </c>
      <c r="AN372" s="340" t="str">
        <f t="shared" ref="AN372" si="472">IF(ISNUMBER(AN371),(AN371-AM371),"")</f>
        <v/>
      </c>
      <c r="AO372" s="340" t="str">
        <f t="shared" ref="AO372" si="473">IF(ISNUMBER(AO371),(AO371-AN371),"")</f>
        <v/>
      </c>
      <c r="AP372" s="340" t="str">
        <f t="shared" ref="AP372" si="474">IF(ISNUMBER(AP371),(AP371-AO371),"")</f>
        <v/>
      </c>
      <c r="AQ372" s="340" t="str">
        <f t="shared" ref="AQ372" si="475">IF(ISNUMBER(AQ371),(AQ371-AP371),"")</f>
        <v/>
      </c>
      <c r="AR372" s="340" t="str">
        <f t="shared" ref="AR372" si="476">IF(ISNUMBER(AR371),(AR371-AQ371),"")</f>
        <v/>
      </c>
      <c r="AS372" s="340" t="str">
        <f t="shared" ref="AS372" si="477">IF(ISNUMBER(AS371),(AS371-AR371),"")</f>
        <v/>
      </c>
      <c r="AT372" s="340" t="str">
        <f t="shared" ref="AT372" si="478">IF(ISNUMBER(AT371),(AT371-AS371),"")</f>
        <v/>
      </c>
      <c r="AU372" s="340" t="str">
        <f t="shared" ref="AU372" si="479">IF(ISNUMBER(AU371),(AU371-AT371),"")</f>
        <v/>
      </c>
      <c r="AV372" s="340" t="str">
        <f t="shared" ref="AV372" si="480">IF(ISNUMBER(AV371),(AV371-AU371),"")</f>
        <v/>
      </c>
      <c r="AW372" s="340" t="str">
        <f t="shared" ref="AW372" si="481">IF(ISNUMBER(AW371),(AW371-AV371),"")</f>
        <v/>
      </c>
    </row>
    <row r="373" spans="1:49" s="1" customFormat="1" ht="15.6">
      <c r="A373" s="361"/>
      <c r="B373" s="361"/>
      <c r="C373" s="368"/>
      <c r="D373" s="365"/>
      <c r="E373" s="390"/>
      <c r="F373" s="362" t="s">
        <v>2184</v>
      </c>
      <c r="G373" s="8" t="s">
        <v>2185</v>
      </c>
      <c r="H373" s="8" t="s">
        <v>2186</v>
      </c>
      <c r="I373" s="58">
        <v>1</v>
      </c>
      <c r="J373" s="22" t="s">
        <v>1653</v>
      </c>
      <c r="K373" s="482">
        <v>0</v>
      </c>
      <c r="L373" s="355">
        <v>0.8</v>
      </c>
      <c r="M373" s="482">
        <f>L373+L374</f>
        <v>1.6</v>
      </c>
      <c r="N373" s="346">
        <v>2</v>
      </c>
      <c r="O373" s="346">
        <v>2</v>
      </c>
      <c r="P373" s="346">
        <v>2</v>
      </c>
      <c r="Q373" s="346">
        <v>2</v>
      </c>
      <c r="R373" s="350">
        <v>2</v>
      </c>
      <c r="S373" s="344">
        <v>2</v>
      </c>
      <c r="T373" s="344">
        <v>2</v>
      </c>
      <c r="U373" s="344">
        <v>2</v>
      </c>
      <c r="V373" s="344">
        <v>2</v>
      </c>
      <c r="W373" s="482">
        <v>2</v>
      </c>
      <c r="X373" s="355">
        <v>2</v>
      </c>
      <c r="Y373" s="355">
        <v>2</v>
      </c>
      <c r="Z373" s="355">
        <v>2</v>
      </c>
      <c r="AA373" s="355">
        <v>2</v>
      </c>
      <c r="AB373" s="355">
        <v>2</v>
      </c>
      <c r="AC373" s="421">
        <v>2</v>
      </c>
      <c r="AD373" s="421">
        <v>2</v>
      </c>
      <c r="AE373" s="1104">
        <v>2</v>
      </c>
      <c r="AF373" s="1104">
        <v>2</v>
      </c>
      <c r="AG373" s="421">
        <v>2</v>
      </c>
      <c r="AH373" s="421">
        <v>2</v>
      </c>
      <c r="AI373" s="1">
        <v>2</v>
      </c>
      <c r="AJ373" s="1">
        <v>2</v>
      </c>
      <c r="AK373" s="1">
        <v>2</v>
      </c>
    </row>
    <row r="374" spans="1:49" s="1" customFormat="1" ht="15.6">
      <c r="A374" s="361" t="s">
        <v>1820</v>
      </c>
      <c r="B374" s="361" t="s">
        <v>2187</v>
      </c>
      <c r="C374" s="360">
        <f ca="1">OFFSET(K374,0,COUNT(L374:AJ374))</f>
        <v>0</v>
      </c>
      <c r="D374" s="365" t="s">
        <v>418</v>
      </c>
      <c r="E374" s="386" t="e">
        <f ca="1">((OFFSET(K374,0,COUNT(L374:X374)))/(OFFSET(L374,0,COUNT(M374:X374)-1)))-1</f>
        <v>#DIV/0!</v>
      </c>
      <c r="F374" s="362"/>
      <c r="G374" s="8"/>
      <c r="H374" s="8"/>
      <c r="I374" s="58"/>
      <c r="J374" s="22"/>
      <c r="K374" s="340">
        <v>68</v>
      </c>
      <c r="L374" s="340">
        <f t="shared" ref="L374:X374" si="482">IF(ISNUMBER(L373),(L373-K373),"")</f>
        <v>0.8</v>
      </c>
      <c r="M374" s="340">
        <f t="shared" si="482"/>
        <v>0.8</v>
      </c>
      <c r="N374" s="340">
        <f t="shared" si="482"/>
        <v>0.39999999999999991</v>
      </c>
      <c r="O374" s="340">
        <f t="shared" si="482"/>
        <v>0</v>
      </c>
      <c r="P374" s="340">
        <f t="shared" si="482"/>
        <v>0</v>
      </c>
      <c r="Q374" s="340">
        <f t="shared" si="482"/>
        <v>0</v>
      </c>
      <c r="R374" s="350">
        <f t="shared" si="482"/>
        <v>0</v>
      </c>
      <c r="S374" s="340">
        <f t="shared" si="482"/>
        <v>0</v>
      </c>
      <c r="T374" s="340">
        <f t="shared" si="482"/>
        <v>0</v>
      </c>
      <c r="U374" s="340">
        <f t="shared" si="482"/>
        <v>0</v>
      </c>
      <c r="V374" s="340">
        <f t="shared" si="482"/>
        <v>0</v>
      </c>
      <c r="W374" s="340">
        <f t="shared" si="482"/>
        <v>0</v>
      </c>
      <c r="X374" s="340">
        <f t="shared" si="482"/>
        <v>0</v>
      </c>
      <c r="Y374" s="340">
        <f t="shared" ref="Y374" si="483">IF(ISNUMBER(Y373),(Y373-X373),"")</f>
        <v>0</v>
      </c>
      <c r="Z374" s="340">
        <f t="shared" ref="Z374" si="484">IF(ISNUMBER(Z373),(Z373-Y373),"")</f>
        <v>0</v>
      </c>
      <c r="AA374" s="340">
        <f t="shared" ref="AA374" si="485">IF(ISNUMBER(AA373),(AA373-Z373),"")</f>
        <v>0</v>
      </c>
      <c r="AB374" s="340">
        <f t="shared" ref="AB374" si="486">IF(ISNUMBER(AB373),(AB373-AA373),"")</f>
        <v>0</v>
      </c>
      <c r="AC374" s="340">
        <f t="shared" ref="AC374" si="487">IF(ISNUMBER(AC373),(AC373-AB373),"")</f>
        <v>0</v>
      </c>
      <c r="AD374" s="340">
        <f t="shared" ref="AD374" si="488">IF(ISNUMBER(AD373),(AD373-AC373),"")</f>
        <v>0</v>
      </c>
      <c r="AE374" s="340">
        <f t="shared" ref="AE374" si="489">IF(ISNUMBER(AE373),(AE373-AD373),"")</f>
        <v>0</v>
      </c>
      <c r="AF374" s="340">
        <f t="shared" ref="AF374" si="490">IF(ISNUMBER(AF373),(AF373-AE373),"")</f>
        <v>0</v>
      </c>
      <c r="AG374" s="340">
        <f t="shared" ref="AG374" si="491">IF(ISNUMBER(AG373),(AG373-AF373),"")</f>
        <v>0</v>
      </c>
      <c r="AH374" s="340">
        <f t="shared" ref="AH374" si="492">IF(ISNUMBER(AH373),(AH373-AG373),"")</f>
        <v>0</v>
      </c>
      <c r="AI374" s="340">
        <f t="shared" ref="AI374" si="493">IF(ISNUMBER(AI373),(AI373-AH373),"")</f>
        <v>0</v>
      </c>
      <c r="AJ374" s="340">
        <f t="shared" ref="AJ374" si="494">IF(ISNUMBER(AJ373),(AJ373-AI373),"")</f>
        <v>0</v>
      </c>
      <c r="AK374" s="340">
        <f t="shared" ref="AK374" si="495">IF(ISNUMBER(AK373),(AK373-AJ373),"")</f>
        <v>0</v>
      </c>
      <c r="AL374" s="340" t="str">
        <f t="shared" ref="AL374" si="496">IF(ISNUMBER(AL373),(AL373-AK373),"")</f>
        <v/>
      </c>
      <c r="AM374" s="340" t="str">
        <f t="shared" ref="AM374" si="497">IF(ISNUMBER(AM373),(AM373-AL373),"")</f>
        <v/>
      </c>
      <c r="AN374" s="340" t="str">
        <f t="shared" ref="AN374" si="498">IF(ISNUMBER(AN373),(AN373-AM373),"")</f>
        <v/>
      </c>
      <c r="AO374" s="340" t="str">
        <f t="shared" ref="AO374" si="499">IF(ISNUMBER(AO373),(AO373-AN373),"")</f>
        <v/>
      </c>
      <c r="AP374" s="340" t="str">
        <f t="shared" ref="AP374" si="500">IF(ISNUMBER(AP373),(AP373-AO373),"")</f>
        <v/>
      </c>
      <c r="AQ374" s="340" t="str">
        <f t="shared" ref="AQ374" si="501">IF(ISNUMBER(AQ373),(AQ373-AP373),"")</f>
        <v/>
      </c>
      <c r="AR374" s="340" t="str">
        <f t="shared" ref="AR374" si="502">IF(ISNUMBER(AR373),(AR373-AQ373),"")</f>
        <v/>
      </c>
      <c r="AS374" s="340" t="str">
        <f t="shared" ref="AS374" si="503">IF(ISNUMBER(AS373),(AS373-AR373),"")</f>
        <v/>
      </c>
      <c r="AT374" s="340" t="str">
        <f t="shared" ref="AT374" si="504">IF(ISNUMBER(AT373),(AT373-AS373),"")</f>
        <v/>
      </c>
      <c r="AU374" s="340" t="str">
        <f t="shared" ref="AU374" si="505">IF(ISNUMBER(AU373),(AU373-AT373),"")</f>
        <v/>
      </c>
      <c r="AV374" s="340" t="str">
        <f t="shared" ref="AV374" si="506">IF(ISNUMBER(AV373),(AV373-AU373),"")</f>
        <v/>
      </c>
      <c r="AW374" s="340" t="str">
        <f t="shared" ref="AW374" si="507">IF(ISNUMBER(AW373),(AW373-AV373),"")</f>
        <v/>
      </c>
    </row>
    <row r="375" spans="1:49" s="1" customFormat="1" ht="15.6">
      <c r="A375" s="361"/>
      <c r="B375" s="361"/>
      <c r="C375" s="360"/>
      <c r="D375" s="365"/>
      <c r="E375" s="386"/>
      <c r="F375" s="362"/>
      <c r="G375" s="8"/>
      <c r="H375" s="8"/>
      <c r="I375" s="58"/>
      <c r="J375" s="22"/>
      <c r="K375" s="345">
        <v>24600</v>
      </c>
      <c r="L375" s="421">
        <v>24653</v>
      </c>
      <c r="M375" s="346">
        <v>25000</v>
      </c>
      <c r="N375" s="345">
        <v>25695</v>
      </c>
      <c r="O375" s="345">
        <v>26043.599999999999</v>
      </c>
      <c r="P375" s="345">
        <v>26400</v>
      </c>
      <c r="Q375" s="345">
        <v>26847</v>
      </c>
      <c r="R375" s="676">
        <v>27368</v>
      </c>
      <c r="S375" s="345">
        <v>28035</v>
      </c>
      <c r="T375" s="345">
        <v>28524</v>
      </c>
      <c r="U375" s="345">
        <v>29067</v>
      </c>
      <c r="V375" s="345">
        <v>29656</v>
      </c>
      <c r="W375" s="345">
        <v>30243.9</v>
      </c>
      <c r="X375" s="421">
        <v>30742.3</v>
      </c>
      <c r="Y375" s="421">
        <v>31303.4</v>
      </c>
      <c r="Z375" s="421">
        <v>31858</v>
      </c>
      <c r="AA375" s="421">
        <v>32482</v>
      </c>
      <c r="AB375" s="421">
        <v>32908</v>
      </c>
      <c r="AC375" s="344">
        <v>33481</v>
      </c>
      <c r="AD375" s="344">
        <v>34031</v>
      </c>
      <c r="AE375" s="344">
        <v>34508</v>
      </c>
      <c r="AF375" s="344">
        <v>35060</v>
      </c>
      <c r="AG375" s="344">
        <v>35781</v>
      </c>
      <c r="AH375" s="344">
        <v>36313</v>
      </c>
      <c r="AI375" s="1">
        <v>36897</v>
      </c>
      <c r="AJ375" s="1">
        <v>37298</v>
      </c>
      <c r="AK375" s="1">
        <v>37846.5</v>
      </c>
    </row>
    <row r="376" spans="1:49" s="1" customFormat="1" ht="15.6">
      <c r="A376" s="361" t="s">
        <v>2188</v>
      </c>
      <c r="B376" s="601" t="s">
        <v>2189</v>
      </c>
      <c r="C376" s="360">
        <f ca="1">OFFSET(K376,0,COUNT(L376:AJ376))</f>
        <v>401</v>
      </c>
      <c r="D376" s="365" t="s">
        <v>418</v>
      </c>
      <c r="E376" s="386">
        <f ca="1">((OFFSET(K376,0,COUNT(L376:X376)))/(OFFSET(L376,0,COUNT(M376:X376)-1)))-1</f>
        <v>-0.15223677496173404</v>
      </c>
      <c r="F376" s="362" t="s">
        <v>2190</v>
      </c>
      <c r="G376" s="8"/>
      <c r="H376" s="8"/>
      <c r="I376" s="58"/>
      <c r="J376" s="22" t="s">
        <v>618</v>
      </c>
      <c r="K376" s="340">
        <f t="shared" ref="K376:X376" si="508">IF(ISNUMBER(K375),(K375-J375),"")</f>
        <v>24600</v>
      </c>
      <c r="L376" s="340">
        <f t="shared" si="508"/>
        <v>53</v>
      </c>
      <c r="M376" s="340">
        <f t="shared" si="508"/>
        <v>347</v>
      </c>
      <c r="N376" s="340">
        <f t="shared" si="508"/>
        <v>695</v>
      </c>
      <c r="O376" s="340">
        <f t="shared" si="508"/>
        <v>348.59999999999854</v>
      </c>
      <c r="P376" s="340">
        <f t="shared" si="508"/>
        <v>356.40000000000146</v>
      </c>
      <c r="Q376" s="340">
        <f t="shared" si="508"/>
        <v>447</v>
      </c>
      <c r="R376" s="350">
        <f t="shared" si="508"/>
        <v>521</v>
      </c>
      <c r="S376" s="340">
        <f t="shared" si="508"/>
        <v>667</v>
      </c>
      <c r="T376" s="340">
        <f t="shared" si="508"/>
        <v>489</v>
      </c>
      <c r="U376" s="340">
        <f t="shared" si="508"/>
        <v>543</v>
      </c>
      <c r="V376" s="340">
        <f t="shared" si="508"/>
        <v>589</v>
      </c>
      <c r="W376" s="340">
        <f t="shared" si="508"/>
        <v>587.90000000000146</v>
      </c>
      <c r="X376" s="340">
        <f t="shared" si="508"/>
        <v>498.39999999999782</v>
      </c>
      <c r="Y376" s="340">
        <f t="shared" ref="Y376" si="509">IF(ISNUMBER(Y375),(Y375-X375),"")</f>
        <v>561.10000000000218</v>
      </c>
      <c r="Z376" s="340">
        <f t="shared" ref="Z376" si="510">IF(ISNUMBER(Z375),(Z375-Y375),"")</f>
        <v>554.59999999999854</v>
      </c>
      <c r="AA376" s="340">
        <f t="shared" ref="AA376" si="511">IF(ISNUMBER(AA375),(AA375-Z375),"")</f>
        <v>624</v>
      </c>
      <c r="AB376" s="340">
        <f t="shared" ref="AB376" si="512">IF(ISNUMBER(AB375),(AB375-AA375),"")</f>
        <v>426</v>
      </c>
      <c r="AC376" s="340">
        <f t="shared" ref="AC376" si="513">IF(ISNUMBER(AC375),(AC375-AB375),"")</f>
        <v>573</v>
      </c>
      <c r="AD376" s="340">
        <f>IF(ISNUMBER(AD375),(AD375-AC375),"")</f>
        <v>550</v>
      </c>
      <c r="AE376" s="340">
        <f t="shared" ref="AE376:AH376" si="514">IF(ISNUMBER(AE375),(AE375-AD375),"")</f>
        <v>477</v>
      </c>
      <c r="AF376" s="340">
        <f t="shared" si="514"/>
        <v>552</v>
      </c>
      <c r="AG376" s="340">
        <f t="shared" si="514"/>
        <v>721</v>
      </c>
      <c r="AH376" s="340">
        <f t="shared" si="514"/>
        <v>532</v>
      </c>
      <c r="AI376" s="340">
        <f t="shared" ref="AI376" si="515">IF(ISNUMBER(AI375),(AI375-AH375),"")</f>
        <v>584</v>
      </c>
      <c r="AJ376" s="340">
        <f t="shared" ref="AJ376" si="516">IF(ISNUMBER(AJ375),(AJ375-AI375),"")</f>
        <v>401</v>
      </c>
      <c r="AK376" s="340">
        <f t="shared" ref="AK376" si="517">IF(ISNUMBER(AK375),(AK375-AJ375),"")</f>
        <v>548.5</v>
      </c>
      <c r="AL376" s="340" t="str">
        <f t="shared" ref="AL376" si="518">IF(ISNUMBER(AL375),(AL375-AK375),"")</f>
        <v/>
      </c>
      <c r="AM376" s="340" t="str">
        <f t="shared" ref="AM376" si="519">IF(ISNUMBER(AM375),(AM375-AL375),"")</f>
        <v/>
      </c>
      <c r="AN376" s="340" t="str">
        <f t="shared" ref="AN376" si="520">IF(ISNUMBER(AN375),(AN375-AM375),"")</f>
        <v/>
      </c>
      <c r="AO376" s="340" t="str">
        <f t="shared" ref="AO376" si="521">IF(ISNUMBER(AO375),(AO375-AN375),"")</f>
        <v/>
      </c>
      <c r="AP376" s="340" t="str">
        <f t="shared" ref="AP376" si="522">IF(ISNUMBER(AP375),(AP375-AO375),"")</f>
        <v/>
      </c>
      <c r="AQ376" s="340" t="str">
        <f t="shared" ref="AQ376" si="523">IF(ISNUMBER(AQ375),(AQ375-AP375),"")</f>
        <v/>
      </c>
      <c r="AR376" s="340" t="str">
        <f t="shared" ref="AR376" si="524">IF(ISNUMBER(AR375),(AR375-AQ375),"")</f>
        <v/>
      </c>
      <c r="AS376" s="340" t="str">
        <f t="shared" ref="AS376" si="525">IF(ISNUMBER(AS375),(AS375-AR375),"")</f>
        <v/>
      </c>
      <c r="AT376" s="340" t="str">
        <f t="shared" ref="AT376" si="526">IF(ISNUMBER(AT375),(AT375-AS375),"")</f>
        <v/>
      </c>
      <c r="AU376" s="340" t="str">
        <f t="shared" ref="AU376" si="527">IF(ISNUMBER(AU375),(AU375-AT375),"")</f>
        <v/>
      </c>
      <c r="AV376" s="340" t="str">
        <f t="shared" ref="AV376" si="528">IF(ISNUMBER(AV375),(AV375-AU375),"")</f>
        <v/>
      </c>
      <c r="AW376" s="340" t="str">
        <f t="shared" ref="AW376" si="529">IF(ISNUMBER(AW375),(AW375-AV375),"")</f>
        <v/>
      </c>
    </row>
    <row r="377" spans="1:49" s="1" customFormat="1" ht="15.6">
      <c r="A377" s="361"/>
      <c r="B377" s="601"/>
      <c r="C377" s="360"/>
      <c r="D377" s="365"/>
      <c r="E377" s="386"/>
      <c r="F377" s="362"/>
      <c r="G377" s="8"/>
      <c r="H377" s="8"/>
      <c r="I377" s="58"/>
      <c r="J377" s="22"/>
      <c r="K377" s="345">
        <v>326</v>
      </c>
      <c r="L377" s="421">
        <v>340</v>
      </c>
      <c r="M377" s="346">
        <v>345</v>
      </c>
      <c r="N377" s="345">
        <v>349.6</v>
      </c>
      <c r="O377" s="345">
        <v>353.7</v>
      </c>
      <c r="P377" s="345">
        <v>358</v>
      </c>
      <c r="Q377" s="345">
        <v>364</v>
      </c>
      <c r="R377" s="676">
        <v>370</v>
      </c>
      <c r="S377" s="345">
        <v>379.4</v>
      </c>
      <c r="T377" s="345">
        <v>386</v>
      </c>
      <c r="U377" s="345">
        <v>393.3</v>
      </c>
      <c r="V377" s="345">
        <v>400</v>
      </c>
      <c r="W377" s="345">
        <v>407.5</v>
      </c>
      <c r="X377" s="421">
        <v>413.9</v>
      </c>
      <c r="Y377" s="421">
        <v>420.7</v>
      </c>
      <c r="Z377" s="421">
        <v>427</v>
      </c>
      <c r="AA377" s="421">
        <v>434</v>
      </c>
      <c r="AB377" s="421">
        <v>439</v>
      </c>
      <c r="AC377" s="344">
        <v>445.8</v>
      </c>
      <c r="AD377" s="344">
        <v>452.5</v>
      </c>
      <c r="AE377" s="344">
        <v>458.8</v>
      </c>
      <c r="AF377" s="344">
        <v>465.6</v>
      </c>
      <c r="AG377" s="344">
        <v>472</v>
      </c>
      <c r="AH377" s="344">
        <v>478.6</v>
      </c>
      <c r="AI377" s="1">
        <v>485.8</v>
      </c>
      <c r="AJ377" s="1">
        <v>490.9</v>
      </c>
      <c r="AK377" s="1">
        <v>497.6</v>
      </c>
    </row>
    <row r="378" spans="1:49" s="1" customFormat="1" ht="15.6">
      <c r="A378" s="361" t="s">
        <v>2191</v>
      </c>
      <c r="B378" s="601" t="s">
        <v>2192</v>
      </c>
      <c r="C378" s="360">
        <f ca="1">OFFSET(K378,0,COUNT(L378:AJ378))</f>
        <v>5.0999999999999659</v>
      </c>
      <c r="D378" s="365" t="s">
        <v>418</v>
      </c>
      <c r="E378" s="386">
        <f ca="1">((OFFSET(K378,0,COUNT(L378:X378)))/(OFFSET(L378,0,COUNT(M378:X378)-1)))-1</f>
        <v>-0.14666666666666972</v>
      </c>
      <c r="F378" s="362" t="s">
        <v>2190</v>
      </c>
      <c r="G378" s="8"/>
      <c r="H378" s="8"/>
      <c r="I378" s="58"/>
      <c r="J378" s="22" t="s">
        <v>618</v>
      </c>
      <c r="K378" s="340">
        <f t="shared" ref="K378:X378" si="530">IF(ISNUMBER(K377),(K377-J377),"")</f>
        <v>326</v>
      </c>
      <c r="L378" s="340">
        <f t="shared" si="530"/>
        <v>14</v>
      </c>
      <c r="M378" s="340">
        <f t="shared" si="530"/>
        <v>5</v>
      </c>
      <c r="N378" s="340">
        <f t="shared" si="530"/>
        <v>4.6000000000000227</v>
      </c>
      <c r="O378" s="340">
        <f t="shared" si="530"/>
        <v>4.0999999999999659</v>
      </c>
      <c r="P378" s="340">
        <f t="shared" si="530"/>
        <v>4.3000000000000114</v>
      </c>
      <c r="Q378" s="340">
        <f t="shared" si="530"/>
        <v>6</v>
      </c>
      <c r="R378" s="350">
        <f t="shared" si="530"/>
        <v>6</v>
      </c>
      <c r="S378" s="340">
        <f t="shared" si="530"/>
        <v>9.3999999999999773</v>
      </c>
      <c r="T378" s="340">
        <f t="shared" si="530"/>
        <v>6.6000000000000227</v>
      </c>
      <c r="U378" s="340">
        <f t="shared" si="530"/>
        <v>7.3000000000000114</v>
      </c>
      <c r="V378" s="340">
        <f t="shared" si="530"/>
        <v>6.6999999999999886</v>
      </c>
      <c r="W378" s="340">
        <f t="shared" si="530"/>
        <v>7.5</v>
      </c>
      <c r="X378" s="340">
        <f t="shared" si="530"/>
        <v>6.3999999999999773</v>
      </c>
      <c r="Y378" s="340">
        <f t="shared" ref="Y378" si="531">IF(ISNUMBER(Y377),(Y377-X377),"")</f>
        <v>6.8000000000000114</v>
      </c>
      <c r="Z378" s="340">
        <f t="shared" ref="Z378" si="532">IF(ISNUMBER(Z377),(Z377-Y377),"")</f>
        <v>6.3000000000000114</v>
      </c>
      <c r="AA378" s="340">
        <f t="shared" ref="AA378" si="533">IF(ISNUMBER(AA377),(AA377-Z377),"")</f>
        <v>7</v>
      </c>
      <c r="AB378" s="340">
        <f t="shared" ref="AB378" si="534">IF(ISNUMBER(AB377),(AB377-AA377),"")</f>
        <v>5</v>
      </c>
      <c r="AC378" s="340">
        <f t="shared" ref="AC378" si="535">IF(ISNUMBER(AC377),(AC377-AB377),"")</f>
        <v>6.8000000000000114</v>
      </c>
      <c r="AD378" s="340">
        <f t="shared" ref="AD378" si="536">IF(ISNUMBER(AD377),(AD377-AC377),"")</f>
        <v>6.6999999999999886</v>
      </c>
      <c r="AE378" s="340">
        <f t="shared" ref="AE378" si="537">IF(ISNUMBER(AE377),(AE377-AD377),"")</f>
        <v>6.3000000000000114</v>
      </c>
      <c r="AF378" s="340">
        <f t="shared" ref="AF378" si="538">IF(ISNUMBER(AF377),(AF377-AE377),"")</f>
        <v>6.8000000000000114</v>
      </c>
      <c r="AG378" s="340">
        <f t="shared" ref="AG378" si="539">IF(ISNUMBER(AG377),(AG377-AF377),"")</f>
        <v>6.3999999999999773</v>
      </c>
      <c r="AH378" s="340">
        <f t="shared" ref="AH378" si="540">IF(ISNUMBER(AH377),(AH377-AG377),"")</f>
        <v>6.6000000000000227</v>
      </c>
      <c r="AI378" s="340">
        <f t="shared" ref="AI378" si="541">IF(ISNUMBER(AI377),(AI377-AH377),"")</f>
        <v>7.1999999999999886</v>
      </c>
      <c r="AJ378" s="340">
        <f t="shared" ref="AJ378" si="542">IF(ISNUMBER(AJ377),(AJ377-AI377),"")</f>
        <v>5.0999999999999659</v>
      </c>
      <c r="AK378" s="340">
        <f t="shared" ref="AK378" si="543">IF(ISNUMBER(AK377),(AK377-AJ377),"")</f>
        <v>6.7000000000000455</v>
      </c>
      <c r="AL378" s="340" t="str">
        <f t="shared" ref="AL378" si="544">IF(ISNUMBER(AL377),(AL377-AK377),"")</f>
        <v/>
      </c>
      <c r="AM378" s="340" t="str">
        <f t="shared" ref="AM378" si="545">IF(ISNUMBER(AM377),(AM377-AL377),"")</f>
        <v/>
      </c>
      <c r="AN378" s="340" t="str">
        <f t="shared" ref="AN378" si="546">IF(ISNUMBER(AN377),(AN377-AM377),"")</f>
        <v/>
      </c>
      <c r="AO378" s="340" t="str">
        <f t="shared" ref="AO378" si="547">IF(ISNUMBER(AO377),(AO377-AN377),"")</f>
        <v/>
      </c>
      <c r="AP378" s="340" t="str">
        <f t="shared" ref="AP378" si="548">IF(ISNUMBER(AP377),(AP377-AO377),"")</f>
        <v/>
      </c>
      <c r="AQ378" s="340" t="str">
        <f t="shared" ref="AQ378" si="549">IF(ISNUMBER(AQ377),(AQ377-AP377),"")</f>
        <v/>
      </c>
      <c r="AR378" s="340" t="str">
        <f t="shared" ref="AR378" si="550">IF(ISNUMBER(AR377),(AR377-AQ377),"")</f>
        <v/>
      </c>
      <c r="AS378" s="340" t="str">
        <f t="shared" ref="AS378" si="551">IF(ISNUMBER(AS377),(AS377-AR377),"")</f>
        <v/>
      </c>
      <c r="AT378" s="340" t="str">
        <f t="shared" ref="AT378" si="552">IF(ISNUMBER(AT377),(AT377-AS377),"")</f>
        <v/>
      </c>
      <c r="AU378" s="340" t="str">
        <f t="shared" ref="AU378" si="553">IF(ISNUMBER(AU377),(AU377-AT377),"")</f>
        <v/>
      </c>
      <c r="AV378" s="340" t="str">
        <f t="shared" ref="AV378" si="554">IF(ISNUMBER(AV377),(AV377-AU377),"")</f>
        <v/>
      </c>
      <c r="AW378" s="340" t="str">
        <f t="shared" ref="AW378" si="555">IF(ISNUMBER(AW377),(AW377-AV377),"")</f>
        <v/>
      </c>
    </row>
    <row r="379" spans="1:49" s="1" customFormat="1" ht="15.6">
      <c r="A379" s="361"/>
      <c r="B379" s="361"/>
      <c r="C379" s="368"/>
      <c r="D379" s="365"/>
      <c r="E379" s="390"/>
      <c r="F379" s="362" t="s">
        <v>2095</v>
      </c>
      <c r="G379" s="8" t="s">
        <v>2193</v>
      </c>
      <c r="H379" s="8"/>
      <c r="I379" s="58">
        <v>1</v>
      </c>
      <c r="J379" s="22" t="s">
        <v>1649</v>
      </c>
      <c r="K379" s="482">
        <v>66500</v>
      </c>
      <c r="L379" s="355">
        <v>67010</v>
      </c>
      <c r="M379" s="344">
        <v>67274</v>
      </c>
      <c r="N379" s="345">
        <v>67677</v>
      </c>
      <c r="O379" s="345">
        <v>68186</v>
      </c>
      <c r="P379" s="345">
        <v>68763</v>
      </c>
      <c r="Q379" s="345">
        <v>69309</v>
      </c>
      <c r="R379" s="676">
        <f>Q379+550</f>
        <v>69859</v>
      </c>
      <c r="S379" s="345">
        <v>70257</v>
      </c>
      <c r="T379" s="344">
        <v>70892</v>
      </c>
      <c r="U379" s="344">
        <v>71522</v>
      </c>
      <c r="V379" s="344">
        <v>72134</v>
      </c>
      <c r="W379" s="482">
        <v>72547</v>
      </c>
      <c r="X379" s="355">
        <v>72805</v>
      </c>
      <c r="Y379" s="355">
        <v>73091</v>
      </c>
      <c r="Z379" s="355">
        <v>73497</v>
      </c>
      <c r="AA379" s="355">
        <v>74142</v>
      </c>
      <c r="AB379" s="355">
        <v>74689</v>
      </c>
      <c r="AC379" s="482">
        <f>AB379+550</f>
        <v>75239</v>
      </c>
      <c r="AD379" s="482">
        <f>AC379+550</f>
        <v>75789</v>
      </c>
      <c r="AE379" s="344">
        <v>76334</v>
      </c>
      <c r="AF379" s="482">
        <v>77012</v>
      </c>
      <c r="AG379" s="344">
        <v>77687</v>
      </c>
      <c r="AH379" s="344">
        <v>78265</v>
      </c>
      <c r="AI379" s="1">
        <v>78730</v>
      </c>
      <c r="AJ379" s="1">
        <v>79052</v>
      </c>
      <c r="AK379" s="1">
        <v>79365</v>
      </c>
    </row>
    <row r="380" spans="1:49" s="1" customFormat="1" ht="15.6">
      <c r="A380" s="361" t="s">
        <v>1574</v>
      </c>
      <c r="B380" s="361" t="s">
        <v>2194</v>
      </c>
      <c r="C380" s="360">
        <f ca="1">OFFSET(K380,0,COUNT(L380:AJ380))</f>
        <v>322</v>
      </c>
      <c r="D380" s="365" t="s">
        <v>418</v>
      </c>
      <c r="E380" s="386">
        <f ca="1">((OFFSET(K380,0,COUNT(L380:X380)))/(OFFSET(L380,0,COUNT(M380:X380)-1)))-1</f>
        <v>-0.37530266343825669</v>
      </c>
      <c r="F380" s="362"/>
      <c r="G380" s="8"/>
      <c r="H380" s="8"/>
      <c r="I380" s="58"/>
      <c r="J380" s="22"/>
      <c r="K380" s="340"/>
      <c r="L380" s="340">
        <f t="shared" ref="L380:X380" si="556">IF(ISNUMBER(L379),(L379-K379),"")</f>
        <v>510</v>
      </c>
      <c r="M380" s="340">
        <f t="shared" si="556"/>
        <v>264</v>
      </c>
      <c r="N380" s="340">
        <f t="shared" si="556"/>
        <v>403</v>
      </c>
      <c r="O380" s="340">
        <f t="shared" si="556"/>
        <v>509</v>
      </c>
      <c r="P380" s="340">
        <f t="shared" si="556"/>
        <v>577</v>
      </c>
      <c r="Q380" s="340">
        <f t="shared" si="556"/>
        <v>546</v>
      </c>
      <c r="R380" s="350">
        <f t="shared" si="556"/>
        <v>550</v>
      </c>
      <c r="S380" s="340">
        <f t="shared" si="556"/>
        <v>398</v>
      </c>
      <c r="T380" s="340">
        <f t="shared" si="556"/>
        <v>635</v>
      </c>
      <c r="U380" s="340">
        <f t="shared" si="556"/>
        <v>630</v>
      </c>
      <c r="V380" s="340">
        <f t="shared" si="556"/>
        <v>612</v>
      </c>
      <c r="W380" s="340">
        <f t="shared" si="556"/>
        <v>413</v>
      </c>
      <c r="X380" s="340">
        <f t="shared" si="556"/>
        <v>258</v>
      </c>
      <c r="Y380" s="340">
        <f t="shared" ref="Y380" si="557">IF(ISNUMBER(Y379),(Y379-X379),"")</f>
        <v>286</v>
      </c>
      <c r="Z380" s="340">
        <f t="shared" ref="Z380" si="558">IF(ISNUMBER(Z379),(Z379-Y379),"")</f>
        <v>406</v>
      </c>
      <c r="AA380" s="340">
        <f t="shared" ref="AA380" si="559">IF(ISNUMBER(AA379),(AA379-Z379),"")</f>
        <v>645</v>
      </c>
      <c r="AB380" s="340">
        <f t="shared" ref="AB380" si="560">IF(ISNUMBER(AB379),(AB379-AA379),"")</f>
        <v>547</v>
      </c>
      <c r="AC380" s="340">
        <f t="shared" ref="AC380" si="561">IF(ISNUMBER(AC379),(AC379-AB379),"")</f>
        <v>550</v>
      </c>
      <c r="AD380" s="340">
        <f t="shared" ref="AD380" si="562">IF(ISNUMBER(AD379),(AD379-AC379),"")</f>
        <v>550</v>
      </c>
      <c r="AE380" s="340">
        <f t="shared" ref="AE380" si="563">IF(ISNUMBER(AE379),(AE379-AD379),"")</f>
        <v>545</v>
      </c>
      <c r="AF380" s="340">
        <f t="shared" ref="AF380" si="564">IF(ISNUMBER(AF379),(AF379-AE379),"")</f>
        <v>678</v>
      </c>
      <c r="AG380" s="340">
        <f t="shared" ref="AG380" si="565">IF(ISNUMBER(AG379),(AG379-AF379),"")</f>
        <v>675</v>
      </c>
      <c r="AH380" s="340">
        <f t="shared" ref="AH380" si="566">IF(ISNUMBER(AH379),(AH379-AG379),"")</f>
        <v>578</v>
      </c>
      <c r="AI380" s="340">
        <f t="shared" ref="AI380" si="567">IF(ISNUMBER(AI379),(AI379-AH379),"")</f>
        <v>465</v>
      </c>
      <c r="AJ380" s="340">
        <f t="shared" ref="AJ380" si="568">IF(ISNUMBER(AJ379),(AJ379-AI379),"")</f>
        <v>322</v>
      </c>
      <c r="AK380" s="340">
        <f t="shared" ref="AK380" si="569">IF(ISNUMBER(AK379),(AK379-AJ379),"")</f>
        <v>313</v>
      </c>
      <c r="AL380" s="340" t="str">
        <f t="shared" ref="AL380" si="570">IF(ISNUMBER(AL379),(AL379-AK379),"")</f>
        <v/>
      </c>
      <c r="AM380" s="340" t="str">
        <f t="shared" ref="AM380" si="571">IF(ISNUMBER(AM379),(AM379-AL379),"")</f>
        <v/>
      </c>
      <c r="AN380" s="340" t="str">
        <f t="shared" ref="AN380" si="572">IF(ISNUMBER(AN379),(AN379-AM379),"")</f>
        <v/>
      </c>
      <c r="AO380" s="340" t="str">
        <f t="shared" ref="AO380" si="573">IF(ISNUMBER(AO379),(AO379-AN379),"")</f>
        <v/>
      </c>
      <c r="AP380" s="340" t="str">
        <f t="shared" ref="AP380" si="574">IF(ISNUMBER(AP379),(AP379-AO379),"")</f>
        <v/>
      </c>
      <c r="AQ380" s="340" t="str">
        <f t="shared" ref="AQ380" si="575">IF(ISNUMBER(AQ379),(AQ379-AP379),"")</f>
        <v/>
      </c>
      <c r="AR380" s="340" t="str">
        <f t="shared" ref="AR380" si="576">IF(ISNUMBER(AR379),(AR379-AQ379),"")</f>
        <v/>
      </c>
      <c r="AS380" s="340" t="str">
        <f t="shared" ref="AS380" si="577">IF(ISNUMBER(AS379),(AS379-AR379),"")</f>
        <v/>
      </c>
      <c r="AT380" s="340" t="str">
        <f t="shared" ref="AT380" si="578">IF(ISNUMBER(AT379),(AT379-AS379),"")</f>
        <v/>
      </c>
      <c r="AU380" s="340" t="str">
        <f t="shared" ref="AU380" si="579">IF(ISNUMBER(AU379),(AU379-AT379),"")</f>
        <v/>
      </c>
      <c r="AV380" s="340" t="str">
        <f t="shared" ref="AV380" si="580">IF(ISNUMBER(AV379),(AV379-AU379),"")</f>
        <v/>
      </c>
      <c r="AW380" s="340" t="str">
        <f t="shared" ref="AW380" si="581">IF(ISNUMBER(AW379),(AW379-AV379),"")</f>
        <v/>
      </c>
    </row>
    <row r="381" spans="1:49" s="1" customFormat="1" ht="15.6">
      <c r="A381" s="361"/>
      <c r="B381" s="361"/>
      <c r="C381" s="368"/>
      <c r="D381" s="365"/>
      <c r="E381" s="390"/>
      <c r="F381" s="362" t="s">
        <v>2095</v>
      </c>
      <c r="G381" s="8" t="s">
        <v>2195</v>
      </c>
      <c r="H381" s="8"/>
      <c r="I381" s="58">
        <v>1</v>
      </c>
      <c r="J381" s="22" t="s">
        <v>1653</v>
      </c>
      <c r="K381" s="482">
        <v>28200</v>
      </c>
      <c r="L381" s="355">
        <v>28263</v>
      </c>
      <c r="M381" s="344">
        <v>28304</v>
      </c>
      <c r="N381" s="345">
        <v>28350</v>
      </c>
      <c r="O381" s="345">
        <v>28364</v>
      </c>
      <c r="P381" s="344">
        <v>28379</v>
      </c>
      <c r="Q381" s="345">
        <v>28409</v>
      </c>
      <c r="R381" s="676">
        <f>Q381+50</f>
        <v>28459</v>
      </c>
      <c r="S381" s="345">
        <v>28561</v>
      </c>
      <c r="T381" s="344">
        <v>28714</v>
      </c>
      <c r="U381" s="344">
        <v>28863</v>
      </c>
      <c r="V381" s="344">
        <v>29005</v>
      </c>
      <c r="W381" s="482">
        <v>29082</v>
      </c>
      <c r="X381" s="355">
        <v>29117</v>
      </c>
      <c r="Y381" s="355">
        <v>29117</v>
      </c>
      <c r="Z381" s="355">
        <v>29120</v>
      </c>
      <c r="AA381" s="355">
        <v>29336</v>
      </c>
      <c r="AB381" s="355">
        <v>29638</v>
      </c>
      <c r="AC381" s="482">
        <f>AB381+250</f>
        <v>29888</v>
      </c>
      <c r="AD381" s="482">
        <f>AC381+250</f>
        <v>30138</v>
      </c>
      <c r="AE381" s="344">
        <v>30275</v>
      </c>
      <c r="AF381" s="482">
        <v>30672</v>
      </c>
      <c r="AG381" s="344">
        <v>31070</v>
      </c>
      <c r="AH381" s="344">
        <v>31392</v>
      </c>
      <c r="AI381" s="1">
        <v>31643</v>
      </c>
      <c r="AJ381" s="1">
        <v>31790</v>
      </c>
      <c r="AK381" s="1">
        <v>31961</v>
      </c>
    </row>
    <row r="382" spans="1:49" s="1" customFormat="1" ht="15.6">
      <c r="A382" s="361" t="s">
        <v>1574</v>
      </c>
      <c r="B382" s="361" t="s">
        <v>2196</v>
      </c>
      <c r="C382" s="360">
        <f ca="1">OFFSET(K382,0,COUNT(L382:AJ382))</f>
        <v>147</v>
      </c>
      <c r="D382" s="365" t="s">
        <v>418</v>
      </c>
      <c r="E382" s="386">
        <f ca="1">((OFFSET(K382,0,COUNT(L382:X382)))/(OFFSET(L382,0,COUNT(M382:X382)-1)))-1</f>
        <v>-0.54545454545454541</v>
      </c>
      <c r="F382" s="362"/>
      <c r="G382" s="8"/>
      <c r="H382" s="8"/>
      <c r="I382" s="58"/>
      <c r="J382" s="22"/>
      <c r="K382" s="340"/>
      <c r="L382" s="340">
        <f t="shared" ref="L382:X382" si="582">IF(ISNUMBER(L381),(L381-K381),"")</f>
        <v>63</v>
      </c>
      <c r="M382" s="340">
        <f t="shared" si="582"/>
        <v>41</v>
      </c>
      <c r="N382" s="340">
        <f t="shared" si="582"/>
        <v>46</v>
      </c>
      <c r="O382" s="340">
        <f t="shared" si="582"/>
        <v>14</v>
      </c>
      <c r="P382" s="340">
        <f t="shared" si="582"/>
        <v>15</v>
      </c>
      <c r="Q382" s="340">
        <f t="shared" si="582"/>
        <v>30</v>
      </c>
      <c r="R382" s="350">
        <f t="shared" si="582"/>
        <v>50</v>
      </c>
      <c r="S382" s="340">
        <f t="shared" si="582"/>
        <v>102</v>
      </c>
      <c r="T382" s="340">
        <f t="shared" si="582"/>
        <v>153</v>
      </c>
      <c r="U382" s="340">
        <f t="shared" si="582"/>
        <v>149</v>
      </c>
      <c r="V382" s="340">
        <f t="shared" si="582"/>
        <v>142</v>
      </c>
      <c r="W382" s="340">
        <f t="shared" si="582"/>
        <v>77</v>
      </c>
      <c r="X382" s="340">
        <f t="shared" si="582"/>
        <v>35</v>
      </c>
      <c r="Y382" s="340">
        <f t="shared" ref="Y382" si="583">IF(ISNUMBER(Y381),(Y381-X381),"")</f>
        <v>0</v>
      </c>
      <c r="Z382" s="340">
        <f t="shared" ref="Z382" si="584">IF(ISNUMBER(Z381),(Z381-Y381),"")</f>
        <v>3</v>
      </c>
      <c r="AA382" s="340">
        <f t="shared" ref="AA382" si="585">IF(ISNUMBER(AA381),(AA381-Z381),"")</f>
        <v>216</v>
      </c>
      <c r="AB382" s="340">
        <f t="shared" ref="AB382" si="586">IF(ISNUMBER(AB381),(AB381-AA381),"")</f>
        <v>302</v>
      </c>
      <c r="AC382" s="340">
        <f>IF(ISNUMBER(AC381),(AC381-AB381),"")</f>
        <v>250</v>
      </c>
      <c r="AD382" s="340">
        <f>IF(ISNUMBER(AD381),(AD381-AC381),"")</f>
        <v>250</v>
      </c>
      <c r="AE382" s="340">
        <f>IF(ISNUMBER(AE381),(AE381-AD381),"")</f>
        <v>137</v>
      </c>
      <c r="AF382" s="340">
        <f t="shared" ref="AF382:AH382" si="587">IF(ISNUMBER(AF381),(AF381-AE381),"")</f>
        <v>397</v>
      </c>
      <c r="AG382" s="340">
        <f t="shared" si="587"/>
        <v>398</v>
      </c>
      <c r="AH382" s="340">
        <f t="shared" si="587"/>
        <v>322</v>
      </c>
      <c r="AI382" s="340">
        <f t="shared" ref="AI382" si="588">IF(ISNUMBER(AI381),(AI381-AH381),"")</f>
        <v>251</v>
      </c>
      <c r="AJ382" s="340">
        <f t="shared" ref="AJ382" si="589">IF(ISNUMBER(AJ381),(AJ381-AI381),"")</f>
        <v>147</v>
      </c>
      <c r="AK382" s="340">
        <f t="shared" ref="AK382" si="590">IF(ISNUMBER(AK381),(AK381-AJ381),"")</f>
        <v>171</v>
      </c>
      <c r="AL382" s="340" t="str">
        <f t="shared" ref="AL382" si="591">IF(ISNUMBER(AL381),(AL381-AK381),"")</f>
        <v/>
      </c>
      <c r="AM382" s="340" t="str">
        <f t="shared" ref="AM382" si="592">IF(ISNUMBER(AM381),(AM381-AL381),"")</f>
        <v/>
      </c>
      <c r="AN382" s="340" t="str">
        <f t="shared" ref="AN382" si="593">IF(ISNUMBER(AN381),(AN381-AM381),"")</f>
        <v/>
      </c>
      <c r="AO382" s="340" t="str">
        <f t="shared" ref="AO382" si="594">IF(ISNUMBER(AO381),(AO381-AN381),"")</f>
        <v/>
      </c>
      <c r="AP382" s="340" t="str">
        <f t="shared" ref="AP382" si="595">IF(ISNUMBER(AP381),(AP381-AO381),"")</f>
        <v/>
      </c>
      <c r="AQ382" s="340" t="str">
        <f t="shared" ref="AQ382" si="596">IF(ISNUMBER(AQ381),(AQ381-AP381),"")</f>
        <v/>
      </c>
      <c r="AR382" s="340" t="str">
        <f t="shared" ref="AR382" si="597">IF(ISNUMBER(AR381),(AR381-AQ381),"")</f>
        <v/>
      </c>
      <c r="AS382" s="340" t="str">
        <f t="shared" ref="AS382" si="598">IF(ISNUMBER(AS381),(AS381-AR381),"")</f>
        <v/>
      </c>
      <c r="AT382" s="340" t="str">
        <f t="shared" ref="AT382" si="599">IF(ISNUMBER(AT381),(AT381-AS381),"")</f>
        <v/>
      </c>
      <c r="AU382" s="340" t="str">
        <f t="shared" ref="AU382" si="600">IF(ISNUMBER(AU381),(AU381-AT381),"")</f>
        <v/>
      </c>
      <c r="AV382" s="340" t="str">
        <f t="shared" ref="AV382" si="601">IF(ISNUMBER(AV381),(AV381-AU381),"")</f>
        <v/>
      </c>
      <c r="AW382" s="340" t="str">
        <f t="shared" ref="AW382" si="602">IF(ISNUMBER(AW381),(AW381-AV381),"")</f>
        <v/>
      </c>
    </row>
    <row r="383" spans="1:49" s="1" customFormat="1" ht="15.6">
      <c r="A383" s="361"/>
      <c r="B383" s="361"/>
      <c r="C383" s="368"/>
      <c r="D383" s="365"/>
      <c r="E383" s="390"/>
      <c r="F383" s="362" t="s">
        <v>2095</v>
      </c>
      <c r="G383" s="8" t="s">
        <v>2197</v>
      </c>
      <c r="H383" s="8"/>
      <c r="I383" s="58">
        <v>1</v>
      </c>
      <c r="J383" s="22" t="s">
        <v>1653</v>
      </c>
      <c r="K383" s="482">
        <v>32000</v>
      </c>
      <c r="L383" s="355">
        <v>32367</v>
      </c>
      <c r="M383" s="344">
        <v>32519</v>
      </c>
      <c r="N383" s="345">
        <v>32751</v>
      </c>
      <c r="O383" s="345">
        <v>33069</v>
      </c>
      <c r="P383" s="345">
        <v>33442</v>
      </c>
      <c r="Q383" s="345">
        <v>33797</v>
      </c>
      <c r="R383" s="676">
        <f>Q383+300</f>
        <v>34097</v>
      </c>
      <c r="S383" s="345">
        <v>34397</v>
      </c>
      <c r="T383" s="344">
        <v>34796</v>
      </c>
      <c r="U383" s="344">
        <v>35185</v>
      </c>
      <c r="V383" s="344">
        <v>35564</v>
      </c>
      <c r="W383" s="482">
        <v>35823</v>
      </c>
      <c r="X383" s="355">
        <v>35987</v>
      </c>
      <c r="Y383" s="355">
        <v>36157</v>
      </c>
      <c r="Z383" s="355">
        <v>36407</v>
      </c>
      <c r="AA383" s="355">
        <v>36849</v>
      </c>
      <c r="AB383" s="355">
        <v>37221</v>
      </c>
      <c r="AC383" s="510">
        <f>AB383+300</f>
        <v>37521</v>
      </c>
      <c r="AD383" s="510">
        <f>AC383+300</f>
        <v>37821</v>
      </c>
      <c r="AE383" s="355">
        <v>38262</v>
      </c>
      <c r="AF383" s="510">
        <v>38698</v>
      </c>
      <c r="AG383" s="355">
        <v>39135</v>
      </c>
      <c r="AH383" s="355">
        <v>39495</v>
      </c>
      <c r="AI383" s="1">
        <v>39775</v>
      </c>
      <c r="AJ383" s="1">
        <v>39960</v>
      </c>
      <c r="AK383" s="1">
        <v>40155</v>
      </c>
    </row>
    <row r="384" spans="1:49" s="1" customFormat="1" ht="15.6">
      <c r="A384" s="361" t="s">
        <v>1574</v>
      </c>
      <c r="B384" s="371" t="s">
        <v>2198</v>
      </c>
      <c r="C384" s="360">
        <f ca="1">OFFSET(K384,0,COUNT(L384:AJ384))</f>
        <v>185</v>
      </c>
      <c r="D384" s="365" t="s">
        <v>418</v>
      </c>
      <c r="E384" s="386">
        <f ca="1">((OFFSET(K384,0,COUNT(L384:X384)))/(OFFSET(L384,0,COUNT(M384:X384)-1)))-1</f>
        <v>-0.36679536679536684</v>
      </c>
      <c r="F384" s="362"/>
      <c r="G384" s="8"/>
      <c r="H384" s="8"/>
      <c r="I384" s="58"/>
      <c r="J384" s="22"/>
      <c r="K384" s="340"/>
      <c r="L384" s="340">
        <f t="shared" ref="L384:X384" si="603">IF(ISNUMBER(L383),(L383-K383),"")</f>
        <v>367</v>
      </c>
      <c r="M384" s="340">
        <f t="shared" si="603"/>
        <v>152</v>
      </c>
      <c r="N384" s="340">
        <f t="shared" si="603"/>
        <v>232</v>
      </c>
      <c r="O384" s="340">
        <f t="shared" si="603"/>
        <v>318</v>
      </c>
      <c r="P384" s="340">
        <f t="shared" si="603"/>
        <v>373</v>
      </c>
      <c r="Q384" s="340">
        <f t="shared" si="603"/>
        <v>355</v>
      </c>
      <c r="R384" s="350">
        <f t="shared" si="603"/>
        <v>300</v>
      </c>
      <c r="S384" s="340">
        <f t="shared" si="603"/>
        <v>300</v>
      </c>
      <c r="T384" s="340">
        <f t="shared" si="603"/>
        <v>399</v>
      </c>
      <c r="U384" s="340">
        <f t="shared" si="603"/>
        <v>389</v>
      </c>
      <c r="V384" s="340">
        <f t="shared" si="603"/>
        <v>379</v>
      </c>
      <c r="W384" s="340">
        <f t="shared" si="603"/>
        <v>259</v>
      </c>
      <c r="X384" s="340">
        <f t="shared" si="603"/>
        <v>164</v>
      </c>
      <c r="Y384" s="340">
        <f t="shared" ref="Y384" si="604">IF(ISNUMBER(Y383),(Y383-X383),"")</f>
        <v>170</v>
      </c>
      <c r="Z384" s="340">
        <f t="shared" ref="Z384" si="605">IF(ISNUMBER(Z383),(Z383-Y383),"")</f>
        <v>250</v>
      </c>
      <c r="AA384" s="340">
        <f t="shared" ref="AA384" si="606">IF(ISNUMBER(AA383),(AA383-Z383),"")</f>
        <v>442</v>
      </c>
      <c r="AB384" s="340">
        <f t="shared" ref="AB384" si="607">IF(ISNUMBER(AB383),(AB383-AA383),"")</f>
        <v>372</v>
      </c>
      <c r="AC384" s="340">
        <f t="shared" ref="AC384" si="608">IF(ISNUMBER(AC383),(AC383-AB383),"")</f>
        <v>300</v>
      </c>
      <c r="AD384" s="340">
        <f t="shared" ref="AD384" si="609">IF(ISNUMBER(AD383),(AD383-AC383),"")</f>
        <v>300</v>
      </c>
      <c r="AE384" s="340">
        <f t="shared" ref="AE384" si="610">IF(ISNUMBER(AE383),(AE383-AD383),"")</f>
        <v>441</v>
      </c>
      <c r="AF384" s="340">
        <f t="shared" ref="AF384" si="611">IF(ISNUMBER(AF383),(AF383-AE383),"")</f>
        <v>436</v>
      </c>
      <c r="AG384" s="340">
        <f t="shared" ref="AG384" si="612">IF(ISNUMBER(AG383),(AG383-AF383),"")</f>
        <v>437</v>
      </c>
      <c r="AH384" s="340">
        <f t="shared" ref="AH384" si="613">IF(ISNUMBER(AH383),(AH383-AG383),"")</f>
        <v>360</v>
      </c>
      <c r="AI384" s="340">
        <f t="shared" ref="AI384" si="614">IF(ISNUMBER(AI383),(AI383-AH383),"")</f>
        <v>280</v>
      </c>
      <c r="AJ384" s="340">
        <f t="shared" ref="AJ384" si="615">IF(ISNUMBER(AJ383),(AJ383-AI383),"")</f>
        <v>185</v>
      </c>
      <c r="AK384" s="340">
        <f t="shared" ref="AK384" si="616">IF(ISNUMBER(AK383),(AK383-AJ383),"")</f>
        <v>195</v>
      </c>
      <c r="AL384" s="340" t="str">
        <f t="shared" ref="AL384" si="617">IF(ISNUMBER(AL383),(AL383-AK383),"")</f>
        <v/>
      </c>
      <c r="AM384" s="340" t="str">
        <f t="shared" ref="AM384" si="618">IF(ISNUMBER(AM383),(AM383-AL383),"")</f>
        <v/>
      </c>
      <c r="AN384" s="340" t="str">
        <f t="shared" ref="AN384" si="619">IF(ISNUMBER(AN383),(AN383-AM383),"")</f>
        <v/>
      </c>
      <c r="AO384" s="340" t="str">
        <f t="shared" ref="AO384" si="620">IF(ISNUMBER(AO383),(AO383-AN383),"")</f>
        <v/>
      </c>
      <c r="AP384" s="340" t="str">
        <f t="shared" ref="AP384" si="621">IF(ISNUMBER(AP383),(AP383-AO383),"")</f>
        <v/>
      </c>
      <c r="AQ384" s="340" t="str">
        <f t="shared" ref="AQ384" si="622">IF(ISNUMBER(AQ383),(AQ383-AP383),"")</f>
        <v/>
      </c>
      <c r="AR384" s="340" t="str">
        <f t="shared" ref="AR384" si="623">IF(ISNUMBER(AR383),(AR383-AQ383),"")</f>
        <v/>
      </c>
      <c r="AS384" s="340" t="str">
        <f t="shared" ref="AS384" si="624">IF(ISNUMBER(AS383),(AS383-AR383),"")</f>
        <v/>
      </c>
      <c r="AT384" s="340" t="str">
        <f t="shared" ref="AT384" si="625">IF(ISNUMBER(AT383),(AT383-AS383),"")</f>
        <v/>
      </c>
      <c r="AU384" s="340" t="str">
        <f t="shared" ref="AU384" si="626">IF(ISNUMBER(AU383),(AU383-AT383),"")</f>
        <v/>
      </c>
      <c r="AV384" s="340" t="str">
        <f t="shared" ref="AV384" si="627">IF(ISNUMBER(AV383),(AV383-AU383),"")</f>
        <v/>
      </c>
      <c r="AW384" s="340" t="str">
        <f t="shared" ref="AW384" si="628">IF(ISNUMBER(AW383),(AW383-AV383),"")</f>
        <v/>
      </c>
    </row>
    <row r="385" spans="1:49" s="1" customFormat="1" ht="15.6">
      <c r="A385" s="361"/>
      <c r="B385" s="371"/>
      <c r="C385" s="373"/>
      <c r="D385" s="365"/>
      <c r="E385" s="390"/>
      <c r="F385" s="361"/>
      <c r="G385" s="17"/>
      <c r="H385" s="5"/>
      <c r="I385" s="58"/>
      <c r="J385" s="22"/>
      <c r="K385" s="345"/>
      <c r="L385" s="421"/>
      <c r="M385" s="482"/>
      <c r="N385" s="482"/>
      <c r="O385" s="345"/>
      <c r="P385" s="345"/>
      <c r="Q385" s="482"/>
      <c r="R385" s="676"/>
      <c r="S385" s="346"/>
      <c r="T385" s="989"/>
      <c r="U385" s="482"/>
      <c r="V385" s="345"/>
      <c r="W385" s="345"/>
      <c r="X385" s="1146"/>
      <c r="Y385" s="1146"/>
      <c r="Z385" s="1202"/>
      <c r="AA385" s="1146"/>
      <c r="AB385" s="1146"/>
      <c r="AC385" s="421"/>
      <c r="AD385" s="1104"/>
      <c r="AE385" s="421"/>
      <c r="AF385" s="1146"/>
      <c r="AG385" s="421"/>
      <c r="AH385" s="421">
        <v>0</v>
      </c>
      <c r="AI385" s="421">
        <v>302</v>
      </c>
      <c r="AJ385" s="1">
        <v>324</v>
      </c>
      <c r="AK385" s="1">
        <v>371.78</v>
      </c>
    </row>
    <row r="386" spans="1:49" s="1" customFormat="1" ht="15.6">
      <c r="A386" s="361"/>
      <c r="B386" s="371" t="s">
        <v>2199</v>
      </c>
      <c r="C386" s="360">
        <f ca="1">OFFSET(K386,0,COUNT(L386:AJ386))</f>
        <v>22</v>
      </c>
      <c r="D386" s="365" t="s">
        <v>418</v>
      </c>
      <c r="E386" s="390"/>
      <c r="F386" s="361"/>
      <c r="G386" s="17"/>
      <c r="H386" s="5"/>
      <c r="I386" s="58"/>
      <c r="J386" s="22"/>
      <c r="K386" s="345">
        <v>0</v>
      </c>
      <c r="L386" s="421">
        <v>0</v>
      </c>
      <c r="M386" s="482">
        <v>0</v>
      </c>
      <c r="N386" s="482">
        <v>0</v>
      </c>
      <c r="O386" s="345">
        <v>0</v>
      </c>
      <c r="P386" s="345">
        <v>0</v>
      </c>
      <c r="Q386" s="482">
        <v>0</v>
      </c>
      <c r="R386" s="676">
        <v>0</v>
      </c>
      <c r="S386" s="346">
        <v>0</v>
      </c>
      <c r="T386" s="989">
        <v>0</v>
      </c>
      <c r="U386" s="482">
        <v>0</v>
      </c>
      <c r="V386" s="345">
        <v>0</v>
      </c>
      <c r="W386" s="345">
        <v>0</v>
      </c>
      <c r="X386" s="1146">
        <v>0</v>
      </c>
      <c r="Y386" s="1146">
        <v>0</v>
      </c>
      <c r="Z386" s="1202">
        <v>0</v>
      </c>
      <c r="AA386" s="1146">
        <v>0</v>
      </c>
      <c r="AB386" s="1146">
        <v>0</v>
      </c>
      <c r="AC386" s="421">
        <v>0</v>
      </c>
      <c r="AD386" s="1104">
        <v>0</v>
      </c>
      <c r="AE386" s="421">
        <v>0</v>
      </c>
      <c r="AF386" s="1146">
        <v>0</v>
      </c>
      <c r="AG386" s="421">
        <v>0</v>
      </c>
      <c r="AH386" s="421">
        <v>0</v>
      </c>
      <c r="AI386" s="421">
        <v>20</v>
      </c>
      <c r="AJ386" s="340">
        <f t="shared" ref="AJ386" si="629">IF(ISNUMBER(AJ385),(AJ385-AI385),"")</f>
        <v>22</v>
      </c>
      <c r="AK386" s="340">
        <f t="shared" ref="AK386" si="630">IF(ISNUMBER(AK385),(AK385-AJ385),"")</f>
        <v>47.779999999999973</v>
      </c>
      <c r="AL386" s="340" t="str">
        <f t="shared" ref="AL386" si="631">IF(ISNUMBER(AL385),(AL385-AK385),"")</f>
        <v/>
      </c>
      <c r="AM386" s="340" t="str">
        <f t="shared" ref="AM386" si="632">IF(ISNUMBER(AM385),(AM385-AL385),"")</f>
        <v/>
      </c>
      <c r="AN386" s="340" t="str">
        <f t="shared" ref="AN386" si="633">IF(ISNUMBER(AN385),(AN385-AM385),"")</f>
        <v/>
      </c>
      <c r="AO386" s="340" t="str">
        <f t="shared" ref="AO386" si="634">IF(ISNUMBER(AO385),(AO385-AN385),"")</f>
        <v/>
      </c>
      <c r="AP386" s="340" t="str">
        <f t="shared" ref="AP386" si="635">IF(ISNUMBER(AP385),(AP385-AO385),"")</f>
        <v/>
      </c>
      <c r="AQ386" s="340" t="str">
        <f t="shared" ref="AQ386" si="636">IF(ISNUMBER(AQ385),(AQ385-AP385),"")</f>
        <v/>
      </c>
      <c r="AR386" s="340" t="str">
        <f t="shared" ref="AR386" si="637">IF(ISNUMBER(AR385),(AR385-AQ385),"")</f>
        <v/>
      </c>
      <c r="AS386" s="340" t="str">
        <f t="shared" ref="AS386" si="638">IF(ISNUMBER(AS385),(AS385-AR385),"")</f>
        <v/>
      </c>
      <c r="AT386" s="340" t="str">
        <f t="shared" ref="AT386" si="639">IF(ISNUMBER(AT385),(AT385-AS385),"")</f>
        <v/>
      </c>
      <c r="AU386" s="340" t="str">
        <f t="shared" ref="AU386" si="640">IF(ISNUMBER(AU385),(AU385-AT385),"")</f>
        <v/>
      </c>
      <c r="AV386" s="340" t="str">
        <f t="shared" ref="AV386" si="641">IF(ISNUMBER(AV385),(AV385-AU385),"")</f>
        <v/>
      </c>
      <c r="AW386" s="340" t="str">
        <f t="shared" ref="AW386" si="642">IF(ISNUMBER(AW385),(AW385-AV385),"")</f>
        <v/>
      </c>
    </row>
    <row r="387" spans="1:49" s="1" customFormat="1" ht="15.6">
      <c r="A387" s="361"/>
      <c r="B387" s="371"/>
      <c r="C387" s="373"/>
      <c r="D387" s="365"/>
      <c r="E387" s="390"/>
      <c r="F387" s="361"/>
      <c r="G387" s="17"/>
      <c r="H387" s="5"/>
      <c r="I387" s="58"/>
      <c r="J387" s="22"/>
      <c r="K387" s="345"/>
      <c r="L387" s="421"/>
      <c r="M387" s="482"/>
      <c r="N387" s="482"/>
      <c r="O387" s="345"/>
      <c r="P387" s="345"/>
      <c r="Q387" s="482"/>
      <c r="R387" s="676"/>
      <c r="S387" s="346"/>
      <c r="T387" s="989"/>
      <c r="U387" s="482"/>
      <c r="V387" s="345"/>
      <c r="W387" s="345"/>
      <c r="X387" s="1146"/>
      <c r="Y387" s="1146"/>
      <c r="Z387" s="1202"/>
      <c r="AA387" s="1146"/>
      <c r="AB387" s="1146"/>
      <c r="AC387" s="421"/>
      <c r="AD387" s="1104"/>
      <c r="AE387" s="421"/>
      <c r="AF387" s="1146"/>
      <c r="AG387" s="421"/>
      <c r="AH387" s="421">
        <v>0</v>
      </c>
      <c r="AI387" s="421">
        <v>33</v>
      </c>
      <c r="AJ387" s="1">
        <v>33</v>
      </c>
      <c r="AK387" s="1">
        <v>33</v>
      </c>
    </row>
    <row r="388" spans="1:49" s="1" customFormat="1" ht="15.6">
      <c r="A388" s="361"/>
      <c r="B388" s="371" t="s">
        <v>2200</v>
      </c>
      <c r="C388" s="360">
        <f ca="1">OFFSET(K388,0,COUNT(L388:AJ388))</f>
        <v>0</v>
      </c>
      <c r="D388" s="365" t="s">
        <v>418</v>
      </c>
      <c r="E388" s="390"/>
      <c r="F388" s="361"/>
      <c r="G388" s="17"/>
      <c r="H388" s="5"/>
      <c r="I388" s="58"/>
      <c r="J388" s="22"/>
      <c r="K388" s="345">
        <v>0</v>
      </c>
      <c r="L388" s="421">
        <v>0</v>
      </c>
      <c r="M388" s="482">
        <v>0</v>
      </c>
      <c r="N388" s="482">
        <v>0</v>
      </c>
      <c r="O388" s="345">
        <v>0</v>
      </c>
      <c r="P388" s="345">
        <v>0</v>
      </c>
      <c r="Q388" s="482">
        <v>0</v>
      </c>
      <c r="R388" s="676">
        <v>0</v>
      </c>
      <c r="S388" s="346">
        <v>0</v>
      </c>
      <c r="T388" s="989">
        <v>0</v>
      </c>
      <c r="U388" s="482">
        <v>0</v>
      </c>
      <c r="V388" s="345">
        <v>0</v>
      </c>
      <c r="W388" s="345">
        <v>0</v>
      </c>
      <c r="X388" s="1146">
        <v>0</v>
      </c>
      <c r="Y388" s="1146">
        <v>0</v>
      </c>
      <c r="Z388" s="1202">
        <v>0</v>
      </c>
      <c r="AA388" s="1146">
        <v>0</v>
      </c>
      <c r="AB388" s="1146">
        <v>0</v>
      </c>
      <c r="AC388" s="421">
        <v>0</v>
      </c>
      <c r="AD388" s="1104">
        <v>0</v>
      </c>
      <c r="AE388" s="421">
        <v>0</v>
      </c>
      <c r="AF388" s="1146">
        <v>0</v>
      </c>
      <c r="AG388" s="421">
        <v>0</v>
      </c>
      <c r="AH388" s="421">
        <v>0</v>
      </c>
      <c r="AI388" s="421">
        <v>0</v>
      </c>
      <c r="AJ388" s="340">
        <f t="shared" ref="AJ388" si="643">IF(ISNUMBER(AJ387),(AJ387-AI387),"")</f>
        <v>0</v>
      </c>
      <c r="AK388" s="340">
        <f t="shared" ref="AK388" si="644">IF(ISNUMBER(AK387),(AK387-AJ387),"")</f>
        <v>0</v>
      </c>
      <c r="AL388" s="340" t="str">
        <f t="shared" ref="AL388" si="645">IF(ISNUMBER(AL387),(AL387-AK387),"")</f>
        <v/>
      </c>
      <c r="AM388" s="340" t="str">
        <f t="shared" ref="AM388" si="646">IF(ISNUMBER(AM387),(AM387-AL387),"")</f>
        <v/>
      </c>
      <c r="AN388" s="340" t="str">
        <f t="shared" ref="AN388" si="647">IF(ISNUMBER(AN387),(AN387-AM387),"")</f>
        <v/>
      </c>
      <c r="AO388" s="340" t="str">
        <f t="shared" ref="AO388" si="648">IF(ISNUMBER(AO387),(AO387-AN387),"")</f>
        <v/>
      </c>
      <c r="AP388" s="340" t="str">
        <f t="shared" ref="AP388" si="649">IF(ISNUMBER(AP387),(AP387-AO387),"")</f>
        <v/>
      </c>
      <c r="AQ388" s="340" t="str">
        <f t="shared" ref="AQ388" si="650">IF(ISNUMBER(AQ387),(AQ387-AP387),"")</f>
        <v/>
      </c>
      <c r="AR388" s="340" t="str">
        <f t="shared" ref="AR388" si="651">IF(ISNUMBER(AR387),(AR387-AQ387),"")</f>
        <v/>
      </c>
      <c r="AS388" s="340" t="str">
        <f t="shared" ref="AS388" si="652">IF(ISNUMBER(AS387),(AS387-AR387),"")</f>
        <v/>
      </c>
      <c r="AT388" s="340" t="str">
        <f t="shared" ref="AT388" si="653">IF(ISNUMBER(AT387),(AT387-AS387),"")</f>
        <v/>
      </c>
      <c r="AU388" s="340" t="str">
        <f t="shared" ref="AU388" si="654">IF(ISNUMBER(AU387),(AU387-AT387),"")</f>
        <v/>
      </c>
      <c r="AV388" s="340" t="str">
        <f t="shared" ref="AV388" si="655">IF(ISNUMBER(AV387),(AV387-AU387),"")</f>
        <v/>
      </c>
      <c r="AW388" s="340" t="str">
        <f t="shared" ref="AW388" si="656">IF(ISNUMBER(AW387),(AW387-AV387),"")</f>
        <v/>
      </c>
    </row>
    <row r="389" spans="1:49" s="1" customFormat="1" ht="15.6">
      <c r="A389" s="361"/>
      <c r="B389" s="371"/>
      <c r="C389" s="373"/>
      <c r="D389" s="365"/>
      <c r="E389" s="390"/>
      <c r="F389" s="361"/>
      <c r="G389" s="17"/>
      <c r="H389" s="5"/>
      <c r="I389" s="58"/>
      <c r="J389" s="22"/>
      <c r="K389" s="345"/>
      <c r="L389" s="421"/>
      <c r="M389" s="482"/>
      <c r="N389" s="482"/>
      <c r="O389" s="345"/>
      <c r="P389" s="345"/>
      <c r="Q389" s="482"/>
      <c r="R389" s="676"/>
      <c r="S389" s="346"/>
      <c r="T389" s="989"/>
      <c r="U389" s="482"/>
      <c r="V389" s="345"/>
      <c r="W389" s="345"/>
      <c r="X389" s="1146"/>
      <c r="Y389" s="1146"/>
      <c r="Z389" s="1202"/>
      <c r="AA389" s="1146"/>
      <c r="AB389" s="1146"/>
      <c r="AC389" s="421"/>
      <c r="AD389" s="1104"/>
      <c r="AE389" s="421"/>
      <c r="AF389" s="1146"/>
      <c r="AG389" s="421"/>
      <c r="AH389" s="421">
        <v>0</v>
      </c>
      <c r="AI389" s="421">
        <v>89.28</v>
      </c>
      <c r="AJ389" s="1">
        <v>89.3</v>
      </c>
      <c r="AK389" s="1">
        <v>89.32</v>
      </c>
    </row>
    <row r="390" spans="1:49" s="1" customFormat="1" ht="15.6">
      <c r="A390" s="361"/>
      <c r="B390" s="371" t="s">
        <v>2201</v>
      </c>
      <c r="C390" s="360">
        <f ca="1">OFFSET(K390,0,COUNT(L390:AJ390))</f>
        <v>1.9999999999996021E-2</v>
      </c>
      <c r="D390" s="365" t="s">
        <v>418</v>
      </c>
      <c r="E390" s="390"/>
      <c r="F390" s="361"/>
      <c r="G390" s="17"/>
      <c r="H390" s="5"/>
      <c r="I390" s="58"/>
      <c r="J390" s="22"/>
      <c r="K390" s="345">
        <v>0</v>
      </c>
      <c r="L390" s="421">
        <v>0</v>
      </c>
      <c r="M390" s="482">
        <v>0</v>
      </c>
      <c r="N390" s="482">
        <v>0</v>
      </c>
      <c r="O390" s="345">
        <v>0</v>
      </c>
      <c r="P390" s="345">
        <v>0</v>
      </c>
      <c r="Q390" s="482">
        <v>0</v>
      </c>
      <c r="R390" s="676">
        <v>0</v>
      </c>
      <c r="S390" s="346">
        <v>0</v>
      </c>
      <c r="T390" s="989">
        <v>0</v>
      </c>
      <c r="U390" s="482">
        <v>0</v>
      </c>
      <c r="V390" s="345">
        <v>0</v>
      </c>
      <c r="W390" s="345">
        <v>0</v>
      </c>
      <c r="X390" s="1146">
        <v>0</v>
      </c>
      <c r="Y390" s="1146">
        <v>0</v>
      </c>
      <c r="Z390" s="1202">
        <v>0</v>
      </c>
      <c r="AA390" s="1146">
        <v>0</v>
      </c>
      <c r="AB390" s="1146">
        <v>0</v>
      </c>
      <c r="AC390" s="421">
        <v>0</v>
      </c>
      <c r="AD390" s="1104">
        <v>0</v>
      </c>
      <c r="AE390" s="421">
        <v>0</v>
      </c>
      <c r="AF390" s="1146">
        <v>0</v>
      </c>
      <c r="AG390" s="421">
        <v>0</v>
      </c>
      <c r="AH390" s="421">
        <v>0</v>
      </c>
      <c r="AI390" s="421">
        <v>0</v>
      </c>
      <c r="AJ390" s="340">
        <f t="shared" ref="AJ390" si="657">IF(ISNUMBER(AJ389),(AJ389-AI389),"")</f>
        <v>1.9999999999996021E-2</v>
      </c>
      <c r="AK390" s="340">
        <f t="shared" ref="AK390" si="658">IF(ISNUMBER(AK389),(AK389-AJ389),"")</f>
        <v>1.9999999999996021E-2</v>
      </c>
      <c r="AL390" s="340" t="str">
        <f t="shared" ref="AL390" si="659">IF(ISNUMBER(AL389),(AL389-AK389),"")</f>
        <v/>
      </c>
      <c r="AM390" s="340" t="str">
        <f t="shared" ref="AM390" si="660">IF(ISNUMBER(AM389),(AM389-AL389),"")</f>
        <v/>
      </c>
      <c r="AN390" s="340" t="str">
        <f t="shared" ref="AN390" si="661">IF(ISNUMBER(AN389),(AN389-AM389),"")</f>
        <v/>
      </c>
      <c r="AO390" s="340" t="str">
        <f t="shared" ref="AO390" si="662">IF(ISNUMBER(AO389),(AO389-AN389),"")</f>
        <v/>
      </c>
      <c r="AP390" s="340" t="str">
        <f t="shared" ref="AP390" si="663">IF(ISNUMBER(AP389),(AP389-AO389),"")</f>
        <v/>
      </c>
      <c r="AQ390" s="340" t="str">
        <f t="shared" ref="AQ390" si="664">IF(ISNUMBER(AQ389),(AQ389-AP389),"")</f>
        <v/>
      </c>
      <c r="AR390" s="340" t="str">
        <f t="shared" ref="AR390" si="665">IF(ISNUMBER(AR389),(AR389-AQ389),"")</f>
        <v/>
      </c>
      <c r="AS390" s="340" t="str">
        <f t="shared" ref="AS390" si="666">IF(ISNUMBER(AS389),(AS389-AR389),"")</f>
        <v/>
      </c>
      <c r="AT390" s="340" t="str">
        <f t="shared" ref="AT390" si="667">IF(ISNUMBER(AT389),(AT389-AS389),"")</f>
        <v/>
      </c>
      <c r="AU390" s="340" t="str">
        <f t="shared" ref="AU390" si="668">IF(ISNUMBER(AU389),(AU389-AT389),"")</f>
        <v/>
      </c>
      <c r="AV390" s="340" t="str">
        <f t="shared" ref="AV390" si="669">IF(ISNUMBER(AV389),(AV389-AU389),"")</f>
        <v/>
      </c>
      <c r="AW390" s="340" t="str">
        <f t="shared" ref="AW390" si="670">IF(ISNUMBER(AW389),(AW389-AV389),"")</f>
        <v/>
      </c>
    </row>
    <row r="391" spans="1:49" s="1" customFormat="1" ht="15.6">
      <c r="A391" s="361"/>
      <c r="B391" s="371"/>
      <c r="C391" s="373"/>
      <c r="D391" s="365"/>
      <c r="E391" s="390"/>
      <c r="F391" s="361"/>
      <c r="G391" s="17"/>
      <c r="H391" s="5"/>
      <c r="I391" s="58"/>
      <c r="J391" s="22"/>
      <c r="K391" s="345"/>
      <c r="L391" s="421"/>
      <c r="M391" s="482"/>
      <c r="N391" s="482"/>
      <c r="O391" s="345"/>
      <c r="P391" s="345"/>
      <c r="Q391" s="482"/>
      <c r="R391" s="676"/>
      <c r="S391" s="346"/>
      <c r="T391" s="989"/>
      <c r="U391" s="482"/>
      <c r="V391" s="345"/>
      <c r="W391" s="345"/>
      <c r="X391" s="1146"/>
      <c r="Y391" s="1146"/>
      <c r="Z391" s="1202"/>
      <c r="AA391" s="1146"/>
      <c r="AB391" s="1146"/>
      <c r="AC391" s="421"/>
      <c r="AD391" s="1104"/>
      <c r="AE391" s="421"/>
      <c r="AF391" s="1146"/>
      <c r="AG391" s="421"/>
      <c r="AH391" s="421">
        <v>0</v>
      </c>
      <c r="AI391" s="421">
        <v>1009.07</v>
      </c>
      <c r="AJ391" s="1">
        <v>1027.47</v>
      </c>
      <c r="AK391" s="1">
        <v>1070.07</v>
      </c>
    </row>
    <row r="392" spans="1:49" s="1" customFormat="1" ht="15.6">
      <c r="A392" s="361"/>
      <c r="B392" s="371" t="s">
        <v>2202</v>
      </c>
      <c r="C392" s="360">
        <f ca="1">OFFSET(K392,0,COUNT(L392:AJ392))</f>
        <v>18.399999999999977</v>
      </c>
      <c r="D392" s="365" t="s">
        <v>418</v>
      </c>
      <c r="E392" s="390"/>
      <c r="F392" s="361"/>
      <c r="G392" s="17"/>
      <c r="H392" s="5"/>
      <c r="I392" s="58"/>
      <c r="J392" s="22"/>
      <c r="K392" s="345">
        <v>0</v>
      </c>
      <c r="L392" s="421">
        <v>0</v>
      </c>
      <c r="M392" s="482">
        <v>0</v>
      </c>
      <c r="N392" s="482">
        <v>0</v>
      </c>
      <c r="O392" s="345">
        <v>0</v>
      </c>
      <c r="P392" s="345">
        <v>0</v>
      </c>
      <c r="Q392" s="482">
        <v>0</v>
      </c>
      <c r="R392" s="676">
        <v>0</v>
      </c>
      <c r="S392" s="346">
        <v>0</v>
      </c>
      <c r="T392" s="989">
        <v>0</v>
      </c>
      <c r="U392" s="482">
        <v>0</v>
      </c>
      <c r="V392" s="345">
        <v>0</v>
      </c>
      <c r="W392" s="345">
        <v>0</v>
      </c>
      <c r="X392" s="1146">
        <v>0</v>
      </c>
      <c r="Y392" s="1146">
        <v>0</v>
      </c>
      <c r="Z392" s="1202">
        <v>0</v>
      </c>
      <c r="AA392" s="1146">
        <v>0</v>
      </c>
      <c r="AB392" s="1146">
        <v>0</v>
      </c>
      <c r="AC392" s="421">
        <v>0</v>
      </c>
      <c r="AD392" s="1104">
        <v>0</v>
      </c>
      <c r="AE392" s="421">
        <v>0</v>
      </c>
      <c r="AF392" s="1146">
        <v>0</v>
      </c>
      <c r="AG392" s="421">
        <v>0</v>
      </c>
      <c r="AH392" s="421">
        <v>0</v>
      </c>
      <c r="AI392" s="421">
        <v>15</v>
      </c>
      <c r="AJ392" s="340">
        <f t="shared" ref="AJ392" si="671">IF(ISNUMBER(AJ391),(AJ391-AI391),"")</f>
        <v>18.399999999999977</v>
      </c>
      <c r="AK392" s="340">
        <f t="shared" ref="AK392" si="672">IF(ISNUMBER(AK391),(AK391-AJ391),"")</f>
        <v>42.599999999999909</v>
      </c>
      <c r="AL392" s="340" t="str">
        <f t="shared" ref="AL392" si="673">IF(ISNUMBER(AL391),(AL391-AK391),"")</f>
        <v/>
      </c>
      <c r="AM392" s="340" t="str">
        <f t="shared" ref="AM392" si="674">IF(ISNUMBER(AM391),(AM391-AL391),"")</f>
        <v/>
      </c>
      <c r="AN392" s="340" t="str">
        <f t="shared" ref="AN392" si="675">IF(ISNUMBER(AN391),(AN391-AM391),"")</f>
        <v/>
      </c>
      <c r="AO392" s="340" t="str">
        <f t="shared" ref="AO392" si="676">IF(ISNUMBER(AO391),(AO391-AN391),"")</f>
        <v/>
      </c>
      <c r="AP392" s="340" t="str">
        <f t="shared" ref="AP392" si="677">IF(ISNUMBER(AP391),(AP391-AO391),"")</f>
        <v/>
      </c>
      <c r="AQ392" s="340" t="str">
        <f t="shared" ref="AQ392" si="678">IF(ISNUMBER(AQ391),(AQ391-AP391),"")</f>
        <v/>
      </c>
      <c r="AR392" s="340" t="str">
        <f t="shared" ref="AR392" si="679">IF(ISNUMBER(AR391),(AR391-AQ391),"")</f>
        <v/>
      </c>
      <c r="AS392" s="340" t="str">
        <f t="shared" ref="AS392" si="680">IF(ISNUMBER(AS391),(AS391-AR391),"")</f>
        <v/>
      </c>
      <c r="AT392" s="340" t="str">
        <f t="shared" ref="AT392" si="681">IF(ISNUMBER(AT391),(AT391-AS391),"")</f>
        <v/>
      </c>
      <c r="AU392" s="340" t="str">
        <f t="shared" ref="AU392" si="682">IF(ISNUMBER(AU391),(AU391-AT391),"")</f>
        <v/>
      </c>
      <c r="AV392" s="340" t="str">
        <f t="shared" ref="AV392" si="683">IF(ISNUMBER(AV391),(AV391-AU391),"")</f>
        <v/>
      </c>
      <c r="AW392" s="340" t="str">
        <f t="shared" ref="AW392" si="684">IF(ISNUMBER(AW391),(AW391-AV391),"")</f>
        <v/>
      </c>
    </row>
    <row r="393" spans="1:49" s="1" customFormat="1" ht="15.6">
      <c r="A393" s="361"/>
      <c r="B393" s="371"/>
      <c r="C393" s="368"/>
      <c r="D393" s="365"/>
      <c r="E393" s="390"/>
      <c r="F393" s="361" t="s">
        <v>2095</v>
      </c>
      <c r="G393" s="17"/>
      <c r="H393" s="5"/>
      <c r="I393" s="58">
        <v>1</v>
      </c>
      <c r="J393" s="22" t="s">
        <v>1653</v>
      </c>
      <c r="K393" s="345">
        <v>1228</v>
      </c>
      <c r="L393" s="483">
        <v>1230</v>
      </c>
      <c r="M393" s="482">
        <v>1232</v>
      </c>
      <c r="N393" s="482">
        <v>1233</v>
      </c>
      <c r="O393" s="345">
        <v>1272</v>
      </c>
      <c r="P393" s="345">
        <v>1295</v>
      </c>
      <c r="Q393" s="482">
        <v>1320</v>
      </c>
      <c r="R393" s="676">
        <v>1350</v>
      </c>
      <c r="S393" s="346">
        <v>1390</v>
      </c>
      <c r="T393" s="989">
        <v>1435</v>
      </c>
      <c r="U393" s="482">
        <v>1470</v>
      </c>
      <c r="V393" s="345">
        <v>1510</v>
      </c>
      <c r="W393" s="345">
        <v>1519</v>
      </c>
      <c r="X393" s="355">
        <v>1519</v>
      </c>
      <c r="Y393" s="355">
        <v>1519</v>
      </c>
      <c r="Z393" s="510">
        <v>1545</v>
      </c>
      <c r="AA393" s="355">
        <v>1556</v>
      </c>
      <c r="AB393" s="355">
        <v>1587</v>
      </c>
      <c r="AC393" s="421">
        <v>1628</v>
      </c>
      <c r="AD393" s="1104">
        <f>AC393+26</f>
        <v>1654</v>
      </c>
      <c r="AE393" s="421">
        <v>1687</v>
      </c>
      <c r="AF393" s="1146">
        <v>1725</v>
      </c>
      <c r="AG393" s="421">
        <v>1768</v>
      </c>
      <c r="AH393" s="421">
        <v>1812</v>
      </c>
      <c r="AI393" s="1">
        <v>1818</v>
      </c>
      <c r="AJ393" s="214">
        <v>1822</v>
      </c>
      <c r="AK393" s="214">
        <v>1825</v>
      </c>
    </row>
    <row r="394" spans="1:49" s="1" customFormat="1" ht="15.6">
      <c r="A394" s="361" t="s">
        <v>2203</v>
      </c>
      <c r="B394" s="371" t="s">
        <v>2204</v>
      </c>
      <c r="C394" s="360">
        <f ca="1">OFFSET(K394,0,COUNT(L394:AJ394))</f>
        <v>4</v>
      </c>
      <c r="D394" s="365" t="s">
        <v>418</v>
      </c>
      <c r="E394" s="390"/>
      <c r="F394" s="361"/>
      <c r="G394" s="17"/>
      <c r="H394" s="5"/>
      <c r="I394" s="58"/>
      <c r="J394" s="22"/>
      <c r="K394" s="340"/>
      <c r="L394" s="340">
        <f t="shared" ref="L394:AW394" si="685">IF(ISNUMBER(L393),(L393-K393),"")</f>
        <v>2</v>
      </c>
      <c r="M394" s="340">
        <f t="shared" si="685"/>
        <v>2</v>
      </c>
      <c r="N394" s="340">
        <f t="shared" si="685"/>
        <v>1</v>
      </c>
      <c r="O394" s="340">
        <f t="shared" si="685"/>
        <v>39</v>
      </c>
      <c r="P394" s="340">
        <f t="shared" si="685"/>
        <v>23</v>
      </c>
      <c r="Q394" s="340">
        <f t="shared" si="685"/>
        <v>25</v>
      </c>
      <c r="R394" s="350">
        <f t="shared" si="685"/>
        <v>30</v>
      </c>
      <c r="S394" s="340">
        <f t="shared" si="685"/>
        <v>40</v>
      </c>
      <c r="T394" s="340">
        <f t="shared" si="685"/>
        <v>45</v>
      </c>
      <c r="U394" s="340">
        <f t="shared" si="685"/>
        <v>35</v>
      </c>
      <c r="V394" s="340">
        <f t="shared" si="685"/>
        <v>40</v>
      </c>
      <c r="W394" s="340">
        <f t="shared" si="685"/>
        <v>9</v>
      </c>
      <c r="X394" s="340">
        <f t="shared" si="685"/>
        <v>0</v>
      </c>
      <c r="Y394" s="340">
        <f t="shared" si="685"/>
        <v>0</v>
      </c>
      <c r="Z394" s="340">
        <f t="shared" si="685"/>
        <v>26</v>
      </c>
      <c r="AA394" s="340">
        <f t="shared" si="685"/>
        <v>11</v>
      </c>
      <c r="AB394" s="340">
        <f t="shared" si="685"/>
        <v>31</v>
      </c>
      <c r="AC394" s="340">
        <f t="shared" si="685"/>
        <v>41</v>
      </c>
      <c r="AD394" s="340">
        <f t="shared" si="685"/>
        <v>26</v>
      </c>
      <c r="AE394" s="340">
        <f t="shared" si="685"/>
        <v>33</v>
      </c>
      <c r="AF394" s="340">
        <f t="shared" si="685"/>
        <v>38</v>
      </c>
      <c r="AG394" s="340">
        <f t="shared" si="685"/>
        <v>43</v>
      </c>
      <c r="AH394" s="340">
        <f t="shared" si="685"/>
        <v>44</v>
      </c>
      <c r="AI394" s="340">
        <f t="shared" si="685"/>
        <v>6</v>
      </c>
      <c r="AJ394" s="340">
        <f t="shared" si="685"/>
        <v>4</v>
      </c>
      <c r="AK394" s="340">
        <f t="shared" si="685"/>
        <v>3</v>
      </c>
      <c r="AL394" s="340" t="str">
        <f t="shared" si="685"/>
        <v/>
      </c>
      <c r="AM394" s="340" t="str">
        <f t="shared" si="685"/>
        <v/>
      </c>
      <c r="AN394" s="340" t="str">
        <f t="shared" si="685"/>
        <v/>
      </c>
      <c r="AO394" s="340" t="str">
        <f t="shared" si="685"/>
        <v/>
      </c>
      <c r="AP394" s="340" t="str">
        <f t="shared" si="685"/>
        <v/>
      </c>
      <c r="AQ394" s="340" t="str">
        <f t="shared" si="685"/>
        <v/>
      </c>
      <c r="AR394" s="340" t="str">
        <f t="shared" si="685"/>
        <v/>
      </c>
      <c r="AS394" s="340" t="str">
        <f t="shared" si="685"/>
        <v/>
      </c>
      <c r="AT394" s="340" t="str">
        <f t="shared" si="685"/>
        <v/>
      </c>
      <c r="AU394" s="340" t="str">
        <f t="shared" si="685"/>
        <v/>
      </c>
      <c r="AV394" s="340" t="str">
        <f t="shared" si="685"/>
        <v/>
      </c>
      <c r="AW394" s="340" t="str">
        <f t="shared" si="685"/>
        <v/>
      </c>
    </row>
    <row r="395" spans="1:49" s="1" customFormat="1" ht="15.6">
      <c r="A395" s="361"/>
      <c r="B395" s="371"/>
      <c r="C395" s="368"/>
      <c r="D395" s="365"/>
      <c r="E395" s="390"/>
      <c r="F395" s="361" t="s">
        <v>2095</v>
      </c>
      <c r="G395" s="17"/>
      <c r="H395" s="5"/>
      <c r="I395" s="58">
        <v>1</v>
      </c>
      <c r="J395" s="22" t="s">
        <v>2144</v>
      </c>
      <c r="K395" s="344">
        <v>38969</v>
      </c>
      <c r="L395" s="344">
        <v>38969</v>
      </c>
      <c r="M395" s="344">
        <v>38969</v>
      </c>
      <c r="N395" s="344">
        <v>39200</v>
      </c>
      <c r="O395" s="345">
        <v>42545</v>
      </c>
      <c r="P395" s="345">
        <v>45681</v>
      </c>
      <c r="Q395" s="344">
        <v>50033</v>
      </c>
      <c r="R395" s="350">
        <v>53589</v>
      </c>
      <c r="S395" s="345">
        <v>57204</v>
      </c>
      <c r="T395" s="344">
        <v>60977</v>
      </c>
      <c r="U395" s="344">
        <v>64709</v>
      </c>
      <c r="V395" s="345">
        <v>65958</v>
      </c>
      <c r="W395" s="344">
        <v>68976</v>
      </c>
      <c r="X395" s="355">
        <v>71039</v>
      </c>
      <c r="Y395" s="355">
        <v>73286</v>
      </c>
      <c r="Z395" s="355">
        <v>75916</v>
      </c>
      <c r="AA395" s="355">
        <v>80085</v>
      </c>
      <c r="AB395" s="355">
        <v>82577</v>
      </c>
      <c r="AC395" s="344">
        <v>86577</v>
      </c>
      <c r="AD395" s="344">
        <v>89332</v>
      </c>
      <c r="AE395" s="344">
        <v>92938</v>
      </c>
      <c r="AF395" s="344">
        <f>AE395+3500</f>
        <v>96438</v>
      </c>
      <c r="AG395" s="344">
        <f>AF395+3500</f>
        <v>99938</v>
      </c>
      <c r="AH395" s="344">
        <f>AG395+3500</f>
        <v>103438</v>
      </c>
      <c r="AI395" s="1">
        <v>107164</v>
      </c>
      <c r="AJ395" s="1">
        <v>109979</v>
      </c>
      <c r="AK395" s="1">
        <v>112938</v>
      </c>
    </row>
    <row r="396" spans="1:49" s="1" customFormat="1" ht="15.6">
      <c r="A396" s="361" t="s">
        <v>2205</v>
      </c>
      <c r="B396" s="602" t="s">
        <v>2206</v>
      </c>
      <c r="C396" s="360">
        <f ca="1">OFFSET(K396,0,COUNT(L396:AJ396))</f>
        <v>2815</v>
      </c>
      <c r="D396" s="365" t="s">
        <v>418</v>
      </c>
      <c r="E396" s="390"/>
      <c r="F396" s="361"/>
      <c r="G396" s="17"/>
      <c r="H396" s="5"/>
      <c r="I396" s="58"/>
      <c r="J396" s="22"/>
      <c r="K396" s="340"/>
      <c r="L396" s="340">
        <f t="shared" ref="L396:X396" si="686">IF(ISNUMBER(L395),(L395-K395),"")</f>
        <v>0</v>
      </c>
      <c r="M396" s="340">
        <f t="shared" si="686"/>
        <v>0</v>
      </c>
      <c r="N396" s="340">
        <f t="shared" si="686"/>
        <v>231</v>
      </c>
      <c r="O396" s="340">
        <f t="shared" si="686"/>
        <v>3345</v>
      </c>
      <c r="P396" s="340">
        <f t="shared" si="686"/>
        <v>3136</v>
      </c>
      <c r="Q396" s="340">
        <f t="shared" si="686"/>
        <v>4352</v>
      </c>
      <c r="R396" s="350">
        <f t="shared" si="686"/>
        <v>3556</v>
      </c>
      <c r="S396" s="340">
        <f t="shared" si="686"/>
        <v>3615</v>
      </c>
      <c r="T396" s="340">
        <f t="shared" si="686"/>
        <v>3773</v>
      </c>
      <c r="U396" s="340">
        <f t="shared" si="686"/>
        <v>3732</v>
      </c>
      <c r="V396" s="340">
        <f t="shared" si="686"/>
        <v>1249</v>
      </c>
      <c r="W396" s="340">
        <f t="shared" si="686"/>
        <v>3018</v>
      </c>
      <c r="X396" s="340">
        <f t="shared" si="686"/>
        <v>2063</v>
      </c>
      <c r="Y396" s="340">
        <f t="shared" ref="Y396" si="687">IF(ISNUMBER(Y395),(Y395-X395),"")</f>
        <v>2247</v>
      </c>
      <c r="Z396" s="340">
        <f t="shared" ref="Z396" si="688">IF(ISNUMBER(Z395),(Z395-Y395),"")</f>
        <v>2630</v>
      </c>
      <c r="AA396" s="340">
        <f t="shared" ref="AA396" si="689">IF(ISNUMBER(AA395),(AA395-Z395),"")</f>
        <v>4169</v>
      </c>
      <c r="AB396" s="340">
        <f t="shared" ref="AB396" si="690">IF(ISNUMBER(AB395),(AB395-AA395),"")</f>
        <v>2492</v>
      </c>
      <c r="AC396" s="340">
        <f t="shared" ref="AC396" si="691">IF(ISNUMBER(AC395),(AC395-AB395),"")</f>
        <v>4000</v>
      </c>
      <c r="AD396" s="340">
        <f t="shared" ref="AD396" si="692">IF(ISNUMBER(AD395),(AD395-AC395),"")</f>
        <v>2755</v>
      </c>
      <c r="AE396" s="340">
        <f t="shared" ref="AE396" si="693">IF(ISNUMBER(AE395),(AE395-AD395),"")</f>
        <v>3606</v>
      </c>
      <c r="AF396" s="340">
        <f t="shared" ref="AF396" si="694">IF(ISNUMBER(AF395),(AF395-AE395),"")</f>
        <v>3500</v>
      </c>
      <c r="AG396" s="340">
        <f t="shared" ref="AG396" si="695">IF(ISNUMBER(AG395),(AG395-AF395),"")</f>
        <v>3500</v>
      </c>
      <c r="AH396" s="340">
        <f t="shared" ref="AH396:AI396" si="696">IF(ISNUMBER(AH395),(AH395-AG395),"")</f>
        <v>3500</v>
      </c>
      <c r="AI396" s="340">
        <f t="shared" si="696"/>
        <v>3726</v>
      </c>
      <c r="AJ396" s="340">
        <f t="shared" ref="AJ396" si="697">IF(ISNUMBER(AJ395),(AJ395-AI395),"")</f>
        <v>2815</v>
      </c>
      <c r="AK396" s="340">
        <f t="shared" ref="AK396" si="698">IF(ISNUMBER(AK395),(AK395-AJ395),"")</f>
        <v>2959</v>
      </c>
      <c r="AL396" s="340" t="str">
        <f t="shared" ref="AL396" si="699">IF(ISNUMBER(AL395),(AL395-AK395),"")</f>
        <v/>
      </c>
      <c r="AM396" s="340" t="str">
        <f t="shared" ref="AM396" si="700">IF(ISNUMBER(AM395),(AM395-AL395),"")</f>
        <v/>
      </c>
      <c r="AN396" s="340" t="str">
        <f t="shared" ref="AN396" si="701">IF(ISNUMBER(AN395),(AN395-AM395),"")</f>
        <v/>
      </c>
      <c r="AO396" s="340" t="str">
        <f t="shared" ref="AO396" si="702">IF(ISNUMBER(AO395),(AO395-AN395),"")</f>
        <v/>
      </c>
      <c r="AP396" s="340" t="str">
        <f t="shared" ref="AP396" si="703">IF(ISNUMBER(AP395),(AP395-AO395),"")</f>
        <v/>
      </c>
      <c r="AQ396" s="340" t="str">
        <f t="shared" ref="AQ396" si="704">IF(ISNUMBER(AQ395),(AQ395-AP395),"")</f>
        <v/>
      </c>
      <c r="AR396" s="340" t="str">
        <f t="shared" ref="AR396" si="705">IF(ISNUMBER(AR395),(AR395-AQ395),"")</f>
        <v/>
      </c>
      <c r="AS396" s="340" t="str">
        <f t="shared" ref="AS396" si="706">IF(ISNUMBER(AS395),(AS395-AR395),"")</f>
        <v/>
      </c>
      <c r="AT396" s="340" t="str">
        <f t="shared" ref="AT396" si="707">IF(ISNUMBER(AT395),(AT395-AS395),"")</f>
        <v/>
      </c>
      <c r="AU396" s="340" t="str">
        <f t="shared" ref="AU396" si="708">IF(ISNUMBER(AU395),(AU395-AT395),"")</f>
        <v/>
      </c>
      <c r="AV396" s="340" t="str">
        <f t="shared" ref="AV396" si="709">IF(ISNUMBER(AV395),(AV395-AU395),"")</f>
        <v/>
      </c>
      <c r="AW396" s="340" t="str">
        <f t="shared" ref="AW396" si="710">IF(ISNUMBER(AW395),(AW395-AV395),"")</f>
        <v/>
      </c>
    </row>
    <row r="397" spans="1:49" s="1" customFormat="1">
      <c r="A397" s="367"/>
      <c r="B397" s="367"/>
      <c r="C397" s="367"/>
      <c r="D397" s="367"/>
      <c r="E397" s="387"/>
      <c r="F397" s="367"/>
      <c r="G397" s="9"/>
      <c r="H397" s="9"/>
      <c r="I397" s="9"/>
      <c r="R397" s="221"/>
      <c r="S397" s="341"/>
      <c r="T397" s="341"/>
      <c r="U397" s="341"/>
      <c r="V397" s="341"/>
      <c r="W397" s="341"/>
      <c r="X397" s="348"/>
      <c r="Y397" s="348"/>
      <c r="Z397" s="348"/>
      <c r="AA397" s="348"/>
      <c r="AB397" s="348"/>
    </row>
  </sheetData>
  <protectedRanges>
    <protectedRange sqref="S397:X397 K310:L311 L309 K304:X304 M306:V311 K306:L308 K361:V361 M360:W360 K363:V363 K362:X362 K364:X364 K335:L360 M335:V359 Y311:AK311 X306:X311 X335:X360 K312:AK334 Y384:AW384 Y382:AW382 Y380:AW380 Y378:AW378 Y376:AW376 Y374:AW374 Y372:AW372 Y369:AW369 Y367:AW367 X365:AW365 X363:AW363 X361:AW361 Y396:AW396 Y356:AW356 Y354:AW354 Y352:AW352 Y350:AW350 Y348:AW348 Y340:AW340 Y338:AW338 Y336:AW336 AL311:AW334 Y309:AW309 Y307:AW307 K365:V396 X366:X396 Y394:AW394 AJ392:AW392 AJ390:AW390 AJ388:AW388 AJ386:AW386" name="Range1"/>
    <protectedRange sqref="W361 W363 W306:W311 W335:W359 W365:W396" name="Range1_1"/>
  </protectedRanges>
  <phoneticPr fontId="79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9"/>
  <sheetViews>
    <sheetView topLeftCell="C1" zoomScale="110" zoomScaleNormal="110" workbookViewId="0" xr3:uid="{F9CF3CF3-643B-5BE6-8B46-32C596A47465}">
      <selection activeCell="I10" sqref="I10"/>
    </sheetView>
  </sheetViews>
  <sheetFormatPr defaultRowHeight="13.15"/>
  <cols>
    <col min="1" max="1" width="14" bestFit="1" customWidth="1"/>
    <col min="3" max="3" width="39.28515625" bestFit="1" customWidth="1"/>
    <col min="4" max="4" width="40.5703125" bestFit="1" customWidth="1"/>
    <col min="5" max="5" width="33" bestFit="1" customWidth="1"/>
    <col min="6" max="6" width="25.42578125" bestFit="1" customWidth="1"/>
    <col min="7" max="7" width="21.85546875" bestFit="1" customWidth="1"/>
    <col min="8" max="8" width="8.140625" bestFit="1" customWidth="1"/>
    <col min="9" max="9" width="15.28515625" customWidth="1"/>
    <col min="10" max="10" width="72.28515625" bestFit="1" customWidth="1"/>
    <col min="11" max="11" width="18.85546875" bestFit="1" customWidth="1"/>
    <col min="12" max="12" width="11" bestFit="1" customWidth="1"/>
    <col min="13" max="13" width="17" bestFit="1" customWidth="1"/>
    <col min="14" max="14" width="27" customWidth="1"/>
  </cols>
  <sheetData>
    <row r="1" spans="1:10">
      <c r="A1" s="35" t="s">
        <v>2207</v>
      </c>
      <c r="B1" s="593"/>
    </row>
    <row r="2" spans="1:10">
      <c r="A2" s="35" t="s">
        <v>2208</v>
      </c>
      <c r="B2" s="618"/>
    </row>
    <row r="3" spans="1:10" ht="13.9" thickBot="1">
      <c r="C3" s="35" t="s">
        <v>1688</v>
      </c>
      <c r="D3" s="643" t="s">
        <v>2209</v>
      </c>
      <c r="E3" s="642">
        <v>44835</v>
      </c>
    </row>
    <row r="4" spans="1:10" ht="14.45">
      <c r="C4" s="619" t="s">
        <v>1689</v>
      </c>
      <c r="D4" s="620" t="s">
        <v>1690</v>
      </c>
      <c r="E4" s="620" t="s">
        <v>689</v>
      </c>
      <c r="F4" s="621" t="s">
        <v>2210</v>
      </c>
      <c r="G4" s="622" t="s">
        <v>2211</v>
      </c>
    </row>
    <row r="5" spans="1:10">
      <c r="C5" s="623" t="s">
        <v>1696</v>
      </c>
      <c r="D5" s="593" t="s">
        <v>1697</v>
      </c>
      <c r="E5" s="624" t="s">
        <v>1698</v>
      </c>
      <c r="F5" s="625">
        <v>7777</v>
      </c>
      <c r="G5" s="626">
        <v>1179.77</v>
      </c>
      <c r="H5" s="242"/>
    </row>
    <row r="6" spans="1:10">
      <c r="C6" s="623" t="s">
        <v>1700</v>
      </c>
      <c r="D6" s="593" t="s">
        <v>1697</v>
      </c>
      <c r="E6" s="624" t="s">
        <v>1701</v>
      </c>
      <c r="F6" s="625">
        <v>1697</v>
      </c>
      <c r="G6" s="626">
        <v>280.19</v>
      </c>
      <c r="H6" s="242"/>
    </row>
    <row r="7" spans="1:10">
      <c r="C7" s="623" t="s">
        <v>1702</v>
      </c>
      <c r="D7" s="593" t="s">
        <v>1697</v>
      </c>
      <c r="E7" s="624" t="s">
        <v>1703</v>
      </c>
      <c r="F7" s="625">
        <v>51</v>
      </c>
      <c r="G7" s="626">
        <v>63.62</v>
      </c>
      <c r="H7" s="242"/>
    </row>
    <row r="8" spans="1:10">
      <c r="C8" s="623"/>
      <c r="D8" s="593"/>
      <c r="E8" s="593"/>
      <c r="F8" s="624" t="s">
        <v>15</v>
      </c>
      <c r="G8" s="626">
        <f>SUM(G5:G7)</f>
        <v>1523.58</v>
      </c>
    </row>
    <row r="9" spans="1:10">
      <c r="C9" s="623"/>
      <c r="D9" s="593"/>
      <c r="E9" s="593"/>
      <c r="F9" s="593" t="s">
        <v>1704</v>
      </c>
      <c r="G9" s="626">
        <f>40%*G8</f>
        <v>609.43200000000002</v>
      </c>
      <c r="J9" s="242"/>
    </row>
    <row r="10" spans="1:10" ht="13.9" thickBot="1">
      <c r="C10" s="627"/>
      <c r="D10" s="628"/>
      <c r="E10" s="628"/>
      <c r="F10" s="629" t="s">
        <v>1705</v>
      </c>
      <c r="G10" s="630">
        <f>60%*G8</f>
        <v>914.14799999999991</v>
      </c>
      <c r="J10" s="242"/>
    </row>
    <row r="11" spans="1:10">
      <c r="F11" s="35"/>
      <c r="G11" s="242"/>
      <c r="J11" s="242"/>
    </row>
    <row r="12" spans="1:10" ht="13.9" thickBot="1">
      <c r="C12" s="35" t="s">
        <v>2212</v>
      </c>
      <c r="D12" s="643" t="s">
        <v>2209</v>
      </c>
      <c r="E12" s="642">
        <v>44835</v>
      </c>
      <c r="F12" s="35"/>
      <c r="G12" s="242"/>
      <c r="J12" s="242"/>
    </row>
    <row r="13" spans="1:10">
      <c r="C13" s="619"/>
      <c r="D13" s="631" t="s">
        <v>1690</v>
      </c>
      <c r="E13" s="631" t="s">
        <v>689</v>
      </c>
      <c r="F13" s="620" t="s">
        <v>2210</v>
      </c>
      <c r="G13" s="632" t="s">
        <v>2211</v>
      </c>
      <c r="J13" s="242"/>
    </row>
    <row r="14" spans="1:10" ht="15" thickBot="1">
      <c r="C14" s="633"/>
      <c r="D14" s="634" t="s">
        <v>2213</v>
      </c>
      <c r="E14" s="1253" t="s">
        <v>2214</v>
      </c>
      <c r="F14" s="635">
        <v>107</v>
      </c>
      <c r="G14" s="630">
        <v>312.05</v>
      </c>
      <c r="J14" s="242"/>
    </row>
    <row r="15" spans="1:10">
      <c r="C15" s="35"/>
      <c r="F15" s="35"/>
      <c r="G15" s="242"/>
      <c r="J15" s="242"/>
    </row>
    <row r="16" spans="1:10" ht="13.9" thickBot="1">
      <c r="C16" s="35" t="s">
        <v>2215</v>
      </c>
      <c r="D16" s="643" t="s">
        <v>2209</v>
      </c>
      <c r="E16" s="671">
        <v>44835</v>
      </c>
      <c r="J16" s="242"/>
    </row>
    <row r="17" spans="1:11">
      <c r="C17" s="619"/>
      <c r="D17" s="619"/>
      <c r="E17" s="631"/>
      <c r="F17" s="631"/>
      <c r="G17" s="636"/>
      <c r="J17" s="242"/>
    </row>
    <row r="18" spans="1:11">
      <c r="C18" s="637" t="s">
        <v>1689</v>
      </c>
      <c r="D18" s="637" t="s">
        <v>1690</v>
      </c>
      <c r="E18" s="624" t="s">
        <v>2216</v>
      </c>
      <c r="F18" s="624" t="s">
        <v>2210</v>
      </c>
      <c r="G18" s="638" t="s">
        <v>2217</v>
      </c>
      <c r="J18" s="242"/>
    </row>
    <row r="19" spans="1:11">
      <c r="C19" s="725"/>
      <c r="D19" s="623" t="s">
        <v>2218</v>
      </c>
      <c r="E19" s="624" t="s">
        <v>2219</v>
      </c>
      <c r="F19" s="698">
        <v>315</v>
      </c>
      <c r="G19" s="626">
        <f>F19*0.62</f>
        <v>195.3</v>
      </c>
      <c r="J19" s="242"/>
    </row>
    <row r="20" spans="1:11">
      <c r="C20" s="725"/>
      <c r="D20" s="623"/>
      <c r="E20" s="593"/>
      <c r="F20" s="698" t="s">
        <v>2220</v>
      </c>
      <c r="G20" s="626">
        <v>97</v>
      </c>
      <c r="J20" s="242"/>
    </row>
    <row r="21" spans="1:11" ht="13.9" thickBot="1">
      <c r="C21" s="724"/>
      <c r="D21" s="627"/>
      <c r="E21" s="628"/>
      <c r="F21" s="635" t="s">
        <v>15</v>
      </c>
      <c r="G21" s="630">
        <f>SUM(G19:G20)</f>
        <v>292.3</v>
      </c>
      <c r="J21" s="242"/>
    </row>
    <row r="22" spans="1:11">
      <c r="C22" s="35"/>
      <c r="F22" s="35"/>
      <c r="G22" s="242"/>
      <c r="J22" s="242"/>
    </row>
    <row r="23" spans="1:11">
      <c r="C23" s="35"/>
      <c r="F23" s="35"/>
      <c r="G23" s="242"/>
      <c r="J23" s="242"/>
    </row>
    <row r="24" spans="1:11">
      <c r="C24" s="35"/>
      <c r="F24" s="35"/>
      <c r="G24" s="242"/>
      <c r="J24" s="242"/>
    </row>
    <row r="25" spans="1:11" ht="13.9" thickBot="1">
      <c r="A25" s="35" t="s">
        <v>2221</v>
      </c>
      <c r="C25" s="965" t="s">
        <v>2222</v>
      </c>
      <c r="D25" s="643" t="s">
        <v>2209</v>
      </c>
      <c r="E25" s="671">
        <v>44866</v>
      </c>
      <c r="F25" s="35"/>
      <c r="G25" s="35"/>
    </row>
    <row r="26" spans="1:11" ht="13.9">
      <c r="A26" s="35" t="s">
        <v>2223</v>
      </c>
      <c r="C26" s="647" t="s">
        <v>1689</v>
      </c>
      <c r="D26" s="648" t="s">
        <v>436</v>
      </c>
      <c r="E26" s="648"/>
      <c r="F26" s="966" t="s">
        <v>2224</v>
      </c>
      <c r="G26" s="649" t="s">
        <v>2217</v>
      </c>
    </row>
    <row r="27" spans="1:11">
      <c r="C27" s="640" t="s">
        <v>2225</v>
      </c>
      <c r="D27" s="967" t="s">
        <v>2226</v>
      </c>
      <c r="E27" s="639"/>
      <c r="F27" s="968">
        <v>10304.328681922198</v>
      </c>
      <c r="G27" s="969">
        <f>F27*0.15</f>
        <v>1545.6493022883296</v>
      </c>
    </row>
    <row r="28" spans="1:11" ht="16.149999999999999" thickBot="1">
      <c r="C28" s="651"/>
      <c r="D28" s="652"/>
      <c r="E28" s="652"/>
      <c r="F28" s="680"/>
      <c r="G28" s="664"/>
      <c r="H28" s="242"/>
      <c r="I28" s="615"/>
      <c r="J28" s="616" t="s">
        <v>2227</v>
      </c>
      <c r="K28" s="617" t="s">
        <v>2228</v>
      </c>
    </row>
    <row r="29" spans="1:11" ht="15.6">
      <c r="C29" s="647"/>
      <c r="D29" s="648" t="s">
        <v>2229</v>
      </c>
      <c r="E29" s="966" t="s">
        <v>2229</v>
      </c>
      <c r="F29" s="681">
        <v>36730</v>
      </c>
      <c r="G29" s="665"/>
      <c r="H29" s="242"/>
      <c r="I29" s="615"/>
      <c r="J29" s="616" t="s">
        <v>2230</v>
      </c>
      <c r="K29" s="617"/>
    </row>
    <row r="30" spans="1:11" ht="15.6">
      <c r="C30" s="678"/>
      <c r="D30" s="650"/>
      <c r="E30" s="650"/>
      <c r="F30" s="682">
        <f>F29/277.8</f>
        <v>132.21742260619149</v>
      </c>
      <c r="G30" s="679">
        <f>F30*11.85</f>
        <v>1566.7764578833692</v>
      </c>
      <c r="H30" s="242"/>
      <c r="I30" s="615"/>
      <c r="J30" s="616"/>
      <c r="K30" s="617"/>
    </row>
    <row r="31" spans="1:11" ht="14.45" thickBot="1">
      <c r="C31" s="651"/>
      <c r="D31" s="652"/>
      <c r="E31" s="970" t="s">
        <v>15</v>
      </c>
      <c r="F31" s="680">
        <f>F27+F29</f>
        <v>47034.328681922198</v>
      </c>
      <c r="G31" s="653">
        <f>SUM(G27:G30)</f>
        <v>3112.425760171699</v>
      </c>
    </row>
    <row r="32" spans="1:11" ht="13.9">
      <c r="C32" s="616"/>
      <c r="D32" s="616"/>
      <c r="E32" s="616"/>
      <c r="F32" s="616"/>
      <c r="G32" s="616"/>
    </row>
    <row r="33" spans="1:15" ht="14.45" thickBot="1">
      <c r="C33" s="616" t="s">
        <v>2231</v>
      </c>
      <c r="D33" s="667" t="s">
        <v>2209</v>
      </c>
      <c r="E33" s="668">
        <v>44927</v>
      </c>
      <c r="F33" s="616"/>
      <c r="G33" s="616"/>
    </row>
    <row r="34" spans="1:15" ht="13.9">
      <c r="C34" s="647" t="s">
        <v>1689</v>
      </c>
      <c r="D34" s="648" t="s">
        <v>436</v>
      </c>
      <c r="E34" s="648"/>
      <c r="F34" s="966"/>
      <c r="G34" s="649" t="s">
        <v>2217</v>
      </c>
      <c r="J34" s="35" t="s">
        <v>2232</v>
      </c>
    </row>
    <row r="35" spans="1:15" ht="13.9">
      <c r="C35" s="640" t="s">
        <v>2233</v>
      </c>
      <c r="D35" s="639"/>
      <c r="E35" s="650"/>
      <c r="F35" s="639"/>
      <c r="G35" s="969">
        <v>181.28</v>
      </c>
    </row>
    <row r="36" spans="1:15" ht="14.45" thickBot="1">
      <c r="C36" s="651"/>
      <c r="D36" s="652"/>
      <c r="E36" s="652"/>
      <c r="F36" s="680"/>
      <c r="G36" s="653"/>
    </row>
    <row r="37" spans="1:15" ht="13.9">
      <c r="C37" s="650"/>
      <c r="D37" s="650"/>
      <c r="E37" s="650"/>
      <c r="F37" s="971"/>
      <c r="G37" s="1094"/>
    </row>
    <row r="38" spans="1:15" ht="14.45" thickBot="1">
      <c r="C38" s="616" t="s">
        <v>2234</v>
      </c>
      <c r="D38" s="667" t="s">
        <v>2209</v>
      </c>
      <c r="E38" s="668">
        <v>44835</v>
      </c>
      <c r="F38" s="616"/>
      <c r="G38" s="616"/>
    </row>
    <row r="39" spans="1:15" ht="13.9">
      <c r="C39" s="647"/>
      <c r="D39" s="648"/>
      <c r="E39" s="648"/>
      <c r="F39" s="648"/>
      <c r="G39" s="649"/>
    </row>
    <row r="40" spans="1:15" ht="13.9">
      <c r="C40" s="640" t="s">
        <v>1689</v>
      </c>
      <c r="D40" s="639" t="s">
        <v>1690</v>
      </c>
      <c r="E40" s="650" t="s">
        <v>689</v>
      </c>
      <c r="F40" s="639" t="s">
        <v>2210</v>
      </c>
      <c r="G40" s="663" t="s">
        <v>2217</v>
      </c>
    </row>
    <row r="41" spans="1:15" ht="14.45" thickBot="1">
      <c r="C41" s="651" t="s">
        <v>2235</v>
      </c>
      <c r="D41" s="652" t="s">
        <v>2236</v>
      </c>
      <c r="E41" s="652" t="s">
        <v>2237</v>
      </c>
      <c r="F41" s="680">
        <v>1849</v>
      </c>
      <c r="G41" s="653">
        <v>318.95</v>
      </c>
    </row>
    <row r="42" spans="1:15" ht="13.9">
      <c r="C42" s="616"/>
      <c r="D42" s="616"/>
      <c r="E42" s="616"/>
      <c r="F42" s="616"/>
      <c r="G42" s="616"/>
    </row>
    <row r="43" spans="1:15" ht="14.45" thickBot="1">
      <c r="A43" s="35" t="s">
        <v>2221</v>
      </c>
      <c r="C43" s="616" t="s">
        <v>2238</v>
      </c>
      <c r="D43" s="667" t="s">
        <v>2209</v>
      </c>
      <c r="E43" s="668">
        <v>44866</v>
      </c>
      <c r="F43" s="616"/>
      <c r="G43" s="616"/>
    </row>
    <row r="44" spans="1:15" ht="14.45" thickTop="1">
      <c r="C44" s="654"/>
      <c r="D44" s="655"/>
      <c r="E44" s="656"/>
      <c r="F44" s="657"/>
      <c r="G44" s="616"/>
      <c r="H44" s="321"/>
      <c r="J44" s="321"/>
      <c r="L44" s="321"/>
      <c r="N44" s="321"/>
    </row>
    <row r="45" spans="1:15" ht="13.9">
      <c r="C45" s="641" t="s">
        <v>1689</v>
      </c>
      <c r="D45" s="639" t="s">
        <v>1528</v>
      </c>
      <c r="E45" s="639" t="s">
        <v>2210</v>
      </c>
      <c r="F45" s="662" t="s">
        <v>2217</v>
      </c>
      <c r="G45" s="616"/>
    </row>
    <row r="46" spans="1:15" ht="13.9">
      <c r="C46" s="658" t="s">
        <v>1773</v>
      </c>
      <c r="D46" s="650" t="s">
        <v>2239</v>
      </c>
      <c r="E46" s="971">
        <v>1630.16</v>
      </c>
      <c r="F46" s="669">
        <f>0.185*E46</f>
        <v>301.57960000000003</v>
      </c>
      <c r="G46" s="659"/>
      <c r="I46" s="614"/>
      <c r="J46" s="35" t="s">
        <v>2240</v>
      </c>
      <c r="M46" s="614"/>
      <c r="O46" s="614"/>
    </row>
    <row r="47" spans="1:15" ht="13.9">
      <c r="C47" s="658"/>
      <c r="D47" s="650" t="s">
        <v>2241</v>
      </c>
      <c r="E47" s="971">
        <v>4570.62</v>
      </c>
      <c r="F47" s="669">
        <f t="shared" ref="F47:F49" si="0">0.185*E47</f>
        <v>845.56470000000002</v>
      </c>
      <c r="G47" s="616"/>
      <c r="J47" s="35" t="s">
        <v>2240</v>
      </c>
    </row>
    <row r="48" spans="1:15" ht="13.9">
      <c r="C48" s="658"/>
      <c r="D48" s="650" t="s">
        <v>2242</v>
      </c>
      <c r="E48" s="971">
        <v>2543.84</v>
      </c>
      <c r="F48" s="669">
        <f t="shared" si="0"/>
        <v>470.61040000000003</v>
      </c>
      <c r="G48" s="616"/>
      <c r="J48" s="35" t="s">
        <v>2243</v>
      </c>
    </row>
    <row r="49" spans="1:10" ht="13.9">
      <c r="C49" s="658"/>
      <c r="D49" s="650" t="s">
        <v>2244</v>
      </c>
      <c r="E49" s="971">
        <v>691.84</v>
      </c>
      <c r="F49" s="669">
        <f t="shared" si="0"/>
        <v>127.99040000000001</v>
      </c>
      <c r="G49" s="616"/>
      <c r="J49" s="35" t="s">
        <v>2240</v>
      </c>
    </row>
    <row r="50" spans="1:10" ht="14.45" thickBot="1">
      <c r="C50" s="660"/>
      <c r="D50" s="661" t="s">
        <v>15</v>
      </c>
      <c r="E50" s="972">
        <f>SUM(E46:E49)</f>
        <v>9436.4599999999991</v>
      </c>
      <c r="F50" s="670">
        <f>SUM(F46:F49)</f>
        <v>1745.7450999999999</v>
      </c>
      <c r="G50" s="616"/>
    </row>
    <row r="51" spans="1:10" ht="13.9" thickTop="1"/>
    <row r="53" spans="1:10" ht="13.9" thickBot="1">
      <c r="A53" s="35" t="s">
        <v>2245</v>
      </c>
      <c r="C53" s="684" t="s">
        <v>2246</v>
      </c>
      <c r="D53" s="687" t="s">
        <v>2209</v>
      </c>
      <c r="E53" s="697">
        <v>44866</v>
      </c>
      <c r="F53" s="683"/>
    </row>
    <row r="54" spans="1:10" ht="13.9" thickTop="1">
      <c r="A54" s="35" t="s">
        <v>2247</v>
      </c>
      <c r="C54" s="685"/>
      <c r="D54" s="639" t="s">
        <v>1534</v>
      </c>
      <c r="E54" s="686" t="s">
        <v>503</v>
      </c>
      <c r="F54" s="686"/>
      <c r="G54" s="690"/>
    </row>
    <row r="55" spans="1:10">
      <c r="C55" s="685" t="s">
        <v>397</v>
      </c>
      <c r="D55" s="688">
        <v>142247.28053076001</v>
      </c>
      <c r="E55" s="695">
        <v>17555.095269935522</v>
      </c>
      <c r="F55" s="693"/>
      <c r="G55" s="690"/>
    </row>
    <row r="56" spans="1:10">
      <c r="C56" s="685" t="s">
        <v>506</v>
      </c>
      <c r="D56" s="688">
        <v>2646.6684433200003</v>
      </c>
      <c r="E56" s="695">
        <v>359.94690829152006</v>
      </c>
      <c r="F56" s="693"/>
      <c r="G56" s="690"/>
    </row>
    <row r="57" spans="1:10">
      <c r="C57" s="685" t="s">
        <v>436</v>
      </c>
      <c r="D57" s="688">
        <v>22660.42</v>
      </c>
      <c r="E57" s="695">
        <v>3027.47</v>
      </c>
      <c r="F57" s="639" t="s">
        <v>2248</v>
      </c>
      <c r="G57" s="690"/>
      <c r="H57" s="35" t="s">
        <v>2249</v>
      </c>
    </row>
    <row r="58" spans="1:10" ht="13.9" thickBot="1">
      <c r="C58" s="691" t="s">
        <v>15</v>
      </c>
      <c r="D58" s="689">
        <f>SUM(D55:D57)</f>
        <v>167554.36897408002</v>
      </c>
      <c r="E58" s="696">
        <f>SUM(E55:E57)</f>
        <v>20942.512178227043</v>
      </c>
      <c r="F58" s="694">
        <f>AVERAGE((E55/D55),(E56/D56),(E57/D57))</f>
        <v>0.13100473046769956</v>
      </c>
      <c r="G58" s="690"/>
    </row>
    <row r="59" spans="1:10" ht="13.9" thickTop="1">
      <c r="E59" s="24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S46"/>
  <sheetViews>
    <sheetView topLeftCell="A13" zoomScaleNormal="100" workbookViewId="0" xr3:uid="{44B22561-5205-5C8A-B808-2C70100D228F}">
      <pane xSplit="7" topLeftCell="AM1" activePane="topRight" state="frozen"/>
      <selection pane="topRight" activeCell="D6" sqref="D6"/>
    </sheetView>
  </sheetViews>
  <sheetFormatPr defaultRowHeight="13.15"/>
  <cols>
    <col min="1" max="1" width="18.5703125" bestFit="1" customWidth="1"/>
    <col min="2" max="2" width="12.42578125" bestFit="1" customWidth="1"/>
    <col min="3" max="3" width="34.85546875" bestFit="1" customWidth="1"/>
    <col min="4" max="4" width="56.5703125" bestFit="1" customWidth="1"/>
    <col min="5" max="5" width="17.7109375" bestFit="1" customWidth="1"/>
    <col min="6" max="7" width="12.85546875" style="473" customWidth="1"/>
    <col min="8" max="16" width="11.5703125" bestFit="1" customWidth="1"/>
    <col min="17" max="35" width="11.5703125" customWidth="1"/>
    <col min="36" max="36" width="12" bestFit="1" customWidth="1"/>
  </cols>
  <sheetData>
    <row r="1" spans="1:45">
      <c r="B1" s="233"/>
      <c r="F1" s="498" t="s">
        <v>1534</v>
      </c>
      <c r="G1" s="501"/>
      <c r="H1" s="495" t="s">
        <v>502</v>
      </c>
      <c r="I1" s="496" t="s">
        <v>502</v>
      </c>
      <c r="J1" s="497" t="s">
        <v>502</v>
      </c>
      <c r="K1" s="496" t="s">
        <v>502</v>
      </c>
      <c r="L1" s="496" t="s">
        <v>502</v>
      </c>
      <c r="M1" s="496" t="s">
        <v>502</v>
      </c>
      <c r="N1" s="496" t="s">
        <v>502</v>
      </c>
      <c r="O1" s="496" t="s">
        <v>502</v>
      </c>
      <c r="P1" s="496" t="s">
        <v>502</v>
      </c>
      <c r="Q1" s="496" t="s">
        <v>502</v>
      </c>
      <c r="R1" s="496" t="s">
        <v>502</v>
      </c>
      <c r="S1" s="496" t="s">
        <v>502</v>
      </c>
      <c r="T1" s="496" t="s">
        <v>502</v>
      </c>
      <c r="U1" s="503" t="s">
        <v>502</v>
      </c>
      <c r="V1" s="495" t="s">
        <v>502</v>
      </c>
      <c r="W1" s="846" t="s">
        <v>502</v>
      </c>
      <c r="X1" s="846" t="s">
        <v>1534</v>
      </c>
      <c r="Y1" s="846" t="s">
        <v>1534</v>
      </c>
      <c r="Z1" s="846"/>
      <c r="AA1" s="846"/>
      <c r="AB1" s="846"/>
      <c r="AC1" s="846"/>
      <c r="AD1" s="846"/>
      <c r="AE1" s="846"/>
      <c r="AF1" s="846"/>
      <c r="AG1" s="847"/>
      <c r="AH1" s="845"/>
      <c r="AI1" s="846"/>
      <c r="AJ1" s="1042"/>
      <c r="AK1" s="1042"/>
      <c r="AL1" s="1042"/>
      <c r="AM1" s="1042"/>
      <c r="AN1" s="1042"/>
      <c r="AO1" s="1042"/>
      <c r="AP1" s="1042"/>
      <c r="AQ1" s="1042"/>
      <c r="AR1" s="1043"/>
    </row>
    <row r="2" spans="1:45" ht="13.9" thickBot="1">
      <c r="B2" s="336" t="s">
        <v>2250</v>
      </c>
      <c r="C2" s="35" t="s">
        <v>2251</v>
      </c>
      <c r="D2" s="35" t="s">
        <v>1690</v>
      </c>
      <c r="E2" s="35" t="s">
        <v>689</v>
      </c>
      <c r="F2" s="499" t="s">
        <v>2252</v>
      </c>
      <c r="G2" s="502"/>
      <c r="H2" s="1050">
        <v>44105</v>
      </c>
      <c r="I2" s="1051">
        <v>44136</v>
      </c>
      <c r="J2" s="1052">
        <v>44166</v>
      </c>
      <c r="K2" s="1052">
        <v>44197</v>
      </c>
      <c r="L2" s="1052">
        <v>44228</v>
      </c>
      <c r="M2" s="1052">
        <v>44256</v>
      </c>
      <c r="N2" s="1052">
        <v>44287</v>
      </c>
      <c r="O2" s="1052">
        <v>44317</v>
      </c>
      <c r="P2" s="1052">
        <v>44348</v>
      </c>
      <c r="Q2" s="1052">
        <v>44378</v>
      </c>
      <c r="R2" s="1052">
        <v>44409</v>
      </c>
      <c r="S2" s="1052">
        <v>44470</v>
      </c>
      <c r="T2" s="1052">
        <v>44501</v>
      </c>
      <c r="U2" s="1053">
        <v>44531</v>
      </c>
      <c r="V2" s="1050">
        <v>44562</v>
      </c>
      <c r="W2" s="1054">
        <v>44593</v>
      </c>
      <c r="X2" s="1054">
        <v>44621</v>
      </c>
      <c r="Y2" s="1054">
        <v>44652</v>
      </c>
      <c r="Z2" s="1054">
        <v>44682</v>
      </c>
      <c r="AA2" s="1054">
        <v>44713</v>
      </c>
      <c r="AB2" s="1054">
        <v>44743</v>
      </c>
      <c r="AC2" s="1054">
        <v>44774</v>
      </c>
      <c r="AD2" s="1054">
        <v>44805</v>
      </c>
      <c r="AE2" s="1054">
        <v>44835</v>
      </c>
      <c r="AF2" s="1054">
        <v>44866</v>
      </c>
      <c r="AG2" s="1055">
        <v>44896</v>
      </c>
      <c r="AH2" s="1056">
        <v>44927</v>
      </c>
      <c r="AI2" s="1054">
        <v>44958</v>
      </c>
      <c r="AJ2" s="1054">
        <v>44986</v>
      </c>
      <c r="AK2" s="1054">
        <v>45017</v>
      </c>
      <c r="AL2" s="1054">
        <v>45047</v>
      </c>
      <c r="AM2" s="1054">
        <v>45078</v>
      </c>
      <c r="AN2" s="1054">
        <v>45108</v>
      </c>
      <c r="AO2" s="1054">
        <v>45139</v>
      </c>
      <c r="AP2" s="1054">
        <v>45200</v>
      </c>
      <c r="AQ2" s="1054">
        <v>45231</v>
      </c>
      <c r="AR2" s="1055">
        <v>45261</v>
      </c>
      <c r="AS2" s="1048">
        <v>45292</v>
      </c>
    </row>
    <row r="3" spans="1:45" ht="14.45">
      <c r="A3" s="572" t="s">
        <v>2253</v>
      </c>
      <c r="B3" s="35" t="s">
        <v>2057</v>
      </c>
      <c r="C3" s="35" t="s">
        <v>2254</v>
      </c>
      <c r="D3" t="s">
        <v>2255</v>
      </c>
      <c r="E3" s="575" t="s">
        <v>2256</v>
      </c>
      <c r="F3" s="429">
        <f ca="1">OFFSET(G3,0,COUNT(H3:AT3))</f>
        <v>29638.99</v>
      </c>
      <c r="G3" s="429" t="s">
        <v>74</v>
      </c>
      <c r="H3" s="576">
        <v>36103.160000000003</v>
      </c>
      <c r="I3" s="489">
        <v>30741.43</v>
      </c>
      <c r="J3" s="489">
        <v>32030.49</v>
      </c>
      <c r="K3" s="489">
        <v>0</v>
      </c>
      <c r="L3" s="489">
        <v>61390.52</v>
      </c>
      <c r="M3" s="489">
        <v>35948.35</v>
      </c>
      <c r="N3" s="489">
        <v>33732.14</v>
      </c>
      <c r="O3" s="489">
        <v>37823.730000000003</v>
      </c>
      <c r="P3" s="489">
        <v>37491.47</v>
      </c>
      <c r="Q3" s="489">
        <v>38115.89</v>
      </c>
      <c r="R3" s="489">
        <v>32778.269999999997</v>
      </c>
      <c r="S3" s="489">
        <v>29722.44</v>
      </c>
      <c r="T3" s="489">
        <v>33765.9</v>
      </c>
      <c r="U3" s="240">
        <v>29707.39</v>
      </c>
      <c r="V3" s="1049">
        <v>28425.69</v>
      </c>
      <c r="W3">
        <v>29788.49</v>
      </c>
      <c r="X3">
        <v>27845.59</v>
      </c>
      <c r="Y3">
        <v>31621</v>
      </c>
      <c r="Z3">
        <v>29930.47</v>
      </c>
      <c r="AA3">
        <v>34572.550000000003</v>
      </c>
      <c r="AB3">
        <v>32916.94</v>
      </c>
      <c r="AC3">
        <v>34543.1</v>
      </c>
      <c r="AD3">
        <v>34779.42</v>
      </c>
      <c r="AE3">
        <v>35788.379999999997</v>
      </c>
      <c r="AF3">
        <v>35880.81</v>
      </c>
      <c r="AG3" s="417">
        <v>30754.21</v>
      </c>
      <c r="AH3" s="441">
        <v>28871.38</v>
      </c>
      <c r="AI3">
        <v>29559.18</v>
      </c>
      <c r="AJ3" s="1038">
        <v>29898.86</v>
      </c>
      <c r="AK3">
        <v>34745.93</v>
      </c>
      <c r="AL3">
        <v>27523.43</v>
      </c>
      <c r="AM3">
        <v>33584.730000000003</v>
      </c>
      <c r="AN3">
        <v>31001.29</v>
      </c>
      <c r="AO3">
        <v>29638.99</v>
      </c>
      <c r="AR3" s="417"/>
    </row>
    <row r="4" spans="1:45">
      <c r="A4" s="572" t="s">
        <v>2257</v>
      </c>
      <c r="B4" s="233" t="s">
        <v>1815</v>
      </c>
      <c r="C4" t="s">
        <v>2258</v>
      </c>
      <c r="D4" s="35" t="s">
        <v>2259</v>
      </c>
      <c r="E4" t="s">
        <v>2260</v>
      </c>
      <c r="F4" s="429">
        <f t="shared" ref="F4:F43" ca="1" si="0">OFFSET(G4,0,COUNT(H4:AT4))</f>
        <v>26899.71</v>
      </c>
      <c r="G4" s="429" t="s">
        <v>74</v>
      </c>
      <c r="H4" s="237">
        <v>14477.59</v>
      </c>
      <c r="I4" s="237">
        <v>12478.92</v>
      </c>
      <c r="J4" s="237">
        <v>9213.06</v>
      </c>
      <c r="K4" s="237">
        <v>0</v>
      </c>
      <c r="L4" s="237">
        <v>17830.169999999998</v>
      </c>
      <c r="M4" s="237">
        <v>13831.47</v>
      </c>
      <c r="N4" s="237">
        <v>18222.52</v>
      </c>
      <c r="O4" s="237">
        <v>26960.32</v>
      </c>
      <c r="P4" s="237">
        <v>25548.61</v>
      </c>
      <c r="Q4" s="237">
        <v>28454.39</v>
      </c>
      <c r="R4" s="237">
        <v>28193.55</v>
      </c>
      <c r="S4" s="237">
        <v>24668.959999999999</v>
      </c>
      <c r="T4" s="237">
        <v>20807.04</v>
      </c>
      <c r="U4" s="235">
        <v>8024.34</v>
      </c>
      <c r="V4" s="439">
        <v>3693.94</v>
      </c>
      <c r="W4">
        <v>3184.45</v>
      </c>
      <c r="X4">
        <v>3481.66</v>
      </c>
      <c r="Y4">
        <v>4246.88</v>
      </c>
      <c r="Z4">
        <v>6150.99</v>
      </c>
      <c r="AA4">
        <v>6653.45</v>
      </c>
      <c r="AB4">
        <v>24373.99</v>
      </c>
      <c r="AC4">
        <v>20747.52</v>
      </c>
      <c r="AD4">
        <v>7394.32</v>
      </c>
      <c r="AE4">
        <v>5112.76</v>
      </c>
      <c r="AF4">
        <v>4537.8500000000004</v>
      </c>
      <c r="AG4" s="417">
        <v>4812.0200000000004</v>
      </c>
      <c r="AH4" s="441">
        <v>2637.09</v>
      </c>
      <c r="AI4">
        <v>2509.3200000000002</v>
      </c>
      <c r="AJ4">
        <v>3767.75</v>
      </c>
      <c r="AK4">
        <v>9207.19</v>
      </c>
      <c r="AL4">
        <v>14226.11</v>
      </c>
      <c r="AM4">
        <v>17295.39</v>
      </c>
      <c r="AN4">
        <v>19802.64</v>
      </c>
      <c r="AO4">
        <v>26899.71</v>
      </c>
      <c r="AR4" s="417"/>
    </row>
    <row r="5" spans="1:45">
      <c r="A5" s="572" t="s">
        <v>2261</v>
      </c>
      <c r="D5" s="233" t="s">
        <v>2262</v>
      </c>
      <c r="E5" t="s">
        <v>2263</v>
      </c>
      <c r="F5" s="35"/>
      <c r="G5" s="429"/>
      <c r="H5" s="233"/>
      <c r="P5" s="263"/>
      <c r="Q5" s="233"/>
      <c r="R5" s="263"/>
      <c r="T5" s="263"/>
      <c r="V5" s="439"/>
      <c r="AG5" s="417"/>
      <c r="AH5" s="441"/>
      <c r="AK5">
        <v>0</v>
      </c>
      <c r="AL5">
        <v>0</v>
      </c>
      <c r="AM5">
        <v>0</v>
      </c>
      <c r="AN5">
        <v>0</v>
      </c>
      <c r="AO5">
        <v>0</v>
      </c>
      <c r="AR5" s="417"/>
    </row>
    <row r="6" spans="1:45">
      <c r="A6" s="572" t="s">
        <v>2264</v>
      </c>
      <c r="D6" s="233" t="s">
        <v>2265</v>
      </c>
      <c r="E6" t="s">
        <v>2266</v>
      </c>
      <c r="F6" s="35"/>
      <c r="G6" s="429"/>
      <c r="H6" s="233"/>
      <c r="P6" s="263"/>
      <c r="Q6" s="233"/>
      <c r="R6" s="263"/>
      <c r="T6" s="263"/>
      <c r="V6" s="439"/>
      <c r="AG6" s="417"/>
      <c r="AH6" s="441"/>
      <c r="AK6">
        <v>0</v>
      </c>
      <c r="AL6">
        <v>0</v>
      </c>
      <c r="AM6">
        <v>0</v>
      </c>
      <c r="AN6">
        <v>0</v>
      </c>
      <c r="AO6">
        <v>0</v>
      </c>
      <c r="AR6" s="417"/>
    </row>
    <row r="7" spans="1:45" ht="14.45">
      <c r="A7" s="577" t="s">
        <v>2267</v>
      </c>
      <c r="B7" s="578" t="s">
        <v>2268</v>
      </c>
      <c r="C7" s="579" t="s">
        <v>2269</v>
      </c>
      <c r="D7" s="579" t="s">
        <v>2270</v>
      </c>
      <c r="E7" s="580" t="s">
        <v>2271</v>
      </c>
      <c r="F7" s="429">
        <f t="shared" ca="1" si="0"/>
        <v>44926.7</v>
      </c>
      <c r="G7" s="429" t="s">
        <v>74</v>
      </c>
      <c r="H7" s="581">
        <v>35498.89</v>
      </c>
      <c r="I7" s="579">
        <v>30530.13</v>
      </c>
      <c r="J7" s="579">
        <v>27291.47</v>
      </c>
      <c r="K7" s="579">
        <v>27291.47</v>
      </c>
      <c r="L7" s="579">
        <v>54261.63</v>
      </c>
      <c r="M7" s="579">
        <v>28450.09</v>
      </c>
      <c r="N7" s="579">
        <v>28611.97</v>
      </c>
      <c r="O7" s="579">
        <v>33605.269999999997</v>
      </c>
      <c r="P7" s="582">
        <v>35544.07</v>
      </c>
      <c r="Q7" s="578">
        <v>36075.81</v>
      </c>
      <c r="R7" s="582">
        <v>33116.699999999997</v>
      </c>
      <c r="S7" s="579">
        <v>29166.29</v>
      </c>
      <c r="T7" s="582">
        <v>27157.05</v>
      </c>
      <c r="U7" s="579">
        <v>26612.06</v>
      </c>
      <c r="V7" s="1032">
        <v>25299.919999999998</v>
      </c>
      <c r="W7" s="579">
        <v>24710.26</v>
      </c>
      <c r="X7" s="579">
        <v>25267.87</v>
      </c>
      <c r="Y7" s="579">
        <v>28900.57</v>
      </c>
      <c r="Z7" s="579">
        <v>30259.42</v>
      </c>
      <c r="AA7" s="579">
        <v>34664.49</v>
      </c>
      <c r="AB7" s="579">
        <v>37133.83</v>
      </c>
      <c r="AC7" s="579">
        <v>35910.400000000001</v>
      </c>
      <c r="AD7" s="579">
        <v>31982.799999999999</v>
      </c>
      <c r="AE7" s="579">
        <v>32947.120000000003</v>
      </c>
      <c r="AF7" s="579">
        <v>30936.51</v>
      </c>
      <c r="AG7" s="1033">
        <v>25707.61</v>
      </c>
      <c r="AH7" s="1044">
        <v>24861.27</v>
      </c>
      <c r="AI7" s="579">
        <v>23955.61</v>
      </c>
      <c r="AJ7" s="1039">
        <v>26098.91</v>
      </c>
      <c r="AK7">
        <v>29199.52</v>
      </c>
      <c r="AL7">
        <v>27851.08</v>
      </c>
      <c r="AM7">
        <v>33108.15</v>
      </c>
      <c r="AN7">
        <v>41665.800000000003</v>
      </c>
      <c r="AO7">
        <v>44926.7</v>
      </c>
      <c r="AR7" s="417"/>
    </row>
    <row r="8" spans="1:45" ht="14.45">
      <c r="A8" s="572" t="s">
        <v>2272</v>
      </c>
      <c r="B8" s="336" t="s">
        <v>2273</v>
      </c>
      <c r="C8" t="s">
        <v>2274</v>
      </c>
      <c r="D8" t="s">
        <v>2275</v>
      </c>
      <c r="E8" s="575" t="s">
        <v>2276</v>
      </c>
      <c r="F8" s="429">
        <f t="shared" ca="1" si="0"/>
        <v>16537.7</v>
      </c>
      <c r="G8" s="429" t="s">
        <v>74</v>
      </c>
      <c r="H8" s="574">
        <v>18899.580000000002</v>
      </c>
      <c r="I8" s="237">
        <v>15197.02</v>
      </c>
      <c r="J8" s="237">
        <v>12610.82</v>
      </c>
      <c r="K8" s="237">
        <v>11133.85</v>
      </c>
      <c r="L8" s="237">
        <v>11474.7</v>
      </c>
      <c r="M8" s="237">
        <v>17131.27</v>
      </c>
      <c r="N8" s="237">
        <v>16885.03</v>
      </c>
      <c r="O8" s="237">
        <v>20663.13</v>
      </c>
      <c r="P8" s="237">
        <v>17084.810000000001</v>
      </c>
      <c r="Q8" s="237">
        <v>18594.509999999998</v>
      </c>
      <c r="R8" s="237">
        <v>15886.01</v>
      </c>
      <c r="S8" s="237">
        <v>14089.94</v>
      </c>
      <c r="T8" s="237">
        <v>17097.68</v>
      </c>
      <c r="U8" s="235">
        <v>13242.67</v>
      </c>
      <c r="V8" s="439">
        <v>9770.93</v>
      </c>
      <c r="W8">
        <v>9963.7999999999993</v>
      </c>
      <c r="X8">
        <v>10737.55</v>
      </c>
      <c r="Y8">
        <v>13596.71</v>
      </c>
      <c r="Z8">
        <v>13572.7</v>
      </c>
      <c r="AA8">
        <v>17680.63</v>
      </c>
      <c r="AB8">
        <v>15655.08</v>
      </c>
      <c r="AC8">
        <v>16693.439999999999</v>
      </c>
      <c r="AD8">
        <v>17542.25</v>
      </c>
      <c r="AE8">
        <v>16022.71</v>
      </c>
      <c r="AF8">
        <v>16077.47</v>
      </c>
      <c r="AG8" s="417">
        <v>12872.72</v>
      </c>
      <c r="AH8" s="441">
        <v>11147.29</v>
      </c>
      <c r="AI8">
        <v>11228.69</v>
      </c>
      <c r="AJ8" s="1038">
        <v>25803.51</v>
      </c>
      <c r="AK8">
        <v>16801.86</v>
      </c>
      <c r="AL8">
        <v>16292.29</v>
      </c>
      <c r="AM8">
        <v>20360.439999999999</v>
      </c>
      <c r="AN8">
        <v>16032.25</v>
      </c>
      <c r="AO8">
        <v>16537.7</v>
      </c>
      <c r="AR8" s="417"/>
    </row>
    <row r="9" spans="1:45" ht="14.45">
      <c r="A9" s="572" t="s">
        <v>2277</v>
      </c>
      <c r="B9" s="336" t="s">
        <v>2278</v>
      </c>
      <c r="C9" s="35" t="s">
        <v>2279</v>
      </c>
      <c r="D9" t="s">
        <v>2280</v>
      </c>
      <c r="E9" s="575" t="s">
        <v>2281</v>
      </c>
      <c r="F9" s="429">
        <f t="shared" ca="1" si="0"/>
        <v>54850.25</v>
      </c>
      <c r="G9" s="429" t="s">
        <v>74</v>
      </c>
      <c r="H9" s="574">
        <v>46431.03</v>
      </c>
      <c r="I9" s="237">
        <v>26316.91</v>
      </c>
      <c r="J9" s="237">
        <v>21389.360000000001</v>
      </c>
      <c r="K9" s="237">
        <v>20283.060000000001</v>
      </c>
      <c r="L9" s="237">
        <v>20095.830000000002</v>
      </c>
      <c r="M9" s="237">
        <v>25273.71</v>
      </c>
      <c r="N9" s="237">
        <v>34646.629999999997</v>
      </c>
      <c r="O9" s="237">
        <v>50814.61</v>
      </c>
      <c r="P9" s="237">
        <v>56080.63</v>
      </c>
      <c r="Q9" s="237">
        <v>65034.17</v>
      </c>
      <c r="R9" s="237">
        <v>45624.76</v>
      </c>
      <c r="S9" s="237">
        <v>31243.31</v>
      </c>
      <c r="T9" s="237">
        <v>26876.46</v>
      </c>
      <c r="U9" s="235">
        <v>19648.830000000002</v>
      </c>
      <c r="V9" s="439">
        <v>15082.32</v>
      </c>
      <c r="W9">
        <v>14269.85</v>
      </c>
      <c r="X9">
        <v>14967.37</v>
      </c>
      <c r="Y9">
        <v>21471.72</v>
      </c>
      <c r="Z9">
        <v>0</v>
      </c>
      <c r="AA9">
        <v>38658.42</v>
      </c>
      <c r="AB9">
        <v>52347.64</v>
      </c>
      <c r="AC9">
        <v>56881.66</v>
      </c>
      <c r="AD9">
        <v>51578.559999999998</v>
      </c>
      <c r="AE9">
        <v>49572.85</v>
      </c>
      <c r="AF9">
        <v>42746</v>
      </c>
      <c r="AG9" s="417">
        <v>23090.37</v>
      </c>
      <c r="AH9" s="441">
        <v>20941.22</v>
      </c>
      <c r="AI9">
        <v>17463.47</v>
      </c>
      <c r="AJ9" s="1038">
        <v>22589.98</v>
      </c>
      <c r="AK9">
        <v>26037.9</v>
      </c>
      <c r="AL9">
        <v>29906.29</v>
      </c>
      <c r="AM9">
        <v>39935.370000000003</v>
      </c>
      <c r="AN9">
        <v>47554.400000000001</v>
      </c>
      <c r="AO9">
        <v>54850.25</v>
      </c>
      <c r="AR9" s="417"/>
    </row>
    <row r="10" spans="1:45" ht="14.45">
      <c r="A10" s="572" t="s">
        <v>2282</v>
      </c>
      <c r="B10" s="233" t="s">
        <v>2283</v>
      </c>
      <c r="C10" s="35" t="s">
        <v>2284</v>
      </c>
      <c r="D10" s="35" t="s">
        <v>2285</v>
      </c>
      <c r="E10" s="573" t="s">
        <v>2286</v>
      </c>
      <c r="F10" s="429">
        <f t="shared" ca="1" si="0"/>
        <v>45188.7</v>
      </c>
      <c r="G10" s="429" t="s">
        <v>74</v>
      </c>
      <c r="H10" s="583">
        <v>47774.89</v>
      </c>
      <c r="I10" s="237">
        <v>23556.1</v>
      </c>
      <c r="J10" s="237">
        <v>15104.54</v>
      </c>
      <c r="K10" s="237">
        <v>15104.54</v>
      </c>
      <c r="L10" s="237">
        <v>14901.24</v>
      </c>
      <c r="M10" s="237">
        <v>45455.85</v>
      </c>
      <c r="N10" s="237">
        <v>40919.519999999997</v>
      </c>
      <c r="O10" s="237">
        <v>49223.86</v>
      </c>
      <c r="P10" s="237">
        <v>42729.760000000002</v>
      </c>
      <c r="Q10" s="237">
        <v>42559.22</v>
      </c>
      <c r="R10" s="237">
        <v>46414.79</v>
      </c>
      <c r="S10" s="237">
        <v>43816.27</v>
      </c>
      <c r="T10" s="237">
        <v>45547.58</v>
      </c>
      <c r="U10" s="235">
        <v>27808.45</v>
      </c>
      <c r="V10" s="439">
        <v>17693.939999999999</v>
      </c>
      <c r="W10">
        <v>18225.27</v>
      </c>
      <c r="X10">
        <v>25812.61</v>
      </c>
      <c r="Y10">
        <v>43444.23</v>
      </c>
      <c r="Z10">
        <v>38529.47</v>
      </c>
      <c r="AA10">
        <v>48061.39</v>
      </c>
      <c r="AB10">
        <v>42054.53</v>
      </c>
      <c r="AC10">
        <v>44898.77</v>
      </c>
      <c r="AD10">
        <v>47390.559999999998</v>
      </c>
      <c r="AE10">
        <v>45666.48</v>
      </c>
      <c r="AF10">
        <v>46891.09</v>
      </c>
      <c r="AG10" s="417">
        <v>26294.57</v>
      </c>
      <c r="AH10" s="441">
        <v>16354.04</v>
      </c>
      <c r="AI10">
        <v>17773.740000000002</v>
      </c>
      <c r="AJ10" s="1038">
        <v>12267.04</v>
      </c>
      <c r="AK10">
        <v>81384.58</v>
      </c>
      <c r="AL10">
        <v>45997.29</v>
      </c>
      <c r="AM10">
        <v>49347.75</v>
      </c>
      <c r="AN10">
        <v>43089.98</v>
      </c>
      <c r="AO10">
        <v>45188.7</v>
      </c>
      <c r="AR10" s="417"/>
    </row>
    <row r="11" spans="1:45" ht="14.45">
      <c r="A11" s="572" t="s">
        <v>2287</v>
      </c>
      <c r="B11" s="336" t="s">
        <v>1860</v>
      </c>
      <c r="C11" s="35" t="s">
        <v>1457</v>
      </c>
      <c r="D11" s="35" t="s">
        <v>2288</v>
      </c>
      <c r="E11" s="573" t="s">
        <v>2289</v>
      </c>
      <c r="F11" s="429">
        <f t="shared" ca="1" si="0"/>
        <v>29149.97</v>
      </c>
      <c r="G11" s="429" t="s">
        <v>74</v>
      </c>
      <c r="H11" s="574">
        <v>26821.1</v>
      </c>
      <c r="I11" s="237">
        <v>15198.65</v>
      </c>
      <c r="J11" s="237">
        <v>12159.03</v>
      </c>
      <c r="K11" s="237">
        <v>10642.5</v>
      </c>
      <c r="L11" s="237">
        <v>10939.98</v>
      </c>
      <c r="M11" s="237">
        <v>15030.21</v>
      </c>
      <c r="N11" s="237">
        <v>25351.43</v>
      </c>
      <c r="O11" s="237">
        <v>37837.22</v>
      </c>
      <c r="P11" s="237">
        <v>42994.32</v>
      </c>
      <c r="Q11" s="237">
        <v>44968.91</v>
      </c>
      <c r="R11" s="237">
        <v>36972.559999999998</v>
      </c>
      <c r="S11" s="237">
        <v>30533.919999999998</v>
      </c>
      <c r="T11" s="237">
        <v>22232.2</v>
      </c>
      <c r="U11" s="235">
        <v>14514.56</v>
      </c>
      <c r="V11" s="439">
        <v>10875.68</v>
      </c>
      <c r="W11">
        <v>9905.0499999999993</v>
      </c>
      <c r="X11">
        <v>10439.52</v>
      </c>
      <c r="Y11">
        <v>12529.18</v>
      </c>
      <c r="Z11">
        <v>17841.91</v>
      </c>
      <c r="AA11">
        <v>23271.25</v>
      </c>
      <c r="AB11">
        <v>29529.54</v>
      </c>
      <c r="AC11">
        <v>32356.33</v>
      </c>
      <c r="AD11">
        <v>27460.13</v>
      </c>
      <c r="AE11">
        <v>24094.23</v>
      </c>
      <c r="AF11">
        <v>21227.57</v>
      </c>
      <c r="AG11" s="417">
        <v>13008.46</v>
      </c>
      <c r="AH11" s="441">
        <v>11372.41</v>
      </c>
      <c r="AI11">
        <v>7882.09</v>
      </c>
      <c r="AJ11" s="1038">
        <v>16941.650000000001</v>
      </c>
      <c r="AK11">
        <v>12822.3</v>
      </c>
      <c r="AL11">
        <v>16689.189999999999</v>
      </c>
      <c r="AM11">
        <v>21203.73</v>
      </c>
      <c r="AN11">
        <v>26535.41</v>
      </c>
      <c r="AO11">
        <v>29149.97</v>
      </c>
      <c r="AR11" s="417"/>
    </row>
    <row r="12" spans="1:45" ht="14.45">
      <c r="A12" s="572" t="s">
        <v>2290</v>
      </c>
      <c r="B12" s="233" t="s">
        <v>2273</v>
      </c>
      <c r="C12" s="35" t="s">
        <v>2291</v>
      </c>
      <c r="D12" s="35" t="s">
        <v>2292</v>
      </c>
      <c r="E12" s="573" t="s">
        <v>2293</v>
      </c>
      <c r="F12" s="429">
        <f t="shared" ca="1" si="0"/>
        <v>28442.85</v>
      </c>
      <c r="G12" s="429" t="s">
        <v>74</v>
      </c>
      <c r="H12" s="574">
        <v>26459.5</v>
      </c>
      <c r="I12" s="237">
        <v>13010.43</v>
      </c>
      <c r="J12" s="237">
        <v>9173.06</v>
      </c>
      <c r="K12" s="237">
        <v>9469.5300000000007</v>
      </c>
      <c r="L12" s="237">
        <v>18660.95</v>
      </c>
      <c r="M12" s="237">
        <v>26071.33</v>
      </c>
      <c r="N12" s="237">
        <v>24167.77</v>
      </c>
      <c r="O12" s="342">
        <v>27929.19</v>
      </c>
      <c r="P12" s="237">
        <v>24793.759999999998</v>
      </c>
      <c r="Q12" s="237">
        <v>25309.65</v>
      </c>
      <c r="R12" s="237">
        <v>27862.55</v>
      </c>
      <c r="S12" s="237">
        <v>25576.98</v>
      </c>
      <c r="T12" s="237">
        <v>26363.18</v>
      </c>
      <c r="U12" s="235">
        <v>15183.96</v>
      </c>
      <c r="V12" s="439">
        <v>9160.0300000000007</v>
      </c>
      <c r="W12">
        <v>9460.99</v>
      </c>
      <c r="X12">
        <v>15397.23</v>
      </c>
      <c r="Y12">
        <v>25299.55</v>
      </c>
      <c r="Z12">
        <v>22042.35</v>
      </c>
      <c r="AA12">
        <v>26364.83</v>
      </c>
      <c r="AB12">
        <v>23444.1</v>
      </c>
      <c r="AC12">
        <v>24267</v>
      </c>
      <c r="AD12">
        <v>26190.2</v>
      </c>
      <c r="AE12">
        <v>25914.83</v>
      </c>
      <c r="AF12">
        <v>26218.29</v>
      </c>
      <c r="AG12" s="417">
        <v>15796.4</v>
      </c>
      <c r="AH12" s="441">
        <v>12202.43</v>
      </c>
      <c r="AI12">
        <v>10260.43</v>
      </c>
      <c r="AJ12" s="1038">
        <v>38308.910000000003</v>
      </c>
      <c r="AK12">
        <v>26581.5</v>
      </c>
      <c r="AL12">
        <v>25871.53</v>
      </c>
      <c r="AM12">
        <v>29558.75</v>
      </c>
      <c r="AN12">
        <v>26815.83</v>
      </c>
      <c r="AO12">
        <v>28442.85</v>
      </c>
      <c r="AR12" s="417"/>
    </row>
    <row r="13" spans="1:45" ht="14.45">
      <c r="A13" s="572" t="s">
        <v>2294</v>
      </c>
      <c r="B13" s="336" t="s">
        <v>1914</v>
      </c>
      <c r="C13" s="35" t="s">
        <v>2295</v>
      </c>
      <c r="D13" s="35" t="s">
        <v>2296</v>
      </c>
      <c r="E13" s="573" t="s">
        <v>2297</v>
      </c>
      <c r="F13" s="429">
        <f t="shared" ca="1" si="0"/>
        <v>172058.45</v>
      </c>
      <c r="G13" s="429" t="s">
        <v>74</v>
      </c>
      <c r="H13" s="574">
        <v>133355.85999999999</v>
      </c>
      <c r="I13" s="237">
        <v>121292.2</v>
      </c>
      <c r="J13" s="237">
        <v>117543.57</v>
      </c>
      <c r="K13" s="237">
        <v>117937.58</v>
      </c>
      <c r="L13" s="237">
        <v>112538.58</v>
      </c>
      <c r="M13" s="237">
        <v>128561.74</v>
      </c>
      <c r="N13" s="237">
        <v>125821.11</v>
      </c>
      <c r="O13" s="237">
        <v>138867.15</v>
      </c>
      <c r="P13" s="237">
        <v>140621.9</v>
      </c>
      <c r="Q13" s="237">
        <v>151050.4</v>
      </c>
      <c r="R13" s="237">
        <v>143493.82999999999</v>
      </c>
      <c r="S13" s="237">
        <v>139489.70000000001</v>
      </c>
      <c r="T13" s="237">
        <v>140487.1</v>
      </c>
      <c r="U13" s="235">
        <v>131506.01</v>
      </c>
      <c r="V13" s="439">
        <v>139648.18</v>
      </c>
      <c r="W13">
        <v>142957.31</v>
      </c>
      <c r="X13">
        <v>133487.15</v>
      </c>
      <c r="Y13">
        <v>154091.84</v>
      </c>
      <c r="Z13">
        <v>147724.13</v>
      </c>
      <c r="AA13">
        <v>160646.79999999999</v>
      </c>
      <c r="AB13">
        <v>161043.26999999999</v>
      </c>
      <c r="AC13">
        <v>165533.39000000001</v>
      </c>
      <c r="AD13">
        <v>162273.73000000001</v>
      </c>
      <c r="AE13">
        <v>150783.45000000001</v>
      </c>
      <c r="AF13">
        <v>154154.10999999999</v>
      </c>
      <c r="AG13" s="417">
        <v>146503.96</v>
      </c>
      <c r="AH13" s="441">
        <v>149763.53</v>
      </c>
      <c r="AI13">
        <v>155373.57999999999</v>
      </c>
      <c r="AJ13" s="1038">
        <v>8325.08</v>
      </c>
      <c r="AK13">
        <v>165536.98000000001</v>
      </c>
      <c r="AL13">
        <v>155253.88</v>
      </c>
      <c r="AM13">
        <v>164170.87</v>
      </c>
      <c r="AN13">
        <v>166430.15</v>
      </c>
      <c r="AO13">
        <v>172058.45</v>
      </c>
      <c r="AR13" s="417"/>
    </row>
    <row r="14" spans="1:45" ht="14.45">
      <c r="A14" s="572" t="s">
        <v>2298</v>
      </c>
      <c r="B14" s="1105" t="s">
        <v>1583</v>
      </c>
      <c r="C14" s="1106" t="s">
        <v>2299</v>
      </c>
      <c r="D14" s="1106" t="s">
        <v>2300</v>
      </c>
      <c r="E14" s="584" t="s">
        <v>2301</v>
      </c>
      <c r="F14" s="429">
        <f t="shared" ca="1" si="0"/>
        <v>72544.929999999993</v>
      </c>
      <c r="G14" s="429" t="s">
        <v>74</v>
      </c>
      <c r="H14" s="585">
        <v>60569.32</v>
      </c>
      <c r="I14" s="586">
        <v>74725.61</v>
      </c>
      <c r="J14" s="586">
        <v>76906.28</v>
      </c>
      <c r="K14" s="586">
        <v>74415.94</v>
      </c>
      <c r="L14" s="586">
        <v>65399.01</v>
      </c>
      <c r="M14" s="586">
        <v>71720.149999999994</v>
      </c>
      <c r="N14" s="586">
        <v>68401.94</v>
      </c>
      <c r="O14" s="586">
        <v>72633.77</v>
      </c>
      <c r="P14" s="586">
        <v>67372.179999999993</v>
      </c>
      <c r="Q14" s="586">
        <v>66929.509999999995</v>
      </c>
      <c r="R14" s="586">
        <v>62091.93</v>
      </c>
      <c r="S14" s="586">
        <v>57037.9</v>
      </c>
      <c r="T14" s="586">
        <v>65638.259999999995</v>
      </c>
      <c r="U14" s="587">
        <v>65110.5</v>
      </c>
      <c r="V14" s="1034">
        <v>66181.929999999993</v>
      </c>
      <c r="W14" s="1035">
        <v>68096.460000000006</v>
      </c>
      <c r="X14" s="1035">
        <v>60933.440000000002</v>
      </c>
      <c r="Y14" s="1035">
        <v>68675.8</v>
      </c>
      <c r="Z14" s="1035">
        <v>63277.84</v>
      </c>
      <c r="AA14" s="1035">
        <v>67776.960000000006</v>
      </c>
      <c r="AB14" s="1035">
        <v>62069.32</v>
      </c>
      <c r="AC14" s="1035">
        <v>70941.08</v>
      </c>
      <c r="AD14" s="1035">
        <v>76628.75</v>
      </c>
      <c r="AE14" s="1035">
        <v>68296.83</v>
      </c>
      <c r="AF14" s="1035">
        <v>69946.490000000005</v>
      </c>
      <c r="AG14" s="588">
        <v>67077.73</v>
      </c>
      <c r="AH14" s="1045">
        <v>71852.52</v>
      </c>
      <c r="AI14" s="1035">
        <v>73759.75</v>
      </c>
      <c r="AJ14" s="1035">
        <v>15483.96</v>
      </c>
      <c r="AK14">
        <v>75673.63</v>
      </c>
      <c r="AL14">
        <v>70398.710000000006</v>
      </c>
      <c r="AM14">
        <v>77177.990000000005</v>
      </c>
      <c r="AN14">
        <v>72472.039999999994</v>
      </c>
      <c r="AO14">
        <v>72544.929999999993</v>
      </c>
      <c r="AR14" s="417"/>
    </row>
    <row r="15" spans="1:45" ht="14.45">
      <c r="A15" s="572" t="s">
        <v>2302</v>
      </c>
      <c r="B15" s="336" t="s">
        <v>2303</v>
      </c>
      <c r="C15" t="s">
        <v>2304</v>
      </c>
      <c r="D15" t="s">
        <v>2305</v>
      </c>
      <c r="E15" s="575" t="s">
        <v>2306</v>
      </c>
      <c r="F15" s="429">
        <f t="shared" ca="1" si="0"/>
        <v>157192.74</v>
      </c>
      <c r="G15" s="429" t="s">
        <v>74</v>
      </c>
      <c r="H15" s="574">
        <v>143047.47</v>
      </c>
      <c r="I15" s="237">
        <v>50759.31</v>
      </c>
      <c r="J15" s="237">
        <v>37488.959999999999</v>
      </c>
      <c r="K15" s="237">
        <v>36960.720000000001</v>
      </c>
      <c r="L15" s="237">
        <v>42940.23</v>
      </c>
      <c r="M15" s="237">
        <v>73700.070000000007</v>
      </c>
      <c r="N15" s="237">
        <v>90678.93</v>
      </c>
      <c r="O15" s="237">
        <v>137873.73000000001</v>
      </c>
      <c r="P15" s="237">
        <v>137746.32</v>
      </c>
      <c r="Q15" s="237">
        <v>159264.29999999999</v>
      </c>
      <c r="R15" s="237">
        <v>163373.43</v>
      </c>
      <c r="S15" s="237">
        <v>141338.85</v>
      </c>
      <c r="T15" s="237">
        <v>122947.2</v>
      </c>
      <c r="U15" s="235">
        <v>57522.63</v>
      </c>
      <c r="V15" s="439">
        <v>31915.439999999999</v>
      </c>
      <c r="W15">
        <v>28866.51</v>
      </c>
      <c r="X15">
        <v>47815.56</v>
      </c>
      <c r="Y15">
        <v>73572.149999999994</v>
      </c>
      <c r="Z15">
        <v>93146.31</v>
      </c>
      <c r="AA15">
        <v>142035.42000000001</v>
      </c>
      <c r="AB15">
        <v>154049.13</v>
      </c>
      <c r="AC15">
        <v>173416.53</v>
      </c>
      <c r="AD15">
        <v>163297.59</v>
      </c>
      <c r="AE15">
        <v>148097.28</v>
      </c>
      <c r="AF15">
        <v>135279.6</v>
      </c>
      <c r="AG15" s="417">
        <v>47429.82</v>
      </c>
      <c r="AH15" s="441">
        <v>26392.41</v>
      </c>
      <c r="AI15">
        <v>25399.11</v>
      </c>
      <c r="AJ15" s="1038">
        <v>143113.46</v>
      </c>
      <c r="AK15">
        <v>77167.47</v>
      </c>
      <c r="AL15">
        <v>97880.04</v>
      </c>
      <c r="AM15">
        <v>127340.1</v>
      </c>
      <c r="AN15">
        <v>135291.69</v>
      </c>
      <c r="AO15">
        <v>157192.74</v>
      </c>
      <c r="AR15" s="417"/>
    </row>
    <row r="16" spans="1:45" ht="14.45">
      <c r="A16" s="572" t="s">
        <v>2307</v>
      </c>
      <c r="B16" s="336" t="s">
        <v>2308</v>
      </c>
      <c r="C16" s="35" t="s">
        <v>1633</v>
      </c>
      <c r="D16" s="35" t="s">
        <v>2309</v>
      </c>
      <c r="E16" s="573" t="s">
        <v>2310</v>
      </c>
      <c r="F16" s="429">
        <f t="shared" ca="1" si="0"/>
        <v>71940.53</v>
      </c>
      <c r="G16" s="429" t="s">
        <v>74</v>
      </c>
      <c r="H16" s="574">
        <v>79181.600000000006</v>
      </c>
      <c r="I16" s="237">
        <v>67932.34</v>
      </c>
      <c r="J16" s="237">
        <v>65835.64</v>
      </c>
      <c r="K16" s="237">
        <v>66717.09</v>
      </c>
      <c r="L16" s="237">
        <v>64734.2</v>
      </c>
      <c r="M16" s="237">
        <v>74828.66</v>
      </c>
      <c r="N16" s="237">
        <v>70297.19</v>
      </c>
      <c r="O16" s="237">
        <v>77074.2</v>
      </c>
      <c r="P16" s="237">
        <v>73143.89</v>
      </c>
      <c r="Q16" s="237">
        <v>77957.3</v>
      </c>
      <c r="R16" s="237">
        <v>71573.34</v>
      </c>
      <c r="S16" s="237">
        <v>67095.22</v>
      </c>
      <c r="T16" s="237">
        <v>71582.850000000006</v>
      </c>
      <c r="U16" s="235">
        <v>67353.48</v>
      </c>
      <c r="V16" s="439">
        <v>64900.43</v>
      </c>
      <c r="W16">
        <v>69033.25</v>
      </c>
      <c r="X16">
        <v>61635.9</v>
      </c>
      <c r="Y16">
        <v>71100.039999999994</v>
      </c>
      <c r="Z16">
        <v>65889.94</v>
      </c>
      <c r="AA16">
        <v>71398.039999999994</v>
      </c>
      <c r="AB16">
        <v>72474.02</v>
      </c>
      <c r="AC16">
        <v>78765.05</v>
      </c>
      <c r="AD16">
        <v>77214.59</v>
      </c>
      <c r="AE16">
        <v>76386.58</v>
      </c>
      <c r="AF16">
        <v>74295.91</v>
      </c>
      <c r="AG16" s="417">
        <v>67365.710000000006</v>
      </c>
      <c r="AH16" s="441">
        <v>68562.33</v>
      </c>
      <c r="AI16">
        <v>68598.94</v>
      </c>
      <c r="AJ16" s="1038">
        <v>68125.62</v>
      </c>
      <c r="AK16">
        <v>71721.64</v>
      </c>
      <c r="AL16">
        <v>67341.59</v>
      </c>
      <c r="AM16">
        <v>70816.91</v>
      </c>
      <c r="AN16">
        <v>67761.429999999993</v>
      </c>
      <c r="AO16">
        <v>71940.53</v>
      </c>
      <c r="AR16" s="417"/>
    </row>
    <row r="17" spans="1:44" ht="14.45">
      <c r="A17" s="572" t="s">
        <v>2311</v>
      </c>
      <c r="B17" s="233" t="s">
        <v>2020</v>
      </c>
      <c r="C17" s="35" t="s">
        <v>2312</v>
      </c>
      <c r="D17" s="35" t="s">
        <v>2313</v>
      </c>
      <c r="E17" s="573" t="s">
        <v>2314</v>
      </c>
      <c r="F17" s="429">
        <f t="shared" ca="1" si="0"/>
        <v>22171.200000000001</v>
      </c>
      <c r="G17" s="429" t="s">
        <v>74</v>
      </c>
      <c r="H17" s="574">
        <v>23632.639999999999</v>
      </c>
      <c r="I17" s="237">
        <v>13500.49</v>
      </c>
      <c r="J17" s="237">
        <v>11209.69</v>
      </c>
      <c r="K17" s="237">
        <v>11662.66</v>
      </c>
      <c r="L17" s="237">
        <v>14595.85</v>
      </c>
      <c r="M17" s="237">
        <v>23369.48</v>
      </c>
      <c r="N17" s="237">
        <v>21799.57</v>
      </c>
      <c r="O17" s="237">
        <v>24511.64</v>
      </c>
      <c r="P17" s="237">
        <v>22233.34</v>
      </c>
      <c r="Q17" s="237">
        <v>22293.64</v>
      </c>
      <c r="R17" s="237">
        <v>25059.45</v>
      </c>
      <c r="S17" s="237">
        <v>22988.25</v>
      </c>
      <c r="T17" s="237">
        <v>23593.83</v>
      </c>
      <c r="U17" s="235">
        <v>15859.68</v>
      </c>
      <c r="V17" s="439">
        <v>11306.49</v>
      </c>
      <c r="W17">
        <v>11006.21</v>
      </c>
      <c r="X17">
        <v>14044.91</v>
      </c>
      <c r="Y17">
        <v>23767.82</v>
      </c>
      <c r="Z17">
        <v>20786.66</v>
      </c>
      <c r="AA17">
        <v>24610.66</v>
      </c>
      <c r="AB17">
        <v>22214.52</v>
      </c>
      <c r="AC17">
        <v>23154.94</v>
      </c>
      <c r="AD17">
        <v>23881.51</v>
      </c>
      <c r="AE17">
        <v>22567.439999999999</v>
      </c>
      <c r="AF17">
        <v>23390.33</v>
      </c>
      <c r="AG17" s="417">
        <v>15450.25</v>
      </c>
      <c r="AH17" s="441">
        <v>11412.21</v>
      </c>
      <c r="AI17">
        <v>11368.54</v>
      </c>
      <c r="AJ17" s="1038">
        <v>41487.26</v>
      </c>
      <c r="AK17">
        <v>22895.38</v>
      </c>
      <c r="AL17">
        <v>20896.54</v>
      </c>
      <c r="AM17">
        <v>23069.7</v>
      </c>
      <c r="AN17">
        <v>20666.54</v>
      </c>
      <c r="AO17">
        <v>22171.200000000001</v>
      </c>
      <c r="AR17" s="417"/>
    </row>
    <row r="18" spans="1:44" ht="14.45">
      <c r="A18" s="572" t="s">
        <v>2315</v>
      </c>
      <c r="B18" s="336" t="s">
        <v>2022</v>
      </c>
      <c r="C18" t="s">
        <v>2316</v>
      </c>
      <c r="D18" t="s">
        <v>2317</v>
      </c>
      <c r="E18" s="575" t="s">
        <v>2318</v>
      </c>
      <c r="F18" s="429">
        <f t="shared" ca="1" si="0"/>
        <v>13588.44</v>
      </c>
      <c r="G18" s="429" t="s">
        <v>74</v>
      </c>
      <c r="H18" s="574">
        <v>18748.48</v>
      </c>
      <c r="I18" s="237">
        <v>16576.45</v>
      </c>
      <c r="J18" s="237">
        <v>13816.42</v>
      </c>
      <c r="K18" s="237">
        <v>13325.52</v>
      </c>
      <c r="L18" s="237">
        <v>14983.53</v>
      </c>
      <c r="M18" s="237">
        <v>19597.41</v>
      </c>
      <c r="N18" s="237">
        <v>16295.75</v>
      </c>
      <c r="O18" s="237">
        <v>17821.53</v>
      </c>
      <c r="P18" s="237">
        <v>15377.26</v>
      </c>
      <c r="Q18" s="237">
        <v>16724.04</v>
      </c>
      <c r="R18" s="237">
        <v>14125.99</v>
      </c>
      <c r="S18" s="237">
        <v>12725.41</v>
      </c>
      <c r="T18" s="237">
        <v>14486.39</v>
      </c>
      <c r="U18" s="235">
        <v>13213.46</v>
      </c>
      <c r="V18" s="439">
        <v>14836.64</v>
      </c>
      <c r="W18">
        <v>14940.63</v>
      </c>
      <c r="X18">
        <v>14445.6</v>
      </c>
      <c r="Y18">
        <v>14333.93</v>
      </c>
      <c r="Z18">
        <v>13544.46</v>
      </c>
      <c r="AA18">
        <v>17434.52</v>
      </c>
      <c r="AB18">
        <v>15497.4</v>
      </c>
      <c r="AC18">
        <v>15442.3</v>
      </c>
      <c r="AD18">
        <v>17498.71</v>
      </c>
      <c r="AE18">
        <v>16483.330000000002</v>
      </c>
      <c r="AF18">
        <v>12848.74</v>
      </c>
      <c r="AG18" s="417">
        <v>12169.62</v>
      </c>
      <c r="AH18" s="441">
        <v>10803.08</v>
      </c>
      <c r="AI18">
        <v>11610.71</v>
      </c>
      <c r="AJ18" s="1038">
        <v>65767.67</v>
      </c>
      <c r="AK18">
        <v>15319.3</v>
      </c>
      <c r="AL18">
        <v>12821.95</v>
      </c>
      <c r="AM18">
        <v>15172.55</v>
      </c>
      <c r="AN18">
        <v>0</v>
      </c>
      <c r="AO18">
        <v>13588.44</v>
      </c>
      <c r="AR18" s="417"/>
    </row>
    <row r="19" spans="1:44" ht="14.45">
      <c r="A19" s="572" t="s">
        <v>2319</v>
      </c>
      <c r="B19" s="336" t="s">
        <v>2320</v>
      </c>
      <c r="C19" t="s">
        <v>2321</v>
      </c>
      <c r="D19" t="s">
        <v>2322</v>
      </c>
      <c r="E19" s="575" t="s">
        <v>2323</v>
      </c>
      <c r="F19" s="429">
        <f t="shared" ca="1" si="0"/>
        <v>35844.79</v>
      </c>
      <c r="G19" s="429" t="s">
        <v>74</v>
      </c>
      <c r="H19" s="574">
        <v>42193.05</v>
      </c>
      <c r="I19" s="237">
        <v>40766.75</v>
      </c>
      <c r="J19" s="237">
        <v>36260.14</v>
      </c>
      <c r="K19" s="237">
        <v>36616.47</v>
      </c>
      <c r="L19" s="237">
        <v>36757.08</v>
      </c>
      <c r="M19" s="237">
        <v>41694.870000000003</v>
      </c>
      <c r="N19" s="237">
        <v>42605.37</v>
      </c>
      <c r="O19" s="237">
        <v>46164.51</v>
      </c>
      <c r="P19" s="237">
        <v>44450.77</v>
      </c>
      <c r="Q19" s="237">
        <v>41768.85</v>
      </c>
      <c r="R19" s="237">
        <v>32654.080000000002</v>
      </c>
      <c r="S19" s="237">
        <v>29338.27</v>
      </c>
      <c r="T19" s="237">
        <v>38134.6</v>
      </c>
      <c r="U19" s="235">
        <v>32339.48</v>
      </c>
      <c r="V19" s="439">
        <v>26750.35</v>
      </c>
      <c r="W19">
        <v>33022.120000000003</v>
      </c>
      <c r="X19">
        <v>38208.57</v>
      </c>
      <c r="Y19">
        <v>45788.83</v>
      </c>
      <c r="Z19">
        <v>44075.01</v>
      </c>
      <c r="AA19">
        <v>46953.25</v>
      </c>
      <c r="AB19">
        <v>42061.74</v>
      </c>
      <c r="AC19">
        <v>33123.86</v>
      </c>
      <c r="AD19">
        <v>43194.71</v>
      </c>
      <c r="AE19">
        <v>42556.85</v>
      </c>
      <c r="AF19">
        <v>44243.34</v>
      </c>
      <c r="AG19" s="417">
        <v>38431.050000000003</v>
      </c>
      <c r="AH19" s="441">
        <v>28693.72</v>
      </c>
      <c r="AI19">
        <v>29468.74</v>
      </c>
      <c r="AJ19" s="1038">
        <v>14736</v>
      </c>
      <c r="AK19">
        <v>40392.620000000003</v>
      </c>
      <c r="AL19">
        <v>36579.71</v>
      </c>
      <c r="AM19">
        <v>42960.639999999999</v>
      </c>
      <c r="AN19">
        <v>40465.42</v>
      </c>
      <c r="AO19">
        <v>35844.79</v>
      </c>
      <c r="AR19" s="417"/>
    </row>
    <row r="20" spans="1:44" s="579" customFormat="1" ht="14.45">
      <c r="A20" s="572" t="s">
        <v>2324</v>
      </c>
      <c r="B20" s="336" t="s">
        <v>1574</v>
      </c>
      <c r="C20" t="s">
        <v>2325</v>
      </c>
      <c r="D20" t="s">
        <v>2326</v>
      </c>
      <c r="E20" s="575" t="s">
        <v>2327</v>
      </c>
      <c r="F20" s="429">
        <f t="shared" ca="1" si="0"/>
        <v>115649.04</v>
      </c>
      <c r="G20" s="429" t="s">
        <v>74</v>
      </c>
      <c r="H20" s="574">
        <v>126784.96000000001</v>
      </c>
      <c r="I20" s="237">
        <v>129393</v>
      </c>
      <c r="J20" s="237">
        <v>118564.48</v>
      </c>
      <c r="K20" s="237">
        <v>131811.20000000001</v>
      </c>
      <c r="L20" s="237">
        <v>130311.01</v>
      </c>
      <c r="M20" s="237">
        <v>151855.07999999999</v>
      </c>
      <c r="N20" s="237">
        <v>145463.25</v>
      </c>
      <c r="O20" s="237">
        <v>144750.32999999999</v>
      </c>
      <c r="P20" s="237">
        <v>134307.64000000001</v>
      </c>
      <c r="Q20" s="237">
        <v>135957.26</v>
      </c>
      <c r="R20" s="237">
        <v>107483.76</v>
      </c>
      <c r="S20" s="237">
        <v>106216.68</v>
      </c>
      <c r="T20" s="237">
        <v>123361.11</v>
      </c>
      <c r="U20" s="235">
        <v>143287.9</v>
      </c>
      <c r="V20" s="439">
        <v>128311.95</v>
      </c>
      <c r="W20">
        <v>132734.62</v>
      </c>
      <c r="X20">
        <v>0</v>
      </c>
      <c r="Y20">
        <v>0</v>
      </c>
      <c r="Z20">
        <v>265831.25</v>
      </c>
      <c r="AA20">
        <v>137722.31</v>
      </c>
      <c r="AB20">
        <v>123264.84</v>
      </c>
      <c r="AC20">
        <v>114117.15</v>
      </c>
      <c r="AD20">
        <v>141536.75</v>
      </c>
      <c r="AE20">
        <v>126967.06</v>
      </c>
      <c r="AF20">
        <v>129526.3</v>
      </c>
      <c r="AG20" s="417">
        <v>123446.46</v>
      </c>
      <c r="AH20" s="441">
        <v>108872.96000000001</v>
      </c>
      <c r="AI20">
        <v>114364.86</v>
      </c>
      <c r="AJ20" s="1038">
        <v>13100</v>
      </c>
      <c r="AK20" s="579">
        <v>134667.84</v>
      </c>
      <c r="AL20" s="579">
        <v>126818.87</v>
      </c>
      <c r="AM20" s="579">
        <v>132971.45000000001</v>
      </c>
      <c r="AN20" s="579">
        <v>116943.74</v>
      </c>
      <c r="AO20" s="579">
        <v>115649.04</v>
      </c>
      <c r="AR20" s="1033"/>
    </row>
    <row r="21" spans="1:44" ht="14.45">
      <c r="A21" s="572" t="s">
        <v>2328</v>
      </c>
      <c r="B21" s="336" t="s">
        <v>2004</v>
      </c>
      <c r="C21" s="35" t="s">
        <v>2329</v>
      </c>
      <c r="D21" s="35" t="s">
        <v>2330</v>
      </c>
      <c r="E21" s="573" t="s">
        <v>2331</v>
      </c>
      <c r="F21" s="429">
        <f t="shared" ca="1" si="0"/>
        <v>40896.01</v>
      </c>
      <c r="G21" s="429" t="s">
        <v>74</v>
      </c>
      <c r="H21" s="574">
        <v>39511.86</v>
      </c>
      <c r="I21" s="237">
        <v>15670.26</v>
      </c>
      <c r="J21" s="237">
        <v>9662.06</v>
      </c>
      <c r="K21" s="237">
        <v>10301.040000000001</v>
      </c>
      <c r="L21" s="237">
        <v>15504.83</v>
      </c>
      <c r="M21" s="237">
        <v>28267.66</v>
      </c>
      <c r="N21" s="237">
        <v>30894.19</v>
      </c>
      <c r="O21" s="237">
        <v>41594.43</v>
      </c>
      <c r="P21" s="237">
        <v>39681.870000000003</v>
      </c>
      <c r="Q21" s="237">
        <v>41799.550000000003</v>
      </c>
      <c r="R21" s="237">
        <v>41775.49</v>
      </c>
      <c r="S21" s="237">
        <v>38253.050000000003</v>
      </c>
      <c r="T21" s="237">
        <v>33727.08</v>
      </c>
      <c r="U21" s="235">
        <v>15547.36</v>
      </c>
      <c r="V21" s="439">
        <v>7719.07</v>
      </c>
      <c r="W21">
        <v>7481.59</v>
      </c>
      <c r="X21">
        <v>18554.490000000002</v>
      </c>
      <c r="Y21">
        <v>32457.24</v>
      </c>
      <c r="Z21">
        <v>32580.19</v>
      </c>
      <c r="AA21">
        <v>41436.959999999999</v>
      </c>
      <c r="AB21">
        <v>43434.95</v>
      </c>
      <c r="AC21">
        <v>46195.99</v>
      </c>
      <c r="AD21">
        <v>43106.73</v>
      </c>
      <c r="AE21">
        <v>39734.410000000003</v>
      </c>
      <c r="AF21">
        <v>38002.949999999997</v>
      </c>
      <c r="AG21" s="417">
        <v>17981.84</v>
      </c>
      <c r="AH21" s="441">
        <v>9984.58</v>
      </c>
      <c r="AI21">
        <v>8130.56</v>
      </c>
      <c r="AJ21">
        <v>34896.230000000003</v>
      </c>
      <c r="AK21">
        <v>26208.82</v>
      </c>
      <c r="AL21">
        <v>26673.83</v>
      </c>
      <c r="AM21">
        <v>32521.13</v>
      </c>
      <c r="AN21">
        <v>36914.980000000003</v>
      </c>
      <c r="AO21">
        <v>40896.01</v>
      </c>
      <c r="AR21" s="417"/>
    </row>
    <row r="22" spans="1:44" ht="14.45">
      <c r="A22" s="572" t="s">
        <v>2332</v>
      </c>
      <c r="B22" s="336" t="s">
        <v>2333</v>
      </c>
      <c r="C22" s="35" t="s">
        <v>1614</v>
      </c>
      <c r="D22" s="35" t="s">
        <v>2334</v>
      </c>
      <c r="E22" s="573" t="s">
        <v>2335</v>
      </c>
      <c r="F22" s="429">
        <f t="shared" ca="1" si="0"/>
        <v>57150.98</v>
      </c>
      <c r="G22" s="429" t="s">
        <v>74</v>
      </c>
      <c r="H22" s="574">
        <v>59183.63</v>
      </c>
      <c r="I22" s="237">
        <v>30753.07</v>
      </c>
      <c r="J22" s="237">
        <v>25473.66</v>
      </c>
      <c r="K22" s="237">
        <v>28161.64</v>
      </c>
      <c r="L22" s="237">
        <v>30706.799999999999</v>
      </c>
      <c r="M22" s="237">
        <v>52421.919999999998</v>
      </c>
      <c r="N22" s="237">
        <v>49633.68</v>
      </c>
      <c r="O22" s="237">
        <v>61509.91</v>
      </c>
      <c r="P22" s="237">
        <v>57759.42</v>
      </c>
      <c r="Q22" s="237">
        <v>62449.29</v>
      </c>
      <c r="R22" s="237">
        <v>66979.53</v>
      </c>
      <c r="S22" s="237">
        <v>60771.75</v>
      </c>
      <c r="T22" s="237">
        <v>58123.78</v>
      </c>
      <c r="U22" s="235">
        <v>35089.230000000003</v>
      </c>
      <c r="V22" s="439">
        <v>29251.56</v>
      </c>
      <c r="W22">
        <v>27736.53</v>
      </c>
      <c r="X22">
        <v>35153.919999999998</v>
      </c>
      <c r="Y22">
        <v>50402.559999999998</v>
      </c>
      <c r="Z22">
        <v>45199.7</v>
      </c>
      <c r="AA22">
        <v>54997.26</v>
      </c>
      <c r="AB22">
        <v>49162.720000000001</v>
      </c>
      <c r="AC22">
        <v>51920.65</v>
      </c>
      <c r="AD22">
        <v>55323.56</v>
      </c>
      <c r="AE22">
        <v>53956.44</v>
      </c>
      <c r="AF22">
        <v>55007.32</v>
      </c>
      <c r="AG22" s="417">
        <v>32963.910000000003</v>
      </c>
      <c r="AH22" s="441">
        <v>27013.42</v>
      </c>
      <c r="AI22">
        <v>29213.45</v>
      </c>
      <c r="AJ22">
        <v>115894.42</v>
      </c>
      <c r="AK22">
        <v>51126</v>
      </c>
      <c r="AL22">
        <v>51570.879999999997</v>
      </c>
      <c r="AM22">
        <v>55909.59</v>
      </c>
      <c r="AN22">
        <v>52418.01</v>
      </c>
      <c r="AO22">
        <v>57150.98</v>
      </c>
      <c r="AR22" s="417"/>
    </row>
    <row r="23" spans="1:44" ht="14.45">
      <c r="A23" s="572" t="s">
        <v>2336</v>
      </c>
      <c r="B23" s="233" t="s">
        <v>2337</v>
      </c>
      <c r="C23" s="35" t="s">
        <v>2338</v>
      </c>
      <c r="D23" s="35" t="s">
        <v>2339</v>
      </c>
      <c r="E23" s="575" t="s">
        <v>2340</v>
      </c>
      <c r="F23" s="429">
        <f t="shared" ca="1" si="0"/>
        <v>58065.65</v>
      </c>
      <c r="G23" s="429" t="s">
        <v>74</v>
      </c>
      <c r="H23" s="574">
        <v>54136.24</v>
      </c>
      <c r="I23" s="237">
        <v>16477.23</v>
      </c>
      <c r="J23" s="237">
        <v>8951.52</v>
      </c>
      <c r="K23" s="237">
        <v>12494.99</v>
      </c>
      <c r="L23" s="237">
        <v>16234.3</v>
      </c>
      <c r="M23" s="237">
        <v>32676.11</v>
      </c>
      <c r="N23" s="237">
        <v>35721.980000000003</v>
      </c>
      <c r="O23" s="237">
        <v>60148.54</v>
      </c>
      <c r="P23" s="237">
        <v>56488.68</v>
      </c>
      <c r="Q23" s="237">
        <v>61766.53</v>
      </c>
      <c r="R23" s="237">
        <v>59712</v>
      </c>
      <c r="S23" s="237">
        <v>53182.19</v>
      </c>
      <c r="T23" s="237">
        <v>47378.36</v>
      </c>
      <c r="U23" s="235">
        <v>22512.16</v>
      </c>
      <c r="V23" s="439">
        <v>9762.2900000000009</v>
      </c>
      <c r="W23">
        <v>9162.4599999999991</v>
      </c>
      <c r="X23">
        <v>16661.09</v>
      </c>
      <c r="Y23">
        <v>32275.52</v>
      </c>
      <c r="Z23">
        <v>30739.11</v>
      </c>
      <c r="AA23">
        <v>50320.7</v>
      </c>
      <c r="AB23">
        <v>52206.45</v>
      </c>
      <c r="AC23">
        <v>60932.97</v>
      </c>
      <c r="AD23">
        <v>60960.69</v>
      </c>
      <c r="AE23">
        <v>53064.480000000003</v>
      </c>
      <c r="AF23">
        <v>51225.93</v>
      </c>
      <c r="AG23" s="417">
        <v>19746.099999999999</v>
      </c>
      <c r="AH23" s="441">
        <v>10826.49</v>
      </c>
      <c r="AI23">
        <v>10044.19</v>
      </c>
      <c r="AJ23">
        <v>14707.13</v>
      </c>
      <c r="AK23">
        <v>35430.74</v>
      </c>
      <c r="AL23">
        <v>36934.76</v>
      </c>
      <c r="AM23">
        <v>50088</v>
      </c>
      <c r="AN23">
        <v>46512.88</v>
      </c>
      <c r="AO23">
        <v>58065.65</v>
      </c>
      <c r="AR23" s="417"/>
    </row>
    <row r="24" spans="1:44" s="567" customFormat="1" ht="14.45">
      <c r="A24" s="595" t="s">
        <v>2341</v>
      </c>
      <c r="B24" s="596" t="s">
        <v>2342</v>
      </c>
      <c r="C24" s="569" t="s">
        <v>1606</v>
      </c>
      <c r="D24" s="569" t="s">
        <v>2343</v>
      </c>
      <c r="E24" s="692" t="s">
        <v>2344</v>
      </c>
      <c r="F24" s="429">
        <f t="shared" ca="1" si="0"/>
        <v>36616.730000000003</v>
      </c>
      <c r="G24" s="598" t="s">
        <v>74</v>
      </c>
      <c r="H24" s="599">
        <v>41114.6</v>
      </c>
      <c r="I24" s="238">
        <v>21338.92</v>
      </c>
      <c r="J24" s="238">
        <v>13709.58</v>
      </c>
      <c r="K24" s="238">
        <v>16411.95</v>
      </c>
      <c r="L24" s="238">
        <v>22241.66</v>
      </c>
      <c r="M24" s="238">
        <v>36075.96</v>
      </c>
      <c r="N24" s="238">
        <v>35257.97</v>
      </c>
      <c r="O24" s="238">
        <v>41766.83</v>
      </c>
      <c r="P24" s="238">
        <v>37925.24</v>
      </c>
      <c r="Q24" s="238">
        <v>37065.57</v>
      </c>
      <c r="R24" s="238">
        <v>40972.85</v>
      </c>
      <c r="S24" s="238">
        <v>38393.440000000002</v>
      </c>
      <c r="T24" s="238">
        <v>37466.25</v>
      </c>
      <c r="U24" s="600">
        <v>25101.49</v>
      </c>
      <c r="V24" s="1036">
        <v>14931.84</v>
      </c>
      <c r="W24" s="567">
        <v>15498.64</v>
      </c>
      <c r="X24" s="567">
        <v>22857.5</v>
      </c>
      <c r="Y24" s="567">
        <v>34832.699999999997</v>
      </c>
      <c r="Z24" s="567">
        <v>33771.760000000002</v>
      </c>
      <c r="AA24" s="567">
        <v>38951</v>
      </c>
      <c r="AB24" s="567">
        <v>35980.019999999997</v>
      </c>
      <c r="AC24" s="567">
        <v>38702.65</v>
      </c>
      <c r="AD24" s="567">
        <v>39878.300000000003</v>
      </c>
      <c r="AE24" s="567">
        <v>38093.919999999998</v>
      </c>
      <c r="AF24" s="567">
        <v>38109.440000000002</v>
      </c>
      <c r="AG24" s="1037">
        <v>22660.42</v>
      </c>
      <c r="AH24" s="1046">
        <v>12628.58</v>
      </c>
      <c r="AI24" s="567">
        <v>19545.7</v>
      </c>
      <c r="AJ24" s="1040">
        <v>32393.38</v>
      </c>
      <c r="AK24" s="567">
        <v>35581.050000000003</v>
      </c>
      <c r="AL24" s="567">
        <v>34337.089999999997</v>
      </c>
      <c r="AM24" s="567">
        <v>39523.980000000003</v>
      </c>
      <c r="AN24" s="567">
        <v>35197.01</v>
      </c>
      <c r="AO24" s="567">
        <v>36616.730000000003</v>
      </c>
      <c r="AR24" s="1037"/>
    </row>
    <row r="25" spans="1:44" ht="14.45">
      <c r="A25" s="572" t="s">
        <v>2345</v>
      </c>
      <c r="B25" s="336" t="s">
        <v>2346</v>
      </c>
      <c r="C25" s="35" t="s">
        <v>2347</v>
      </c>
      <c r="D25" s="35" t="s">
        <v>2348</v>
      </c>
      <c r="E25" s="573" t="s">
        <v>2349</v>
      </c>
      <c r="F25" s="429">
        <f t="shared" ca="1" si="0"/>
        <v>387759.99</v>
      </c>
      <c r="G25" s="429" t="s">
        <v>74</v>
      </c>
      <c r="H25" s="574">
        <v>420219.3</v>
      </c>
      <c r="I25" s="237">
        <v>370315.2</v>
      </c>
      <c r="J25" s="237">
        <v>352688.61</v>
      </c>
      <c r="K25" s="237">
        <v>357884.52</v>
      </c>
      <c r="L25" s="237">
        <v>351320.49</v>
      </c>
      <c r="M25" s="237">
        <v>404358.9</v>
      </c>
      <c r="N25" s="237">
        <v>380534.55</v>
      </c>
      <c r="O25" s="237">
        <v>420101.61</v>
      </c>
      <c r="P25" s="237">
        <v>409957.17</v>
      </c>
      <c r="Q25" s="237">
        <v>440610.84</v>
      </c>
      <c r="R25" s="237">
        <v>379619.49</v>
      </c>
      <c r="S25" s="237">
        <v>367130.43</v>
      </c>
      <c r="T25" s="237">
        <v>370492.71</v>
      </c>
      <c r="U25" s="235">
        <v>345070.86</v>
      </c>
      <c r="V25" s="439">
        <v>326237.49</v>
      </c>
      <c r="W25">
        <v>327840.03000000003</v>
      </c>
      <c r="X25">
        <v>334840.34999999998</v>
      </c>
      <c r="Y25">
        <v>374717.28</v>
      </c>
      <c r="Z25">
        <v>363227.76</v>
      </c>
      <c r="AA25">
        <v>409979.49</v>
      </c>
      <c r="AB25">
        <v>377286.63</v>
      </c>
      <c r="AC25">
        <v>410549.73</v>
      </c>
      <c r="AD25">
        <v>403650.99</v>
      </c>
      <c r="AE25">
        <v>384896.58</v>
      </c>
      <c r="AF25">
        <v>385808.43</v>
      </c>
      <c r="AG25" s="417">
        <v>335485.8</v>
      </c>
      <c r="AH25" s="441">
        <v>306015.12</v>
      </c>
      <c r="AI25">
        <v>315968.7</v>
      </c>
      <c r="AJ25">
        <v>18755.36</v>
      </c>
      <c r="AK25">
        <v>0</v>
      </c>
      <c r="AL25">
        <v>355399.38</v>
      </c>
      <c r="AM25">
        <v>393323.52000000002</v>
      </c>
      <c r="AN25">
        <v>385123.53</v>
      </c>
      <c r="AO25">
        <v>387759.99</v>
      </c>
      <c r="AR25" s="417"/>
    </row>
    <row r="26" spans="1:44" ht="14.45">
      <c r="A26" s="572" t="s">
        <v>2350</v>
      </c>
      <c r="B26" s="336" t="s">
        <v>2351</v>
      </c>
      <c r="C26" s="35" t="s">
        <v>2352</v>
      </c>
      <c r="D26" s="35" t="s">
        <v>2353</v>
      </c>
      <c r="E26" s="573" t="s">
        <v>2354</v>
      </c>
      <c r="F26" s="429">
        <f t="shared" ca="1" si="0"/>
        <v>110863.88</v>
      </c>
      <c r="G26" s="429" t="s">
        <v>74</v>
      </c>
      <c r="H26" s="574">
        <v>98466.46</v>
      </c>
      <c r="I26" s="237">
        <v>92284.91</v>
      </c>
      <c r="J26" s="237">
        <v>93432</v>
      </c>
      <c r="K26" s="237">
        <v>85561.3</v>
      </c>
      <c r="L26" s="237">
        <v>94349.29</v>
      </c>
      <c r="M26" s="237">
        <v>95662.37</v>
      </c>
      <c r="N26" s="237">
        <v>92723.75</v>
      </c>
      <c r="O26" s="237">
        <v>94236.83</v>
      </c>
      <c r="P26" s="237">
        <v>93877.54</v>
      </c>
      <c r="Q26" s="237">
        <v>97262.11</v>
      </c>
      <c r="R26" s="237">
        <v>103671.03999999999</v>
      </c>
      <c r="S26" s="237">
        <v>104195.49</v>
      </c>
      <c r="T26" s="237">
        <v>111193.52</v>
      </c>
      <c r="U26" s="235">
        <v>105268.04</v>
      </c>
      <c r="V26" s="439">
        <v>109104.24</v>
      </c>
      <c r="W26">
        <v>109335.43</v>
      </c>
      <c r="X26">
        <v>98047.92</v>
      </c>
      <c r="Y26">
        <v>110226.2</v>
      </c>
      <c r="Z26">
        <v>106434.71</v>
      </c>
      <c r="AA26">
        <v>109583.64</v>
      </c>
      <c r="AB26">
        <v>105134.11</v>
      </c>
      <c r="AC26">
        <v>109309.85</v>
      </c>
      <c r="AD26">
        <v>107218.83</v>
      </c>
      <c r="AE26">
        <v>99593.07</v>
      </c>
      <c r="AF26">
        <v>104778.42</v>
      </c>
      <c r="AG26" s="417">
        <v>102801.54</v>
      </c>
      <c r="AH26" s="441">
        <v>104859.89</v>
      </c>
      <c r="AI26">
        <v>105261.77</v>
      </c>
      <c r="AJ26">
        <v>23192.65</v>
      </c>
      <c r="AK26">
        <v>119858.94</v>
      </c>
      <c r="AL26">
        <v>114857.85</v>
      </c>
      <c r="AM26">
        <v>119288.3</v>
      </c>
      <c r="AN26">
        <v>116037.35</v>
      </c>
      <c r="AO26">
        <v>110863.88</v>
      </c>
      <c r="AR26" s="417"/>
    </row>
    <row r="27" spans="1:44" ht="14.45">
      <c r="A27" s="572" t="s">
        <v>2355</v>
      </c>
      <c r="B27" s="336" t="s">
        <v>1927</v>
      </c>
      <c r="C27" t="s">
        <v>2356</v>
      </c>
      <c r="D27" s="473" t="s">
        <v>2357</v>
      </c>
      <c r="E27" s="575" t="s">
        <v>2358</v>
      </c>
      <c r="F27" s="429">
        <f t="shared" ca="1" si="0"/>
        <v>49414.51</v>
      </c>
      <c r="G27" s="429" t="s">
        <v>74</v>
      </c>
      <c r="H27" s="574">
        <v>47005.27</v>
      </c>
      <c r="I27" s="237">
        <v>36044.839999999997</v>
      </c>
      <c r="J27" s="237">
        <v>33888.160000000003</v>
      </c>
      <c r="K27" s="237">
        <v>27790.93</v>
      </c>
      <c r="L27" s="237">
        <v>21004.69</v>
      </c>
      <c r="M27" s="237">
        <v>32822.32</v>
      </c>
      <c r="N27" s="237">
        <v>38892.949999999997</v>
      </c>
      <c r="O27" s="237">
        <v>47420.76</v>
      </c>
      <c r="P27" s="237">
        <v>44167.97</v>
      </c>
      <c r="Q27" s="237">
        <v>50084.41</v>
      </c>
      <c r="R27" s="237">
        <v>43642.42</v>
      </c>
      <c r="S27" s="237">
        <v>36555.24</v>
      </c>
      <c r="T27" s="237">
        <v>30212.3</v>
      </c>
      <c r="U27" s="235">
        <v>25540.81</v>
      </c>
      <c r="V27" s="439">
        <v>24111.43</v>
      </c>
      <c r="W27">
        <v>21619.33</v>
      </c>
      <c r="X27">
        <v>21814.6</v>
      </c>
      <c r="Y27">
        <v>28049.32</v>
      </c>
      <c r="Z27">
        <v>36248.550000000003</v>
      </c>
      <c r="AA27">
        <v>44558.01</v>
      </c>
      <c r="AB27">
        <v>49167.01</v>
      </c>
      <c r="AC27">
        <v>53740.93</v>
      </c>
      <c r="AD27">
        <v>41248.559999999998</v>
      </c>
      <c r="AE27">
        <v>40634.11</v>
      </c>
      <c r="AF27">
        <v>27927.17</v>
      </c>
      <c r="AG27" s="417">
        <v>15794.54</v>
      </c>
      <c r="AH27" s="441">
        <v>16768.400000000001</v>
      </c>
      <c r="AI27">
        <v>13061.98</v>
      </c>
      <c r="AJ27" s="1038">
        <v>313102.34999999998</v>
      </c>
      <c r="AK27">
        <v>28155.55</v>
      </c>
      <c r="AL27">
        <v>28923.119999999999</v>
      </c>
      <c r="AM27">
        <v>32350.18</v>
      </c>
      <c r="AN27">
        <v>42945.8</v>
      </c>
      <c r="AO27">
        <v>49414.51</v>
      </c>
      <c r="AR27" s="417"/>
    </row>
    <row r="28" spans="1:44" ht="14.45">
      <c r="A28" s="572" t="s">
        <v>2359</v>
      </c>
      <c r="B28" s="233" t="s">
        <v>1601</v>
      </c>
      <c r="C28" t="s">
        <v>1602</v>
      </c>
      <c r="D28" s="35" t="s">
        <v>2360</v>
      </c>
      <c r="E28" s="575" t="s">
        <v>2361</v>
      </c>
      <c r="F28" s="429">
        <f t="shared" ca="1" si="0"/>
        <v>48230.21</v>
      </c>
      <c r="G28" s="429" t="s">
        <v>74</v>
      </c>
      <c r="H28" s="574">
        <v>46572.67</v>
      </c>
      <c r="I28" s="237">
        <v>16028.48</v>
      </c>
      <c r="J28" s="237">
        <v>7245.26</v>
      </c>
      <c r="K28" s="237">
        <v>8366.02</v>
      </c>
      <c r="L28" s="237">
        <v>12719.06</v>
      </c>
      <c r="M28" s="237">
        <v>19118.75</v>
      </c>
      <c r="N28" s="237">
        <v>24725.26</v>
      </c>
      <c r="O28" s="237">
        <v>38485.64</v>
      </c>
      <c r="P28" s="237">
        <v>43184.3</v>
      </c>
      <c r="Q28" s="237">
        <v>47539.3</v>
      </c>
      <c r="R28" s="237">
        <v>44778.31</v>
      </c>
      <c r="S28" s="237">
        <v>38122.43</v>
      </c>
      <c r="T28" s="237">
        <v>31095.52</v>
      </c>
      <c r="U28" s="235">
        <v>14647.23</v>
      </c>
      <c r="V28" s="439">
        <v>0</v>
      </c>
      <c r="W28">
        <v>9438.3700000000008</v>
      </c>
      <c r="X28">
        <v>12601.91</v>
      </c>
      <c r="Y28">
        <v>22626.68</v>
      </c>
      <c r="Z28">
        <v>25989.81</v>
      </c>
      <c r="AA28">
        <v>38855.75</v>
      </c>
      <c r="AB28">
        <v>43567.59</v>
      </c>
      <c r="AC28">
        <v>49330.15</v>
      </c>
      <c r="AD28">
        <v>43252.1</v>
      </c>
      <c r="AE28">
        <v>37782.120000000003</v>
      </c>
      <c r="AF28">
        <v>34268.800000000003</v>
      </c>
      <c r="AG28" s="417">
        <v>13291.9</v>
      </c>
      <c r="AH28" s="441">
        <v>8035.65</v>
      </c>
      <c r="AI28">
        <v>6909.05</v>
      </c>
      <c r="AJ28" s="1038">
        <v>103261.91</v>
      </c>
      <c r="AK28">
        <v>19435.099999999999</v>
      </c>
      <c r="AL28">
        <v>26604.959999999999</v>
      </c>
      <c r="AM28">
        <v>37944.89</v>
      </c>
      <c r="AN28">
        <v>42812.95</v>
      </c>
      <c r="AO28">
        <v>48230.21</v>
      </c>
      <c r="AR28" s="417"/>
    </row>
    <row r="29" spans="1:44" ht="14.45">
      <c r="A29" s="572" t="s">
        <v>2362</v>
      </c>
      <c r="B29" s="233" t="s">
        <v>2363</v>
      </c>
      <c r="C29" t="s">
        <v>2364</v>
      </c>
      <c r="D29" t="s">
        <v>2365</v>
      </c>
      <c r="E29" s="575" t="s">
        <v>2366</v>
      </c>
      <c r="F29" s="429">
        <f t="shared" ca="1" si="0"/>
        <v>64171.35</v>
      </c>
      <c r="G29" s="429" t="s">
        <v>74</v>
      </c>
      <c r="H29" s="574">
        <v>55121.04</v>
      </c>
      <c r="I29" s="237">
        <v>16558.96</v>
      </c>
      <c r="J29" s="237">
        <v>7448.61</v>
      </c>
      <c r="K29" s="237">
        <v>7869.62</v>
      </c>
      <c r="L29" s="237">
        <v>13913.04</v>
      </c>
      <c r="M29" s="237">
        <v>28008</v>
      </c>
      <c r="N29" s="237">
        <v>36772.480000000003</v>
      </c>
      <c r="O29" s="237">
        <v>61686.99</v>
      </c>
      <c r="P29" s="237">
        <v>60196.61</v>
      </c>
      <c r="Q29" s="237">
        <v>64035.61</v>
      </c>
      <c r="R29" s="237">
        <v>64707.839999999997</v>
      </c>
      <c r="S29" s="237">
        <v>56407.19</v>
      </c>
      <c r="T29" s="237">
        <v>50671.3</v>
      </c>
      <c r="U29" s="235">
        <v>25968.85</v>
      </c>
      <c r="V29" s="439">
        <v>10201.94</v>
      </c>
      <c r="W29">
        <v>9109.18</v>
      </c>
      <c r="X29">
        <v>19711.05</v>
      </c>
      <c r="Y29">
        <v>32905.339999999997</v>
      </c>
      <c r="Z29">
        <v>34081.019999999997</v>
      </c>
      <c r="AA29">
        <v>53866.64</v>
      </c>
      <c r="AB29">
        <v>58802.86</v>
      </c>
      <c r="AC29">
        <v>66641.89</v>
      </c>
      <c r="AD29">
        <v>64360.5</v>
      </c>
      <c r="AE29">
        <v>59771.519999999997</v>
      </c>
      <c r="AF29">
        <v>56099.33</v>
      </c>
      <c r="AG29" s="417">
        <v>20486.38</v>
      </c>
      <c r="AH29" s="441">
        <v>7859.16</v>
      </c>
      <c r="AI29">
        <v>7731.82</v>
      </c>
      <c r="AJ29" s="1038">
        <v>16192.19</v>
      </c>
      <c r="AK29">
        <v>32099.47</v>
      </c>
      <c r="AL29">
        <v>39226.910000000003</v>
      </c>
      <c r="AM29">
        <v>58825.2</v>
      </c>
      <c r="AN29">
        <v>58440.21</v>
      </c>
      <c r="AO29">
        <v>64171.35</v>
      </c>
      <c r="AR29" s="417"/>
    </row>
    <row r="30" spans="1:44" ht="14.45">
      <c r="A30" s="572" t="s">
        <v>2367</v>
      </c>
      <c r="B30" s="336" t="s">
        <v>1820</v>
      </c>
      <c r="C30" t="s">
        <v>2368</v>
      </c>
      <c r="D30" s="35" t="s">
        <v>2369</v>
      </c>
      <c r="E30" t="s">
        <v>2370</v>
      </c>
      <c r="F30" s="429">
        <f t="shared" ca="1" si="0"/>
        <v>921952.25</v>
      </c>
      <c r="G30" s="429" t="s">
        <v>74</v>
      </c>
      <c r="H30" s="574">
        <v>1069046.51</v>
      </c>
      <c r="I30" s="583">
        <v>812105.36</v>
      </c>
      <c r="J30" s="237">
        <v>736701.2</v>
      </c>
      <c r="K30" s="237">
        <v>719297.14</v>
      </c>
      <c r="L30" s="237">
        <v>720746.86</v>
      </c>
      <c r="M30" s="237">
        <v>921344.83</v>
      </c>
      <c r="N30" s="237">
        <v>886056.19</v>
      </c>
      <c r="O30" s="237">
        <v>1126373.9099999999</v>
      </c>
      <c r="P30" s="237">
        <v>1142694.51</v>
      </c>
      <c r="Q30" s="237">
        <v>1200221.9099999999</v>
      </c>
      <c r="R30" s="237">
        <v>973102.22</v>
      </c>
      <c r="S30" s="237">
        <v>930819.91</v>
      </c>
      <c r="T30" s="237">
        <v>965095.34</v>
      </c>
      <c r="U30" s="235">
        <v>794094.32</v>
      </c>
      <c r="V30" s="439">
        <v>69231.710000000006</v>
      </c>
      <c r="W30">
        <v>691775.61</v>
      </c>
      <c r="X30">
        <v>702678.46</v>
      </c>
      <c r="Y30">
        <v>0</v>
      </c>
      <c r="Z30">
        <v>789082.58</v>
      </c>
      <c r="AA30">
        <v>975062</v>
      </c>
      <c r="AB30">
        <v>1055010.79</v>
      </c>
      <c r="AC30">
        <v>1050401.1000000001</v>
      </c>
      <c r="AD30">
        <v>0</v>
      </c>
      <c r="AE30">
        <v>945475.65</v>
      </c>
      <c r="AF30">
        <v>914211.82</v>
      </c>
      <c r="AG30" s="417">
        <v>674502.24</v>
      </c>
      <c r="AH30" s="441">
        <v>567717.24</v>
      </c>
      <c r="AI30">
        <v>546750</v>
      </c>
      <c r="AJ30">
        <v>8926.7199999999993</v>
      </c>
      <c r="AK30">
        <v>736586.45</v>
      </c>
      <c r="AL30">
        <v>708319.41</v>
      </c>
      <c r="AM30">
        <v>874080.42</v>
      </c>
      <c r="AN30">
        <v>888417.96</v>
      </c>
      <c r="AO30">
        <v>921952.25</v>
      </c>
      <c r="AR30" s="417"/>
    </row>
    <row r="31" spans="1:44" ht="14.45">
      <c r="A31" s="572" t="s">
        <v>2371</v>
      </c>
      <c r="B31" s="233" t="s">
        <v>2342</v>
      </c>
      <c r="C31" s="35" t="s">
        <v>2372</v>
      </c>
      <c r="D31" s="35" t="s">
        <v>2373</v>
      </c>
      <c r="E31" s="573" t="s">
        <v>2374</v>
      </c>
      <c r="F31" s="429">
        <f t="shared" ca="1" si="0"/>
        <v>74350.42</v>
      </c>
      <c r="G31" s="429" t="s">
        <v>74</v>
      </c>
      <c r="H31" s="574">
        <v>76805.31</v>
      </c>
      <c r="I31" s="237">
        <v>44480.95</v>
      </c>
      <c r="J31" s="237">
        <v>33355.75</v>
      </c>
      <c r="K31" s="237">
        <v>32218.99</v>
      </c>
      <c r="L31" s="237">
        <v>45273.18</v>
      </c>
      <c r="M31" s="237">
        <v>76749.77</v>
      </c>
      <c r="N31" s="237">
        <v>70487.73</v>
      </c>
      <c r="O31" s="237">
        <v>83015.12</v>
      </c>
      <c r="P31" s="237">
        <v>73022.149999999994</v>
      </c>
      <c r="Q31" s="237">
        <v>74146.22</v>
      </c>
      <c r="R31" s="237">
        <v>76956.42</v>
      </c>
      <c r="S31" s="237">
        <v>70855.55</v>
      </c>
      <c r="T31" s="237">
        <v>74160.72</v>
      </c>
      <c r="U31" s="235">
        <v>47148.01</v>
      </c>
      <c r="V31" s="439">
        <v>30465.56</v>
      </c>
      <c r="W31">
        <v>31056.37</v>
      </c>
      <c r="X31">
        <v>46680.73</v>
      </c>
      <c r="Y31">
        <v>72225.91</v>
      </c>
      <c r="Z31">
        <v>66279.960000000006</v>
      </c>
      <c r="AA31">
        <v>81338.080000000002</v>
      </c>
      <c r="AB31">
        <v>76659.5</v>
      </c>
      <c r="AC31">
        <v>81596.38</v>
      </c>
      <c r="AD31">
        <v>82768.5</v>
      </c>
      <c r="AE31">
        <v>79444.95</v>
      </c>
      <c r="AF31">
        <v>80128.56</v>
      </c>
      <c r="AG31" s="417">
        <v>48861.760000000002</v>
      </c>
      <c r="AH31" s="441">
        <v>32150.05</v>
      </c>
      <c r="AI31">
        <v>41933.74</v>
      </c>
      <c r="AJ31" s="1038">
        <v>14412.75</v>
      </c>
      <c r="AK31">
        <v>74208.12</v>
      </c>
      <c r="AL31">
        <v>64821.46</v>
      </c>
      <c r="AM31">
        <v>77505.100000000006</v>
      </c>
      <c r="AN31">
        <v>70256.13</v>
      </c>
      <c r="AO31">
        <v>74350.42</v>
      </c>
      <c r="AR31" s="417"/>
    </row>
    <row r="32" spans="1:44" ht="14.45">
      <c r="A32" s="572" t="s">
        <v>2375</v>
      </c>
      <c r="B32" s="336" t="s">
        <v>1826</v>
      </c>
      <c r="C32" s="35" t="s">
        <v>1827</v>
      </c>
      <c r="D32" s="35" t="s">
        <v>2376</v>
      </c>
      <c r="E32" s="573" t="s">
        <v>2377</v>
      </c>
      <c r="F32" s="429">
        <f t="shared" ca="1" si="0"/>
        <v>3994.16</v>
      </c>
      <c r="G32" s="429" t="s">
        <v>74</v>
      </c>
      <c r="H32" s="574">
        <v>28942.45</v>
      </c>
      <c r="I32" s="237">
        <v>23319.4</v>
      </c>
      <c r="J32" s="237">
        <v>23799.200000000001</v>
      </c>
      <c r="K32" s="237">
        <v>25894.799999999999</v>
      </c>
      <c r="L32" s="237">
        <v>24564.09</v>
      </c>
      <c r="M32" s="237">
        <v>27167.33</v>
      </c>
      <c r="N32" s="237">
        <v>25544.22</v>
      </c>
      <c r="O32" s="237">
        <v>27896.21</v>
      </c>
      <c r="P32" s="237">
        <v>23901.99</v>
      </c>
      <c r="Q32" s="237">
        <v>22295.55</v>
      </c>
      <c r="R32" s="237">
        <v>20476.29</v>
      </c>
      <c r="S32" s="237">
        <v>19632.25</v>
      </c>
      <c r="T32" s="237">
        <v>19807.189999999999</v>
      </c>
      <c r="U32" s="235">
        <v>13565.36</v>
      </c>
      <c r="V32" s="439">
        <v>5092.3999999999996</v>
      </c>
      <c r="W32">
        <v>5108.3599999999997</v>
      </c>
      <c r="X32">
        <v>4832.68</v>
      </c>
      <c r="Y32">
        <v>5474.11</v>
      </c>
      <c r="Z32">
        <v>6012.11</v>
      </c>
      <c r="AA32">
        <v>3417.19</v>
      </c>
      <c r="AB32">
        <v>3067.72</v>
      </c>
      <c r="AC32">
        <v>3370.79</v>
      </c>
      <c r="AD32">
        <v>3372.79</v>
      </c>
      <c r="AE32">
        <v>3271.79</v>
      </c>
      <c r="AF32">
        <v>3349.26</v>
      </c>
      <c r="AG32" s="417">
        <v>3028.31</v>
      </c>
      <c r="AH32" s="441">
        <v>3131.11</v>
      </c>
      <c r="AI32">
        <v>3074.14</v>
      </c>
      <c r="AJ32" s="1038">
        <v>585516.31000000006</v>
      </c>
      <c r="AK32">
        <v>3006.15</v>
      </c>
      <c r="AL32">
        <v>3052.98</v>
      </c>
      <c r="AM32">
        <v>3088.83</v>
      </c>
      <c r="AN32">
        <v>3133.59</v>
      </c>
      <c r="AO32">
        <v>3994.16</v>
      </c>
      <c r="AR32" s="417"/>
    </row>
    <row r="33" spans="1:44" ht="14.45">
      <c r="A33" s="572" t="s">
        <v>2378</v>
      </c>
      <c r="B33" s="336" t="s">
        <v>1535</v>
      </c>
      <c r="C33" t="s">
        <v>2379</v>
      </c>
      <c r="D33" s="35" t="s">
        <v>2380</v>
      </c>
      <c r="E33" s="575" t="s">
        <v>2381</v>
      </c>
      <c r="F33" s="429">
        <f t="shared" ca="1" si="0"/>
        <v>77914.990000000005</v>
      </c>
      <c r="G33" s="429" t="s">
        <v>74</v>
      </c>
      <c r="H33" s="574">
        <v>74125.48</v>
      </c>
      <c r="I33" s="237">
        <v>53091.1</v>
      </c>
      <c r="J33" s="237">
        <v>46853.59</v>
      </c>
      <c r="K33" s="237">
        <v>46685.67</v>
      </c>
      <c r="L33" s="237">
        <v>45452.18</v>
      </c>
      <c r="M33" s="237">
        <v>58525.67</v>
      </c>
      <c r="N33" s="237">
        <v>58029.75</v>
      </c>
      <c r="O33" s="237">
        <v>72493.09</v>
      </c>
      <c r="P33" s="237">
        <v>72295.28</v>
      </c>
      <c r="Q33" s="237">
        <v>82212.259999999995</v>
      </c>
      <c r="R33" s="237">
        <v>68927.19</v>
      </c>
      <c r="S33" s="237">
        <v>61604.41</v>
      </c>
      <c r="T33" s="237">
        <v>63529.91</v>
      </c>
      <c r="U33" s="235">
        <v>0</v>
      </c>
      <c r="V33" s="439">
        <v>0</v>
      </c>
      <c r="W33">
        <v>41395.93</v>
      </c>
      <c r="X33">
        <v>42709.96</v>
      </c>
      <c r="Y33">
        <v>52237.98</v>
      </c>
      <c r="Z33">
        <v>50871.86</v>
      </c>
      <c r="AA33">
        <v>66123.02</v>
      </c>
      <c r="AB33">
        <v>68435.520000000004</v>
      </c>
      <c r="AC33">
        <v>78875.039999999994</v>
      </c>
      <c r="AD33">
        <v>78103.98</v>
      </c>
      <c r="AE33">
        <v>72107.839999999997</v>
      </c>
      <c r="AF33">
        <v>64288.51</v>
      </c>
      <c r="AG33" s="417">
        <v>55279.59</v>
      </c>
      <c r="AH33" s="441">
        <v>45214.26</v>
      </c>
      <c r="AI33">
        <v>43082.57</v>
      </c>
      <c r="AJ33" s="1038">
        <v>53350.95</v>
      </c>
      <c r="AK33">
        <v>61421.53</v>
      </c>
      <c r="AL33">
        <v>57050.84</v>
      </c>
      <c r="AM33">
        <v>71231.240000000005</v>
      </c>
      <c r="AN33">
        <v>73030.36</v>
      </c>
      <c r="AO33">
        <v>77914.990000000005</v>
      </c>
      <c r="AR33" s="417"/>
    </row>
    <row r="34" spans="1:44" s="567" customFormat="1" ht="14.45">
      <c r="A34" s="595" t="s">
        <v>2382</v>
      </c>
      <c r="B34" s="596" t="s">
        <v>1548</v>
      </c>
      <c r="C34" s="567" t="s">
        <v>2383</v>
      </c>
      <c r="D34" s="567" t="s">
        <v>2384</v>
      </c>
      <c r="E34" s="597" t="s">
        <v>2385</v>
      </c>
      <c r="F34" s="429">
        <f t="shared" ca="1" si="0"/>
        <v>107325.87</v>
      </c>
      <c r="G34" s="598" t="s">
        <v>74</v>
      </c>
      <c r="H34" s="599">
        <v>104076.37</v>
      </c>
      <c r="I34" s="238">
        <v>107632.6</v>
      </c>
      <c r="J34" s="238">
        <v>110589.6</v>
      </c>
      <c r="K34" s="238">
        <v>114360.15</v>
      </c>
      <c r="L34" s="238">
        <v>109231.11</v>
      </c>
      <c r="M34" s="238">
        <v>116885.02</v>
      </c>
      <c r="N34" s="238">
        <v>105878.35</v>
      </c>
      <c r="O34" s="238">
        <v>118841.93</v>
      </c>
      <c r="P34" s="238">
        <v>116922.76</v>
      </c>
      <c r="Q34" s="238">
        <v>11606.1</v>
      </c>
      <c r="R34" s="238">
        <v>100920.2</v>
      </c>
      <c r="S34" s="238">
        <v>94895.54</v>
      </c>
      <c r="T34" s="238">
        <v>102626.19</v>
      </c>
      <c r="U34" s="600">
        <v>101028.65</v>
      </c>
      <c r="V34" s="1036">
        <v>99158.89</v>
      </c>
      <c r="W34" s="567">
        <v>98978.6</v>
      </c>
      <c r="X34" s="567">
        <v>94068.51</v>
      </c>
      <c r="Y34" s="567">
        <v>108025.04</v>
      </c>
      <c r="Z34" s="567">
        <v>96618.61</v>
      </c>
      <c r="AA34" s="567">
        <v>101740.16</v>
      </c>
      <c r="AB34" s="567">
        <v>96235.41</v>
      </c>
      <c r="AC34" s="567">
        <v>100340.24</v>
      </c>
      <c r="AD34" s="567">
        <v>104576.99</v>
      </c>
      <c r="AE34" s="567">
        <v>101239.38</v>
      </c>
      <c r="AF34" s="567">
        <v>100891.95</v>
      </c>
      <c r="AG34" s="1037">
        <v>99258.59</v>
      </c>
      <c r="AH34" s="1046">
        <v>93506.12</v>
      </c>
      <c r="AI34" s="567">
        <v>99157.26</v>
      </c>
      <c r="AJ34" s="1041">
        <v>2578.19</v>
      </c>
      <c r="AK34" s="567">
        <v>118099.95</v>
      </c>
      <c r="AL34" s="567">
        <v>104355.35</v>
      </c>
      <c r="AM34" s="567">
        <v>118004.97</v>
      </c>
      <c r="AN34" s="567">
        <v>100029.21</v>
      </c>
      <c r="AO34" s="567">
        <v>107325.87</v>
      </c>
      <c r="AR34" s="1037"/>
    </row>
    <row r="35" spans="1:44" ht="14.45">
      <c r="A35" s="572" t="s">
        <v>2386</v>
      </c>
      <c r="B35" s="336" t="s">
        <v>2387</v>
      </c>
      <c r="C35" t="s">
        <v>2388</v>
      </c>
      <c r="D35" t="s">
        <v>2389</v>
      </c>
      <c r="E35" s="575" t="s">
        <v>2390</v>
      </c>
      <c r="F35" s="429">
        <f t="shared" ca="1" si="0"/>
        <v>136638.32</v>
      </c>
      <c r="G35" s="429" t="s">
        <v>74</v>
      </c>
      <c r="H35" s="574">
        <v>159819.88</v>
      </c>
      <c r="I35" s="237">
        <v>154452.29999999999</v>
      </c>
      <c r="J35" s="237">
        <v>145057.75</v>
      </c>
      <c r="K35" s="237">
        <v>148751.76999999999</v>
      </c>
      <c r="L35" s="237">
        <v>142537.32999999999</v>
      </c>
      <c r="M35" s="237">
        <v>157373.22</v>
      </c>
      <c r="N35" s="237">
        <v>148905.39000000001</v>
      </c>
      <c r="O35" s="237">
        <v>158366.94</v>
      </c>
      <c r="P35" s="237">
        <v>156108.76999999999</v>
      </c>
      <c r="Q35" s="237">
        <v>162606.1</v>
      </c>
      <c r="R35" s="237">
        <v>144035.66</v>
      </c>
      <c r="S35" s="237">
        <v>138829.57999999999</v>
      </c>
      <c r="T35" s="237">
        <v>150798.9</v>
      </c>
      <c r="U35" s="235">
        <v>144529.62</v>
      </c>
      <c r="V35" s="439">
        <v>0</v>
      </c>
      <c r="W35">
        <v>142364.20000000001</v>
      </c>
      <c r="X35">
        <v>132295.51999999999</v>
      </c>
      <c r="Y35">
        <v>149336.72</v>
      </c>
      <c r="Z35">
        <v>142409.21</v>
      </c>
      <c r="AA35">
        <v>152989.57</v>
      </c>
      <c r="AB35">
        <v>151741.79999999999</v>
      </c>
      <c r="AC35">
        <v>161403.51</v>
      </c>
      <c r="AD35">
        <v>159507.49</v>
      </c>
      <c r="AE35">
        <v>149133.06</v>
      </c>
      <c r="AF35">
        <v>145513.14000000001</v>
      </c>
      <c r="AG35" s="417">
        <v>138796.1</v>
      </c>
      <c r="AH35" s="441">
        <v>135829.76000000001</v>
      </c>
      <c r="AI35">
        <v>140288.95000000001</v>
      </c>
      <c r="AJ35" s="1038">
        <v>44725.22</v>
      </c>
      <c r="AK35">
        <v>142287.04000000001</v>
      </c>
      <c r="AL35">
        <v>131022.62</v>
      </c>
      <c r="AM35">
        <v>140897.26999999999</v>
      </c>
      <c r="AN35">
        <v>134212.79</v>
      </c>
      <c r="AO35">
        <v>136638.32</v>
      </c>
      <c r="AR35" s="417"/>
    </row>
    <row r="36" spans="1:44" ht="14.45">
      <c r="A36" s="572" t="s">
        <v>2391</v>
      </c>
      <c r="B36" s="336" t="s">
        <v>2392</v>
      </c>
      <c r="C36" t="s">
        <v>2393</v>
      </c>
      <c r="D36" t="s">
        <v>2394</v>
      </c>
      <c r="E36" s="575" t="s">
        <v>2395</v>
      </c>
      <c r="F36" s="429">
        <f t="shared" ca="1" si="0"/>
        <v>120743.27</v>
      </c>
      <c r="G36" s="429" t="s">
        <v>74</v>
      </c>
      <c r="H36" s="574">
        <v>164130.23999999999</v>
      </c>
      <c r="I36" s="237">
        <v>139421.4</v>
      </c>
      <c r="J36" s="237">
        <v>134815.82999999999</v>
      </c>
      <c r="K36" s="237">
        <v>131274.98000000001</v>
      </c>
      <c r="L36" s="237">
        <v>123456.52</v>
      </c>
      <c r="M36" s="237">
        <v>140361.26999999999</v>
      </c>
      <c r="N36" s="237">
        <v>154072.79999999999</v>
      </c>
      <c r="O36" s="237">
        <v>153195.74</v>
      </c>
      <c r="P36" s="237">
        <v>151696.81</v>
      </c>
      <c r="Q36" s="237">
        <v>170371.94</v>
      </c>
      <c r="R36" s="237">
        <v>138580.63</v>
      </c>
      <c r="S36" s="237">
        <v>139476.25</v>
      </c>
      <c r="T36" s="237">
        <v>134266.67000000001</v>
      </c>
      <c r="U36" s="235">
        <v>129921.76</v>
      </c>
      <c r="V36" s="439">
        <v>122102.11</v>
      </c>
      <c r="W36">
        <v>117647.62</v>
      </c>
      <c r="X36">
        <v>110835.78</v>
      </c>
      <c r="Y36">
        <v>124466.66</v>
      </c>
      <c r="Z36">
        <v>120885.44</v>
      </c>
      <c r="AA36">
        <v>133904.26999999999</v>
      </c>
      <c r="AB36">
        <v>145255.51</v>
      </c>
      <c r="AC36">
        <v>147425.85</v>
      </c>
      <c r="AD36">
        <v>148776.28</v>
      </c>
      <c r="AE36">
        <v>126293.14</v>
      </c>
      <c r="AF36">
        <v>127217.86</v>
      </c>
      <c r="AG36" s="417">
        <v>117010.57</v>
      </c>
      <c r="AH36" s="441">
        <v>114322.44</v>
      </c>
      <c r="AI36">
        <v>105768.3</v>
      </c>
      <c r="AJ36" s="1038">
        <v>106457.66</v>
      </c>
      <c r="AK36">
        <v>117258.83</v>
      </c>
      <c r="AL36">
        <v>108795.06</v>
      </c>
      <c r="AM36">
        <v>115032.05</v>
      </c>
      <c r="AN36">
        <v>117377.23</v>
      </c>
      <c r="AO36">
        <v>120743.27</v>
      </c>
      <c r="AR36" s="417"/>
    </row>
    <row r="37" spans="1:44" ht="14.45">
      <c r="A37" s="572" t="s">
        <v>2396</v>
      </c>
      <c r="B37" s="336" t="s">
        <v>2397</v>
      </c>
      <c r="C37" t="s">
        <v>2398</v>
      </c>
      <c r="D37" s="35" t="s">
        <v>2399</v>
      </c>
      <c r="E37" s="573" t="s">
        <v>2400</v>
      </c>
      <c r="F37" s="429">
        <f t="shared" ca="1" si="0"/>
        <v>114602.74</v>
      </c>
      <c r="G37" s="429" t="s">
        <v>74</v>
      </c>
      <c r="H37" s="574">
        <v>109255.06</v>
      </c>
      <c r="I37" s="237">
        <v>0</v>
      </c>
      <c r="J37" s="237">
        <v>92554.880000000005</v>
      </c>
      <c r="K37" s="237">
        <v>92554.880000000005</v>
      </c>
      <c r="L37" s="237">
        <v>102530.31</v>
      </c>
      <c r="M37" s="237">
        <v>112054.81</v>
      </c>
      <c r="N37" s="237">
        <v>103672.64</v>
      </c>
      <c r="O37" s="237">
        <v>110816.74</v>
      </c>
      <c r="P37" s="237">
        <v>103258.67</v>
      </c>
      <c r="Q37" s="237">
        <v>112375.77</v>
      </c>
      <c r="R37" s="237">
        <v>112122.8</v>
      </c>
      <c r="S37" s="237">
        <v>115279.29</v>
      </c>
      <c r="T37" s="237">
        <v>111715.11</v>
      </c>
      <c r="U37" s="235">
        <v>107261.07</v>
      </c>
      <c r="V37" s="439">
        <v>103253.42</v>
      </c>
      <c r="W37">
        <v>0</v>
      </c>
      <c r="X37">
        <v>202566.66</v>
      </c>
      <c r="Y37">
        <v>113705.34</v>
      </c>
      <c r="Z37">
        <v>105820.96</v>
      </c>
      <c r="AA37">
        <v>115579.66</v>
      </c>
      <c r="AB37">
        <v>108671.42</v>
      </c>
      <c r="AC37">
        <v>113879.35</v>
      </c>
      <c r="AD37">
        <v>119969.92</v>
      </c>
      <c r="AE37">
        <v>114243.75</v>
      </c>
      <c r="AF37">
        <v>116012.54</v>
      </c>
      <c r="AG37" s="417">
        <v>107857.18</v>
      </c>
      <c r="AH37" s="441">
        <v>109588.78</v>
      </c>
      <c r="AI37">
        <v>114213.88</v>
      </c>
      <c r="AJ37" s="1038">
        <v>134816.76</v>
      </c>
      <c r="AK37">
        <v>121636.8</v>
      </c>
      <c r="AL37">
        <v>112207.96</v>
      </c>
      <c r="AM37">
        <v>120440.05</v>
      </c>
      <c r="AN37">
        <v>107742.22</v>
      </c>
      <c r="AO37">
        <v>114602.74</v>
      </c>
      <c r="AR37" s="417"/>
    </row>
    <row r="38" spans="1:44" ht="14.45">
      <c r="A38" s="572" t="s">
        <v>2401</v>
      </c>
      <c r="B38" s="336" t="s">
        <v>1902</v>
      </c>
      <c r="C38" s="35" t="s">
        <v>2402</v>
      </c>
      <c r="D38" t="s">
        <v>2403</v>
      </c>
      <c r="E38" s="573" t="s">
        <v>2404</v>
      </c>
      <c r="F38" s="429">
        <f t="shared" ca="1" si="0"/>
        <v>177625.15</v>
      </c>
      <c r="G38" s="429" t="s">
        <v>74</v>
      </c>
      <c r="H38" s="574">
        <v>120871.05</v>
      </c>
      <c r="I38" s="237">
        <v>148069.9</v>
      </c>
      <c r="J38" s="237">
        <v>171322.3</v>
      </c>
      <c r="K38" s="237">
        <v>157280.47</v>
      </c>
      <c r="L38" s="237">
        <v>148665.26</v>
      </c>
      <c r="M38" s="237">
        <v>177558.31</v>
      </c>
      <c r="N38" s="237">
        <v>162539.82</v>
      </c>
      <c r="O38" s="237">
        <v>170906.62</v>
      </c>
      <c r="P38" s="237">
        <v>158346.17000000001</v>
      </c>
      <c r="Q38" s="237">
        <v>165500.10999999999</v>
      </c>
      <c r="R38" s="237">
        <v>156230.35999999999</v>
      </c>
      <c r="S38" s="237">
        <v>155471.76</v>
      </c>
      <c r="T38" s="237">
        <v>169433.73</v>
      </c>
      <c r="U38" s="235">
        <v>155483.97</v>
      </c>
      <c r="V38" s="439">
        <v>161797.23000000001</v>
      </c>
      <c r="W38">
        <v>163820.87</v>
      </c>
      <c r="X38">
        <v>149261.79999999999</v>
      </c>
      <c r="Y38">
        <v>177405.49</v>
      </c>
      <c r="Z38">
        <v>155201.03</v>
      </c>
      <c r="AA38">
        <v>167116.70000000001</v>
      </c>
      <c r="AB38">
        <v>145395.95000000001</v>
      </c>
      <c r="AC38">
        <v>169241.86</v>
      </c>
      <c r="AD38">
        <v>165493.35999999999</v>
      </c>
      <c r="AE38">
        <v>158119.60999999999</v>
      </c>
      <c r="AF38">
        <v>161432.57999999999</v>
      </c>
      <c r="AG38" s="417">
        <v>165834.07</v>
      </c>
      <c r="AH38" s="441">
        <v>170286.65</v>
      </c>
      <c r="AI38">
        <v>190152.34</v>
      </c>
      <c r="AJ38">
        <v>104174.91</v>
      </c>
      <c r="AK38">
        <v>188243.22</v>
      </c>
      <c r="AL38">
        <v>164965.60999999999</v>
      </c>
      <c r="AM38">
        <v>178831.89</v>
      </c>
      <c r="AN38">
        <v>164157.45000000001</v>
      </c>
      <c r="AO38">
        <v>177625.15</v>
      </c>
      <c r="AR38" s="417"/>
    </row>
    <row r="39" spans="1:44" ht="14.45">
      <c r="A39" s="572" t="s">
        <v>2405</v>
      </c>
      <c r="B39" s="336" t="s">
        <v>1636</v>
      </c>
      <c r="C39" s="35" t="s">
        <v>2406</v>
      </c>
      <c r="D39" t="s">
        <v>2407</v>
      </c>
      <c r="E39" s="575" t="s">
        <v>2408</v>
      </c>
      <c r="F39" s="429">
        <f t="shared" ca="1" si="0"/>
        <v>97891.520000000004</v>
      </c>
      <c r="G39" s="429" t="s">
        <v>74</v>
      </c>
      <c r="H39" s="574">
        <v>31661.96</v>
      </c>
      <c r="I39" s="237">
        <v>96189.6</v>
      </c>
      <c r="J39" s="237">
        <v>103789.84</v>
      </c>
      <c r="K39" s="237">
        <v>103789.84</v>
      </c>
      <c r="L39" s="237">
        <v>95806.79</v>
      </c>
      <c r="M39" s="237">
        <v>132080.16</v>
      </c>
      <c r="N39" s="237">
        <v>90660.44</v>
      </c>
      <c r="O39" s="237">
        <v>93635.32</v>
      </c>
      <c r="P39" s="237">
        <v>86769.64</v>
      </c>
      <c r="Q39" s="237">
        <v>88630.68</v>
      </c>
      <c r="R39" s="237">
        <v>86214.080000000002</v>
      </c>
      <c r="S39" s="237">
        <v>85264.24</v>
      </c>
      <c r="T39" s="237">
        <v>89290.96</v>
      </c>
      <c r="U39" s="235">
        <v>189378.64</v>
      </c>
      <c r="V39" s="439">
        <v>92725.24</v>
      </c>
      <c r="W39">
        <v>103243.08</v>
      </c>
      <c r="X39">
        <v>94709.8</v>
      </c>
      <c r="Y39">
        <v>105043.72</v>
      </c>
      <c r="Z39">
        <v>92026.7</v>
      </c>
      <c r="AA39">
        <v>0</v>
      </c>
      <c r="AB39">
        <v>94787.36</v>
      </c>
      <c r="AC39">
        <v>95697.64</v>
      </c>
      <c r="AD39">
        <v>0</v>
      </c>
      <c r="AE39">
        <v>92020.88</v>
      </c>
      <c r="AF39">
        <v>99877.6</v>
      </c>
      <c r="AG39" s="417">
        <v>0</v>
      </c>
      <c r="AH39" s="441">
        <v>0</v>
      </c>
      <c r="AI39">
        <v>109578.32</v>
      </c>
      <c r="AJ39" s="1038">
        <v>111133.54</v>
      </c>
      <c r="AK39">
        <v>104655.44</v>
      </c>
      <c r="AL39">
        <v>98537.36</v>
      </c>
      <c r="AM39">
        <v>99990.92</v>
      </c>
      <c r="AN39">
        <v>97478.64</v>
      </c>
      <c r="AO39">
        <v>97891.520000000004</v>
      </c>
      <c r="AR39" s="417"/>
    </row>
    <row r="40" spans="1:44" ht="14.45">
      <c r="A40" s="572" t="s">
        <v>2409</v>
      </c>
      <c r="C40" s="336" t="s">
        <v>2410</v>
      </c>
      <c r="D40" s="35"/>
      <c r="E40" t="s">
        <v>2409</v>
      </c>
      <c r="F40" s="429"/>
      <c r="G40" s="429"/>
      <c r="H40" s="574"/>
      <c r="I40" s="237"/>
      <c r="J40" s="237"/>
      <c r="K40" s="237"/>
      <c r="L40" s="237"/>
      <c r="M40" s="237"/>
      <c r="N40" s="237"/>
      <c r="O40" s="237"/>
      <c r="P40" s="237"/>
      <c r="Q40" s="237"/>
      <c r="R40" s="237"/>
      <c r="S40" s="237"/>
      <c r="U40" s="235"/>
      <c r="V40" s="439"/>
      <c r="AG40" s="417"/>
      <c r="AH40" s="441"/>
      <c r="AJ40" s="1038"/>
      <c r="AK40">
        <v>75661.929999999993</v>
      </c>
      <c r="AL40">
        <v>69271.42</v>
      </c>
      <c r="AM40">
        <v>78591.03</v>
      </c>
      <c r="AN40">
        <v>70177.149999999994</v>
      </c>
      <c r="AO40">
        <v>74002.81</v>
      </c>
      <c r="AR40" s="417"/>
    </row>
    <row r="41" spans="1:44" ht="14.45">
      <c r="A41" s="572" t="s">
        <v>2411</v>
      </c>
      <c r="C41" s="336" t="s">
        <v>2412</v>
      </c>
      <c r="D41" s="35"/>
      <c r="E41" t="s">
        <v>2411</v>
      </c>
      <c r="F41" s="429"/>
      <c r="G41" s="429"/>
      <c r="H41" s="574"/>
      <c r="I41" s="237"/>
      <c r="J41" s="237"/>
      <c r="K41" s="237"/>
      <c r="L41" s="237"/>
      <c r="M41" s="237"/>
      <c r="N41" s="237"/>
      <c r="O41" s="237"/>
      <c r="P41" s="237"/>
      <c r="Q41" s="237"/>
      <c r="R41" s="237"/>
      <c r="S41" s="237"/>
      <c r="U41" s="235"/>
      <c r="V41" s="439"/>
      <c r="AG41" s="417"/>
      <c r="AH41" s="441"/>
      <c r="AJ41" s="1038"/>
      <c r="AK41">
        <v>8304.14</v>
      </c>
      <c r="AL41">
        <v>9366.68</v>
      </c>
      <c r="AM41">
        <v>17281.66</v>
      </c>
      <c r="AN41">
        <v>39939.660000000003</v>
      </c>
      <c r="AO41">
        <v>61166.15</v>
      </c>
      <c r="AR41" s="417"/>
    </row>
    <row r="42" spans="1:44" ht="14.45">
      <c r="A42" s="572" t="s">
        <v>2413</v>
      </c>
      <c r="B42" s="336" t="s">
        <v>2414</v>
      </c>
      <c r="C42" s="35"/>
      <c r="E42" s="575" t="s">
        <v>2413</v>
      </c>
      <c r="F42" s="429"/>
      <c r="G42" s="429"/>
      <c r="H42" s="574"/>
      <c r="I42" s="237"/>
      <c r="J42" s="237"/>
      <c r="K42" s="237"/>
      <c r="L42" s="237"/>
      <c r="M42" s="237"/>
      <c r="N42" s="237"/>
      <c r="O42" s="237"/>
      <c r="P42" s="237"/>
      <c r="Q42" s="237"/>
      <c r="R42" s="237"/>
      <c r="S42" s="237"/>
      <c r="U42" s="235"/>
      <c r="V42" s="439"/>
      <c r="AG42" s="417"/>
      <c r="AH42" s="441"/>
      <c r="AJ42" s="1038"/>
      <c r="AK42">
        <v>70768.73</v>
      </c>
      <c r="AL42">
        <v>63887.91</v>
      </c>
      <c r="AM42">
        <v>82631.759999999995</v>
      </c>
      <c r="AN42">
        <v>77546.259999999995</v>
      </c>
      <c r="AO42">
        <v>85254.43</v>
      </c>
      <c r="AR42" s="417"/>
    </row>
    <row r="43" spans="1:44" ht="14.45">
      <c r="A43" s="572" t="s">
        <v>2415</v>
      </c>
      <c r="B43" s="336" t="s">
        <v>2416</v>
      </c>
      <c r="C43" t="s">
        <v>2417</v>
      </c>
      <c r="D43" s="35" t="s">
        <v>2418</v>
      </c>
      <c r="E43" s="35" t="s">
        <v>2419</v>
      </c>
      <c r="F43" s="429">
        <f t="shared" ca="1" si="0"/>
        <v>67210.36</v>
      </c>
      <c r="G43" s="429" t="s">
        <v>74</v>
      </c>
      <c r="H43" s="574">
        <v>54249.94</v>
      </c>
      <c r="I43" s="237">
        <v>18763.07</v>
      </c>
      <c r="J43" s="237">
        <v>8610.4699999999993</v>
      </c>
      <c r="K43" s="237">
        <v>8053.66</v>
      </c>
      <c r="L43" s="237">
        <v>14265.9</v>
      </c>
      <c r="M43" s="237">
        <v>34132</v>
      </c>
      <c r="N43" s="237">
        <v>39826.129999999997</v>
      </c>
      <c r="O43" s="237">
        <v>58997.02</v>
      </c>
      <c r="P43" s="237">
        <v>57326.51</v>
      </c>
      <c r="Q43" s="237">
        <v>62560.24</v>
      </c>
      <c r="R43" s="237">
        <v>62239.56</v>
      </c>
      <c r="S43" s="237">
        <v>52919.38</v>
      </c>
      <c r="T43" s="589">
        <v>50129.3</v>
      </c>
      <c r="U43" s="235">
        <v>22719.51</v>
      </c>
      <c r="V43" s="439">
        <v>10092.969999999999</v>
      </c>
      <c r="W43">
        <v>8067.39</v>
      </c>
      <c r="X43">
        <v>14094.49</v>
      </c>
      <c r="Y43">
        <v>28857.55</v>
      </c>
      <c r="Z43">
        <v>33565.97</v>
      </c>
      <c r="AA43">
        <v>50143.51</v>
      </c>
      <c r="AB43">
        <v>58936.82</v>
      </c>
      <c r="AC43">
        <v>71220.210000000006</v>
      </c>
      <c r="AD43">
        <v>63946.67</v>
      </c>
      <c r="AE43">
        <v>55712.46</v>
      </c>
      <c r="AF43">
        <v>49839.88</v>
      </c>
      <c r="AG43" s="417">
        <v>19009.47</v>
      </c>
      <c r="AH43" s="441">
        <v>10996.74</v>
      </c>
      <c r="AI43">
        <v>8473.06</v>
      </c>
      <c r="AJ43" s="1038">
        <v>15851.5</v>
      </c>
      <c r="AK43">
        <v>36809.269999999997</v>
      </c>
      <c r="AL43">
        <v>40066.04</v>
      </c>
      <c r="AM43">
        <v>55165.46</v>
      </c>
      <c r="AN43">
        <v>59856.77</v>
      </c>
      <c r="AO43">
        <v>67210.36</v>
      </c>
      <c r="AR43" s="417"/>
    </row>
    <row r="44" spans="1:44" ht="13.9" thickBot="1">
      <c r="B44" s="233"/>
      <c r="F44" s="429"/>
      <c r="G44" s="429" t="s">
        <v>74</v>
      </c>
      <c r="V44" s="452"/>
      <c r="W44" s="295"/>
      <c r="X44" s="295"/>
      <c r="Y44" s="295"/>
      <c r="Z44" s="295"/>
      <c r="AA44" s="295"/>
      <c r="AB44" s="295"/>
      <c r="AC44" s="295"/>
      <c r="AD44" s="295"/>
      <c r="AE44" s="295"/>
      <c r="AF44" s="295"/>
      <c r="AG44" s="494"/>
      <c r="AH44" s="1047"/>
      <c r="AI44" s="295"/>
      <c r="AJ44" s="295"/>
      <c r="AK44" s="683"/>
      <c r="AL44" s="683"/>
      <c r="AM44" s="683"/>
      <c r="AN44" s="683"/>
      <c r="AO44" s="683"/>
      <c r="AP44" s="295"/>
      <c r="AQ44" s="295"/>
      <c r="AR44" s="494"/>
    </row>
    <row r="45" spans="1:44">
      <c r="B45" s="240"/>
      <c r="C45" s="231"/>
      <c r="D45" s="231"/>
      <c r="E45" s="231"/>
      <c r="F45" s="429"/>
      <c r="G45" s="429" t="s">
        <v>74</v>
      </c>
      <c r="H45" s="423"/>
      <c r="I45" s="423"/>
      <c r="J45" s="423"/>
      <c r="K45" s="431"/>
      <c r="L45" s="431"/>
      <c r="M45" s="431"/>
      <c r="N45" s="431"/>
      <c r="O45" s="431"/>
      <c r="P45" s="431"/>
      <c r="Q45" s="431"/>
      <c r="R45" s="431"/>
      <c r="S45" s="431"/>
      <c r="T45" s="431"/>
      <c r="U45" s="504"/>
      <c r="V45" s="1031"/>
      <c r="W45" s="570"/>
      <c r="X45" s="570"/>
      <c r="Y45" s="570"/>
      <c r="Z45" s="570"/>
      <c r="AA45" s="570"/>
      <c r="AB45" s="570"/>
      <c r="AC45" s="570"/>
      <c r="AD45" s="570"/>
      <c r="AE45" s="570"/>
      <c r="AF45" s="570"/>
      <c r="AG45" s="570"/>
      <c r="AH45" s="570"/>
      <c r="AI45" s="570"/>
    </row>
    <row r="46" spans="1:44">
      <c r="C46" t="s">
        <v>2420</v>
      </c>
      <c r="E46" s="35" t="s">
        <v>2421</v>
      </c>
      <c r="F46" s="500">
        <f ca="1">SUM(F8:F44)</f>
        <v>3588577.9500000007</v>
      </c>
      <c r="G46" s="429" t="s">
        <v>74</v>
      </c>
      <c r="H46" s="453">
        <f t="shared" ref="H46:AI46" si="1">SUM(H8:H44)</f>
        <v>3648214.8</v>
      </c>
      <c r="I46" s="453">
        <f t="shared" si="1"/>
        <v>2821222.8099999996</v>
      </c>
      <c r="J46" s="453">
        <f t="shared" si="1"/>
        <v>2708011.86</v>
      </c>
      <c r="K46" s="453">
        <f t="shared" si="1"/>
        <v>2691085.02</v>
      </c>
      <c r="L46" s="453">
        <f t="shared" si="1"/>
        <v>2708855.8800000004</v>
      </c>
      <c r="M46" s="453">
        <f t="shared" si="1"/>
        <v>3397934.2100000004</v>
      </c>
      <c r="N46" s="453">
        <f t="shared" si="1"/>
        <v>3294163.76</v>
      </c>
      <c r="O46" s="453">
        <f t="shared" si="1"/>
        <v>3887655.05</v>
      </c>
      <c r="P46" s="453">
        <f t="shared" si="1"/>
        <v>3804518.64</v>
      </c>
      <c r="Q46" s="453">
        <f t="shared" si="1"/>
        <v>3923551.8500000006</v>
      </c>
      <c r="R46" s="453">
        <f t="shared" si="1"/>
        <v>3578280.86</v>
      </c>
      <c r="S46" s="453">
        <f t="shared" si="1"/>
        <v>3379550.0700000003</v>
      </c>
      <c r="T46" s="453">
        <f t="shared" si="1"/>
        <v>3439563.28</v>
      </c>
      <c r="U46" s="505">
        <f t="shared" si="1"/>
        <v>2936468.55</v>
      </c>
      <c r="V46" s="453">
        <f t="shared" si="1"/>
        <v>1771673.6999999997</v>
      </c>
      <c r="W46" s="571">
        <f t="shared" si="1"/>
        <v>2503161.6600000011</v>
      </c>
      <c r="X46" s="571">
        <f t="shared" si="1"/>
        <v>2622902.63</v>
      </c>
      <c r="Y46" s="571">
        <f t="shared" si="1"/>
        <v>2222943.1599999997</v>
      </c>
      <c r="Z46" s="571">
        <f t="shared" si="1"/>
        <v>3173309.0699999994</v>
      </c>
      <c r="AA46" s="571">
        <f t="shared" si="1"/>
        <v>3512578.09</v>
      </c>
      <c r="AB46" s="571">
        <f t="shared" si="1"/>
        <v>3634645.2700000005</v>
      </c>
      <c r="AC46" s="571">
        <f t="shared" si="1"/>
        <v>3810368.2800000003</v>
      </c>
      <c r="AD46" s="571">
        <f t="shared" si="1"/>
        <v>2661204.2799999993</v>
      </c>
      <c r="AE46" s="571">
        <f t="shared" si="1"/>
        <v>3517999.08</v>
      </c>
      <c r="AF46" s="571">
        <f t="shared" si="1"/>
        <v>3450836.7299999995</v>
      </c>
      <c r="AG46" s="571">
        <f t="shared" si="1"/>
        <v>2619587.4300000002</v>
      </c>
      <c r="AH46" s="571">
        <f t="shared" si="1"/>
        <v>2335104.5900000003</v>
      </c>
      <c r="AI46" s="571">
        <f t="shared" si="1"/>
        <v>2472892.4299999997</v>
      </c>
    </row>
  </sheetData>
  <sortState ref="A3:U48">
    <sortCondition ref="A8"/>
  </sortState>
  <customSheetViews>
    <customSheetView guid="{673E8A68-6A24-44BE-9F14-EEC413B6644E}" scale="150" showPageBreaks="1">
      <selection activeCell="E9" sqref="E9"/>
      <pageMargins left="0" right="0" top="0" bottom="0" header="0" footer="0"/>
      <pageSetup orientation="portrait" r:id="rId1"/>
    </customSheetView>
    <customSheetView guid="{90A42C2A-6CDA-4EAF-9471-F44CF19471E9}" topLeftCell="D1">
      <selection activeCell="K18" sqref="K18"/>
      <pageMargins left="0" right="0" top="0" bottom="0" header="0" footer="0"/>
      <pageSetup paperSize="9" orientation="portrait" verticalDpi="0" r:id="rId2"/>
    </customSheetView>
  </customSheetView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"/>
  <sheetViews>
    <sheetView topLeftCell="A16" workbookViewId="0" xr3:uid="{958C4451-9541-5A59-BF78-D2F731DF1C81}">
      <selection activeCell="J17" sqref="J17"/>
    </sheetView>
  </sheetViews>
  <sheetFormatPr defaultRowHeight="13.15"/>
  <sheetData>
    <row r="2" spans="3:3">
      <c r="C2" s="35" t="s">
        <v>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V134"/>
  <sheetViews>
    <sheetView workbookViewId="0" xr3:uid="{65FA3815-DCC1-5481-872F-D2879ED395ED}">
      <pane xSplit="4" topLeftCell="E1" activePane="topRight" state="frozen"/>
      <selection pane="topRight" activeCell="B59" sqref="B59"/>
    </sheetView>
  </sheetViews>
  <sheetFormatPr defaultRowHeight="13.15"/>
  <cols>
    <col min="2" max="2" width="58.85546875" customWidth="1"/>
    <col min="3" max="3" width="8.140625" bestFit="1" customWidth="1"/>
    <col min="4" max="4" width="7.140625" customWidth="1"/>
    <col min="5" max="5" width="16" bestFit="1" customWidth="1"/>
    <col min="6" max="6" width="11" bestFit="1" customWidth="1"/>
    <col min="7" max="7" width="6" bestFit="1" customWidth="1"/>
    <col min="8" max="8" width="5.85546875" bestFit="1" customWidth="1"/>
    <col min="9" max="9" width="6.7109375" bestFit="1" customWidth="1"/>
    <col min="11" max="11" width="9.5703125" customWidth="1"/>
    <col min="14" max="23" width="10.7109375" customWidth="1"/>
    <col min="24" max="24" width="12.7109375" customWidth="1"/>
    <col min="27" max="27" width="14.140625" customWidth="1"/>
  </cols>
  <sheetData>
    <row r="1" spans="1:48" ht="78">
      <c r="A1" s="10" t="s">
        <v>24</v>
      </c>
      <c r="B1" s="6" t="s">
        <v>25</v>
      </c>
      <c r="C1" s="29" t="s">
        <v>26</v>
      </c>
      <c r="D1" s="3"/>
      <c r="E1" s="10" t="s">
        <v>27</v>
      </c>
      <c r="F1" s="11" t="s">
        <v>28</v>
      </c>
      <c r="G1" s="11" t="s">
        <v>29</v>
      </c>
      <c r="H1" s="11" t="s">
        <v>30</v>
      </c>
      <c r="I1" s="5" t="s">
        <v>31</v>
      </c>
      <c r="J1" s="54"/>
      <c r="K1" s="521"/>
      <c r="L1" s="52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48" ht="27">
      <c r="A2" s="168" t="s">
        <v>32</v>
      </c>
      <c r="B2" s="168" t="s">
        <v>33</v>
      </c>
      <c r="C2" s="172"/>
      <c r="D2" s="168"/>
      <c r="E2" s="168"/>
      <c r="F2" s="169"/>
      <c r="G2" s="169"/>
      <c r="H2" s="170"/>
      <c r="I2" s="171"/>
      <c r="J2" s="555"/>
      <c r="K2" s="556" t="s">
        <v>34</v>
      </c>
      <c r="L2" s="557" t="s">
        <v>35</v>
      </c>
      <c r="M2" s="557" t="s">
        <v>36</v>
      </c>
      <c r="N2" s="557" t="s">
        <v>37</v>
      </c>
      <c r="O2" s="557" t="s">
        <v>38</v>
      </c>
      <c r="P2" s="557" t="s">
        <v>39</v>
      </c>
      <c r="Q2" s="557" t="s">
        <v>40</v>
      </c>
      <c r="R2" s="557" t="s">
        <v>41</v>
      </c>
      <c r="S2" s="557" t="s">
        <v>42</v>
      </c>
      <c r="T2" s="557" t="s">
        <v>43</v>
      </c>
      <c r="U2" s="557" t="s">
        <v>44</v>
      </c>
      <c r="V2" s="557" t="s">
        <v>45</v>
      </c>
      <c r="W2" s="557" t="s">
        <v>46</v>
      </c>
      <c r="X2" s="558" t="s">
        <v>47</v>
      </c>
      <c r="Y2" s="1025" t="s">
        <v>48</v>
      </c>
      <c r="Z2" s="1025" t="s">
        <v>49</v>
      </c>
      <c r="AA2" s="1025" t="s">
        <v>50</v>
      </c>
      <c r="AB2" s="1025" t="s">
        <v>51</v>
      </c>
      <c r="AC2" s="557" t="s">
        <v>52</v>
      </c>
      <c r="AD2" s="557" t="s">
        <v>53</v>
      </c>
      <c r="AE2" s="557" t="s">
        <v>54</v>
      </c>
      <c r="AF2" s="557" t="s">
        <v>55</v>
      </c>
      <c r="AG2" s="557" t="s">
        <v>56</v>
      </c>
      <c r="AH2" s="557" t="s">
        <v>57</v>
      </c>
      <c r="AI2" s="557" t="s">
        <v>58</v>
      </c>
      <c r="AJ2" s="557" t="s">
        <v>59</v>
      </c>
      <c r="AK2" s="558" t="s">
        <v>60</v>
      </c>
      <c r="AL2" s="557" t="s">
        <v>61</v>
      </c>
      <c r="AM2" s="557" t="s">
        <v>62</v>
      </c>
      <c r="AN2" s="557" t="s">
        <v>63</v>
      </c>
      <c r="AO2" s="557" t="s">
        <v>64</v>
      </c>
      <c r="AP2" s="558" t="s">
        <v>65</v>
      </c>
      <c r="AQ2" s="557" t="s">
        <v>66</v>
      </c>
      <c r="AR2" s="557" t="s">
        <v>67</v>
      </c>
      <c r="AS2" s="557" t="s">
        <v>68</v>
      </c>
      <c r="AT2" s="558" t="s">
        <v>69</v>
      </c>
      <c r="AU2" s="557" t="s">
        <v>70</v>
      </c>
      <c r="AV2" s="557" t="s">
        <v>71</v>
      </c>
    </row>
    <row r="3" spans="1:48" ht="15.6">
      <c r="A3" s="5" t="s">
        <v>72</v>
      </c>
      <c r="B3" s="5" t="s">
        <v>73</v>
      </c>
      <c r="C3" s="535">
        <f ca="1">OFFSET(J3,0,COUNT(K3:AT3))</f>
        <v>56774.28</v>
      </c>
      <c r="D3" s="55" t="s">
        <v>74</v>
      </c>
      <c r="E3" s="7" t="s">
        <v>75</v>
      </c>
      <c r="F3" s="26" t="s">
        <v>76</v>
      </c>
      <c r="G3" s="3" t="s">
        <v>77</v>
      </c>
      <c r="H3" s="8"/>
      <c r="I3" s="5"/>
      <c r="J3" s="518" t="s">
        <v>78</v>
      </c>
      <c r="K3">
        <v>0</v>
      </c>
      <c r="L3">
        <v>0</v>
      </c>
      <c r="M3">
        <f>IF(ISNUMBER('Janitza data '!C438),('Janitza data '!C438+'Janitza data '!C439)," ")</f>
        <v>39964</v>
      </c>
      <c r="N3">
        <f>IF(ISNUMBER('Janitza data '!D438),('Janitza data '!D438+'Janitza data '!D439)," ")</f>
        <v>41687</v>
      </c>
      <c r="O3">
        <f>IF(ISNUMBER('Janitza data '!E438),('Janitza data '!E438+'Janitza data '!E439)," ")</f>
        <v>47467</v>
      </c>
      <c r="P3">
        <f>IF(ISNUMBER('Janitza data '!F438),('Janitza data '!F438+'Janitza data '!F439)," ")</f>
        <v>53157</v>
      </c>
      <c r="Q3">
        <f>IF(ISNUMBER('Janitza data '!G438),('Janitza data '!G438+'Janitza data '!G439)," ")</f>
        <v>68270</v>
      </c>
      <c r="R3">
        <f>IF(ISNUMBER('Janitza data '!H438),('Janitza data '!H438+'Janitza data '!H439)," ")</f>
        <v>80465</v>
      </c>
      <c r="S3">
        <f>IF(ISNUMBER('Janitza data '!I438),('Janitza data '!I438+'Janitza data '!I439)," ")</f>
        <v>86421</v>
      </c>
      <c r="T3">
        <f>IF(ISNUMBER('Janitza data '!J438),('Janitza data '!J438+'Janitza data '!J439)," ")</f>
        <v>80545</v>
      </c>
      <c r="U3">
        <f>IF(ISNUMBER('Janitza data '!K438),('Janitza data '!K438+'Janitza data '!K439)," ")</f>
        <v>70996</v>
      </c>
      <c r="V3">
        <f>IF(ISNUMBER('Janitza data '!L438),('Janitza data '!L438+'Janitza data '!L439)," ")</f>
        <v>66455.294921875</v>
      </c>
      <c r="W3">
        <f>IF(ISNUMBER('Janitza data '!M438),('Janitza data '!M438+'Janitza data '!M439)," ")</f>
        <v>52309.888671875</v>
      </c>
      <c r="X3">
        <f>IF(ISNUMBER('Janitza data '!N438),('Janitza data '!N438+'Janitza data '!N439)," ")</f>
        <v>50002.69</v>
      </c>
      <c r="Y3">
        <f>IF(ISNUMBER('Janitza data '!O438),('Janitza data '!O438+'Janitza data '!O439)," ")</f>
        <v>47023.62</v>
      </c>
      <c r="Z3">
        <f>IF(ISNUMBER('Janitza data '!P438),('Janitza data '!P438+'Janitza data '!P439)," ")</f>
        <v>48826.62</v>
      </c>
      <c r="AA3">
        <f>IF(ISNUMBER('Janitza data '!Q438),('Janitza data '!Q438+'Janitza data '!Q439)," ")</f>
        <v>61191.55</v>
      </c>
      <c r="AB3">
        <f>IF(ISNUMBER('Janitza data '!R438),('Janitza data '!R438+'Janitza data '!R439)," ")</f>
        <v>57878.53</v>
      </c>
      <c r="AC3">
        <f>IF(ISNUMBER('Janitza data '!S438),('Janitza data '!S438+'Janitza data '!S439)," ")</f>
        <v>71895.16</v>
      </c>
      <c r="AD3">
        <f>IF(ISNUMBER('Janitza data '!T438),('Janitza data '!T438+'Janitza data '!T439)," ")</f>
        <v>78622.720000000001</v>
      </c>
      <c r="AE3">
        <f>IF(ISNUMBER('Janitza data '!U438),('Janitza data '!U438+'Janitza data '!U439)," ")</f>
        <v>82211.199999999997</v>
      </c>
      <c r="AF3">
        <f>IF(ISNUMBER('Janitza data '!V438),('Janitza data '!V438+'Janitza data '!V439)," ")</f>
        <v>86156.29</v>
      </c>
      <c r="AG3">
        <f>IF(ISNUMBER('Janitza data '!W438),('Janitza data '!W438+'Janitza data '!W439)," ")</f>
        <v>70026.880000000005</v>
      </c>
      <c r="AH3">
        <f>IF(ISNUMBER('Janitza data '!X438),('Janitza data '!X438+'Janitza data '!X439)," ")</f>
        <v>66868.61</v>
      </c>
      <c r="AI3">
        <f>IF(ISNUMBER('Janitza data '!Y438),('Janitza data '!Y438+'Janitza data '!Y439)," ")</f>
        <v>61309.570000000007</v>
      </c>
      <c r="AJ3">
        <f>IF(ISNUMBER('Janitza data '!Z438),('Janitza data '!Z438+'Janitza data '!Z439)," ")</f>
        <v>51813.64</v>
      </c>
      <c r="AK3">
        <f>IF(ISNUMBER('Janitza data '!AA438),('Janitza data '!AA438+'Janitza data '!AA439)," ")</f>
        <v>51481.73</v>
      </c>
      <c r="AL3">
        <f>IF(ISNUMBER('Janitza data '!AB438),('Janitza data '!AB438+'Janitza data '!AB439)," ")</f>
        <v>51710.979999999996</v>
      </c>
      <c r="AM3">
        <f>IF(ISNUMBER('Janitza data '!AC438),('Janitza data '!AC438+'Janitza data '!AC439)," ")</f>
        <v>61824.51</v>
      </c>
      <c r="AN3">
        <f>IF(ISNUMBER('Janitza data '!AD438),('Janitza data '!AD438+'Janitza data '!AD439)," ")</f>
        <v>65313.020000000004</v>
      </c>
      <c r="AO3">
        <f>IF(ISNUMBER('Janitza data '!AE438),('Janitza data '!AE438+'Janitza data '!AE439)," ")</f>
        <v>86590.720000000001</v>
      </c>
      <c r="AP3">
        <f>IF(ISNUMBER('Janitza data '!AF438),('Janitza data '!AF438+'Janitza data '!AF439)," ")</f>
        <v>76972.929999999993</v>
      </c>
      <c r="AQ3">
        <f>IF(ISNUMBER('Janitza data '!AG438),('Janitza data '!AG438+'Janitza data '!AG439)," ")</f>
        <v>87826.94</v>
      </c>
      <c r="AR3">
        <f>IF(ISNUMBER('Janitza data '!AH438),('Janitza data '!AH438+'Janitza data '!AH439)," ")</f>
        <v>82758.39</v>
      </c>
      <c r="AS3">
        <f>IF(ISNUMBER('Janitza data '!AI438),('Janitza data '!AI438+'Janitza data '!AI439)," ")</f>
        <v>69790.850000000006</v>
      </c>
      <c r="AT3">
        <f>IF(ISNUMBER('Janitza data '!AJ438),('Janitza data '!AJ438+'Janitza data '!AJ439)," ")</f>
        <v>56774.28</v>
      </c>
      <c r="AU3" t="str">
        <f>IF(ISNUMBER('Janitza data '!AK438),('Janitza data '!AK438+'Janitza data '!AK439)," ")</f>
        <v xml:space="preserve"> </v>
      </c>
      <c r="AV3" t="str">
        <f>IF(ISNUMBER('Janitza data '!AL438),('Janitza data '!AL438+'Janitza data '!AL439)," ")</f>
        <v xml:space="preserve"> </v>
      </c>
    </row>
    <row r="4" spans="1:48" ht="15.6">
      <c r="A4" s="201" t="s">
        <v>72</v>
      </c>
      <c r="B4" s="201"/>
      <c r="C4" s="552"/>
      <c r="D4" s="528"/>
      <c r="E4" s="529"/>
      <c r="F4" s="202"/>
      <c r="G4" s="202"/>
      <c r="H4" s="202"/>
      <c r="I4" s="201"/>
      <c r="J4" s="553"/>
      <c r="K4" s="530"/>
      <c r="L4" s="531"/>
      <c r="M4" s="531"/>
      <c r="N4" s="531"/>
      <c r="O4" s="531"/>
      <c r="P4" s="531"/>
      <c r="Q4" s="531"/>
      <c r="R4" s="531"/>
      <c r="S4" s="531"/>
      <c r="T4" s="531"/>
      <c r="U4" s="531"/>
      <c r="V4" s="531"/>
      <c r="W4" s="531"/>
      <c r="X4" s="532"/>
      <c r="Y4" s="531"/>
      <c r="Z4" s="531"/>
      <c r="AA4" s="531"/>
      <c r="AB4" s="531"/>
      <c r="AC4" s="531"/>
      <c r="AD4" s="531"/>
    </row>
    <row r="5" spans="1:48" ht="15.6">
      <c r="A5" s="533" t="s">
        <v>72</v>
      </c>
      <c r="B5" s="539" t="s">
        <v>79</v>
      </c>
      <c r="C5" s="535">
        <f ca="1">OFFSET(J5,0,COUNT(K5:AT5))</f>
        <v>3788.54</v>
      </c>
      <c r="D5" s="536" t="s">
        <v>74</v>
      </c>
      <c r="E5" s="537" t="s">
        <v>80</v>
      </c>
      <c r="F5" s="538" t="s">
        <v>81</v>
      </c>
      <c r="G5" s="538" t="s">
        <v>82</v>
      </c>
      <c r="H5" s="538" t="s">
        <v>83</v>
      </c>
      <c r="I5" s="539" t="s">
        <v>84</v>
      </c>
      <c r="J5" s="554" t="s">
        <v>85</v>
      </c>
      <c r="K5" s="541">
        <v>13860</v>
      </c>
      <c r="L5" s="542">
        <v>8019</v>
      </c>
      <c r="M5" s="542">
        <v>7946</v>
      </c>
      <c r="N5" s="542">
        <v>8357</v>
      </c>
      <c r="O5" s="542">
        <v>10614</v>
      </c>
      <c r="P5" s="542">
        <v>11977</v>
      </c>
      <c r="Q5" s="542">
        <v>14653</v>
      </c>
      <c r="R5" s="542">
        <v>17434</v>
      </c>
      <c r="S5" s="542">
        <v>17580</v>
      </c>
      <c r="T5" s="542">
        <v>17121</v>
      </c>
      <c r="U5" s="542">
        <v>15356</v>
      </c>
      <c r="V5" s="542">
        <v>14599</v>
      </c>
      <c r="W5" s="542">
        <v>10133.5</v>
      </c>
      <c r="X5" s="543">
        <v>9819.65</v>
      </c>
      <c r="Y5" s="542">
        <f>IF(ISNUMBER('Janitza data '!O437),('Janitza data '!O437)," ")</f>
        <v>8410.5</v>
      </c>
      <c r="Z5" s="542">
        <f>IF(ISNUMBER('Janitza data '!P437),('Janitza data '!P437)," ")</f>
        <v>8594.94</v>
      </c>
      <c r="AA5" s="542">
        <f>IF(ISNUMBER('Janitza data '!Q437),('Janitza data '!Q437)," ")</f>
        <v>11288.83</v>
      </c>
      <c r="AB5" s="542">
        <f>IF(ISNUMBER('Janitza data '!R437),('Janitza data '!R437)," ")</f>
        <v>11245.18</v>
      </c>
      <c r="AC5" s="542">
        <f>IF(ISNUMBER('Janitza data '!S437),('Janitza data '!S437)," ")</f>
        <v>14181.12</v>
      </c>
      <c r="AD5" s="542">
        <f>IF(ISNUMBER('Janitza data '!T437),('Janitza data '!T437)," ")</f>
        <v>15785.47</v>
      </c>
      <c r="AE5" s="542">
        <f>IF(ISNUMBER('Janitza data '!U437),('Janitza data '!U437)," ")</f>
        <v>16043.01</v>
      </c>
      <c r="AF5" s="542">
        <f>IF(ISNUMBER('Janitza data '!V437),('Janitza data '!V437)," ")</f>
        <v>17565.310000000001</v>
      </c>
      <c r="AG5" s="542">
        <f>IF(ISNUMBER('Janitza data '!W437),('Janitza data '!W437)," ")</f>
        <v>13345.92</v>
      </c>
      <c r="AH5" s="542">
        <f>IF(ISNUMBER('Janitza data '!X437),('Janitza data '!X437)," ")</f>
        <v>12423.55</v>
      </c>
      <c r="AI5" s="542">
        <f>IF(ISNUMBER('Janitza data '!Y437),('Janitza data '!Y437)," ")</f>
        <v>12034.18</v>
      </c>
      <c r="AJ5" s="542">
        <f>IF(ISNUMBER('Janitza data '!Z437),('Janitza data '!Z437)," ")</f>
        <v>9629.18</v>
      </c>
      <c r="AK5" s="542">
        <f>IF(ISNUMBER('Janitza data '!AA437),('Janitza data '!AA437)," ")</f>
        <v>9220.35</v>
      </c>
      <c r="AL5" s="542">
        <f>IF(ISNUMBER('Janitza data '!AB437),('Janitza data '!AB437)," ")</f>
        <v>8872.58</v>
      </c>
      <c r="AM5" s="542">
        <f>IF(ISNUMBER('Janitza data '!AC437),('Janitza data '!AC437)," ")</f>
        <v>11648.26</v>
      </c>
      <c r="AN5" s="542">
        <f>IF(ISNUMBER('Janitza data '!AD437),('Janitza data '!AD437)," ")</f>
        <v>12301.18</v>
      </c>
      <c r="AO5" s="542">
        <f>IF(ISNUMBER('Janitza data '!AE437),('Janitza data '!AE437)," ")</f>
        <v>16811.650000000001</v>
      </c>
      <c r="AP5" s="542">
        <f>IF(ISNUMBER('Janitza data '!AF437),('Janitza data '!AF437)," ")</f>
        <v>14540.93</v>
      </c>
      <c r="AQ5" s="542">
        <f>IF(ISNUMBER('Janitza data '!AG437),('Janitza data '!AG437)," ")</f>
        <v>16921.22</v>
      </c>
      <c r="AR5" s="542">
        <f>IF(ISNUMBER('Janitza data '!AH437),('Janitza data '!AH437)," ")</f>
        <v>15273.6</v>
      </c>
      <c r="AS5" s="542">
        <f>IF(ISNUMBER('Janitza data '!AI437),('Janitza data '!AI437)," ")</f>
        <v>13909.12</v>
      </c>
      <c r="AT5" s="542">
        <f>IF(ISNUMBER('Janitza data '!AJ437),('Janitza data '!AJ437)," ")</f>
        <v>3788.54</v>
      </c>
      <c r="AU5" s="542" t="str">
        <f>IF(ISNUMBER('Janitza data '!AK437),('Janitza data '!AK437)," ")</f>
        <v xml:space="preserve"> </v>
      </c>
      <c r="AV5" s="542" t="str">
        <f>IF(ISNUMBER('Janitza data '!AL437),('Janitza data '!AL437)," ")</f>
        <v xml:space="preserve"> </v>
      </c>
    </row>
    <row r="6" spans="1:48" ht="15.6">
      <c r="A6" s="544" t="s">
        <v>72</v>
      </c>
      <c r="B6" s="6" t="s">
        <v>86</v>
      </c>
      <c r="C6" s="535">
        <f t="shared" ref="C6:C44" ca="1" si="0">OFFSET(J6,0,COUNT(K6:AT6))</f>
        <v>1701.5</v>
      </c>
      <c r="D6" s="55" t="s">
        <v>74</v>
      </c>
      <c r="E6" s="7" t="s">
        <v>80</v>
      </c>
      <c r="F6" s="8" t="s">
        <v>87</v>
      </c>
      <c r="G6" s="8" t="s">
        <v>82</v>
      </c>
      <c r="H6" s="8" t="s">
        <v>88</v>
      </c>
      <c r="I6" s="5" t="s">
        <v>84</v>
      </c>
      <c r="J6" s="519" t="s">
        <v>89</v>
      </c>
      <c r="K6" s="522">
        <v>5112</v>
      </c>
      <c r="L6" s="54">
        <v>4758</v>
      </c>
      <c r="M6" s="54">
        <v>4805</v>
      </c>
      <c r="N6" s="54">
        <v>4295</v>
      </c>
      <c r="O6" s="54">
        <v>5167</v>
      </c>
      <c r="P6" s="54">
        <v>5049</v>
      </c>
      <c r="Q6" s="54">
        <v>5890</v>
      </c>
      <c r="R6" s="54">
        <v>6767</v>
      </c>
      <c r="S6" s="54">
        <v>7438</v>
      </c>
      <c r="T6" s="54">
        <v>6717</v>
      </c>
      <c r="U6" s="54">
        <v>6213</v>
      </c>
      <c r="V6" s="54">
        <v>6012</v>
      </c>
      <c r="W6" s="54">
        <v>5348.1</v>
      </c>
      <c r="X6" s="523">
        <v>4575.68</v>
      </c>
      <c r="Y6" s="1028">
        <f>'Janitza data '!O443</f>
        <v>5002.82</v>
      </c>
      <c r="Z6" s="54">
        <f>IF(ISNUMBER('Janitza data '!P443),('Janitza data '!P443)," ")</f>
        <v>4882.82</v>
      </c>
      <c r="AA6" s="54">
        <f>IF(ISNUMBER('Janitza data '!Q443),('Janitza data '!Q443)," ")</f>
        <v>5205.25</v>
      </c>
      <c r="AB6" s="54">
        <f>IF(ISNUMBER('Janitza data '!R443),('Janitza data '!R443)," ")</f>
        <v>5136.0600000000004</v>
      </c>
      <c r="AC6" s="54">
        <f>IF(ISNUMBER('Janitza data '!S443),('Janitza data '!S443)," ")</f>
        <v>6079.71</v>
      </c>
      <c r="AD6" s="54">
        <f>IF(ISNUMBER('Janitza data '!T443),('Janitza data '!T443)," ")</f>
        <v>6001.15</v>
      </c>
      <c r="AE6" s="54">
        <f>IF(ISNUMBER('Janitza data '!U443),('Janitza data '!U443)," ")</f>
        <v>6016.29</v>
      </c>
      <c r="AF6" s="54">
        <f>IF(ISNUMBER('Janitza data '!V443),('Janitza data '!V443)," ")</f>
        <v>6187.42</v>
      </c>
      <c r="AG6" s="54">
        <f>IF(ISNUMBER('Janitza data '!W443),('Janitza data '!W443)," ")</f>
        <v>5554.11</v>
      </c>
      <c r="AH6" s="54">
        <f>IF(ISNUMBER('Janitza data '!X443),('Janitza data '!X443)," ")</f>
        <v>5654.37</v>
      </c>
      <c r="AI6" s="54">
        <f>IF(ISNUMBER('Janitza data '!Y443),('Janitza data '!Y443)," ")</f>
        <v>5251.68</v>
      </c>
      <c r="AJ6" s="54">
        <f>IF(ISNUMBER('Janitza data '!Z443),('Janitza data '!Z443)," ")</f>
        <v>4650.9399999999996</v>
      </c>
      <c r="AK6" s="54">
        <f>IF(ISNUMBER('Janitza data '!AA443),('Janitza data '!AA443)," ")</f>
        <v>5169.66</v>
      </c>
      <c r="AL6" s="54">
        <f>IF(ISNUMBER('Janitza data '!AB443),('Janitza data '!AB443)," ")</f>
        <v>4846.2700000000004</v>
      </c>
      <c r="AM6" s="54">
        <f>IF(ISNUMBER('Janitza data '!AC443),('Janitza data '!AC443)," ")</f>
        <v>5120.96</v>
      </c>
      <c r="AN6" s="54">
        <f>IF(ISNUMBER('Janitza data '!AD443),('Janitza data '!AD443)," ")</f>
        <v>5039.1000000000004</v>
      </c>
      <c r="AO6" s="54">
        <f>IF(ISNUMBER('Janitza data '!AE443),('Janitza data '!AE443)," ")</f>
        <v>6679.74</v>
      </c>
      <c r="AP6" s="54">
        <f>IF(ISNUMBER('Janitza data '!AF443),('Janitza data '!AF443)," ")</f>
        <v>5879.04</v>
      </c>
      <c r="AQ6" s="54">
        <f>IF(ISNUMBER('Janitza data '!AG443),('Janitza data '!AG443)," ")</f>
        <v>6769.02</v>
      </c>
      <c r="AR6" s="54">
        <f>IF(ISNUMBER('Janitza data '!AH443),('Janitza data '!AH443)," ")</f>
        <v>6441.22</v>
      </c>
      <c r="AS6" s="54">
        <f>IF(ISNUMBER('Janitza data '!AI443),('Janitza data '!AI443)," ")</f>
        <v>5435.2</v>
      </c>
      <c r="AT6" s="54">
        <f>IF(ISNUMBER('Janitza data '!AJ443),('Janitza data '!AJ443)," ")</f>
        <v>1701.5</v>
      </c>
      <c r="AU6" s="54" t="str">
        <f>IF(ISNUMBER('Janitza data '!AK443),('Janitza data '!AK443)," ")</f>
        <v xml:space="preserve"> </v>
      </c>
      <c r="AV6" s="54" t="str">
        <f>IF(ISNUMBER('Janitza data '!AL443),('Janitza data '!AL443)," ")</f>
        <v xml:space="preserve"> </v>
      </c>
    </row>
    <row r="7" spans="1:48" ht="15.6">
      <c r="A7" s="544" t="s">
        <v>72</v>
      </c>
      <c r="B7" s="5" t="s">
        <v>90</v>
      </c>
      <c r="C7" s="535">
        <f t="shared" ca="1" si="0"/>
        <v>511.58</v>
      </c>
      <c r="D7" s="55" t="s">
        <v>74</v>
      </c>
      <c r="E7" s="7" t="s">
        <v>80</v>
      </c>
      <c r="F7" s="8" t="s">
        <v>91</v>
      </c>
      <c r="G7" s="8" t="s">
        <v>82</v>
      </c>
      <c r="H7" s="8" t="s">
        <v>92</v>
      </c>
      <c r="I7" s="5" t="s">
        <v>84</v>
      </c>
      <c r="J7" s="519" t="s">
        <v>93</v>
      </c>
      <c r="K7" s="522">
        <v>466</v>
      </c>
      <c r="L7" s="54">
        <v>376</v>
      </c>
      <c r="M7" s="54">
        <v>464</v>
      </c>
      <c r="N7" s="54">
        <v>820</v>
      </c>
      <c r="O7" s="54">
        <v>596</v>
      </c>
      <c r="P7" s="54">
        <v>669</v>
      </c>
      <c r="Q7" s="54">
        <v>852</v>
      </c>
      <c r="R7" s="54">
        <v>1277</v>
      </c>
      <c r="S7" s="54">
        <v>1341</v>
      </c>
      <c r="T7" s="54">
        <v>1427</v>
      </c>
      <c r="U7" s="54">
        <v>1388</v>
      </c>
      <c r="V7" s="54">
        <v>1085</v>
      </c>
      <c r="W7" s="54">
        <v>962.54</v>
      </c>
      <c r="X7" s="523">
        <v>1280.18</v>
      </c>
      <c r="Y7" s="54">
        <f>'Janitza data '!O446</f>
        <v>1418.54</v>
      </c>
      <c r="Z7" s="54">
        <f>IF(ISNUMBER('Janitza data '!P446),('Janitza data '!P446)," ")</f>
        <v>1532.54</v>
      </c>
      <c r="AA7" s="54">
        <f>IF(ISNUMBER('Janitza data '!Q446),('Janitza data '!Q446)," ")</f>
        <v>1121.6500000000001</v>
      </c>
      <c r="AB7" s="54">
        <f>IF(ISNUMBER('Janitza data '!R446),('Janitza data '!R446)," ")</f>
        <v>808.1</v>
      </c>
      <c r="AC7" s="54">
        <f>IF(ISNUMBER('Janitza data '!S446),('Janitza data '!S446)," ")</f>
        <v>875.26</v>
      </c>
      <c r="AD7" s="54">
        <f>IF(ISNUMBER('Janitza data '!T446),('Janitza data '!T446)," ")</f>
        <v>1058.94</v>
      </c>
      <c r="AE7" s="54">
        <f>IF(ISNUMBER('Janitza data '!U446),('Janitza data '!U446)," ")</f>
        <v>3063.52</v>
      </c>
      <c r="AF7" s="54">
        <f>IF(ISNUMBER('Janitza data '!V446),('Janitza data '!V446)," ")</f>
        <v>3007.3</v>
      </c>
      <c r="AG7" s="54">
        <f>IF(ISNUMBER('Janitza data '!W446),('Janitza data '!W446)," ")</f>
        <v>2921.94</v>
      </c>
      <c r="AH7" s="54">
        <f>IF(ISNUMBER('Janitza data '!X446),('Janitza data '!X446)," ")</f>
        <v>2765.62</v>
      </c>
      <c r="AI7" s="54">
        <f>IF(ISNUMBER('Janitza data '!Y446),('Janitza data '!Y446)," ")</f>
        <v>2586.4299999999998</v>
      </c>
      <c r="AJ7" s="54">
        <f>IF(ISNUMBER('Janitza data '!Z446),('Janitza data '!Z446)," ")</f>
        <v>2439.3000000000002</v>
      </c>
      <c r="AK7" s="54">
        <f>IF(ISNUMBER('Janitza data '!AA446),('Janitza data '!AA446)," ")</f>
        <v>2237.12</v>
      </c>
      <c r="AL7" s="54">
        <f>IF(ISNUMBER('Janitza data '!AB446),('Janitza data '!AB446)," ")</f>
        <v>2104.8000000000002</v>
      </c>
      <c r="AM7" s="54">
        <f>IF(ISNUMBER('Janitza data '!AC446),('Janitza data '!AC446)," ")</f>
        <v>2236.62</v>
      </c>
      <c r="AN7" s="54">
        <f>IF(ISNUMBER('Janitza data '!AD446),('Janitza data '!AD446)," ")</f>
        <v>2225.73</v>
      </c>
      <c r="AO7" s="54">
        <f>IF(ISNUMBER('Janitza data '!AE446),('Janitza data '!AE446)," ")</f>
        <v>3018.67</v>
      </c>
      <c r="AP7" s="54">
        <f>IF(ISNUMBER('Janitza data '!AF446),('Janitza data '!AF446)," ")</f>
        <v>2791.54</v>
      </c>
      <c r="AQ7" s="54">
        <f>IF(ISNUMBER('Janitza data '!AG446),('Janitza data '!AG446)," ")</f>
        <v>2538.34</v>
      </c>
      <c r="AR7" s="54">
        <f>IF(ISNUMBER('Janitza data '!AH446),('Janitza data '!AH446)," ")</f>
        <v>2747.06</v>
      </c>
      <c r="AS7" s="54">
        <f>IF(ISNUMBER('Janitza data '!AI446),('Janitza data '!AI446)," ")</f>
        <v>2396.6999999999998</v>
      </c>
      <c r="AT7" s="54">
        <f>IF(ISNUMBER('Janitza data '!AJ446),('Janitza data '!AJ446)," ")</f>
        <v>511.58</v>
      </c>
      <c r="AU7" s="54" t="str">
        <f>IF(ISNUMBER('Janitza data '!AK446),('Janitza data '!AK446)," ")</f>
        <v xml:space="preserve"> </v>
      </c>
      <c r="AV7" s="54" t="str">
        <f>IF(ISNUMBER('Janitza data '!AL446),('Janitza data '!AL446)," ")</f>
        <v xml:space="preserve"> </v>
      </c>
    </row>
    <row r="8" spans="1:48" ht="15.6">
      <c r="A8" s="544" t="s">
        <v>72</v>
      </c>
      <c r="B8" s="5" t="s">
        <v>94</v>
      </c>
      <c r="C8" s="535">
        <f t="shared" ca="1" si="0"/>
        <v>301.14</v>
      </c>
      <c r="D8" s="55" t="s">
        <v>74</v>
      </c>
      <c r="E8" s="7" t="s">
        <v>80</v>
      </c>
      <c r="F8" s="8" t="s">
        <v>95</v>
      </c>
      <c r="G8" s="8" t="s">
        <v>82</v>
      </c>
      <c r="H8" s="8" t="s">
        <v>92</v>
      </c>
      <c r="I8" s="5" t="s">
        <v>84</v>
      </c>
      <c r="J8" s="519" t="s">
        <v>96</v>
      </c>
      <c r="K8" s="522">
        <v>1561</v>
      </c>
      <c r="L8" s="54">
        <v>1604</v>
      </c>
      <c r="M8" s="54">
        <v>1622</v>
      </c>
      <c r="N8" s="54">
        <v>1474</v>
      </c>
      <c r="O8" s="54">
        <v>1754</v>
      </c>
      <c r="P8" s="54">
        <v>1506</v>
      </c>
      <c r="Q8" s="54">
        <v>1504</v>
      </c>
      <c r="R8" s="54">
        <v>1570</v>
      </c>
      <c r="S8" s="54">
        <v>1508</v>
      </c>
      <c r="T8" s="54">
        <v>1457</v>
      </c>
      <c r="U8" s="54">
        <v>969</v>
      </c>
      <c r="V8" s="54">
        <v>1208</v>
      </c>
      <c r="W8" s="54">
        <v>1532.67</v>
      </c>
      <c r="X8" s="523">
        <v>1428.77</v>
      </c>
      <c r="Y8" s="54">
        <f>'Janitza data '!O447</f>
        <v>1591.85</v>
      </c>
      <c r="Z8" s="54">
        <f>IF(ISNUMBER('Janitza data '!P447),('Janitza data '!P447)," ")</f>
        <v>1448.17</v>
      </c>
      <c r="AA8" s="54">
        <f>IF(ISNUMBER('Janitza data '!Q447),('Janitza data '!Q447)," ")</f>
        <v>1386.61</v>
      </c>
      <c r="AB8" s="54">
        <f>IF(ISNUMBER('Janitza data '!R447),('Janitza data '!R447)," ")</f>
        <v>1267.9100000000001</v>
      </c>
      <c r="AC8" s="54">
        <f>IF(ISNUMBER('Janitza data '!S447),('Janitza data '!S447)," ")</f>
        <v>1285.99</v>
      </c>
      <c r="AD8" s="54">
        <f>IF(ISNUMBER('Janitza data '!T447),('Janitza data '!T447)," ")</f>
        <v>1065.99</v>
      </c>
      <c r="AE8" s="54">
        <f>IF(ISNUMBER('Janitza data '!U447),('Janitza data '!U447)," ")</f>
        <v>918.86</v>
      </c>
      <c r="AF8" s="54">
        <f>IF(ISNUMBER('Janitza data '!V447),('Janitza data '!V447)," ")</f>
        <v>818.86</v>
      </c>
      <c r="AG8" s="54">
        <f>IF(ISNUMBER('Janitza data '!W447),('Janitza data '!W447)," ")</f>
        <v>853.46</v>
      </c>
      <c r="AH8" s="54">
        <f>IF(ISNUMBER('Janitza data '!X447),('Janitza data '!X447)," ")</f>
        <v>930.96</v>
      </c>
      <c r="AI8" s="54">
        <f>IF(ISNUMBER('Janitza data '!Y447),('Janitza data '!Y447)," ")</f>
        <v>1235.33</v>
      </c>
      <c r="AJ8" s="54">
        <f>IF(ISNUMBER('Janitza data '!Z447),('Janitza data '!Z447)," ")</f>
        <v>1304.3800000000001</v>
      </c>
      <c r="AK8" s="54">
        <f>IF(ISNUMBER('Janitza data '!AA447),('Janitza data '!AA447)," ")</f>
        <v>1381.12</v>
      </c>
      <c r="AL8" s="54">
        <f>IF(ISNUMBER('Janitza data '!AB447),('Janitza data '!AB447)," ")</f>
        <v>1266.3399999999999</v>
      </c>
      <c r="AM8" s="54">
        <f>IF(ISNUMBER('Janitza data '!AC447),('Janitza data '!AC447)," ")</f>
        <v>1207.57</v>
      </c>
      <c r="AN8" s="54">
        <f>IF(ISNUMBER('Janitza data '!AD447),('Janitza data '!AD447)," ")</f>
        <v>1213.28</v>
      </c>
      <c r="AO8" s="54">
        <f>IF(ISNUMBER('Janitza data '!AE447),('Janitza data '!AE447)," ")</f>
        <v>1524.1</v>
      </c>
      <c r="AP8" s="54">
        <f>IF(ISNUMBER('Janitza data '!AF447),('Janitza data '!AF447)," ")</f>
        <v>1020.08</v>
      </c>
      <c r="AQ8" s="54">
        <f>IF(ISNUMBER('Janitza data '!AG447),('Janitza data '!AG447)," ")</f>
        <v>1116.26</v>
      </c>
      <c r="AR8" s="54">
        <f>IF(ISNUMBER('Janitza data '!AH447),('Janitza data '!AH447)," ")</f>
        <v>1086.56</v>
      </c>
      <c r="AS8" s="54">
        <f>IF(ISNUMBER('Janitza data '!AI447),('Janitza data '!AI447)," ")</f>
        <v>1098.32</v>
      </c>
      <c r="AT8" s="54">
        <f>IF(ISNUMBER('Janitza data '!AJ447),('Janitza data '!AJ447)," ")</f>
        <v>301.14</v>
      </c>
      <c r="AU8" s="54" t="str">
        <f>IF(ISNUMBER('Janitza data '!AK447),('Janitza data '!AK447)," ")</f>
        <v xml:space="preserve"> </v>
      </c>
      <c r="AV8" s="54" t="str">
        <f>IF(ISNUMBER('Janitza data '!AL447),('Janitza data '!AL447)," ")</f>
        <v xml:space="preserve"> </v>
      </c>
    </row>
    <row r="9" spans="1:48" ht="15.6">
      <c r="A9" s="544" t="s">
        <v>72</v>
      </c>
      <c r="B9" s="5" t="s">
        <v>97</v>
      </c>
      <c r="C9" s="535">
        <f t="shared" ca="1" si="0"/>
        <v>1409.79</v>
      </c>
      <c r="D9" s="55" t="s">
        <v>74</v>
      </c>
      <c r="E9" s="7" t="s">
        <v>80</v>
      </c>
      <c r="F9" s="8" t="s">
        <v>98</v>
      </c>
      <c r="G9" s="8" t="s">
        <v>82</v>
      </c>
      <c r="H9" s="8" t="s">
        <v>92</v>
      </c>
      <c r="I9" s="5" t="s">
        <v>84</v>
      </c>
      <c r="J9" s="519" t="s">
        <v>99</v>
      </c>
      <c r="K9" s="522">
        <v>6090</v>
      </c>
      <c r="L9" s="54">
        <v>6552</v>
      </c>
      <c r="M9" s="54">
        <v>6795</v>
      </c>
      <c r="N9" s="54">
        <v>5537</v>
      </c>
      <c r="O9" s="54">
        <v>5667</v>
      </c>
      <c r="P9" s="54">
        <v>5206</v>
      </c>
      <c r="Q9" s="54">
        <v>5421</v>
      </c>
      <c r="R9" s="54">
        <v>5636</v>
      </c>
      <c r="S9" s="54">
        <v>6146</v>
      </c>
      <c r="T9" s="54">
        <v>5918</v>
      </c>
      <c r="U9" s="54">
        <v>5598</v>
      </c>
      <c r="V9" s="54">
        <v>6162</v>
      </c>
      <c r="W9" s="54">
        <v>5317.06</v>
      </c>
      <c r="X9" s="523">
        <v>5147.3900000000003</v>
      </c>
      <c r="Y9" s="54">
        <f>'Janitza data '!O448</f>
        <v>5606.75</v>
      </c>
      <c r="Z9" s="54">
        <f>IF(ISNUMBER('Janitza data '!P448),('Janitza data '!P448)," ")</f>
        <v>5195.1400000000003</v>
      </c>
      <c r="AA9" s="54">
        <f>IF(ISNUMBER('Janitza data '!Q448),('Janitza data '!Q448)," ")</f>
        <v>5432.13</v>
      </c>
      <c r="AB9" s="54">
        <f>IF(ISNUMBER('Janitza data '!R448),('Janitza data '!R448)," ")</f>
        <v>5016.0600000000004</v>
      </c>
      <c r="AC9" s="54">
        <f>IF(ISNUMBER('Janitza data '!S448),('Janitza data '!S448)," ")</f>
        <v>5308.22</v>
      </c>
      <c r="AD9" s="54">
        <f>IF(ISNUMBER('Janitza data '!T448),('Janitza data '!T448)," ")</f>
        <v>5251.52</v>
      </c>
      <c r="AE9" s="54">
        <f>IF(ISNUMBER('Janitza data '!U448),('Janitza data '!U448)," ")</f>
        <v>5006.3</v>
      </c>
      <c r="AF9" s="54">
        <f>IF(ISNUMBER('Janitza data '!V448),('Janitza data '!V448)," ")</f>
        <v>4960.26</v>
      </c>
      <c r="AG9" s="54">
        <f>IF(ISNUMBER('Janitza data '!W448),('Janitza data '!W448)," ")</f>
        <v>5119.3900000000003</v>
      </c>
      <c r="AH9" s="54">
        <f>IF(ISNUMBER('Janitza data '!X448),('Janitza data '!X448)," ")</f>
        <v>5619.62</v>
      </c>
      <c r="AI9" s="54">
        <f>IF(ISNUMBER('Janitza data '!Y448),('Janitza data '!Y448)," ")</f>
        <v>5395.33</v>
      </c>
      <c r="AJ9" s="54">
        <f>IF(ISNUMBER('Janitza data '!Z448),('Janitza data '!Z448)," ")</f>
        <v>5536.99</v>
      </c>
      <c r="AK9" s="54">
        <f>IF(ISNUMBER('Janitza data '!AA448),('Janitza data '!AA448)," ")</f>
        <v>5849.95</v>
      </c>
      <c r="AL9" s="54">
        <f>IF(ISNUMBER('Janitza data '!AB448),('Janitza data '!AB448)," ")</f>
        <v>5387.01</v>
      </c>
      <c r="AM9" s="54">
        <f>IF(ISNUMBER('Janitza data '!AC448),('Janitza data '!AC448)," ")</f>
        <v>5401.18</v>
      </c>
      <c r="AN9" s="54">
        <f>IF(ISNUMBER('Janitza data '!AD448),('Janitza data '!AD448)," ")</f>
        <v>5095.3599999999997</v>
      </c>
      <c r="AO9" s="54">
        <f>IF(ISNUMBER('Janitza data '!AE448),('Janitza data '!AE448)," ")</f>
        <v>5494.98</v>
      </c>
      <c r="AP9" s="54">
        <f>IF(ISNUMBER('Janitza data '!AF448),('Janitza data '!AF448)," ")</f>
        <v>5101.8900000000003</v>
      </c>
      <c r="AQ9" s="54">
        <f>IF(ISNUMBER('Janitza data '!AG448),('Janitza data '!AG448)," ")</f>
        <v>5522.43</v>
      </c>
      <c r="AR9" s="54">
        <f>IF(ISNUMBER('Janitza data '!AH448),('Janitza data '!AH448)," ")</f>
        <v>5536.51</v>
      </c>
      <c r="AS9" s="54">
        <f>IF(ISNUMBER('Janitza data '!AI448),('Janitza data '!AI448)," ")</f>
        <v>5310.02</v>
      </c>
      <c r="AT9" s="54">
        <f>IF(ISNUMBER('Janitza data '!AJ448),('Janitza data '!AJ448)," ")</f>
        <v>1409.79</v>
      </c>
      <c r="AU9" s="54" t="str">
        <f>IF(ISNUMBER('Janitza data '!AK448),('Janitza data '!AK448)," ")</f>
        <v xml:space="preserve"> </v>
      </c>
      <c r="AV9" s="54" t="str">
        <f>IF(ISNUMBER('Janitza data '!AL448),('Janitza data '!AL448)," ")</f>
        <v xml:space="preserve"> </v>
      </c>
    </row>
    <row r="10" spans="1:48" ht="15.6">
      <c r="A10" s="544" t="s">
        <v>72</v>
      </c>
      <c r="B10" s="5" t="s">
        <v>100</v>
      </c>
      <c r="C10" s="535">
        <f t="shared" ca="1" si="0"/>
        <v>1223.6500000000001</v>
      </c>
      <c r="D10" s="55" t="s">
        <v>74</v>
      </c>
      <c r="E10" s="7" t="s">
        <v>80</v>
      </c>
      <c r="F10" s="8" t="s">
        <v>101</v>
      </c>
      <c r="G10" s="8" t="s">
        <v>82</v>
      </c>
      <c r="H10" s="8" t="s">
        <v>92</v>
      </c>
      <c r="I10" s="5" t="s">
        <v>84</v>
      </c>
      <c r="J10" s="519" t="s">
        <v>102</v>
      </c>
      <c r="K10" s="522">
        <v>3655</v>
      </c>
      <c r="L10" s="54">
        <v>3568</v>
      </c>
      <c r="M10" s="54">
        <v>3565</v>
      </c>
      <c r="N10" s="54">
        <v>3249</v>
      </c>
      <c r="O10" s="54">
        <v>3755</v>
      </c>
      <c r="P10" s="54">
        <v>3573</v>
      </c>
      <c r="Q10" s="54">
        <v>4014</v>
      </c>
      <c r="R10" s="54">
        <v>4498</v>
      </c>
      <c r="S10" s="54">
        <v>5019</v>
      </c>
      <c r="T10" s="54">
        <v>4583</v>
      </c>
      <c r="U10" s="54">
        <v>4183</v>
      </c>
      <c r="V10" s="54">
        <v>4243</v>
      </c>
      <c r="W10" s="54">
        <v>3990.72</v>
      </c>
      <c r="X10" s="523">
        <v>3265.7</v>
      </c>
      <c r="Y10" s="54">
        <f>'Janitza data '!O449</f>
        <v>3608.86</v>
      </c>
      <c r="Z10" s="54">
        <f>IF(ISNUMBER('Janitza data '!P449),('Janitza data '!P449)," ")</f>
        <v>3636.42</v>
      </c>
      <c r="AA10" s="54">
        <f>IF(ISNUMBER('Janitza data '!Q449),('Janitza data '!Q449)," ")</f>
        <v>3734.18</v>
      </c>
      <c r="AB10" s="54">
        <f>IF(ISNUMBER('Janitza data '!R449),('Janitza data '!R449)," ")</f>
        <v>3718.43</v>
      </c>
      <c r="AC10" s="54">
        <f>IF(ISNUMBER('Janitza data '!S449),('Janitza data '!S449)," ")</f>
        <v>4285.92</v>
      </c>
      <c r="AD10" s="54">
        <f>IF(ISNUMBER('Janitza data '!T449),('Janitza data '!T449)," ")</f>
        <v>4281.22</v>
      </c>
      <c r="AE10" s="54">
        <f>IF(ISNUMBER('Janitza data '!U449),('Janitza data '!U449)," ")</f>
        <v>4122.1099999999997</v>
      </c>
      <c r="AF10" s="54">
        <f>IF(ISNUMBER('Janitza data '!V449),('Janitza data '!V449)," ")</f>
        <v>4228.03</v>
      </c>
      <c r="AG10" s="54">
        <f>IF(ISNUMBER('Janitza data '!W449),('Janitza data '!W449)," ")</f>
        <v>3678.43</v>
      </c>
      <c r="AH10" s="54">
        <f>IF(ISNUMBER('Janitza data '!X449),('Janitza data '!X449)," ")</f>
        <v>3768.26</v>
      </c>
      <c r="AI10" s="54">
        <f>IF(ISNUMBER('Janitza data '!Y449),('Janitza data '!Y449)," ")</f>
        <v>3843.14</v>
      </c>
      <c r="AJ10" s="54">
        <f>IF(ISNUMBER('Janitza data '!Z449),('Janitza data '!Z449)," ")</f>
        <v>3468.64</v>
      </c>
      <c r="AK10" s="54">
        <f>IF(ISNUMBER('Janitza data '!AA449),('Janitza data '!AA449)," ")</f>
        <v>3901.34</v>
      </c>
      <c r="AL10" s="54">
        <f>IF(ISNUMBER('Janitza data '!AB449),('Janitza data '!AB449)," ")</f>
        <v>3476</v>
      </c>
      <c r="AM10" s="54">
        <f>IF(ISNUMBER('Janitza data '!AC449),('Janitza data '!AC449)," ")</f>
        <v>3693.6</v>
      </c>
      <c r="AN10" s="54">
        <f>IF(ISNUMBER('Janitza data '!AD449),('Janitza data '!AD449)," ")</f>
        <v>3571.42</v>
      </c>
      <c r="AO10" s="54">
        <f>IF(ISNUMBER('Janitza data '!AE449),('Janitza data '!AE449)," ")</f>
        <v>4737.7299999999996</v>
      </c>
      <c r="AP10" s="54">
        <f>IF(ISNUMBER('Janitza data '!AF449),('Janitza data '!AF449)," ")</f>
        <v>4126.88</v>
      </c>
      <c r="AQ10" s="54">
        <f>IF(ISNUMBER('Janitza data '!AG449),('Janitza data '!AG449)," ")</f>
        <v>4783.49</v>
      </c>
      <c r="AR10" s="54">
        <f>IF(ISNUMBER('Janitza data '!AH449),('Janitza data '!AH449)," ")</f>
        <v>4506.6899999999996</v>
      </c>
      <c r="AS10" s="54">
        <f>IF(ISNUMBER('Janitza data '!AI449),('Janitza data '!AI449)," ")</f>
        <v>3748.45</v>
      </c>
      <c r="AT10" s="54">
        <f>IF(ISNUMBER('Janitza data '!AJ449),('Janitza data '!AJ449)," ")</f>
        <v>1223.6500000000001</v>
      </c>
      <c r="AU10" s="54" t="str">
        <f>IF(ISNUMBER('Janitza data '!AK449),('Janitza data '!AK449)," ")</f>
        <v xml:space="preserve"> </v>
      </c>
      <c r="AV10" s="54" t="str">
        <f>IF(ISNUMBER('Janitza data '!AL449),('Janitza data '!AL449)," ")</f>
        <v xml:space="preserve"> </v>
      </c>
    </row>
    <row r="11" spans="1:48" ht="15.6">
      <c r="A11" s="544" t="s">
        <v>72</v>
      </c>
      <c r="B11" s="5" t="s">
        <v>103</v>
      </c>
      <c r="C11" s="535">
        <f t="shared" ca="1" si="0"/>
        <v>157.88999999999999</v>
      </c>
      <c r="D11" s="55" t="s">
        <v>74</v>
      </c>
      <c r="E11" s="7" t="s">
        <v>80</v>
      </c>
      <c r="F11" s="8" t="s">
        <v>104</v>
      </c>
      <c r="G11" s="8" t="s">
        <v>82</v>
      </c>
      <c r="H11" s="8" t="s">
        <v>92</v>
      </c>
      <c r="I11" s="5" t="s">
        <v>84</v>
      </c>
      <c r="J11" s="519" t="s">
        <v>105</v>
      </c>
      <c r="K11" s="522">
        <v>411</v>
      </c>
      <c r="L11" s="54">
        <v>329</v>
      </c>
      <c r="M11" s="54">
        <v>349</v>
      </c>
      <c r="N11" s="54">
        <v>290</v>
      </c>
      <c r="O11" s="54">
        <v>404</v>
      </c>
      <c r="P11" s="54">
        <v>414</v>
      </c>
      <c r="Q11" s="54">
        <v>459</v>
      </c>
      <c r="R11" s="54">
        <v>524</v>
      </c>
      <c r="S11" s="54">
        <v>614</v>
      </c>
      <c r="T11" s="54">
        <v>560</v>
      </c>
      <c r="U11" s="54">
        <v>536</v>
      </c>
      <c r="V11" s="54">
        <v>488</v>
      </c>
      <c r="W11" s="54">
        <v>420.35</v>
      </c>
      <c r="X11" s="523">
        <v>357.81</v>
      </c>
      <c r="Y11" s="54">
        <f>'Janitza data '!O450</f>
        <v>392.1</v>
      </c>
      <c r="Z11" s="54">
        <f>IF(ISNUMBER('Janitza data '!P450),('Janitza data '!P450)," ")</f>
        <v>356.51</v>
      </c>
      <c r="AA11" s="54">
        <f>IF(ISNUMBER('Janitza data '!Q450),('Janitza data '!Q450)," ")</f>
        <v>458.05</v>
      </c>
      <c r="AB11" s="54">
        <f>IF(ISNUMBER('Janitza data '!R450),('Janitza data '!R450)," ")</f>
        <v>378.06</v>
      </c>
      <c r="AC11" s="54">
        <f>IF(ISNUMBER('Janitza data '!S450),('Janitza data '!S450)," ")</f>
        <v>505.26</v>
      </c>
      <c r="AD11" s="54">
        <f>IF(ISNUMBER('Janitza data '!T450),('Janitza data '!T450)," ")</f>
        <v>450.93</v>
      </c>
      <c r="AE11" s="54">
        <f>IF(ISNUMBER('Janitza data '!U450),('Janitza data '!U450)," ")</f>
        <v>410.05</v>
      </c>
      <c r="AF11" s="54">
        <f>IF(ISNUMBER('Janitza data '!V450),('Janitza data '!V450)," ")</f>
        <v>527.41999999999996</v>
      </c>
      <c r="AG11" s="54">
        <f>IF(ISNUMBER('Janitza data '!W450),('Janitza data '!W450)," ")</f>
        <v>706.62</v>
      </c>
      <c r="AH11" s="54">
        <f>IF(ISNUMBER('Janitza data '!X450),('Janitza data '!X450)," ")</f>
        <v>821.25</v>
      </c>
      <c r="AI11" s="54">
        <f>IF(ISNUMBER('Janitza data '!Y450),('Janitza data '!Y450)," ")</f>
        <v>525.14</v>
      </c>
      <c r="AJ11" s="54">
        <f>IF(ISNUMBER('Janitza data '!Z450),('Janitza data '!Z450)," ")</f>
        <v>394.93</v>
      </c>
      <c r="AK11" s="54">
        <f>IF(ISNUMBER('Janitza data '!AA450),('Janitza data '!AA450)," ")</f>
        <v>462.7</v>
      </c>
      <c r="AL11" s="54">
        <f>IF(ISNUMBER('Janitza data '!AB450),('Janitza data '!AB450)," ")</f>
        <v>535.33000000000004</v>
      </c>
      <c r="AM11" s="54">
        <f>IF(ISNUMBER('Janitza data '!AC450),('Janitza data '!AC450)," ")</f>
        <v>564.16</v>
      </c>
      <c r="AN11" s="54">
        <f>IF(ISNUMBER('Janitza data '!AD450),('Janitza data '!AD450)," ")</f>
        <v>501.74</v>
      </c>
      <c r="AO11" s="54">
        <f>IF(ISNUMBER('Janitza data '!AE450),('Janitza data '!AE450)," ")</f>
        <v>574.91</v>
      </c>
      <c r="AP11" s="54">
        <f>IF(ISNUMBER('Janitza data '!AF450),('Janitza data '!AF450)," ")</f>
        <v>614.75</v>
      </c>
      <c r="AQ11" s="54">
        <f>IF(ISNUMBER('Janitza data '!AG450),('Janitza data '!AG450)," ")</f>
        <v>676.13</v>
      </c>
      <c r="AR11" s="54">
        <f>IF(ISNUMBER('Janitza data '!AH450),('Janitza data '!AH450)," ")</f>
        <v>655.74</v>
      </c>
      <c r="AS11" s="54">
        <f>IF(ISNUMBER('Janitza data '!AI450),('Janitza data '!AI450)," ")</f>
        <v>529.14</v>
      </c>
      <c r="AT11" s="54">
        <f>IF(ISNUMBER('Janitza data '!AJ450),('Janitza data '!AJ450)," ")</f>
        <v>157.88999999999999</v>
      </c>
      <c r="AU11" s="54" t="str">
        <f>IF(ISNUMBER('Janitza data '!AK450),('Janitza data '!AK450)," ")</f>
        <v xml:space="preserve"> </v>
      </c>
      <c r="AV11" s="54" t="str">
        <f>IF(ISNUMBER('Janitza data '!AL450),('Janitza data '!AL450)," ")</f>
        <v xml:space="preserve"> </v>
      </c>
    </row>
    <row r="12" spans="1:48" ht="15.6">
      <c r="A12" s="545" t="s">
        <v>72</v>
      </c>
      <c r="B12" s="550" t="s">
        <v>106</v>
      </c>
      <c r="C12" s="535">
        <f t="shared" ca="1" si="0"/>
        <v>273.10000000000002</v>
      </c>
      <c r="D12" s="547" t="s">
        <v>74</v>
      </c>
      <c r="E12" s="548" t="s">
        <v>80</v>
      </c>
      <c r="F12" s="549" t="s">
        <v>107</v>
      </c>
      <c r="G12" s="549" t="s">
        <v>82</v>
      </c>
      <c r="H12" s="549" t="s">
        <v>92</v>
      </c>
      <c r="I12" s="550" t="s">
        <v>84</v>
      </c>
      <c r="J12" s="551" t="s">
        <v>108</v>
      </c>
      <c r="K12" s="525">
        <v>994</v>
      </c>
      <c r="L12" s="526">
        <v>808</v>
      </c>
      <c r="M12" s="526">
        <v>835</v>
      </c>
      <c r="N12" s="526">
        <v>704</v>
      </c>
      <c r="O12" s="526">
        <v>969</v>
      </c>
      <c r="P12" s="526">
        <v>973</v>
      </c>
      <c r="Q12" s="526">
        <v>1282</v>
      </c>
      <c r="R12" s="526">
        <v>1537</v>
      </c>
      <c r="S12" s="526">
        <v>1590</v>
      </c>
      <c r="T12" s="526">
        <v>1395</v>
      </c>
      <c r="U12" s="526">
        <v>1402</v>
      </c>
      <c r="V12" s="526">
        <v>1158</v>
      </c>
      <c r="W12" s="526">
        <v>877.5</v>
      </c>
      <c r="X12" s="527">
        <v>907.81</v>
      </c>
      <c r="Y12" s="526">
        <f>'Janitza data '!O451</f>
        <v>950.87</v>
      </c>
      <c r="Z12" s="54">
        <f>IF(ISNUMBER('Janitza data '!P451),('Janitza data '!P451)," ")</f>
        <v>807.18</v>
      </c>
      <c r="AA12" s="54">
        <f>IF(ISNUMBER('Janitza data '!Q451),('Janitza data '!Q451)," ")</f>
        <v>947.09</v>
      </c>
      <c r="AB12" s="54">
        <f>IF(ISNUMBER('Janitza data '!R451),('Janitza data '!R451)," ")</f>
        <v>953.3</v>
      </c>
      <c r="AC12" s="54">
        <f>IF(ISNUMBER('Janitza data '!S451),('Janitza data '!S451)," ")</f>
        <v>1192.71</v>
      </c>
      <c r="AD12" s="54">
        <f>IF(ISNUMBER('Janitza data '!T451),('Janitza data '!T451)," ")</f>
        <v>1146.42</v>
      </c>
      <c r="AE12" s="54">
        <f>IF(ISNUMBER('Janitza data '!U451),('Janitza data '!U451)," ")</f>
        <v>1222.58</v>
      </c>
      <c r="AF12" s="54">
        <f>IF(ISNUMBER('Janitza data '!V451),('Janitza data '!V451)," ")</f>
        <v>1256.0899999999999</v>
      </c>
      <c r="AG12" s="54">
        <f>IF(ISNUMBER('Janitza data '!W451),('Janitza data '!W451)," ")</f>
        <v>1056.7</v>
      </c>
      <c r="AH12" s="54">
        <f>IF(ISNUMBER('Janitza data '!X451),('Janitza data '!X451)," ")</f>
        <v>995.58</v>
      </c>
      <c r="AI12" s="54">
        <f>IF(ISNUMBER('Janitza data '!Y451),('Janitza data '!Y451)," ")</f>
        <v>833.35</v>
      </c>
      <c r="AJ12" s="54">
        <f>IF(ISNUMBER('Janitza data '!Z451),('Janitza data '!Z451)," ")</f>
        <v>736.99</v>
      </c>
      <c r="AK12" s="54">
        <f>IF(ISNUMBER('Janitza data '!AA451),('Janitza data '!AA451)," ")</f>
        <v>767.38</v>
      </c>
      <c r="AL12" s="54">
        <f>IF(ISNUMBER('Janitza data '!AB451),('Janitza data '!AB451)," ")</f>
        <v>787.51</v>
      </c>
      <c r="AM12" s="54">
        <f>IF(ISNUMBER('Janitza data '!AC451),('Janitza data '!AC451)," ")</f>
        <v>785.01</v>
      </c>
      <c r="AN12" s="54">
        <f>IF(ISNUMBER('Janitza data '!AD451),('Janitza data '!AD451)," ")</f>
        <v>880.48</v>
      </c>
      <c r="AO12" s="54">
        <f>IF(ISNUMBER('Janitza data '!AE451),('Janitza data '!AE451)," ")</f>
        <v>1117.78</v>
      </c>
      <c r="AP12" s="54">
        <f>IF(ISNUMBER('Janitza data '!AF451),('Janitza data '!AF451)," ")</f>
        <v>939.4</v>
      </c>
      <c r="AQ12" s="54">
        <f>IF(ISNUMBER('Janitza data '!AG451),('Janitza data '!AG451)," ")</f>
        <v>1080.6400000000001</v>
      </c>
      <c r="AR12" s="54">
        <f>IF(ISNUMBER('Janitza data '!AH451),('Janitza data '!AH451)," ")</f>
        <v>1128.7</v>
      </c>
      <c r="AS12" s="54">
        <f>IF(ISNUMBER('Janitza data '!AI451),('Janitza data '!AI451)," ")</f>
        <v>1004.78</v>
      </c>
      <c r="AT12" s="54">
        <f>IF(ISNUMBER('Janitza data '!AJ451),('Janitza data '!AJ451)," ")</f>
        <v>273.10000000000002</v>
      </c>
      <c r="AU12" s="54" t="str">
        <f>IF(ISNUMBER('Janitza data '!AK451),('Janitza data '!AK451)," ")</f>
        <v xml:space="preserve"> </v>
      </c>
      <c r="AV12" s="54" t="str">
        <f>IF(ISNUMBER('Janitza data '!AL451),('Janitza data '!AL451)," ")</f>
        <v xml:space="preserve"> </v>
      </c>
    </row>
    <row r="13" spans="1:48" ht="15.6">
      <c r="A13" s="533" t="s">
        <v>72</v>
      </c>
      <c r="B13" s="534" t="s">
        <v>109</v>
      </c>
      <c r="C13" s="535">
        <f t="shared" ca="1" si="0"/>
        <v>2810.05</v>
      </c>
      <c r="D13" s="536" t="s">
        <v>74</v>
      </c>
      <c r="E13" s="537" t="s">
        <v>80</v>
      </c>
      <c r="F13" s="538" t="s">
        <v>110</v>
      </c>
      <c r="G13" s="538" t="s">
        <v>82</v>
      </c>
      <c r="H13" s="538" t="s">
        <v>88</v>
      </c>
      <c r="I13" s="539" t="s">
        <v>84</v>
      </c>
      <c r="J13" s="540" t="s">
        <v>111</v>
      </c>
      <c r="K13" s="541">
        <v>3449</v>
      </c>
      <c r="L13" s="542">
        <v>4404</v>
      </c>
      <c r="M13" s="542">
        <v>6762</v>
      </c>
      <c r="N13" s="542">
        <v>8081</v>
      </c>
      <c r="O13" s="542">
        <v>9019</v>
      </c>
      <c r="P13" s="542">
        <v>7682</v>
      </c>
      <c r="Q13" s="542">
        <v>7941</v>
      </c>
      <c r="R13" s="542">
        <v>7259</v>
      </c>
      <c r="S13" s="542">
        <v>7835</v>
      </c>
      <c r="T13" s="542">
        <v>8067</v>
      </c>
      <c r="U13" s="542">
        <v>7612</v>
      </c>
      <c r="V13" s="542">
        <v>8165</v>
      </c>
      <c r="W13" s="542">
        <v>9095.39</v>
      </c>
      <c r="X13" s="543">
        <v>9399.33</v>
      </c>
      <c r="Y13" s="542">
        <f>'Janitza data '!O441</f>
        <v>10072.93</v>
      </c>
      <c r="Z13" s="542">
        <f>IF(ISNUMBER('Janitza data '!P441),('Janitza data '!P441)," ")</f>
        <v>10840.86</v>
      </c>
      <c r="AA13" s="542">
        <f>IF(ISNUMBER('Janitza data '!Q441),('Janitza data '!Q441)," ")</f>
        <v>12486.72</v>
      </c>
      <c r="AB13" s="542">
        <f>IF(ISNUMBER('Janitza data '!R441),('Janitza data '!R441)," ")</f>
        <v>10211.58</v>
      </c>
      <c r="AC13" s="542">
        <f>IF(ISNUMBER('Janitza data '!S441),('Janitza data '!S441)," ")</f>
        <v>11175.68</v>
      </c>
      <c r="AD13" s="542">
        <f>IF(ISNUMBER('Janitza data '!T441),('Janitza data '!T441)," ")</f>
        <v>10181.629999999999</v>
      </c>
      <c r="AE13" s="542">
        <f>IF(ISNUMBER('Janitza data '!U441),('Janitza data '!U441)," ")</f>
        <v>9947.17</v>
      </c>
      <c r="AF13" s="542">
        <f>IF(ISNUMBER('Janitza data '!V441),('Janitza data '!V441)," ")</f>
        <v>10311.969999999999</v>
      </c>
      <c r="AG13" s="542">
        <f>IF(ISNUMBER('Janitza data '!W441),('Janitza data '!W441)," ")</f>
        <v>10180.86</v>
      </c>
      <c r="AH13" s="542">
        <f>IF(ISNUMBER('Janitza data '!X441),('Janitza data '!X441)," ")</f>
        <v>10739.26</v>
      </c>
      <c r="AI13" s="542">
        <f>IF(ISNUMBER('Janitza data '!Y441),('Janitza data '!Y441)," ")</f>
        <v>10866.18</v>
      </c>
      <c r="AJ13" s="542">
        <f>IF(ISNUMBER('Janitza data '!Z441),('Janitza data '!Z441)," ")</f>
        <v>10500.77</v>
      </c>
      <c r="AK13" s="542">
        <f>IF(ISNUMBER('Janitza data '!AA441),('Janitza data '!AA441)," ")</f>
        <v>11176.32</v>
      </c>
      <c r="AL13" s="542">
        <f>IF(ISNUMBER('Janitza data '!AB441),('Janitza data '!AB441)," ")</f>
        <v>10914.08</v>
      </c>
      <c r="AM13" s="542">
        <f>IF(ISNUMBER('Janitza data '!AC441),('Janitza data '!AC441)," ")</f>
        <v>10658.82</v>
      </c>
      <c r="AN13" s="542">
        <f>IF(ISNUMBER('Janitza data '!AD441),('Janitza data '!AD441)," ")</f>
        <v>10542.14</v>
      </c>
      <c r="AO13" s="542">
        <f>IF(ISNUMBER('Janitza data '!AE441),('Janitza data '!AE441)," ")</f>
        <v>10813.44</v>
      </c>
      <c r="AP13" s="542">
        <f>IF(ISNUMBER('Janitza data '!AF441),('Janitza data '!AF441)," ")</f>
        <v>9591.23</v>
      </c>
      <c r="AQ13" s="542">
        <f>IF(ISNUMBER('Janitza data '!AG441),('Janitza data '!AG441)," ")</f>
        <v>10251.969999999999</v>
      </c>
      <c r="AR13" s="542">
        <f>IF(ISNUMBER('Janitza data '!AH441),('Janitza data '!AH441)," ")</f>
        <v>10332.74</v>
      </c>
      <c r="AS13" s="542">
        <f>IF(ISNUMBER('Janitza data '!AI441),('Janitza data '!AI441)," ")</f>
        <v>9581.5</v>
      </c>
      <c r="AT13" s="542">
        <f>IF(ISNUMBER('Janitza data '!AJ441),('Janitza data '!AJ441)," ")</f>
        <v>2810.05</v>
      </c>
      <c r="AU13" s="542" t="str">
        <f>IF(ISNUMBER('Janitza data '!AK441),('Janitza data '!AK441)," ")</f>
        <v xml:space="preserve"> </v>
      </c>
      <c r="AV13" s="542" t="str">
        <f>IF(ISNUMBER('Janitza data '!AL441),('Janitza data '!AL441)," ")</f>
        <v xml:space="preserve"> </v>
      </c>
    </row>
    <row r="14" spans="1:48" ht="15.6">
      <c r="A14" s="544" t="s">
        <v>72</v>
      </c>
      <c r="B14" s="5" t="s">
        <v>112</v>
      </c>
      <c r="C14" s="535">
        <f t="shared" ca="1" si="0"/>
        <v>1144.5</v>
      </c>
      <c r="D14" s="55" t="s">
        <v>74</v>
      </c>
      <c r="E14" s="7" t="s">
        <v>80</v>
      </c>
      <c r="F14" s="8" t="s">
        <v>113</v>
      </c>
      <c r="G14" s="8" t="s">
        <v>82</v>
      </c>
      <c r="H14" s="8" t="s">
        <v>92</v>
      </c>
      <c r="I14" s="5" t="s">
        <v>84</v>
      </c>
      <c r="J14" s="519" t="s">
        <v>114</v>
      </c>
      <c r="K14" s="522">
        <v>635</v>
      </c>
      <c r="L14" s="54">
        <v>1434</v>
      </c>
      <c r="M14" s="54">
        <v>810</v>
      </c>
      <c r="N14" s="54">
        <v>2546</v>
      </c>
      <c r="O14" s="54">
        <v>3234</v>
      </c>
      <c r="P14" s="54">
        <v>4304</v>
      </c>
      <c r="Q14" s="54">
        <v>5279</v>
      </c>
      <c r="R14" s="54">
        <v>5851</v>
      </c>
      <c r="S14" s="54">
        <v>6268</v>
      </c>
      <c r="T14" s="54">
        <v>5831</v>
      </c>
      <c r="U14" s="54">
        <v>5813</v>
      </c>
      <c r="V14" s="54">
        <v>4633</v>
      </c>
      <c r="W14" s="54">
        <v>4235.4399999999996</v>
      </c>
      <c r="X14" s="523">
        <v>4350.6899999999996</v>
      </c>
      <c r="Y14" s="54">
        <f>'Janitza data '!O452</f>
        <v>3227.7</v>
      </c>
      <c r="Z14" s="54">
        <f>IF(ISNUMBER('Janitza data '!P452),('Janitza data '!P452)," ")</f>
        <v>3336.14</v>
      </c>
      <c r="AA14" s="54">
        <f>IF(ISNUMBER('Janitza data '!Q452),('Janitza data '!Q452)," ")</f>
        <v>4087.6</v>
      </c>
      <c r="AB14" s="54">
        <f>IF(ISNUMBER('Janitza data '!R452),('Janitza data '!R452)," ")</f>
        <v>3916.86</v>
      </c>
      <c r="AC14" s="54">
        <f>IF(ISNUMBER('Janitza data '!S452),('Janitza data '!S452)," ")</f>
        <v>4798.08</v>
      </c>
      <c r="AD14" s="54">
        <f>IF(ISNUMBER('Janitza data '!T452),('Janitza data '!T452)," ")</f>
        <v>5055.5200000000004</v>
      </c>
      <c r="AE14" s="54">
        <f>IF(ISNUMBER('Janitza data '!U452),('Janitza data '!U452)," ")</f>
        <v>5940.22</v>
      </c>
      <c r="AF14" s="54">
        <f>IF(ISNUMBER('Janitza data '!V452),('Janitza data '!V452)," ")</f>
        <v>5998.42</v>
      </c>
      <c r="AG14" s="54">
        <f>IF(ISNUMBER('Janitza data '!W452),('Janitza data '!W452)," ")</f>
        <v>5263.94</v>
      </c>
      <c r="AH14" s="54">
        <f>IF(ISNUMBER('Janitza data '!X452),('Janitza data '!X452)," ")</f>
        <v>5048.16</v>
      </c>
      <c r="AI14" s="54">
        <f>IF(ISNUMBER('Janitza data '!Y452),('Janitza data '!Y452)," ")</f>
        <v>4615.22</v>
      </c>
      <c r="AJ14" s="54">
        <f>IF(ISNUMBER('Janitza data '!Z452),('Janitza data '!Z452)," ")</f>
        <v>3787.49</v>
      </c>
      <c r="AK14" s="54">
        <f>IF(ISNUMBER('Janitza data '!AA452),('Janitza data '!AA452)," ")</f>
        <v>3540.13</v>
      </c>
      <c r="AL14" s="54">
        <f>IF(ISNUMBER('Janitza data '!AB452),('Janitza data '!AB452)," ")</f>
        <v>3636.13</v>
      </c>
      <c r="AM14" s="54">
        <f>IF(ISNUMBER('Janitza data '!AC452),('Janitza data '!AC452)," ")</f>
        <v>4418.24</v>
      </c>
      <c r="AN14" s="54">
        <f>IF(ISNUMBER('Janitza data '!AD452),('Janitza data '!AD452)," ")</f>
        <v>4873.1499999999996</v>
      </c>
      <c r="AO14" s="54">
        <f>IF(ISNUMBER('Janitza data '!AE452),('Janitza data '!AE452)," ")</f>
        <v>5310.43</v>
      </c>
      <c r="AP14" s="54">
        <f>IF(ISNUMBER('Janitza data '!AF452),('Janitza data '!AF452)," ")</f>
        <v>4849.7</v>
      </c>
      <c r="AQ14" s="54">
        <f>IF(ISNUMBER('Janitza data '!AG452),('Janitza data '!AG452)," ")</f>
        <v>4995.57</v>
      </c>
      <c r="AR14" s="54">
        <f>IF(ISNUMBER('Janitza data '!AH452),('Janitza data '!AH452)," ")</f>
        <v>4430</v>
      </c>
      <c r="AS14" s="54">
        <f>IF(ISNUMBER('Janitza data '!AI452),('Janitza data '!AI452)," ")</f>
        <v>4140.93</v>
      </c>
      <c r="AT14" s="54">
        <f>IF(ISNUMBER('Janitza data '!AJ452),('Janitza data '!AJ452)," ")</f>
        <v>1144.5</v>
      </c>
      <c r="AU14" s="54" t="str">
        <f>IF(ISNUMBER('Janitza data '!AK452),('Janitza data '!AK452)," ")</f>
        <v xml:space="preserve"> </v>
      </c>
      <c r="AV14" s="54" t="str">
        <f>IF(ISNUMBER('Janitza data '!AL452),('Janitza data '!AL452)," ")</f>
        <v xml:space="preserve"> </v>
      </c>
    </row>
    <row r="15" spans="1:48" ht="15.6">
      <c r="A15" s="544" t="s">
        <v>72</v>
      </c>
      <c r="B15" s="5" t="s">
        <v>115</v>
      </c>
      <c r="C15" s="535">
        <f t="shared" ca="1" si="0"/>
        <v>479.9</v>
      </c>
      <c r="D15" s="55" t="s">
        <v>74</v>
      </c>
      <c r="E15" s="7" t="s">
        <v>80</v>
      </c>
      <c r="F15" s="8" t="s">
        <v>116</v>
      </c>
      <c r="G15" s="8" t="s">
        <v>82</v>
      </c>
      <c r="H15" s="8" t="s">
        <v>92</v>
      </c>
      <c r="I15" s="5" t="s">
        <v>84</v>
      </c>
      <c r="J15" s="519" t="s">
        <v>117</v>
      </c>
      <c r="K15" s="522">
        <v>317</v>
      </c>
      <c r="L15" s="54">
        <v>424</v>
      </c>
      <c r="M15" s="54">
        <v>565</v>
      </c>
      <c r="N15" s="54">
        <v>467</v>
      </c>
      <c r="O15" s="54">
        <v>651</v>
      </c>
      <c r="P15" s="54">
        <v>887</v>
      </c>
      <c r="Q15" s="54">
        <v>619</v>
      </c>
      <c r="R15" s="54">
        <v>1401</v>
      </c>
      <c r="S15" s="54">
        <v>1267</v>
      </c>
      <c r="T15" s="54">
        <v>1126</v>
      </c>
      <c r="U15" s="54">
        <v>787</v>
      </c>
      <c r="V15" s="54">
        <v>786</v>
      </c>
      <c r="W15" s="54">
        <v>853.8</v>
      </c>
      <c r="X15" s="523">
        <v>678.66</v>
      </c>
      <c r="Y15" s="54">
        <f>'Janitza data '!O453</f>
        <v>836.01</v>
      </c>
      <c r="Z15" s="54">
        <f>IF(ISNUMBER('Janitza data '!P453),('Janitza data '!P453)," ")</f>
        <v>1115.71</v>
      </c>
      <c r="AA15" s="54">
        <f>IF(ISNUMBER('Janitza data '!Q453),('Janitza data '!Q453)," ")</f>
        <v>1268.44</v>
      </c>
      <c r="AB15" s="54">
        <f>IF(ISNUMBER('Janitza data '!R453),('Janitza data '!R453)," ")</f>
        <v>1393.66</v>
      </c>
      <c r="AC15" s="54">
        <f>IF(ISNUMBER('Janitza data '!S453),('Janitza data '!S453)," ")</f>
        <v>894.5</v>
      </c>
      <c r="AD15" s="54">
        <f>IF(ISNUMBER('Janitza data '!T453),('Janitza data '!T453)," ")</f>
        <v>1938.26</v>
      </c>
      <c r="AE15" s="54">
        <f>IF(ISNUMBER('Janitza data '!U453),('Janitza data '!U453)," ")</f>
        <v>1741.02</v>
      </c>
      <c r="AF15" s="54">
        <f>IF(ISNUMBER('Janitza data '!V453),('Janitza data '!V453)," ")</f>
        <v>1190.67</v>
      </c>
      <c r="AG15" s="54">
        <f>IF(ISNUMBER('Janitza data '!W453),('Janitza data '!W453)," ")</f>
        <v>2044.5</v>
      </c>
      <c r="AH15" s="54">
        <f>IF(ISNUMBER('Janitza data '!X453),('Janitza data '!X453)," ")</f>
        <v>1515.58</v>
      </c>
      <c r="AI15" s="54">
        <f>IF(ISNUMBER('Janitza data '!Y453),('Janitza data '!Y453)," ")</f>
        <v>1182.58</v>
      </c>
      <c r="AJ15" s="54">
        <f>IF(ISNUMBER('Janitza data '!Z453),('Janitza data '!Z453)," ")</f>
        <v>1287.9000000000001</v>
      </c>
      <c r="AK15" s="54">
        <f>IF(ISNUMBER('Janitza data '!AA453),('Janitza data '!AA453)," ")</f>
        <v>1375.17</v>
      </c>
      <c r="AL15" s="54">
        <f>IF(ISNUMBER('Janitza data '!AB453),('Janitza data '!AB453)," ")</f>
        <v>1512.21</v>
      </c>
      <c r="AM15" s="54">
        <f>IF(ISNUMBER('Janitza data '!AC453),('Janitza data '!AC453)," ")</f>
        <v>2099.2199999999998</v>
      </c>
      <c r="AN15" s="54">
        <f>IF(ISNUMBER('Janitza data '!AD453),('Janitza data '!AD453)," ")</f>
        <v>2636.13</v>
      </c>
      <c r="AO15" s="54">
        <f>IF(ISNUMBER('Janitza data '!AE453),('Janitza data '!AE453)," ")</f>
        <v>2372.98</v>
      </c>
      <c r="AP15" s="54">
        <f>IF(ISNUMBER('Janitza data '!AF453),('Janitza data '!AF453)," ")</f>
        <v>3251.38</v>
      </c>
      <c r="AQ15" s="54">
        <f>IF(ISNUMBER('Janitza data '!AG453),('Janitza data '!AG453)," ")</f>
        <v>3378.29</v>
      </c>
      <c r="AR15" s="54">
        <f>IF(ISNUMBER('Janitza data '!AH453),('Janitza data '!AH453)," ")</f>
        <v>3668.51</v>
      </c>
      <c r="AS15" s="54">
        <f>IF(ISNUMBER('Janitza data '!AI453),('Janitza data '!AI453)," ")</f>
        <v>1802.9</v>
      </c>
      <c r="AT15" s="54">
        <f>IF(ISNUMBER('Janitza data '!AJ453),('Janitza data '!AJ453)," ")</f>
        <v>479.9</v>
      </c>
      <c r="AU15" s="54" t="str">
        <f>IF(ISNUMBER('Janitza data '!AK453),('Janitza data '!AK453)," ")</f>
        <v xml:space="preserve"> </v>
      </c>
      <c r="AV15" s="54" t="str">
        <f>IF(ISNUMBER('Janitza data '!AL453),('Janitza data '!AL453)," ")</f>
        <v xml:space="preserve"> </v>
      </c>
    </row>
    <row r="16" spans="1:48" ht="15.6">
      <c r="A16" s="544" t="s">
        <v>72</v>
      </c>
      <c r="B16" s="5" t="s">
        <v>118</v>
      </c>
      <c r="C16" s="535">
        <f t="shared" ca="1" si="0"/>
        <v>13.47</v>
      </c>
      <c r="D16" s="55" t="s">
        <v>74</v>
      </c>
      <c r="E16" s="7" t="s">
        <v>80</v>
      </c>
      <c r="F16" s="8" t="s">
        <v>119</v>
      </c>
      <c r="G16" s="8" t="s">
        <v>82</v>
      </c>
      <c r="H16" s="8" t="s">
        <v>92</v>
      </c>
      <c r="I16" s="5" t="s">
        <v>84</v>
      </c>
      <c r="J16" s="519" t="s">
        <v>120</v>
      </c>
      <c r="K16" s="522">
        <v>137</v>
      </c>
      <c r="L16" s="54">
        <v>133</v>
      </c>
      <c r="M16" s="54">
        <v>103</v>
      </c>
      <c r="N16" s="54">
        <v>110</v>
      </c>
      <c r="O16" s="54">
        <v>157</v>
      </c>
      <c r="P16" s="54">
        <v>208</v>
      </c>
      <c r="Q16" s="54">
        <v>204</v>
      </c>
      <c r="R16" s="54">
        <v>177</v>
      </c>
      <c r="S16" s="54">
        <v>213</v>
      </c>
      <c r="T16" s="54">
        <v>230</v>
      </c>
      <c r="U16" s="54">
        <v>273</v>
      </c>
      <c r="V16" s="54">
        <v>142</v>
      </c>
      <c r="W16" s="54">
        <v>123.22</v>
      </c>
      <c r="X16" s="523">
        <v>79.42</v>
      </c>
      <c r="Y16" s="54">
        <f>'Janitza data '!O454</f>
        <v>78.53</v>
      </c>
      <c r="Z16" s="54">
        <f>IF(ISNUMBER('Janitza data '!P454),('Janitza data '!P454)," ")</f>
        <v>45.48</v>
      </c>
      <c r="AA16" s="54">
        <f>IF(ISNUMBER('Janitza data '!Q454),('Janitza data '!Q454)," ")</f>
        <v>40.1</v>
      </c>
      <c r="AB16" s="54">
        <f>IF(ISNUMBER('Janitza data '!R454),('Janitza data '!R454)," ")</f>
        <v>35.380000000000003</v>
      </c>
      <c r="AC16" s="54">
        <f>IF(ISNUMBER('Janitza data '!S454),('Janitza data '!S454)," ")</f>
        <v>41.29</v>
      </c>
      <c r="AD16" s="54">
        <f>IF(ISNUMBER('Janitza data '!T454),('Janitza data '!T454)," ")</f>
        <v>36.520000000000003</v>
      </c>
      <c r="AE16" s="54">
        <f>IF(ISNUMBER('Janitza data '!U454),('Janitza data '!U454)," ")</f>
        <v>42.73</v>
      </c>
      <c r="AF16" s="54">
        <f>IF(ISNUMBER('Janitza data '!V454),('Janitza data '!V454)," ")</f>
        <v>38.72</v>
      </c>
      <c r="AG16" s="54">
        <f>IF(ISNUMBER('Janitza data '!W454),('Janitza data '!W454)," ")</f>
        <v>36.729999999999997</v>
      </c>
      <c r="AH16" s="54">
        <f>IF(ISNUMBER('Janitza data '!X454),('Janitza data '!X454)," ")</f>
        <v>37.86</v>
      </c>
      <c r="AI16" s="54">
        <f>IF(ISNUMBER('Janitza data '!Y454),('Janitza data '!Y454)," ")</f>
        <v>43.72</v>
      </c>
      <c r="AJ16" s="54">
        <f>IF(ISNUMBER('Janitza data '!Z454),('Janitza data '!Z454)," ")</f>
        <v>67.709999999999994</v>
      </c>
      <c r="AK16" s="54">
        <f>IF(ISNUMBER('Janitza data '!AA454),('Janitza data '!AA454)," ")</f>
        <v>42.68</v>
      </c>
      <c r="AL16" s="54">
        <f>IF(ISNUMBER('Janitza data '!AB454),('Janitza data '!AB454)," ")</f>
        <v>36.979999999999997</v>
      </c>
      <c r="AM16" s="54">
        <f>IF(ISNUMBER('Janitza data '!AC454),('Janitza data '!AC454)," ")</f>
        <v>42.64</v>
      </c>
      <c r="AN16" s="54">
        <f>IF(ISNUMBER('Janitza data '!AD454),('Janitza data '!AD454)," ")</f>
        <v>35.65</v>
      </c>
      <c r="AO16" s="54">
        <f>IF(ISNUMBER('Janitza data '!AE454),('Janitza data '!AE454)," ")</f>
        <v>40.47</v>
      </c>
      <c r="AP16" s="54">
        <f>IF(ISNUMBER('Janitza data '!AF454),('Janitza data '!AF454)," ")</f>
        <v>57.45</v>
      </c>
      <c r="AQ16" s="54">
        <f>IF(ISNUMBER('Janitza data '!AG454),('Janitza data '!AG454)," ")</f>
        <v>53.5</v>
      </c>
      <c r="AR16" s="54">
        <f>IF(ISNUMBER('Janitza data '!AH454),('Janitza data '!AH454)," ")</f>
        <v>46.64</v>
      </c>
      <c r="AS16" s="54">
        <f>IF(ISNUMBER('Janitza data '!AI454),('Janitza data '!AI454)," ")</f>
        <v>45.54</v>
      </c>
      <c r="AT16" s="54">
        <f>IF(ISNUMBER('Janitza data '!AJ454),('Janitza data '!AJ454)," ")</f>
        <v>13.47</v>
      </c>
      <c r="AU16" s="54" t="str">
        <f>IF(ISNUMBER('Janitza data '!AK454),('Janitza data '!AK454)," ")</f>
        <v xml:space="preserve"> </v>
      </c>
      <c r="AV16" s="54" t="str">
        <f>IF(ISNUMBER('Janitza data '!AL454),('Janitza data '!AL454)," ")</f>
        <v xml:space="preserve"> </v>
      </c>
    </row>
    <row r="17" spans="1:48" ht="15.6">
      <c r="A17" s="544" t="s">
        <v>72</v>
      </c>
      <c r="B17" s="5" t="s">
        <v>121</v>
      </c>
      <c r="C17" s="535">
        <f t="shared" ca="1" si="0"/>
        <v>1619.82</v>
      </c>
      <c r="D17" s="55" t="s">
        <v>74</v>
      </c>
      <c r="E17" s="7" t="s">
        <v>80</v>
      </c>
      <c r="F17" s="8" t="s">
        <v>91</v>
      </c>
      <c r="G17" s="8" t="s">
        <v>82</v>
      </c>
      <c r="H17" s="8" t="s">
        <v>92</v>
      </c>
      <c r="I17" s="5" t="s">
        <v>84</v>
      </c>
      <c r="J17" s="519" t="s">
        <v>122</v>
      </c>
      <c r="K17" s="522">
        <v>360</v>
      </c>
      <c r="L17" s="54">
        <v>1398</v>
      </c>
      <c r="M17" s="54">
        <v>2789</v>
      </c>
      <c r="N17" s="54">
        <v>3884</v>
      </c>
      <c r="O17" s="54">
        <v>4312</v>
      </c>
      <c r="P17" s="54">
        <v>3723</v>
      </c>
      <c r="Q17" s="54">
        <v>3747</v>
      </c>
      <c r="R17" s="54">
        <v>3274</v>
      </c>
      <c r="S17" s="54">
        <v>3839</v>
      </c>
      <c r="T17" s="54">
        <v>3972</v>
      </c>
      <c r="U17" s="54">
        <v>4100</v>
      </c>
      <c r="V17" s="54">
        <v>4840</v>
      </c>
      <c r="W17" s="54">
        <v>5612.22</v>
      </c>
      <c r="X17" s="523">
        <v>6142.16</v>
      </c>
      <c r="Y17" s="54">
        <f>'Janitza data '!O455</f>
        <v>6479.98</v>
      </c>
      <c r="Z17" s="54">
        <f>IF(ISNUMBER('Janitza data '!P455),('Janitza data '!P455)," ")</f>
        <v>6366.43</v>
      </c>
      <c r="AA17" s="54">
        <f>IF(ISNUMBER('Janitza data '!Q455),('Janitza data '!Q455)," ")</f>
        <v>6567.83</v>
      </c>
      <c r="AB17" s="54">
        <f>IF(ISNUMBER('Janitza data '!R455),('Janitza data '!R455)," ")</f>
        <v>5820.48</v>
      </c>
      <c r="AC17" s="54">
        <f>IF(ISNUMBER('Janitza data '!S455),('Janitza data '!S455)," ")</f>
        <v>6161.38</v>
      </c>
      <c r="AD17" s="54">
        <f>IF(ISNUMBER('Janitza data '!T455),('Janitza data '!T455)," ")</f>
        <v>5941.62</v>
      </c>
      <c r="AE17" s="54">
        <f>IF(ISNUMBER('Janitza data '!U455),('Janitza data '!U455)," ")</f>
        <v>5933.86</v>
      </c>
      <c r="AF17" s="54">
        <f>IF(ISNUMBER('Janitza data '!V455),('Janitza data '!V455)," ")</f>
        <v>6110.32</v>
      </c>
      <c r="AG17" s="54">
        <f>IF(ISNUMBER('Janitza data '!W455),('Janitza data '!W455)," ")</f>
        <v>5890.24</v>
      </c>
      <c r="AH17" s="54">
        <f>IF(ISNUMBER('Janitza data '!X455),('Janitza data '!X455)," ")</f>
        <v>6221.52</v>
      </c>
      <c r="AI17" s="54">
        <f>IF(ISNUMBER('Janitza data '!Y455),('Janitza data '!Y455)," ")</f>
        <v>6147.58</v>
      </c>
      <c r="AJ17" s="54">
        <f>IF(ISNUMBER('Janitza data '!Z455),('Janitza data '!Z455)," ")</f>
        <v>6359.06</v>
      </c>
      <c r="AK17" s="54">
        <f>IF(ISNUMBER('Janitza data '!AA455),('Janitza data '!AA455)," ")</f>
        <v>6542.18</v>
      </c>
      <c r="AL17" s="54">
        <f>IF(ISNUMBER('Janitza data '!AB455),('Janitza data '!AB455)," ")</f>
        <v>6027.54</v>
      </c>
      <c r="AM17" s="54">
        <f>IF(ISNUMBER('Janitza data '!AC455),('Janitza data '!AC455)," ")</f>
        <v>6339.78</v>
      </c>
      <c r="AN17" s="54">
        <f>IF(ISNUMBER('Janitza data '!AD455),('Janitza data '!AD455)," ")</f>
        <v>6108.21</v>
      </c>
      <c r="AO17" s="54">
        <f>IF(ISNUMBER('Janitza data '!AE455),('Janitza data '!AE455)," ")</f>
        <v>6126.37</v>
      </c>
      <c r="AP17" s="54">
        <f>IF(ISNUMBER('Janitza data '!AF455),('Janitza data '!AF455)," ")</f>
        <v>5632.5</v>
      </c>
      <c r="AQ17" s="54">
        <f>IF(ISNUMBER('Janitza data '!AG455),('Janitza data '!AG455)," ")</f>
        <v>5983.57</v>
      </c>
      <c r="AR17" s="54">
        <f>IF(ISNUMBER('Janitza data '!AH455),('Janitza data '!AH455)," ")</f>
        <v>6031.86</v>
      </c>
      <c r="AS17" s="54">
        <f>IF(ISNUMBER('Janitza data '!AI455),('Janitza data '!AI455)," ")</f>
        <v>5677.66</v>
      </c>
      <c r="AT17" s="54">
        <f>IF(ISNUMBER('Janitza data '!AJ455),('Janitza data '!AJ455)," ")</f>
        <v>1619.82</v>
      </c>
      <c r="AU17" s="54" t="str">
        <f>IF(ISNUMBER('Janitza data '!AK455),('Janitza data '!AK455)," ")</f>
        <v xml:space="preserve"> </v>
      </c>
      <c r="AV17" s="54" t="str">
        <f>IF(ISNUMBER('Janitza data '!AL455),('Janitza data '!AL455)," ")</f>
        <v xml:space="preserve"> </v>
      </c>
    </row>
    <row r="18" spans="1:48" ht="15.6">
      <c r="A18" s="544" t="s">
        <v>72</v>
      </c>
      <c r="B18" s="5" t="s">
        <v>123</v>
      </c>
      <c r="C18" s="535">
        <f t="shared" ca="1" si="0"/>
        <v>578.41999999999996</v>
      </c>
      <c r="D18" s="55" t="s">
        <v>74</v>
      </c>
      <c r="E18" s="7" t="s">
        <v>80</v>
      </c>
      <c r="F18" s="8" t="s">
        <v>124</v>
      </c>
      <c r="G18" s="8" t="s">
        <v>82</v>
      </c>
      <c r="H18" s="8" t="s">
        <v>92</v>
      </c>
      <c r="I18" s="5" t="s">
        <v>84</v>
      </c>
      <c r="J18" s="519" t="s">
        <v>125</v>
      </c>
      <c r="K18" s="522">
        <v>919</v>
      </c>
      <c r="L18" s="54">
        <v>914</v>
      </c>
      <c r="M18" s="54">
        <v>1916</v>
      </c>
      <c r="N18" s="54">
        <v>2407</v>
      </c>
      <c r="O18" s="54">
        <v>2719</v>
      </c>
      <c r="P18" s="54">
        <v>2285</v>
      </c>
      <c r="Q18" s="54">
        <v>2459</v>
      </c>
      <c r="R18" s="54">
        <v>2291</v>
      </c>
      <c r="S18" s="54">
        <v>2224</v>
      </c>
      <c r="T18" s="54">
        <v>2233</v>
      </c>
      <c r="U18" s="54">
        <v>1761</v>
      </c>
      <c r="V18" s="54">
        <v>1562</v>
      </c>
      <c r="W18" s="54">
        <v>1718.58</v>
      </c>
      <c r="X18" s="523">
        <v>1645.19</v>
      </c>
      <c r="Y18" s="54">
        <f>'Janitza data '!O456</f>
        <v>1643.34</v>
      </c>
      <c r="Z18" s="54">
        <f>IF(ISNUMBER('Janitza data '!P456),('Janitza data '!P456)," ")</f>
        <v>2347.56</v>
      </c>
      <c r="AA18" s="54">
        <f>IF(ISNUMBER('Janitza data '!Q456),('Janitza data '!Q456)," ")</f>
        <v>3696.82</v>
      </c>
      <c r="AB18" s="54">
        <f>IF(ISNUMBER('Janitza data '!R456),('Janitza data '!R456)," ")</f>
        <v>2174.64</v>
      </c>
      <c r="AC18" s="54">
        <f>IF(ISNUMBER('Janitza data '!S456),('Janitza data '!S456)," ")</f>
        <v>2677.36</v>
      </c>
      <c r="AD18" s="54">
        <f>IF(ISNUMBER('Janitza data '!T456),('Janitza data '!T456)," ")</f>
        <v>2337.11</v>
      </c>
      <c r="AE18" s="54">
        <f>IF(ISNUMBER('Janitza data '!U456),('Janitza data '!U456)," ")</f>
        <v>2412.4499999999998</v>
      </c>
      <c r="AF18" s="54">
        <f>IF(ISNUMBER('Janitza data '!V456),('Janitza data '!V456)," ")</f>
        <v>2535.02</v>
      </c>
      <c r="AG18" s="54">
        <f>IF(ISNUMBER('Janitza data '!W456),('Janitza data '!W456)," ")</f>
        <v>2170.66</v>
      </c>
      <c r="AH18" s="54">
        <f>IF(ISNUMBER('Janitza data '!X456),('Janitza data '!X456)," ")</f>
        <v>2667.24</v>
      </c>
      <c r="AI18" s="54">
        <f>IF(ISNUMBER('Janitza data '!Y456),('Janitza data '!Y456)," ")</f>
        <v>2812.02</v>
      </c>
      <c r="AJ18" s="54">
        <f>IF(ISNUMBER('Janitza data '!Z456),('Janitza data '!Z456)," ")</f>
        <v>2286.61</v>
      </c>
      <c r="AK18" s="54">
        <f>IF(ISNUMBER('Janitza data '!AA456),('Janitza data '!AA456)," ")</f>
        <v>2545.04</v>
      </c>
      <c r="AL18" s="54">
        <f>IF(ISNUMBER('Janitza data '!AB456),('Janitza data '!AB456)," ")</f>
        <v>3097.2</v>
      </c>
      <c r="AM18" s="54">
        <f>IF(ISNUMBER('Janitza data '!AC456),('Janitza data '!AC456)," ")</f>
        <v>2776.24</v>
      </c>
      <c r="AN18" s="54">
        <f>IF(ISNUMBER('Janitza data '!AD456),('Janitza data '!AD456)," ")</f>
        <v>2811.22</v>
      </c>
      <c r="AO18" s="54">
        <f>IF(ISNUMBER('Janitza data '!AE456),('Janitza data '!AE456)," ")</f>
        <v>2407.33</v>
      </c>
      <c r="AP18" s="54">
        <f>IF(ISNUMBER('Janitza data '!AF456),('Janitza data '!AF456)," ")</f>
        <v>2202.21</v>
      </c>
      <c r="AQ18" s="54">
        <f>IF(ISNUMBER('Janitza data '!AG456),('Janitza data '!AG456)," ")</f>
        <v>2442.66</v>
      </c>
      <c r="AR18" s="54">
        <f>IF(ISNUMBER('Janitza data '!AH456),('Janitza data '!AH456)," ")</f>
        <v>1996.11</v>
      </c>
      <c r="AS18" s="54">
        <f>IF(ISNUMBER('Janitza data '!AI456),('Janitza data '!AI456)," ")</f>
        <v>1818.18</v>
      </c>
      <c r="AT18" s="54">
        <f>IF(ISNUMBER('Janitza data '!AJ456),('Janitza data '!AJ456)," ")</f>
        <v>578.41999999999996</v>
      </c>
      <c r="AU18" s="54" t="str">
        <f>IF(ISNUMBER('Janitza data '!AK456),('Janitza data '!AK456)," ")</f>
        <v xml:space="preserve"> </v>
      </c>
      <c r="AV18" s="54" t="str">
        <f>IF(ISNUMBER('Janitza data '!AL456),('Janitza data '!AL456)," ")</f>
        <v xml:space="preserve"> </v>
      </c>
    </row>
    <row r="19" spans="1:48" ht="15.6">
      <c r="A19" s="545" t="s">
        <v>72</v>
      </c>
      <c r="B19" s="550" t="s">
        <v>126</v>
      </c>
      <c r="C19" s="535">
        <f t="shared" ca="1" si="0"/>
        <v>627.25</v>
      </c>
      <c r="D19" s="547" t="s">
        <v>74</v>
      </c>
      <c r="E19" s="548" t="s">
        <v>80</v>
      </c>
      <c r="F19" s="549" t="s">
        <v>127</v>
      </c>
      <c r="G19" s="549" t="s">
        <v>82</v>
      </c>
      <c r="H19" s="549" t="s">
        <v>92</v>
      </c>
      <c r="I19" s="550" t="s">
        <v>84</v>
      </c>
      <c r="J19" s="551" t="s">
        <v>128</v>
      </c>
      <c r="K19" s="525">
        <v>2174</v>
      </c>
      <c r="L19" s="526">
        <v>2097</v>
      </c>
      <c r="M19" s="526">
        <v>2082</v>
      </c>
      <c r="N19" s="526">
        <v>1834</v>
      </c>
      <c r="O19" s="526">
        <v>2034</v>
      </c>
      <c r="P19" s="526">
        <v>1711</v>
      </c>
      <c r="Q19" s="526">
        <v>1770</v>
      </c>
      <c r="R19" s="526">
        <v>1726</v>
      </c>
      <c r="S19" s="526">
        <v>1807</v>
      </c>
      <c r="T19" s="526">
        <v>1900</v>
      </c>
      <c r="U19" s="526">
        <v>1784</v>
      </c>
      <c r="V19" s="526">
        <v>1798</v>
      </c>
      <c r="W19" s="526">
        <v>1809.76</v>
      </c>
      <c r="X19" s="527">
        <v>1656.5</v>
      </c>
      <c r="Y19" s="526">
        <f>'Janitza data '!O457</f>
        <v>1997.15</v>
      </c>
      <c r="Z19" s="54">
        <f>IF(ISNUMBER('Janitza data '!P457),('Janitza data '!P457)," ")</f>
        <v>2185.65</v>
      </c>
      <c r="AA19" s="54">
        <f>IF(ISNUMBER('Janitza data '!Q457),('Janitza data '!Q457)," ")</f>
        <v>2290.9</v>
      </c>
      <c r="AB19" s="54">
        <f>IF(ISNUMBER('Janitza data '!R457),('Janitza data '!R457)," ")</f>
        <v>2271.65</v>
      </c>
      <c r="AC19" s="54">
        <f>IF(ISNUMBER('Janitza data '!S457),('Janitza data '!S457)," ")</f>
        <v>2398.9299999999998</v>
      </c>
      <c r="AD19" s="54">
        <f>IF(ISNUMBER('Janitza data '!T457),('Janitza data '!T457)," ")</f>
        <v>1957.63</v>
      </c>
      <c r="AE19" s="54">
        <f>IF(ISNUMBER('Janitza data '!U457),('Janitza data '!U457)," ")</f>
        <v>1652.06</v>
      </c>
      <c r="AF19" s="54">
        <f>IF(ISNUMBER('Janitza data '!V457),('Janitza data '!V457)," ")</f>
        <v>1720.72</v>
      </c>
      <c r="AG19" s="54">
        <f>IF(ISNUMBER('Janitza data '!W457),('Janitza data '!W457)," ")</f>
        <v>2171.42</v>
      </c>
      <c r="AH19" s="54">
        <f>IF(ISNUMBER('Janitza data '!X457),('Janitza data '!X457)," ")</f>
        <v>1910.8</v>
      </c>
      <c r="AI19" s="54">
        <f>IF(ISNUMBER('Janitza data '!Y457),('Janitza data '!Y457)," ")</f>
        <v>1968.34</v>
      </c>
      <c r="AJ19" s="54">
        <f>IF(ISNUMBER('Janitza data '!Z457),('Janitza data '!Z457)," ")</f>
        <v>1907.98</v>
      </c>
      <c r="AK19" s="54">
        <f>IF(ISNUMBER('Janitza data '!AA457),('Janitza data '!AA457)," ")</f>
        <v>2151.4899999999998</v>
      </c>
      <c r="AL19" s="54">
        <f>IF(ISNUMBER('Janitza data '!AB457),('Janitza data '!AB457)," ")</f>
        <v>1853.54</v>
      </c>
      <c r="AM19" s="54">
        <f>IF(ISNUMBER('Janitza data '!AC457),('Janitza data '!AC457)," ")</f>
        <v>1603.12</v>
      </c>
      <c r="AN19" s="54">
        <f>IF(ISNUMBER('Janitza data '!AD457),('Janitza data '!AD457)," ")</f>
        <v>1681.76</v>
      </c>
      <c r="AO19" s="54">
        <f>IF(ISNUMBER('Janitza data '!AE457),('Janitza data '!AE457)," ")</f>
        <v>2341.14</v>
      </c>
      <c r="AP19" s="54">
        <f>IF(ISNUMBER('Janitza data '!AF457),('Janitza data '!AF457)," ")</f>
        <v>1809.68</v>
      </c>
      <c r="AQ19" s="54">
        <f>IF(ISNUMBER('Janitza data '!AG457),('Janitza data '!AG457)," ")</f>
        <v>1884.53</v>
      </c>
      <c r="AR19" s="54">
        <f>IF(ISNUMBER('Janitza data '!AH457),('Janitza data '!AH457)," ")</f>
        <v>2361.2600000000002</v>
      </c>
      <c r="AS19" s="54">
        <f>IF(ISNUMBER('Janitza data '!AI457),('Janitza data '!AI457)," ")</f>
        <v>2137.98</v>
      </c>
      <c r="AT19" s="54">
        <f>IF(ISNUMBER('Janitza data '!AJ457),('Janitza data '!AJ457)," ")</f>
        <v>627.25</v>
      </c>
      <c r="AU19" s="54" t="str">
        <f>IF(ISNUMBER('Janitza data '!AK457),('Janitza data '!AK457)," ")</f>
        <v xml:space="preserve"> </v>
      </c>
      <c r="AV19" s="54" t="str">
        <f>IF(ISNUMBER('Janitza data '!AL457),('Janitza data '!AL457)," ")</f>
        <v xml:space="preserve"> </v>
      </c>
    </row>
    <row r="20" spans="1:48" ht="15.6">
      <c r="A20" s="533" t="s">
        <v>72</v>
      </c>
      <c r="B20" s="534" t="s">
        <v>129</v>
      </c>
      <c r="C20" s="535">
        <f t="shared" ca="1" si="0"/>
        <v>2077.9499999999998</v>
      </c>
      <c r="D20" s="536" t="s">
        <v>74</v>
      </c>
      <c r="E20" s="537" t="s">
        <v>80</v>
      </c>
      <c r="F20" s="538" t="s">
        <v>130</v>
      </c>
      <c r="G20" s="538" t="s">
        <v>82</v>
      </c>
      <c r="H20" s="538" t="s">
        <v>88</v>
      </c>
      <c r="I20" s="539" t="s">
        <v>84</v>
      </c>
      <c r="J20" s="540" t="s">
        <v>131</v>
      </c>
      <c r="K20" s="541">
        <v>4241</v>
      </c>
      <c r="L20" s="542">
        <v>3048</v>
      </c>
      <c r="M20" s="542">
        <v>2995</v>
      </c>
      <c r="N20" s="542">
        <v>3636</v>
      </c>
      <c r="O20" s="542">
        <v>3701</v>
      </c>
      <c r="P20" s="542">
        <v>4471</v>
      </c>
      <c r="Q20" s="542">
        <v>6262</v>
      </c>
      <c r="R20" s="542">
        <v>7831</v>
      </c>
      <c r="S20" s="542">
        <v>8721</v>
      </c>
      <c r="T20" s="542">
        <v>6876</v>
      </c>
      <c r="U20" s="542">
        <v>6379</v>
      </c>
      <c r="V20" s="542">
        <v>6257</v>
      </c>
      <c r="W20" s="542">
        <v>4126.9399999999996</v>
      </c>
      <c r="X20" s="543">
        <v>4204.8</v>
      </c>
      <c r="Y20" s="542">
        <f>'Janitza data '!O445</f>
        <v>3208.77</v>
      </c>
      <c r="Z20" s="542">
        <f>IF(ISNUMBER('Janitza data '!P445),('Janitza data '!P445)," ")</f>
        <v>3164.9</v>
      </c>
      <c r="AA20" s="542">
        <f>IF(ISNUMBER('Janitza data '!Q445),('Janitza data '!Q445)," ")</f>
        <v>5160.1899999999996</v>
      </c>
      <c r="AB20" s="542">
        <f>IF(ISNUMBER('Janitza data '!R445),('Janitza data '!R445)," ")</f>
        <v>5318.11</v>
      </c>
      <c r="AC20" s="542">
        <f>IF(ISNUMBER('Janitza data '!S445),('Janitza data '!S445)," ")</f>
        <v>6938.24</v>
      </c>
      <c r="AD20" s="542">
        <f>IF(ISNUMBER('Janitza data '!T445),('Janitza data '!T445)," ")</f>
        <v>7871.68</v>
      </c>
      <c r="AE20" s="542">
        <f>IF(ISNUMBER('Janitza data '!U445),('Janitza data '!U445)," ")</f>
        <v>8228.7999999999993</v>
      </c>
      <c r="AF20" s="542">
        <f>IF(ISNUMBER('Janitza data '!V445),('Janitza data '!V445)," ")</f>
        <v>8383.7800000000007</v>
      </c>
      <c r="AG20" s="542">
        <f>IF(ISNUMBER('Janitza data '!W445),('Janitza data '!W445)," ")</f>
        <v>6324.58</v>
      </c>
      <c r="AH20" s="542">
        <f>IF(ISNUMBER('Janitza data '!X445),('Janitza data '!X445)," ")</f>
        <v>6098.69</v>
      </c>
      <c r="AI20" s="542">
        <f>IF(ISNUMBER('Janitza data '!Y445),('Janitza data '!Y445)," ")</f>
        <v>5518.14</v>
      </c>
      <c r="AJ20" s="542">
        <f>IF(ISNUMBER('Janitza data '!Z445),('Janitza data '!Z445)," ")</f>
        <v>4783.74</v>
      </c>
      <c r="AK20" s="542">
        <f>IF(ISNUMBER('Janitza data '!AA445),('Janitza data '!AA445)," ")</f>
        <v>4401.38</v>
      </c>
      <c r="AL20" s="542">
        <f>IF(ISNUMBER('Janitza data '!AB445),('Janitza data '!AB445)," ")</f>
        <v>5238.37</v>
      </c>
      <c r="AM20" s="542">
        <f>IF(ISNUMBER('Janitza data '!AC445),('Janitza data '!AC445)," ")</f>
        <v>6525.57</v>
      </c>
      <c r="AN20" s="542">
        <f>IF(ISNUMBER('Janitza data '!AD445),('Janitza data '!AD445)," ")</f>
        <v>6491.17</v>
      </c>
      <c r="AO20" s="542">
        <f>IF(ISNUMBER('Janitza data '!AE445),('Janitza data '!AE445)," ")</f>
        <v>9730.85</v>
      </c>
      <c r="AP20" s="542">
        <f>IF(ISNUMBER('Janitza data '!AF445),('Janitza data '!AF445)," ")</f>
        <v>8780.1</v>
      </c>
      <c r="AQ20" s="542">
        <f>IF(ISNUMBER('Janitza data '!AG445),('Janitza data '!AG445)," ")</f>
        <v>9615.0400000000009</v>
      </c>
      <c r="AR20" s="542">
        <f>IF(ISNUMBER('Janitza data '!AH445),('Janitza data '!AH445)," ")</f>
        <v>9374.56</v>
      </c>
      <c r="AS20" s="542">
        <f>IF(ISNUMBER('Janitza data '!AI445),('Janitza data '!AI445)," ")</f>
        <v>7638.69</v>
      </c>
      <c r="AT20" s="542">
        <f>IF(ISNUMBER('Janitza data '!AJ445),('Janitza data '!AJ445)," ")</f>
        <v>2077.9499999999998</v>
      </c>
      <c r="AU20" s="542" t="str">
        <f>IF(ISNUMBER('Janitza data '!AK445),('Janitza data '!AK445)," ")</f>
        <v xml:space="preserve"> </v>
      </c>
      <c r="AV20" s="542" t="str">
        <f>IF(ISNUMBER('Janitza data '!AL445),('Janitza data '!AL445)," ")</f>
        <v xml:space="preserve"> </v>
      </c>
    </row>
    <row r="21" spans="1:48" ht="15.6">
      <c r="A21" s="544" t="s">
        <v>72</v>
      </c>
      <c r="B21" s="5" t="s">
        <v>132</v>
      </c>
      <c r="C21" s="535">
        <f t="shared" ca="1" si="0"/>
        <v>156.71</v>
      </c>
      <c r="D21" s="55" t="s">
        <v>74</v>
      </c>
      <c r="E21" s="7" t="s">
        <v>80</v>
      </c>
      <c r="F21" s="8" t="s">
        <v>133</v>
      </c>
      <c r="G21" s="8" t="s">
        <v>82</v>
      </c>
      <c r="H21" s="8" t="s">
        <v>92</v>
      </c>
      <c r="I21" s="5" t="s">
        <v>84</v>
      </c>
      <c r="J21" s="519" t="s">
        <v>134</v>
      </c>
      <c r="K21" s="522">
        <v>682</v>
      </c>
      <c r="L21" s="54">
        <v>686</v>
      </c>
      <c r="M21" s="54">
        <v>723</v>
      </c>
      <c r="N21" s="54">
        <v>589</v>
      </c>
      <c r="O21" s="54">
        <v>718</v>
      </c>
      <c r="P21" s="54">
        <v>684</v>
      </c>
      <c r="Q21" s="54">
        <v>848</v>
      </c>
      <c r="R21" s="54">
        <v>1072</v>
      </c>
      <c r="S21" s="54">
        <v>994</v>
      </c>
      <c r="T21" s="54">
        <v>1121</v>
      </c>
      <c r="U21" s="54">
        <v>1049</v>
      </c>
      <c r="V21" s="54">
        <v>1044</v>
      </c>
      <c r="W21" s="54">
        <v>1160.3699999999999</v>
      </c>
      <c r="X21" s="523">
        <v>888.29</v>
      </c>
      <c r="Y21" s="54">
        <f>'Janitza data '!O458</f>
        <v>964.51</v>
      </c>
      <c r="Z21" s="54">
        <f>IF(ISNUMBER('Janitza data '!P458),('Janitza data '!P458)," ")</f>
        <v>1073.17</v>
      </c>
      <c r="AA21" s="54">
        <f>IF(ISNUMBER('Janitza data '!Q458),('Janitza data '!Q458)," ")</f>
        <v>1361.95</v>
      </c>
      <c r="AB21" s="54">
        <f>IF(ISNUMBER('Janitza data '!R458),('Janitza data '!R458)," ")</f>
        <v>981.94</v>
      </c>
      <c r="AC21" s="54">
        <f>IF(ISNUMBER('Janitza data '!S458),('Janitza data '!S458)," ")</f>
        <v>1276.69</v>
      </c>
      <c r="AD21" s="54">
        <f>IF(ISNUMBER('Janitza data '!T458),('Janitza data '!T458)," ")</f>
        <v>1219.19</v>
      </c>
      <c r="AE21" s="54">
        <f>IF(ISNUMBER('Janitza data '!U458),('Janitza data '!U458)," ")</f>
        <v>1173.03</v>
      </c>
      <c r="AF21" s="54">
        <f>IF(ISNUMBER('Janitza data '!V458),('Janitza data '!V458)," ")</f>
        <v>1318.63</v>
      </c>
      <c r="AG21" s="54">
        <f>IF(ISNUMBER('Janitza data '!W458),('Janitza data '!W458)," ")</f>
        <v>1198.3699999999999</v>
      </c>
      <c r="AH21" s="54">
        <f>IF(ISNUMBER('Janitza data '!X458),('Janitza data '!X458)," ")</f>
        <v>1215.6400000000001</v>
      </c>
      <c r="AI21" s="54">
        <f>IF(ISNUMBER('Janitza data '!Y458),('Janitza data '!Y458)," ")</f>
        <v>579.16999999999996</v>
      </c>
      <c r="AJ21" s="54">
        <f>IF(ISNUMBER('Janitza data '!Z458),('Janitza data '!Z458)," ")</f>
        <v>469.74</v>
      </c>
      <c r="AK21" s="54">
        <f>IF(ISNUMBER('Janitza data '!AA458),('Janitza data '!AA458)," ")</f>
        <v>533.38</v>
      </c>
      <c r="AL21" s="54">
        <f>IF(ISNUMBER('Janitza data '!AB458),('Janitza data '!AB458)," ")</f>
        <v>580.14</v>
      </c>
      <c r="AM21" s="54">
        <f>IF(ISNUMBER('Janitza data '!AC458),('Janitza data '!AC458)," ")</f>
        <v>554.58000000000004</v>
      </c>
      <c r="AN21" s="54">
        <f>IF(ISNUMBER('Janitza data '!AD458),('Janitza data '!AD458)," ")</f>
        <v>568.16</v>
      </c>
      <c r="AO21" s="54">
        <f>IF(ISNUMBER('Janitza data '!AE458),('Janitza data '!AE458)," ")</f>
        <v>653.73</v>
      </c>
      <c r="AP21" s="54">
        <f>IF(ISNUMBER('Janitza data '!AF458),('Janitza data '!AF458)," ")</f>
        <v>531.83000000000004</v>
      </c>
      <c r="AQ21" s="54">
        <f>IF(ISNUMBER('Janitza data '!AG458),('Janitza data '!AG458)," ")</f>
        <v>617.34</v>
      </c>
      <c r="AR21" s="54">
        <f>IF(ISNUMBER('Janitza data '!AH458),('Janitza data '!AH458)," ")</f>
        <v>551.52</v>
      </c>
      <c r="AS21" s="54">
        <f>IF(ISNUMBER('Janitza data '!AI458),('Janitza data '!AI458)," ")</f>
        <v>540.49</v>
      </c>
      <c r="AT21" s="54">
        <f>IF(ISNUMBER('Janitza data '!AJ458),('Janitza data '!AJ458)," ")</f>
        <v>156.71</v>
      </c>
      <c r="AU21" s="54" t="str">
        <f>IF(ISNUMBER('Janitza data '!AK458),('Janitza data '!AK458)," ")</f>
        <v xml:space="preserve"> </v>
      </c>
      <c r="AV21" s="54" t="str">
        <f>IF(ISNUMBER('Janitza data '!AL458),('Janitza data '!AL458)," ")</f>
        <v xml:space="preserve"> </v>
      </c>
    </row>
    <row r="22" spans="1:48" ht="15.6">
      <c r="A22" s="544" t="s">
        <v>72</v>
      </c>
      <c r="B22" s="5" t="s">
        <v>135</v>
      </c>
      <c r="C22" s="535">
        <f t="shared" ca="1" si="0"/>
        <v>241.63</v>
      </c>
      <c r="D22" s="55" t="s">
        <v>74</v>
      </c>
      <c r="E22" s="7" t="s">
        <v>80</v>
      </c>
      <c r="F22" s="8" t="s">
        <v>136</v>
      </c>
      <c r="G22" s="8" t="s">
        <v>82</v>
      </c>
      <c r="H22" s="8" t="s">
        <v>92</v>
      </c>
      <c r="I22" s="5" t="s">
        <v>84</v>
      </c>
      <c r="J22" s="519" t="s">
        <v>137</v>
      </c>
      <c r="K22" s="522">
        <v>379</v>
      </c>
      <c r="L22" s="54">
        <v>151</v>
      </c>
      <c r="M22" s="54">
        <v>456</v>
      </c>
      <c r="N22" s="54">
        <v>490</v>
      </c>
      <c r="O22" s="54">
        <v>455</v>
      </c>
      <c r="P22" s="54">
        <v>559</v>
      </c>
      <c r="Q22" s="54">
        <v>1433</v>
      </c>
      <c r="R22" s="54">
        <v>1207</v>
      </c>
      <c r="S22" s="54">
        <v>1593</v>
      </c>
      <c r="T22" s="54">
        <v>1014</v>
      </c>
      <c r="U22" s="54">
        <v>742</v>
      </c>
      <c r="V22" s="54">
        <v>685</v>
      </c>
      <c r="W22" s="54">
        <v>370.51</v>
      </c>
      <c r="X22" s="523">
        <v>307.36</v>
      </c>
      <c r="Y22" s="54">
        <f>'Janitza data '!O459</f>
        <v>486.66</v>
      </c>
      <c r="Z22" s="54">
        <f>IF(ISNUMBER('Janitza data '!P459),('Janitza data '!P459)," ")</f>
        <v>702.51</v>
      </c>
      <c r="AA22" s="54">
        <f>IF(ISNUMBER('Janitza data '!Q459),('Janitza data '!Q459)," ")</f>
        <v>861.1</v>
      </c>
      <c r="AB22" s="54">
        <f>IF(ISNUMBER('Janitza data '!R459),('Janitza data '!R459)," ")</f>
        <v>1180.24</v>
      </c>
      <c r="AC22" s="54">
        <f>IF(ISNUMBER('Janitza data '!S459),('Janitza data '!S459)," ")</f>
        <v>1302.69</v>
      </c>
      <c r="AD22" s="54">
        <f>IF(ISNUMBER('Janitza data '!T459),('Janitza data '!T459)," ")</f>
        <v>1556.38</v>
      </c>
      <c r="AE22" s="54">
        <f>IF(ISNUMBER('Janitza data '!U459),('Janitza data '!U459)," ")</f>
        <v>1672.9</v>
      </c>
      <c r="AF22" s="54">
        <f>IF(ISNUMBER('Janitza data '!V459),('Janitza data '!V459)," ")</f>
        <v>2067.6</v>
      </c>
      <c r="AG22" s="54">
        <f>IF(ISNUMBER('Janitza data '!W459),('Janitza data '!W459)," ")</f>
        <v>1320.16</v>
      </c>
      <c r="AH22" s="54">
        <f>IF(ISNUMBER('Janitza data '!X459),('Janitza data '!X459)," ")</f>
        <v>1088.9100000000001</v>
      </c>
      <c r="AI22" s="54">
        <f>IF(ISNUMBER('Janitza data '!Y459),('Janitza data '!Y459)," ")</f>
        <v>912.18</v>
      </c>
      <c r="AJ22" s="54">
        <f>IF(ISNUMBER('Janitza data '!Z459),('Janitza data '!Z459)," ")</f>
        <v>551.29999999999995</v>
      </c>
      <c r="AK22" s="54">
        <f>IF(ISNUMBER('Janitza data '!AA459),('Janitza data '!AA459)," ")</f>
        <v>655.05999999999995</v>
      </c>
      <c r="AL22" s="54">
        <f>IF(ISNUMBER('Janitza data '!AB459),('Janitza data '!AB459)," ")</f>
        <v>470.43</v>
      </c>
      <c r="AM22" s="54">
        <f>IF(ISNUMBER('Janitza data '!AC459),('Janitza data '!AC459)," ")</f>
        <v>623.5</v>
      </c>
      <c r="AN22" s="54">
        <f>IF(ISNUMBER('Janitza data '!AD459),('Janitza data '!AD459)," ")</f>
        <v>750.98</v>
      </c>
      <c r="AO22" s="54">
        <f>IF(ISNUMBER('Janitza data '!AE459),('Janitza data '!AE459)," ")</f>
        <v>1080.74</v>
      </c>
      <c r="AP22" s="54">
        <f>IF(ISNUMBER('Janitza data '!AF459),('Janitza data '!AF459)," ")</f>
        <v>1122.8599999999999</v>
      </c>
      <c r="AQ22" s="54">
        <f>IF(ISNUMBER('Janitza data '!AG459),('Janitza data '!AG459)," ")</f>
        <v>926.88</v>
      </c>
      <c r="AR22" s="54">
        <f>IF(ISNUMBER('Janitza data '!AH459),('Janitza data '!AH459)," ")</f>
        <v>1258.8</v>
      </c>
      <c r="AS22" s="54">
        <f>IF(ISNUMBER('Janitza data '!AI459),('Janitza data '!AI459)," ")</f>
        <v>674.59</v>
      </c>
      <c r="AT22" s="54">
        <f>IF(ISNUMBER('Janitza data '!AJ459),('Janitza data '!AJ459)," ")</f>
        <v>241.63</v>
      </c>
      <c r="AU22" s="54" t="str">
        <f>IF(ISNUMBER('Janitza data '!AK459),('Janitza data '!AK459)," ")</f>
        <v xml:space="preserve"> </v>
      </c>
      <c r="AV22" s="54" t="str">
        <f>IF(ISNUMBER('Janitza data '!AL459),('Janitza data '!AL459)," ")</f>
        <v xml:space="preserve"> </v>
      </c>
    </row>
    <row r="23" spans="1:48" ht="15.6">
      <c r="A23" s="544" t="s">
        <v>72</v>
      </c>
      <c r="B23" s="5" t="s">
        <v>138</v>
      </c>
      <c r="C23" s="535">
        <f t="shared" ca="1" si="0"/>
        <v>1195.71</v>
      </c>
      <c r="D23" s="55" t="s">
        <v>74</v>
      </c>
      <c r="E23" s="7" t="s">
        <v>80</v>
      </c>
      <c r="F23" s="8" t="s">
        <v>139</v>
      </c>
      <c r="G23" s="8" t="s">
        <v>82</v>
      </c>
      <c r="H23" s="8" t="s">
        <v>92</v>
      </c>
      <c r="I23" s="5" t="s">
        <v>84</v>
      </c>
      <c r="J23" s="519" t="s">
        <v>140</v>
      </c>
      <c r="K23" s="522">
        <v>3367</v>
      </c>
      <c r="L23" s="54">
        <v>2348</v>
      </c>
      <c r="M23" s="54">
        <v>2219</v>
      </c>
      <c r="N23" s="54">
        <v>2811</v>
      </c>
      <c r="O23" s="54">
        <v>2769</v>
      </c>
      <c r="P23" s="54">
        <v>3467</v>
      </c>
      <c r="Q23" s="54">
        <v>5258</v>
      </c>
      <c r="R23" s="54">
        <v>6745</v>
      </c>
      <c r="S23" s="54">
        <v>7330</v>
      </c>
      <c r="T23" s="54">
        <v>5596</v>
      </c>
      <c r="U23" s="54">
        <v>5144</v>
      </c>
      <c r="V23" s="54">
        <v>5367</v>
      </c>
      <c r="W23" s="54">
        <v>3281.73</v>
      </c>
      <c r="X23" s="523">
        <v>3336.58</v>
      </c>
      <c r="Y23" s="54">
        <f>'Janitza data '!O460</f>
        <v>2396.8000000000002</v>
      </c>
      <c r="Z23" s="54">
        <f>IF(ISNUMBER('Janitza data '!P460),('Janitza data '!P460)," ")</f>
        <v>2272.4499999999998</v>
      </c>
      <c r="AA23" s="54">
        <f>IF(ISNUMBER('Janitza data '!Q460),('Janitza data '!Q460)," ")</f>
        <v>3621.54</v>
      </c>
      <c r="AB23" s="54">
        <f>IF(ISNUMBER('Janitza data '!R460),('Janitza data '!R460)," ")</f>
        <v>4058.02</v>
      </c>
      <c r="AC23" s="54">
        <f>IF(ISNUMBER('Janitza data '!S460),('Janitza data '!S460)," ")</f>
        <v>5435.07</v>
      </c>
      <c r="AD23" s="54">
        <f>IF(ISNUMBER('Janitza data '!T460),('Janitza data '!T460)," ")</f>
        <v>6349.06</v>
      </c>
      <c r="AE23" s="54">
        <f>IF(ISNUMBER('Janitza data '!U460),('Janitza data '!U460)," ")</f>
        <v>6759.3</v>
      </c>
      <c r="AF23" s="54">
        <f>IF(ISNUMBER('Janitza data '!V460),('Janitza data '!V460)," ")</f>
        <v>6845.5</v>
      </c>
      <c r="AG23" s="54">
        <f>IF(ISNUMBER('Janitza data '!W460),('Janitza data '!W460)," ")</f>
        <v>4999.17</v>
      </c>
      <c r="AH23" s="54">
        <f>IF(ISNUMBER('Janitza data '!X460),('Janitza data '!X460)," ")</f>
        <v>4725.9799999999996</v>
      </c>
      <c r="AI23" s="54">
        <f>IF(ISNUMBER('Janitza data '!Y460),('Janitza data '!Y460)," ")</f>
        <v>4022.08</v>
      </c>
      <c r="AJ23" s="54">
        <f>IF(ISNUMBER('Janitza data '!Z460),('Janitza data '!Z460)," ")</f>
        <v>3533.7</v>
      </c>
      <c r="AK23" s="54">
        <f>IF(ISNUMBER('Janitza data '!AA460),('Janitza data '!AA460)," ")</f>
        <v>3103.36</v>
      </c>
      <c r="AL23" s="54">
        <f>IF(ISNUMBER('Janitza data '!AB460),('Janitza data '!AB460)," ")</f>
        <v>3624.96</v>
      </c>
      <c r="AM23" s="54">
        <f>IF(ISNUMBER('Janitza data '!AC460),('Janitza data '!AC460)," ")</f>
        <v>4567.04</v>
      </c>
      <c r="AN23" s="54">
        <f>IF(ISNUMBER('Janitza data '!AD460),('Janitza data '!AD460)," ")</f>
        <v>4507.6499999999996</v>
      </c>
      <c r="AO23" s="54">
        <f>IF(ISNUMBER('Janitza data '!AE460),('Janitza data '!AE460)," ")</f>
        <v>6333.57</v>
      </c>
      <c r="AP23" s="54">
        <f>IF(ISNUMBER('Janitza data '!AF460),('Janitza data '!AF460)," ")</f>
        <v>5999.97</v>
      </c>
      <c r="AQ23" s="54">
        <f>IF(ISNUMBER('Janitza data '!AG460),('Janitza data '!AG460)," ")</f>
        <v>6287.9</v>
      </c>
      <c r="AR23" s="54">
        <f>IF(ISNUMBER('Janitza data '!AH460),('Janitza data '!AH460)," ")</f>
        <v>6075.42</v>
      </c>
      <c r="AS23" s="54">
        <f>IF(ISNUMBER('Janitza data '!AI460),('Janitza data '!AI460)," ")</f>
        <v>4998.82</v>
      </c>
      <c r="AT23" s="54">
        <f>IF(ISNUMBER('Janitza data '!AJ460),('Janitza data '!AJ460)," ")</f>
        <v>1195.71</v>
      </c>
      <c r="AU23" s="54" t="str">
        <f>IF(ISNUMBER('Janitza data '!AK460),('Janitza data '!AK460)," ")</f>
        <v xml:space="preserve"> </v>
      </c>
      <c r="AV23" s="54" t="str">
        <f>IF(ISNUMBER('Janitza data '!AL460),('Janitza data '!AL460)," ")</f>
        <v xml:space="preserve"> </v>
      </c>
    </row>
    <row r="24" spans="1:48" ht="15.6">
      <c r="A24" s="544" t="s">
        <v>72</v>
      </c>
      <c r="B24" s="6" t="s">
        <v>141</v>
      </c>
      <c r="C24" s="535">
        <f t="shared" ca="1" si="0"/>
        <v>617.41999999999996</v>
      </c>
      <c r="D24" s="55" t="s">
        <v>74</v>
      </c>
      <c r="E24" s="7" t="s">
        <v>80</v>
      </c>
      <c r="F24" s="8" t="s">
        <v>142</v>
      </c>
      <c r="G24" s="8" t="s">
        <v>82</v>
      </c>
      <c r="H24" s="8" t="s">
        <v>92</v>
      </c>
      <c r="I24" s="5" t="s">
        <v>84</v>
      </c>
      <c r="J24" s="519" t="s">
        <v>143</v>
      </c>
      <c r="K24" s="522">
        <v>296</v>
      </c>
      <c r="L24" s="54">
        <v>220</v>
      </c>
      <c r="M24" s="54">
        <v>249</v>
      </c>
      <c r="N24" s="54">
        <v>244</v>
      </c>
      <c r="O24" s="54">
        <v>284</v>
      </c>
      <c r="P24" s="54">
        <v>224</v>
      </c>
      <c r="Q24" s="54">
        <v>360</v>
      </c>
      <c r="R24" s="54">
        <v>318</v>
      </c>
      <c r="S24" s="54">
        <v>417</v>
      </c>
      <c r="T24" s="54">
        <v>377</v>
      </c>
      <c r="U24" s="54">
        <v>379</v>
      </c>
      <c r="V24" s="54">
        <v>283</v>
      </c>
      <c r="W24" s="54">
        <v>271.91000000000003</v>
      </c>
      <c r="X24" s="523">
        <v>250.5</v>
      </c>
      <c r="Y24" s="54">
        <f>'Janitza data '!O461</f>
        <v>283.89999999999998</v>
      </c>
      <c r="Z24" s="54">
        <f>IF(ISNUMBER('Janitza data '!P461),('Janitza data '!P461)," ")</f>
        <v>292.54000000000002</v>
      </c>
      <c r="AA24" s="54">
        <f>IF(ISNUMBER('Janitza data '!Q461),('Janitza data '!Q461)," ")</f>
        <v>511.75</v>
      </c>
      <c r="AB24" s="54">
        <f>IF(ISNUMBER('Janitza data '!R461),('Janitza data '!R461)," ")</f>
        <v>525.72</v>
      </c>
      <c r="AC24" s="54">
        <f>IF(ISNUMBER('Janitza data '!S461),('Janitza data '!S461)," ")</f>
        <v>537.33000000000004</v>
      </c>
      <c r="AD24" s="54">
        <f>IF(ISNUMBER('Janitza data '!T461),('Janitza data '!T461)," ")</f>
        <v>445.35</v>
      </c>
      <c r="AE24" s="54">
        <f>IF(ISNUMBER('Janitza data '!U461),('Janitza data '!U461)," ")</f>
        <v>486.9</v>
      </c>
      <c r="AF24" s="54">
        <f>IF(ISNUMBER('Janitza data '!V461),('Janitza data '!V461)," ")</f>
        <v>587.75</v>
      </c>
      <c r="AG24" s="54">
        <f>IF(ISNUMBER('Janitza data '!W461),('Janitza data '!W461)," ")</f>
        <v>481.41</v>
      </c>
      <c r="AH24" s="54">
        <f>IF(ISNUMBER('Janitza data '!X461),('Janitza data '!X461)," ")</f>
        <v>514.61</v>
      </c>
      <c r="AI24" s="54">
        <f>IF(ISNUMBER('Janitza data '!Y461),('Janitza data '!Y461)," ")</f>
        <v>560.04999999999995</v>
      </c>
      <c r="AJ24" s="54">
        <f>IF(ISNUMBER('Janitza data '!Z461),('Janitza data '!Z461)," ")</f>
        <v>487.3</v>
      </c>
      <c r="AK24" s="54">
        <f>IF(ISNUMBER('Janitza data '!AA461),('Janitza data '!AA461)," ")</f>
        <v>449.16</v>
      </c>
      <c r="AL24" s="54">
        <f>IF(ISNUMBER('Janitza data '!AB461),('Janitza data '!AB461)," ")</f>
        <v>497.06</v>
      </c>
      <c r="AM24" s="54">
        <f>IF(ISNUMBER('Janitza data '!AC461),('Janitza data '!AC461)," ")</f>
        <v>942.38</v>
      </c>
      <c r="AN24" s="54">
        <f>IF(ISNUMBER('Janitza data '!AD461),('Janitza data '!AD461)," ")</f>
        <v>974.94</v>
      </c>
      <c r="AO24" s="54">
        <f>IF(ISNUMBER('Janitza data '!AE461),('Janitza data '!AE461)," ")</f>
        <v>2341.1999999999998</v>
      </c>
      <c r="AP24" s="54">
        <f>IF(ISNUMBER('Janitza data '!AF461),('Janitza data '!AF461)," ")</f>
        <v>2005.88</v>
      </c>
      <c r="AQ24" s="54">
        <f>IF(ISNUMBER('Janitza data '!AG461),('Janitza data '!AG461)," ")</f>
        <v>2209.66</v>
      </c>
      <c r="AR24" s="54">
        <f>IF(ISNUMBER('Janitza data '!AH461),('Janitza data '!AH461)," ")</f>
        <v>2034.06</v>
      </c>
      <c r="AS24" s="54">
        <f>IF(ISNUMBER('Janitza data '!AI461),('Janitza data '!AI461)," ")</f>
        <v>1784.14</v>
      </c>
      <c r="AT24" s="54">
        <f>IF(ISNUMBER('Janitza data '!AJ461),('Janitza data '!AJ461)," ")</f>
        <v>617.41999999999996</v>
      </c>
      <c r="AU24" s="54" t="str">
        <f>IF(ISNUMBER('Janitza data '!AK461),('Janitza data '!AK461)," ")</f>
        <v xml:space="preserve"> </v>
      </c>
      <c r="AV24" s="54" t="str">
        <f>IF(ISNUMBER('Janitza data '!AL461),('Janitza data '!AL461)," ")</f>
        <v xml:space="preserve"> </v>
      </c>
    </row>
    <row r="25" spans="1:48" ht="15.6">
      <c r="A25" s="544" t="s">
        <v>72</v>
      </c>
      <c r="B25" s="338" t="s">
        <v>144</v>
      </c>
      <c r="C25" s="535">
        <f t="shared" ca="1" si="0"/>
        <v>512.82999999999993</v>
      </c>
      <c r="D25" s="55" t="s">
        <v>74</v>
      </c>
      <c r="E25" s="7" t="s">
        <v>75</v>
      </c>
      <c r="F25" s="8"/>
      <c r="G25" s="8"/>
      <c r="H25" s="8"/>
      <c r="I25" s="5"/>
      <c r="J25" s="519"/>
      <c r="K25" s="524">
        <f>IF(ISNUMBER(K24),K24-K26-K27," ")</f>
        <v>208</v>
      </c>
      <c r="L25" s="56">
        <f>IF(ISNUMBER(L24),L24-L26-L27," ")</f>
        <v>145</v>
      </c>
      <c r="M25" s="56">
        <f>IF(ISNUMBER(M24),M24-M26-M27," ")</f>
        <v>163</v>
      </c>
      <c r="N25" s="56">
        <f t="shared" ref="N25:AB25" si="1">IF(ISNUMBER(N24),N24-N26-N27," ")</f>
        <v>142</v>
      </c>
      <c r="O25" s="56">
        <f t="shared" si="1"/>
        <v>190</v>
      </c>
      <c r="P25" s="56">
        <f t="shared" si="1"/>
        <v>144</v>
      </c>
      <c r="Q25" s="56">
        <f t="shared" si="1"/>
        <v>273</v>
      </c>
      <c r="R25" s="56">
        <f t="shared" si="1"/>
        <v>239</v>
      </c>
      <c r="S25" s="56">
        <f t="shared" si="1"/>
        <v>333</v>
      </c>
      <c r="T25" s="56">
        <f t="shared" si="1"/>
        <v>290</v>
      </c>
      <c r="U25" s="56">
        <f t="shared" si="1"/>
        <v>240</v>
      </c>
      <c r="V25" s="56">
        <f t="shared" si="1"/>
        <v>150</v>
      </c>
      <c r="W25" s="56">
        <f t="shared" si="1"/>
        <v>134.26000000000005</v>
      </c>
      <c r="X25" s="56">
        <f t="shared" si="1"/>
        <v>54.179999999999978</v>
      </c>
      <c r="Y25" s="56">
        <f t="shared" si="1"/>
        <v>148.62</v>
      </c>
      <c r="Z25" s="56">
        <f t="shared" si="1"/>
        <v>147.34000000000003</v>
      </c>
      <c r="AA25" s="56">
        <f t="shared" si="1"/>
        <v>295.91999999999996</v>
      </c>
      <c r="AB25" s="56">
        <f t="shared" si="1"/>
        <v>410.88000000000005</v>
      </c>
      <c r="AC25" s="56">
        <f t="shared" ref="AC25:AO25" si="2">IF(ISNUMBER(AC24),AC24-AC26-AC27," ")</f>
        <v>384.32000000000005</v>
      </c>
      <c r="AD25" s="56">
        <f t="shared" si="2"/>
        <v>262.13</v>
      </c>
      <c r="AE25" s="56">
        <f t="shared" si="2"/>
        <v>313.05999999999995</v>
      </c>
      <c r="AF25" s="56">
        <f t="shared" si="2"/>
        <v>464.23999999999995</v>
      </c>
      <c r="AG25" s="56">
        <f t="shared" si="2"/>
        <v>379.90000000000003</v>
      </c>
      <c r="AH25" s="56">
        <f t="shared" si="2"/>
        <v>405.09</v>
      </c>
      <c r="AI25" s="56">
        <f t="shared" si="2"/>
        <v>429.7299999999999</v>
      </c>
      <c r="AJ25" s="56">
        <f t="shared" si="2"/>
        <v>407.35</v>
      </c>
      <c r="AK25" s="56">
        <f t="shared" si="2"/>
        <v>330.23</v>
      </c>
      <c r="AL25" s="56">
        <f t="shared" si="2"/>
        <v>288.79000000000002</v>
      </c>
      <c r="AM25" s="56">
        <f t="shared" si="2"/>
        <v>766.96</v>
      </c>
      <c r="AN25" s="56">
        <f t="shared" si="2"/>
        <v>803.05000000000007</v>
      </c>
      <c r="AO25" s="56">
        <f t="shared" si="2"/>
        <v>2174.58</v>
      </c>
      <c r="AP25" s="56">
        <f t="shared" ref="AP25:AQ25" si="3">IF(ISNUMBER(AP24),AP24-AP26-AP27," ")</f>
        <v>1912.8100000000002</v>
      </c>
      <c r="AQ25" s="56">
        <f t="shared" si="3"/>
        <v>2033.6399999999999</v>
      </c>
      <c r="AR25" s="56">
        <f t="shared" ref="AR25:AV25" si="4">IF(ISNUMBER(AR24),AR24-AR26-AR27," ")</f>
        <v>1512.45</v>
      </c>
      <c r="AS25" s="56">
        <f t="shared" si="4"/>
        <v>1614.09</v>
      </c>
      <c r="AT25" s="56">
        <f t="shared" si="4"/>
        <v>512.82999999999993</v>
      </c>
      <c r="AU25" s="56" t="str">
        <f t="shared" si="4"/>
        <v xml:space="preserve"> </v>
      </c>
      <c r="AV25" s="56" t="str">
        <f t="shared" si="4"/>
        <v xml:space="preserve"> </v>
      </c>
    </row>
    <row r="26" spans="1:48" ht="15.6">
      <c r="A26" s="544" t="s">
        <v>72</v>
      </c>
      <c r="B26" s="225" t="s">
        <v>145</v>
      </c>
      <c r="C26" s="535">
        <f t="shared" ca="1" si="0"/>
        <v>0</v>
      </c>
      <c r="D26" s="55" t="s">
        <v>74</v>
      </c>
      <c r="E26" s="7" t="s">
        <v>80</v>
      </c>
      <c r="F26" s="8" t="s">
        <v>146</v>
      </c>
      <c r="G26" s="8" t="s">
        <v>82</v>
      </c>
      <c r="H26" s="8" t="s">
        <v>92</v>
      </c>
      <c r="I26" s="5" t="s">
        <v>84</v>
      </c>
      <c r="J26" s="519" t="s">
        <v>147</v>
      </c>
      <c r="K26" s="522">
        <v>2</v>
      </c>
      <c r="L26" s="54">
        <v>0</v>
      </c>
      <c r="M26" s="54">
        <v>1</v>
      </c>
      <c r="N26" s="54">
        <v>1</v>
      </c>
      <c r="O26" s="54">
        <v>0</v>
      </c>
      <c r="P26" s="54">
        <v>0</v>
      </c>
      <c r="Q26" s="54">
        <v>0</v>
      </c>
      <c r="R26" s="54">
        <v>2</v>
      </c>
      <c r="S26" s="54">
        <v>0</v>
      </c>
      <c r="T26" s="54">
        <v>0</v>
      </c>
      <c r="U26" s="54">
        <v>0</v>
      </c>
      <c r="V26" s="54">
        <v>0</v>
      </c>
      <c r="W26" s="54">
        <v>0.14000000000000001</v>
      </c>
      <c r="X26" s="523">
        <v>1.52</v>
      </c>
      <c r="Y26" s="54">
        <f>'Janitza data '!O435</f>
        <v>0.9</v>
      </c>
      <c r="Z26" s="54">
        <f>IF(ISNUMBER('Janitza data '!P435),('Janitza data '!P435)," ")</f>
        <v>2.15</v>
      </c>
      <c r="AA26" s="54">
        <f>IF(ISNUMBER('Janitza data '!Q435),('Janitza data '!Q435)," ")</f>
        <v>14.3</v>
      </c>
      <c r="AB26" s="54">
        <f>IF(ISNUMBER('Janitza data '!R435),('Janitza data '!R435)," ")</f>
        <v>2.77</v>
      </c>
      <c r="AC26" s="54">
        <f>IF(ISNUMBER('Janitza data '!S435),('Janitza data '!S435)," ")</f>
        <v>2.86</v>
      </c>
      <c r="AD26" s="54">
        <f>IF(ISNUMBER('Janitza data '!T435),('Janitza data '!T435)," ")</f>
        <v>0.01</v>
      </c>
      <c r="AE26" s="54">
        <f>IF(ISNUMBER('Janitza data '!U435),('Janitza data '!U435)," ")</f>
        <v>0</v>
      </c>
      <c r="AF26" s="54">
        <f>IF(ISNUMBER('Janitza data '!V435),('Janitza data '!V435)," ")</f>
        <v>0.08</v>
      </c>
      <c r="AG26" s="54">
        <f>IF(ISNUMBER('Janitza data '!W435),('Janitza data '!W435)," ")</f>
        <v>0.27</v>
      </c>
      <c r="AH26" s="54">
        <f>IF(ISNUMBER('Janitza data '!X435),('Janitza data '!X435)," ")</f>
        <v>0.22</v>
      </c>
      <c r="AI26" s="54">
        <f>IF(ISNUMBER('Janitza data '!Y435),('Janitza data '!Y435)," ")</f>
        <v>0.57999999999999996</v>
      </c>
      <c r="AJ26" s="54">
        <f>IF(ISNUMBER('Janitza data '!Z435),('Janitza data '!Z435)," ")</f>
        <v>2.44</v>
      </c>
      <c r="AK26" s="54">
        <f>IF(ISNUMBER('Janitza data '!AA435),('Janitza data '!AA435)," ")</f>
        <v>0</v>
      </c>
      <c r="AL26" s="54">
        <f>IF(ISNUMBER('Janitza data '!AB435),('Janitza data '!AB435)," ")</f>
        <v>3.7</v>
      </c>
      <c r="AM26" s="54">
        <f>IF(ISNUMBER('Janitza data '!AC435),('Janitza data '!AC435)," ")</f>
        <v>0.16</v>
      </c>
      <c r="AN26" s="54">
        <f>IF(ISNUMBER('Janitza data '!AD435),('Janitza data '!AD435)," ")</f>
        <v>0.01</v>
      </c>
      <c r="AO26" s="54">
        <f>IF(ISNUMBER('Janitza data '!AE435),('Janitza data '!AE435)," ")</f>
        <v>0</v>
      </c>
      <c r="AP26" s="54">
        <f>IF(ISNUMBER('Janitza data '!AF435),('Janitza data '!AF435)," ")</f>
        <v>0</v>
      </c>
      <c r="AQ26" s="54">
        <f>IF(ISNUMBER('Janitza data '!AG435),('Janitza data '!AG435)," ")</f>
        <v>0</v>
      </c>
      <c r="AR26" s="54">
        <f>IF(ISNUMBER('Janitza data '!AH435),('Janitza data '!AH435)," ")</f>
        <v>362.39</v>
      </c>
      <c r="AS26" s="54">
        <f>IF(ISNUMBER('Janitza data '!AI435),('Janitza data '!AI435)," ")</f>
        <v>79.41</v>
      </c>
      <c r="AT26" s="54">
        <f>IF(ISNUMBER('Janitza data '!AJ435),('Janitza data '!AJ435)," ")</f>
        <v>0</v>
      </c>
      <c r="AU26" s="54" t="str">
        <f>IF(ISNUMBER('Janitza data '!AK435),('Janitza data '!AK435)," ")</f>
        <v xml:space="preserve"> </v>
      </c>
      <c r="AV26" s="54" t="str">
        <f>IF(ISNUMBER('Janitza data '!AL435),('Janitza data '!AL435)," ")</f>
        <v xml:space="preserve"> </v>
      </c>
    </row>
    <row r="27" spans="1:48" ht="15.6">
      <c r="A27" s="544" t="s">
        <v>72</v>
      </c>
      <c r="B27" s="225" t="s">
        <v>148</v>
      </c>
      <c r="C27" s="535">
        <f t="shared" ca="1" si="0"/>
        <v>104.59</v>
      </c>
      <c r="D27" s="55" t="s">
        <v>74</v>
      </c>
      <c r="E27" s="7" t="s">
        <v>80</v>
      </c>
      <c r="F27" s="8" t="s">
        <v>149</v>
      </c>
      <c r="G27" s="8" t="s">
        <v>82</v>
      </c>
      <c r="H27" s="8" t="s">
        <v>92</v>
      </c>
      <c r="I27" s="5" t="s">
        <v>84</v>
      </c>
      <c r="J27" s="519" t="s">
        <v>150</v>
      </c>
      <c r="K27" s="522">
        <v>86</v>
      </c>
      <c r="L27" s="54">
        <v>75</v>
      </c>
      <c r="M27" s="54">
        <v>85</v>
      </c>
      <c r="N27" s="54">
        <v>101</v>
      </c>
      <c r="O27" s="54">
        <v>94</v>
      </c>
      <c r="P27" s="54">
        <v>80</v>
      </c>
      <c r="Q27" s="54">
        <v>87</v>
      </c>
      <c r="R27" s="54">
        <v>77</v>
      </c>
      <c r="S27" s="54">
        <v>84</v>
      </c>
      <c r="T27" s="54">
        <v>87</v>
      </c>
      <c r="U27" s="54">
        <v>139</v>
      </c>
      <c r="V27" s="54">
        <v>133</v>
      </c>
      <c r="W27" s="54">
        <v>137.51</v>
      </c>
      <c r="X27" s="523">
        <v>194.8</v>
      </c>
      <c r="Y27" s="54">
        <f>'Janitza data '!O436</f>
        <v>134.38</v>
      </c>
      <c r="Z27" s="54">
        <f>IF(ISNUMBER('Janitza data '!P436),('Janitza data '!P436)," ")</f>
        <v>143.05000000000001</v>
      </c>
      <c r="AA27" s="54">
        <f>IF(ISNUMBER('Janitza data '!Q436),('Janitza data '!Q436)," ")</f>
        <v>201.53</v>
      </c>
      <c r="AB27" s="54">
        <f>IF(ISNUMBER('Janitza data '!R436),('Janitza data '!R436)," ")</f>
        <v>112.07</v>
      </c>
      <c r="AC27" s="54">
        <f>IF(ISNUMBER('Janitza data '!S436),('Janitza data '!S436)," ")</f>
        <v>150.15</v>
      </c>
      <c r="AD27" s="54">
        <f>IF(ISNUMBER('Janitza data '!T436),('Janitza data '!T436)," ")</f>
        <v>183.21</v>
      </c>
      <c r="AE27" s="54">
        <f>IF(ISNUMBER('Janitza data '!U436),('Janitza data '!U436)," ")</f>
        <v>173.84</v>
      </c>
      <c r="AF27" s="54">
        <f>IF(ISNUMBER('Janitza data '!V436),('Janitza data '!V436)," ")</f>
        <v>123.43</v>
      </c>
      <c r="AG27" s="54">
        <f>IF(ISNUMBER('Janitza data '!W436),('Janitza data '!W436)," ")</f>
        <v>101.24</v>
      </c>
      <c r="AH27" s="54">
        <f>IF(ISNUMBER('Janitza data '!X436),('Janitza data '!X436)," ")</f>
        <v>109.3</v>
      </c>
      <c r="AI27" s="54">
        <f>IF(ISNUMBER('Janitza data '!Y436),('Janitza data '!Y436)," ")</f>
        <v>129.74</v>
      </c>
      <c r="AJ27" s="54">
        <f>IF(ISNUMBER('Janitza data '!Z436),('Janitza data '!Z436)," ")</f>
        <v>77.510000000000005</v>
      </c>
      <c r="AK27" s="54">
        <f>IF(ISNUMBER('Janitza data '!AA436),('Janitza data '!AA436)," ")</f>
        <v>118.93</v>
      </c>
      <c r="AL27" s="54">
        <f>IF(ISNUMBER('Janitza data '!AB436),('Janitza data '!AB436)," ")</f>
        <v>204.57</v>
      </c>
      <c r="AM27" s="54">
        <f>IF(ISNUMBER('Janitza data '!AC436),('Janitza data '!AC436)," ")</f>
        <v>175.26</v>
      </c>
      <c r="AN27" s="54">
        <f>IF(ISNUMBER('Janitza data '!AD436),('Janitza data '!AD436)," ")</f>
        <v>171.88</v>
      </c>
      <c r="AO27" s="54">
        <f>IF(ISNUMBER('Janitza data '!AE436),('Janitza data '!AE436)," ")</f>
        <v>166.62</v>
      </c>
      <c r="AP27" s="54">
        <f>IF(ISNUMBER('Janitza data '!AF436),('Janitza data '!AF436)," ")</f>
        <v>93.07</v>
      </c>
      <c r="AQ27" s="54">
        <f>IF(ISNUMBER('Janitza data '!AG436),('Janitza data '!AG436)," ")</f>
        <v>176.02</v>
      </c>
      <c r="AR27" s="54">
        <f>IF(ISNUMBER('Janitza data '!AH436),('Janitza data '!AH436)," ")</f>
        <v>159.22</v>
      </c>
      <c r="AS27" s="54">
        <f>IF(ISNUMBER('Janitza data '!AI436),('Janitza data '!AI436)," ")</f>
        <v>90.64</v>
      </c>
      <c r="AT27" s="54">
        <f>IF(ISNUMBER('Janitza data '!AJ436),('Janitza data '!AJ436)," ")</f>
        <v>104.59</v>
      </c>
      <c r="AU27" s="54" t="str">
        <f>IF(ISNUMBER('Janitza data '!AK436),('Janitza data '!AK436)," ")</f>
        <v xml:space="preserve"> </v>
      </c>
      <c r="AV27" s="54" t="str">
        <f>IF(ISNUMBER('Janitza data '!AL436),('Janitza data '!AL436)," ")</f>
        <v xml:space="preserve"> </v>
      </c>
    </row>
    <row r="28" spans="1:48" ht="15.6">
      <c r="A28" s="544" t="s">
        <v>72</v>
      </c>
      <c r="B28" s="6" t="s">
        <v>151</v>
      </c>
      <c r="C28" s="535">
        <f t="shared" ca="1" si="0"/>
        <v>280.63</v>
      </c>
      <c r="D28" s="55" t="s">
        <v>74</v>
      </c>
      <c r="E28" s="7" t="s">
        <v>80</v>
      </c>
      <c r="F28" s="8" t="s">
        <v>152</v>
      </c>
      <c r="G28" s="8" t="s">
        <v>82</v>
      </c>
      <c r="H28" s="8" t="s">
        <v>92</v>
      </c>
      <c r="I28" s="5" t="s">
        <v>84</v>
      </c>
      <c r="J28" s="519" t="s">
        <v>153</v>
      </c>
      <c r="K28" s="522">
        <v>601</v>
      </c>
      <c r="L28" s="54">
        <v>492</v>
      </c>
      <c r="M28" s="54">
        <v>539</v>
      </c>
      <c r="N28" s="54">
        <v>597</v>
      </c>
      <c r="O28" s="54">
        <v>668</v>
      </c>
      <c r="P28" s="54">
        <v>805</v>
      </c>
      <c r="Q28" s="54">
        <v>681</v>
      </c>
      <c r="R28" s="54">
        <v>818</v>
      </c>
      <c r="S28" s="54">
        <v>1029</v>
      </c>
      <c r="T28" s="54">
        <v>947</v>
      </c>
      <c r="U28" s="54">
        <v>897</v>
      </c>
      <c r="V28" s="54">
        <v>646</v>
      </c>
      <c r="W28" s="54">
        <v>596.91999999999996</v>
      </c>
      <c r="X28" s="523">
        <v>640.99</v>
      </c>
      <c r="Y28" s="54">
        <f>'Janitza data '!O462</f>
        <v>544.14</v>
      </c>
      <c r="Z28" s="54">
        <f>IF(ISNUMBER('Janitza data '!P462),('Janitza data '!P462)," ")</f>
        <v>618.32000000000005</v>
      </c>
      <c r="AA28" s="54">
        <f>IF(ISNUMBER('Janitza data '!Q462),('Janitza data '!Q462)," ")</f>
        <v>1055.6600000000001</v>
      </c>
      <c r="AB28" s="54">
        <f>IF(ISNUMBER('Janitza data '!R462),('Janitza data '!R462)," ")</f>
        <v>766.97</v>
      </c>
      <c r="AC28" s="54">
        <f>IF(ISNUMBER('Janitza data '!S462),('Janitza data '!S462)," ")</f>
        <v>1008.08</v>
      </c>
      <c r="AD28" s="54">
        <f>IF(ISNUMBER('Janitza data '!T462),('Janitza data '!T462)," ")</f>
        <v>1124.5</v>
      </c>
      <c r="AE28" s="54">
        <f>IF(ISNUMBER('Janitza data '!U462),('Janitza data '!U462)," ")</f>
        <v>1033.29</v>
      </c>
      <c r="AF28" s="54">
        <f>IF(ISNUMBER('Janitza data '!V462),('Janitza data '!V462)," ")</f>
        <v>1001.18</v>
      </c>
      <c r="AG28" s="54">
        <f>IF(ISNUMBER('Janitza data '!W462),('Janitza data '!W462)," ")</f>
        <v>879.24</v>
      </c>
      <c r="AH28" s="54">
        <f>IF(ISNUMBER('Janitza data '!X462),('Janitza data '!X462)," ")</f>
        <v>892.32</v>
      </c>
      <c r="AI28" s="54">
        <f>IF(ISNUMBER('Janitza data '!Y462),('Janitza data '!Y462)," ")</f>
        <v>971.44</v>
      </c>
      <c r="AJ28" s="54">
        <f>IF(ISNUMBER('Janitza data '!Z462),('Janitza data '!Z462)," ")</f>
        <v>788.15</v>
      </c>
      <c r="AK28" s="54">
        <f>IF(ISNUMBER('Janitza data '!AA462),('Janitza data '!AA462)," ")</f>
        <v>873.65</v>
      </c>
      <c r="AL28" s="54">
        <f>IF(ISNUMBER('Janitza data '!AB462),('Janitza data '!AB462)," ")</f>
        <v>1149.44</v>
      </c>
      <c r="AM28" s="54">
        <f>IF(ISNUMBER('Janitza data '!AC462),('Janitza data '!AC462)," ")</f>
        <v>1058.32</v>
      </c>
      <c r="AN28" s="54">
        <f>IF(ISNUMBER('Janitza data '!AD462),('Janitza data '!AD462)," ")</f>
        <v>1051.1199999999999</v>
      </c>
      <c r="AO28" s="54">
        <f>IF(ISNUMBER('Janitza data '!AE462),('Janitza data '!AE462)," ")</f>
        <v>1128.6500000000001</v>
      </c>
      <c r="AP28" s="54">
        <f>IF(ISNUMBER('Janitza data '!AF462),('Janitza data '!AF462)," ")</f>
        <v>839.36</v>
      </c>
      <c r="AQ28" s="54">
        <f>IF(ISNUMBER('Janitza data '!AG462),('Janitza data '!AG462)," ")</f>
        <v>1189.31</v>
      </c>
      <c r="AR28" s="54">
        <f>IF(ISNUMBER('Janitza data '!AH462),('Janitza data '!AH462)," ")</f>
        <v>1335.59</v>
      </c>
      <c r="AS28" s="54">
        <f>IF(ISNUMBER('Janitza data '!AI462),('Janitza data '!AI462)," ")</f>
        <v>910.61</v>
      </c>
      <c r="AT28" s="54">
        <f>IF(ISNUMBER('Janitza data '!AJ462),('Janitza data '!AJ462)," ")</f>
        <v>280.63</v>
      </c>
      <c r="AU28" s="54" t="str">
        <f>IF(ISNUMBER('Janitza data '!AK462),('Janitza data '!AK462)," ")</f>
        <v xml:space="preserve"> </v>
      </c>
      <c r="AV28" s="54" t="str">
        <f>IF(ISNUMBER('Janitza data '!AL462),('Janitza data '!AL462)," ")</f>
        <v xml:space="preserve"> </v>
      </c>
    </row>
    <row r="29" spans="1:48" ht="15.6">
      <c r="A29" s="544" t="s">
        <v>154</v>
      </c>
      <c r="B29" s="338" t="s">
        <v>155</v>
      </c>
      <c r="C29" s="535">
        <f t="shared" ca="1" si="0"/>
        <v>136.57</v>
      </c>
      <c r="D29" s="55" t="s">
        <v>74</v>
      </c>
      <c r="E29" s="7" t="s">
        <v>75</v>
      </c>
      <c r="F29" s="37"/>
      <c r="G29" s="8"/>
      <c r="H29" s="8"/>
      <c r="I29" s="5"/>
      <c r="J29" s="519"/>
      <c r="K29" s="524">
        <f>IF(ISNUMBER(K28),K28-K30-K31-K32," ")</f>
        <v>495</v>
      </c>
      <c r="L29" s="56">
        <f>IF(ISNUMBER(L28),L28-L30-L31-L32," ")</f>
        <v>403</v>
      </c>
      <c r="M29" s="56">
        <f t="shared" ref="M29:AB29" si="5">IF(ISNUMBER(M28),M28-M30-M31-M32," ")</f>
        <v>458</v>
      </c>
      <c r="N29" s="56">
        <f t="shared" si="5"/>
        <v>432</v>
      </c>
      <c r="O29" s="56">
        <f t="shared" si="5"/>
        <v>550</v>
      </c>
      <c r="P29" s="56">
        <f t="shared" si="5"/>
        <v>699</v>
      </c>
      <c r="Q29" s="56">
        <f t="shared" si="5"/>
        <v>541</v>
      </c>
      <c r="R29" s="56">
        <f t="shared" si="5"/>
        <v>689</v>
      </c>
      <c r="S29" s="56">
        <f t="shared" si="5"/>
        <v>887</v>
      </c>
      <c r="T29" s="56">
        <f t="shared" si="5"/>
        <v>803</v>
      </c>
      <c r="U29" s="56">
        <f t="shared" si="5"/>
        <v>744</v>
      </c>
      <c r="V29" s="56">
        <f t="shared" si="5"/>
        <v>513</v>
      </c>
      <c r="W29" s="56">
        <f t="shared" si="5"/>
        <v>475.63</v>
      </c>
      <c r="X29" s="56">
        <f t="shared" si="5"/>
        <v>534.71</v>
      </c>
      <c r="Y29" s="56">
        <f t="shared" si="5"/>
        <v>409.39999999999992</v>
      </c>
      <c r="Z29" s="56">
        <f t="shared" si="5"/>
        <v>478.65999999999997</v>
      </c>
      <c r="AA29" s="56">
        <f t="shared" si="5"/>
        <v>892.44000000000017</v>
      </c>
      <c r="AB29" s="56">
        <f t="shared" si="5"/>
        <v>643.89</v>
      </c>
      <c r="AC29" s="56">
        <f t="shared" ref="AC29:AO29" si="6">IF(ISNUMBER(AC28),AC28-AC30-AC31-AC32," ")</f>
        <v>839.1400000000001</v>
      </c>
      <c r="AD29" s="56">
        <f t="shared" si="6"/>
        <v>1000.96</v>
      </c>
      <c r="AE29" s="56">
        <f t="shared" si="6"/>
        <v>907.9899999999999</v>
      </c>
      <c r="AF29" s="56">
        <f t="shared" si="6"/>
        <v>843.17</v>
      </c>
      <c r="AG29" s="56">
        <f t="shared" si="6"/>
        <v>726.91000000000008</v>
      </c>
      <c r="AH29" s="56">
        <f t="shared" si="6"/>
        <v>750.17000000000007</v>
      </c>
      <c r="AI29" s="56">
        <f t="shared" si="6"/>
        <v>821.04000000000008</v>
      </c>
      <c r="AJ29" s="56">
        <f t="shared" si="6"/>
        <v>662.2</v>
      </c>
      <c r="AK29" s="56">
        <f t="shared" si="6"/>
        <v>742.22</v>
      </c>
      <c r="AL29" s="56">
        <f t="shared" si="6"/>
        <v>1011.3800000000001</v>
      </c>
      <c r="AM29" s="56">
        <f t="shared" si="6"/>
        <v>924.26</v>
      </c>
      <c r="AN29" s="56">
        <f t="shared" si="6"/>
        <v>913.44999999999982</v>
      </c>
      <c r="AO29" s="56">
        <f t="shared" si="6"/>
        <v>981.32000000000016</v>
      </c>
      <c r="AP29" s="56">
        <f t="shared" ref="AP29:AQ29" si="7">IF(ISNUMBER(AP28),AP28-AP30-AP31-AP32," ")</f>
        <v>709.2700000000001</v>
      </c>
      <c r="AQ29" s="56">
        <f t="shared" si="7"/>
        <v>1016.15</v>
      </c>
      <c r="AR29" s="56">
        <f t="shared" ref="AR29:AV29" si="8">IF(ISNUMBER(AR28),AR28-AR30-AR31-AR32," ")</f>
        <v>1152.9599999999998</v>
      </c>
      <c r="AS29" s="56">
        <f t="shared" si="8"/>
        <v>768.89</v>
      </c>
      <c r="AT29" s="56">
        <f t="shared" si="8"/>
        <v>136.57</v>
      </c>
      <c r="AU29" s="56" t="str">
        <f t="shared" si="8"/>
        <v xml:space="preserve"> </v>
      </c>
      <c r="AV29" s="56" t="str">
        <f t="shared" si="8"/>
        <v xml:space="preserve"> </v>
      </c>
    </row>
    <row r="30" spans="1:48" ht="15.6">
      <c r="A30" s="544" t="s">
        <v>72</v>
      </c>
      <c r="B30" s="225" t="s">
        <v>156</v>
      </c>
      <c r="C30" s="535">
        <f t="shared" ca="1" si="0"/>
        <v>63.06</v>
      </c>
      <c r="D30" s="55" t="s">
        <v>74</v>
      </c>
      <c r="E30" s="7" t="s">
        <v>80</v>
      </c>
      <c r="F30" s="37" t="s">
        <v>157</v>
      </c>
      <c r="G30" s="8" t="s">
        <v>82</v>
      </c>
      <c r="H30" s="8" t="s">
        <v>92</v>
      </c>
      <c r="I30" s="5" t="s">
        <v>84</v>
      </c>
      <c r="J30" s="519" t="s">
        <v>158</v>
      </c>
      <c r="K30" s="522">
        <v>65</v>
      </c>
      <c r="L30" s="54">
        <v>43</v>
      </c>
      <c r="M30" s="54">
        <v>41</v>
      </c>
      <c r="N30" s="54">
        <v>62</v>
      </c>
      <c r="O30" s="54">
        <v>61</v>
      </c>
      <c r="P30" s="54">
        <v>51</v>
      </c>
      <c r="Q30" s="54">
        <v>60</v>
      </c>
      <c r="R30" s="54">
        <v>52</v>
      </c>
      <c r="S30" s="54">
        <v>67</v>
      </c>
      <c r="T30" s="54">
        <v>64</v>
      </c>
      <c r="U30" s="54">
        <v>69</v>
      </c>
      <c r="V30" s="54">
        <v>66</v>
      </c>
      <c r="W30" s="54">
        <v>48.87</v>
      </c>
      <c r="X30" s="523">
        <v>49.49</v>
      </c>
      <c r="Y30" s="54">
        <f>'Janitza data '!O432</f>
        <v>0.19</v>
      </c>
      <c r="Z30" s="54">
        <f>IF(ISNUMBER('Janitza data '!P432),('Janitza data '!P432)," ")</f>
        <v>57.46</v>
      </c>
      <c r="AA30" s="54">
        <f>IF(ISNUMBER('Janitza data '!Q432),('Janitza data '!Q432)," ")</f>
        <v>69.27</v>
      </c>
      <c r="AB30" s="54">
        <f>IF(ISNUMBER('Janitza data '!R432),('Janitza data '!R432)," ")</f>
        <v>49.89</v>
      </c>
      <c r="AC30" s="54">
        <f>IF(ISNUMBER('Janitza data '!S432),('Janitza data '!S432)," ")</f>
        <v>71.28</v>
      </c>
      <c r="AD30" s="54">
        <f>IF(ISNUMBER('Janitza data '!T432),('Janitza data '!T432)," ")</f>
        <v>62.98</v>
      </c>
      <c r="AE30" s="54">
        <f>IF(ISNUMBER('Janitza data '!U432),('Janitza data '!U432)," ")</f>
        <v>47.71</v>
      </c>
      <c r="AF30" s="54">
        <f>IF(ISNUMBER('Janitza data '!V432),('Janitza data '!V432)," ")</f>
        <v>72.88</v>
      </c>
      <c r="AG30" s="54">
        <f>IF(ISNUMBER('Janitza data '!W432),('Janitza data '!W432)," ")</f>
        <v>66.36</v>
      </c>
      <c r="AH30" s="54">
        <f>IF(ISNUMBER('Janitza data '!X432),('Janitza data '!X432)," ")</f>
        <v>68.55</v>
      </c>
      <c r="AI30" s="54">
        <f>IF(ISNUMBER('Janitza data '!Y432),('Janitza data '!Y432)," ")</f>
        <v>68.14</v>
      </c>
      <c r="AJ30" s="54">
        <f>IF(ISNUMBER('Janitza data '!Z432),('Janitza data '!Z432)," ")</f>
        <v>43.51</v>
      </c>
      <c r="AK30" s="54">
        <f>IF(ISNUMBER('Janitza data '!AA432),('Janitza data '!AA432)," ")</f>
        <v>50.51</v>
      </c>
      <c r="AL30" s="54">
        <f>IF(ISNUMBER('Janitza data '!AB432),('Janitza data '!AB432)," ")</f>
        <v>56.51</v>
      </c>
      <c r="AM30" s="54">
        <f>IF(ISNUMBER('Janitza data '!AC432),('Janitza data '!AC432)," ")</f>
        <v>50.05</v>
      </c>
      <c r="AN30" s="54">
        <f>IF(ISNUMBER('Janitza data '!AD432),('Janitza data '!AD432)," ")</f>
        <v>59.69</v>
      </c>
      <c r="AO30" s="54">
        <f>IF(ISNUMBER('Janitza data '!AE432),('Janitza data '!AE432)," ")</f>
        <v>72.28</v>
      </c>
      <c r="AP30" s="54">
        <f>IF(ISNUMBER('Janitza data '!AF432),('Janitza data '!AF432)," ")</f>
        <v>53.65</v>
      </c>
      <c r="AQ30" s="54">
        <f>IF(ISNUMBER('Janitza data '!AG432),('Janitza data '!AG432)," ")</f>
        <v>68.989999999999995</v>
      </c>
      <c r="AR30" s="54">
        <f>IF(ISNUMBER('Janitza data '!AH432),('Janitza data '!AH432)," ")</f>
        <v>62.67</v>
      </c>
      <c r="AS30" s="54">
        <f>IF(ISNUMBER('Janitza data '!AI432),('Janitza data '!AI432)," ")</f>
        <v>49.97</v>
      </c>
      <c r="AT30" s="54">
        <f>IF(ISNUMBER('Janitza data '!AJ432),('Janitza data '!AJ432)," ")</f>
        <v>63.06</v>
      </c>
      <c r="AU30" s="54" t="str">
        <f>IF(ISNUMBER('Janitza data '!AK432),('Janitza data '!AK432)," ")</f>
        <v xml:space="preserve"> </v>
      </c>
      <c r="AV30" s="54" t="str">
        <f>IF(ISNUMBER('Janitza data '!AL432),('Janitza data '!AL432)," ")</f>
        <v xml:space="preserve"> </v>
      </c>
    </row>
    <row r="31" spans="1:48" ht="15.6">
      <c r="A31" s="544" t="s">
        <v>72</v>
      </c>
      <c r="B31" s="225" t="s">
        <v>159</v>
      </c>
      <c r="C31" s="535">
        <f t="shared" ca="1" si="0"/>
        <v>0.01</v>
      </c>
      <c r="D31" s="55" t="s">
        <v>74</v>
      </c>
      <c r="E31" s="7" t="s">
        <v>80</v>
      </c>
      <c r="F31" s="8" t="s">
        <v>160</v>
      </c>
      <c r="G31" s="8" t="s">
        <v>82</v>
      </c>
      <c r="H31" s="8" t="s">
        <v>92</v>
      </c>
      <c r="I31" s="5" t="s">
        <v>84</v>
      </c>
      <c r="J31" s="519" t="s">
        <v>161</v>
      </c>
      <c r="K31" s="522">
        <v>0</v>
      </c>
      <c r="L31" s="54">
        <v>0</v>
      </c>
      <c r="M31" s="54">
        <v>0</v>
      </c>
      <c r="N31" s="54">
        <v>0</v>
      </c>
      <c r="O31" s="54">
        <v>0</v>
      </c>
      <c r="P31" s="54">
        <v>0</v>
      </c>
      <c r="Q31" s="54">
        <v>0</v>
      </c>
      <c r="R31" s="54">
        <v>0</v>
      </c>
      <c r="S31" s="54">
        <v>0</v>
      </c>
      <c r="T31" s="54">
        <v>0</v>
      </c>
      <c r="U31" s="54">
        <v>0</v>
      </c>
      <c r="V31" s="54">
        <v>0</v>
      </c>
      <c r="W31" s="54">
        <v>0.14000000000000001</v>
      </c>
      <c r="X31" s="523">
        <v>0.06</v>
      </c>
      <c r="Y31" s="54">
        <f>'Janitza data '!O433</f>
        <v>79.44</v>
      </c>
      <c r="Z31" s="54">
        <f>IF(ISNUMBER('Janitza data '!P433),('Janitza data '!P433)," ")</f>
        <v>0.2</v>
      </c>
      <c r="AA31" s="54">
        <f>IF(ISNUMBER('Janitza data '!Q433),('Janitza data '!Q433)," ")</f>
        <v>0.17</v>
      </c>
      <c r="AB31" s="54">
        <f>IF(ISNUMBER('Janitza data '!R433),('Janitza data '!R433)," ")</f>
        <v>0.11</v>
      </c>
      <c r="AC31" s="54">
        <f>IF(ISNUMBER('Janitza data '!S433),('Janitza data '!S433)," ")</f>
        <v>0.34</v>
      </c>
      <c r="AD31" s="54">
        <f>IF(ISNUMBER('Janitza data '!T433),('Janitza data '!T433)," ")</f>
        <v>0.1</v>
      </c>
      <c r="AE31" s="54">
        <f>IF(ISNUMBER('Janitza data '!U433),('Janitza data '!U433)," ")</f>
        <v>0.11</v>
      </c>
      <c r="AF31" s="54">
        <f>IF(ISNUMBER('Janitza data '!V433),('Janitza data '!V433)," ")</f>
        <v>0.17</v>
      </c>
      <c r="AG31" s="54">
        <f>IF(ISNUMBER('Janitza data '!W433),('Janitza data '!W433)," ")</f>
        <v>0.18</v>
      </c>
      <c r="AH31" s="54">
        <f>IF(ISNUMBER('Janitza data '!X433),('Janitza data '!X433)," ")</f>
        <v>0.11</v>
      </c>
      <c r="AI31" s="54">
        <f>IF(ISNUMBER('Janitza data '!Y433),('Janitza data '!Y433)," ")</f>
        <v>0.11</v>
      </c>
      <c r="AJ31" s="54">
        <f>IF(ISNUMBER('Janitza data '!Z433),('Janitza data '!Z433)," ")</f>
        <v>0.12</v>
      </c>
      <c r="AK31" s="54">
        <f>IF(ISNUMBER('Janitza data '!AA433),('Janitza data '!AA433)," ")</f>
        <v>0.06</v>
      </c>
      <c r="AL31" s="54">
        <f>IF(ISNUMBER('Janitza data '!AB433),('Janitza data '!AB433)," ")</f>
        <v>0.03</v>
      </c>
      <c r="AM31" s="54">
        <f>IF(ISNUMBER('Janitza data '!AC433),('Janitza data '!AC433)," ")</f>
        <v>0.03</v>
      </c>
      <c r="AN31" s="54">
        <f>IF(ISNUMBER('Janitza data '!AD433),('Janitza data '!AD433)," ")</f>
        <v>0.05</v>
      </c>
      <c r="AO31" s="54">
        <f>IF(ISNUMBER('Janitza data '!AE433),('Janitza data '!AE433)," ")</f>
        <v>0.02</v>
      </c>
      <c r="AP31" s="54">
        <f>IF(ISNUMBER('Janitza data '!AF433),('Janitza data '!AF433)," ")</f>
        <v>0.02</v>
      </c>
      <c r="AQ31" s="54">
        <f>IF(ISNUMBER('Janitza data '!AG433),('Janitza data '!AG433)," ")</f>
        <v>7.0000000000000007E-2</v>
      </c>
      <c r="AR31" s="54">
        <f>IF(ISNUMBER('Janitza data '!AH433),('Janitza data '!AH433)," ")</f>
        <v>0.06</v>
      </c>
      <c r="AS31" s="54">
        <f>IF(ISNUMBER('Janitza data '!AI433),('Janitza data '!AI433)," ")</f>
        <v>0.03</v>
      </c>
      <c r="AT31" s="54">
        <f>IF(ISNUMBER('Janitza data '!AJ433),('Janitza data '!AJ433)," ")</f>
        <v>0.01</v>
      </c>
      <c r="AU31" s="54" t="str">
        <f>IF(ISNUMBER('Janitza data '!AK433),('Janitza data '!AK433)," ")</f>
        <v xml:space="preserve"> </v>
      </c>
      <c r="AV31" s="54" t="str">
        <f>IF(ISNUMBER('Janitza data '!AL433),('Janitza data '!AL433)," ")</f>
        <v xml:space="preserve"> </v>
      </c>
    </row>
    <row r="32" spans="1:48" ht="15.6">
      <c r="A32" s="545" t="s">
        <v>72</v>
      </c>
      <c r="B32" s="546" t="s">
        <v>162</v>
      </c>
      <c r="C32" s="535">
        <f t="shared" ca="1" si="0"/>
        <v>80.989999999999995</v>
      </c>
      <c r="D32" s="547" t="s">
        <v>74</v>
      </c>
      <c r="E32" s="548" t="s">
        <v>80</v>
      </c>
      <c r="F32" s="549" t="s">
        <v>163</v>
      </c>
      <c r="G32" s="549" t="s">
        <v>82</v>
      </c>
      <c r="H32" s="549" t="s">
        <v>92</v>
      </c>
      <c r="I32" s="550" t="s">
        <v>84</v>
      </c>
      <c r="J32" s="551" t="s">
        <v>164</v>
      </c>
      <c r="K32" s="525">
        <v>41</v>
      </c>
      <c r="L32" s="526">
        <v>46</v>
      </c>
      <c r="M32" s="564">
        <v>40</v>
      </c>
      <c r="N32" s="591">
        <v>103</v>
      </c>
      <c r="O32" s="526">
        <v>57</v>
      </c>
      <c r="P32" s="526">
        <v>55</v>
      </c>
      <c r="Q32" s="526">
        <v>80</v>
      </c>
      <c r="R32" s="526">
        <v>77</v>
      </c>
      <c r="S32" s="526">
        <v>75</v>
      </c>
      <c r="T32" s="526">
        <v>80</v>
      </c>
      <c r="U32" s="526">
        <v>84</v>
      </c>
      <c r="V32" s="526">
        <v>67</v>
      </c>
      <c r="W32" s="526">
        <v>72.28</v>
      </c>
      <c r="X32" s="527">
        <v>56.73</v>
      </c>
      <c r="Y32" s="526">
        <f>'Janitza data '!O434</f>
        <v>55.11</v>
      </c>
      <c r="Z32" s="526">
        <f>IF(ISNUMBER('Janitza data '!P434),('Janitza data '!P434)," ")</f>
        <v>82</v>
      </c>
      <c r="AA32" s="526">
        <f>IF(ISNUMBER('Janitza data '!Q434),('Janitza data '!Q434)," ")</f>
        <v>93.78</v>
      </c>
      <c r="AB32" s="526">
        <f>IF(ISNUMBER('Janitza data '!R434),('Janitza data '!R434)," ")</f>
        <v>73.08</v>
      </c>
      <c r="AC32" s="526">
        <f>IF(ISNUMBER('Janitza data '!S434),('Janitza data '!S434)," ")</f>
        <v>97.32</v>
      </c>
      <c r="AD32" s="526">
        <f>IF(ISNUMBER('Janitza data '!T434),('Janitza data '!T434)," ")</f>
        <v>60.46</v>
      </c>
      <c r="AE32" s="526">
        <f>IF(ISNUMBER('Janitza data '!U434),('Janitza data '!U434)," ")</f>
        <v>77.48</v>
      </c>
      <c r="AF32" s="526">
        <f>IF(ISNUMBER('Janitza data '!V434),('Janitza data '!V434)," ")</f>
        <v>84.96</v>
      </c>
      <c r="AG32" s="526">
        <f>IF(ISNUMBER('Janitza data '!W434),('Janitza data '!W434)," ")</f>
        <v>85.79</v>
      </c>
      <c r="AH32" s="526">
        <f>IF(ISNUMBER('Janitza data '!X434),('Janitza data '!X434)," ")</f>
        <v>73.489999999999995</v>
      </c>
      <c r="AI32" s="526">
        <f>IF(ISNUMBER('Janitza data '!Y434),('Janitza data '!Y434)," ")</f>
        <v>82.15</v>
      </c>
      <c r="AJ32" s="526">
        <f>IF(ISNUMBER('Janitza data '!Z434),('Janitza data '!Z434)," ")</f>
        <v>82.32</v>
      </c>
      <c r="AK32" s="526">
        <f>IF(ISNUMBER('Janitza data '!AA434),('Janitza data '!AA434)," ")</f>
        <v>80.86</v>
      </c>
      <c r="AL32" s="526">
        <f>IF(ISNUMBER('Janitza data '!AB434),('Janitza data '!AB434)," ")</f>
        <v>81.52</v>
      </c>
      <c r="AM32" s="526">
        <f>IF(ISNUMBER('Janitza data '!AC434),('Janitza data '!AC434)," ")</f>
        <v>83.98</v>
      </c>
      <c r="AN32" s="526">
        <f>IF(ISNUMBER('Janitza data '!AD434),('Janitza data '!AD434)," ")</f>
        <v>77.930000000000007</v>
      </c>
      <c r="AO32" s="526">
        <f>IF(ISNUMBER('Janitza data '!AE434),('Janitza data '!AE434)," ")</f>
        <v>75.03</v>
      </c>
      <c r="AP32" s="526">
        <f>IF(ISNUMBER('Janitza data '!AF434),('Janitza data '!AF434)," ")</f>
        <v>76.42</v>
      </c>
      <c r="AQ32" s="526">
        <f>IF(ISNUMBER('Janitza data '!AG434),('Janitza data '!AG434)," ")</f>
        <v>104.1</v>
      </c>
      <c r="AR32" s="526">
        <f>IF(ISNUMBER('Janitza data '!AH434),('Janitza data '!AH434)," ")</f>
        <v>119.9</v>
      </c>
      <c r="AS32" s="526">
        <f>IF(ISNUMBER('Janitza data '!AI434),('Janitza data '!AI434)," ")</f>
        <v>91.72</v>
      </c>
      <c r="AT32" s="526">
        <f>IF(ISNUMBER('Janitza data '!AJ434),('Janitza data '!AJ434)," ")</f>
        <v>80.989999999999995</v>
      </c>
      <c r="AU32" s="526" t="str">
        <f>IF(ISNUMBER('Janitza data '!AK434),('Janitza data '!AK434)," ")</f>
        <v xml:space="preserve"> </v>
      </c>
      <c r="AV32" s="526" t="str">
        <f>IF(ISNUMBER('Janitza data '!AL434),('Janitza data '!AL434)," ")</f>
        <v xml:space="preserve"> </v>
      </c>
    </row>
    <row r="33" spans="1:48" ht="15.6">
      <c r="A33" s="544" t="s">
        <v>72</v>
      </c>
      <c r="B33" s="550" t="s">
        <v>165</v>
      </c>
      <c r="C33" s="535">
        <f t="shared" ca="1" si="0"/>
        <v>0</v>
      </c>
      <c r="D33" s="55" t="s">
        <v>74</v>
      </c>
      <c r="E33" s="559"/>
      <c r="F33" s="37"/>
      <c r="G33" s="37"/>
      <c r="H33" s="37"/>
      <c r="I33" s="36"/>
      <c r="J33" s="520"/>
      <c r="K33" s="560"/>
      <c r="L33" s="561"/>
      <c r="M33" s="561"/>
      <c r="N33" s="561"/>
      <c r="O33" s="561"/>
      <c r="P33" s="561"/>
      <c r="Q33" s="561"/>
      <c r="R33" s="561"/>
      <c r="S33" s="561"/>
      <c r="T33" s="561"/>
      <c r="U33" s="561"/>
      <c r="V33" s="561"/>
      <c r="W33" s="561"/>
      <c r="X33" s="562"/>
      <c r="Y33" s="561"/>
      <c r="Z33" s="561"/>
      <c r="AA33" s="561"/>
      <c r="AB33" s="561"/>
      <c r="AC33" s="561"/>
      <c r="AD33" s="561"/>
      <c r="AE33" s="561"/>
      <c r="AF33" s="561"/>
      <c r="AG33" s="561"/>
      <c r="AH33" s="561"/>
      <c r="AI33" s="561"/>
      <c r="AJ33" s="561"/>
      <c r="AK33" s="561"/>
      <c r="AL33" s="561"/>
      <c r="AM33" s="561"/>
      <c r="AN33" s="561"/>
      <c r="AO33" s="561"/>
      <c r="AP33" s="561"/>
      <c r="AQ33" s="561"/>
      <c r="AR33" s="561"/>
      <c r="AS33" s="561"/>
      <c r="AT33" s="561"/>
      <c r="AU33" s="561"/>
      <c r="AV33" s="561"/>
    </row>
    <row r="34" spans="1:48" ht="15.6">
      <c r="A34" s="533" t="s">
        <v>72</v>
      </c>
      <c r="B34" s="534" t="s">
        <v>166</v>
      </c>
      <c r="C34" s="535">
        <f t="shared" ca="1" si="0"/>
        <v>488.91</v>
      </c>
      <c r="D34" s="536" t="s">
        <v>74</v>
      </c>
      <c r="E34" s="537" t="s">
        <v>80</v>
      </c>
      <c r="F34" s="538" t="s">
        <v>167</v>
      </c>
      <c r="G34" s="538" t="s">
        <v>82</v>
      </c>
      <c r="H34" s="538" t="s">
        <v>168</v>
      </c>
      <c r="I34" s="539" t="s">
        <v>84</v>
      </c>
      <c r="J34" s="540" t="s">
        <v>169</v>
      </c>
      <c r="K34" s="541">
        <v>1566</v>
      </c>
      <c r="L34" s="542">
        <v>1278</v>
      </c>
      <c r="M34" s="542">
        <v>1430</v>
      </c>
      <c r="N34" s="542">
        <v>927</v>
      </c>
      <c r="O34" s="542">
        <v>484</v>
      </c>
      <c r="P34" s="542">
        <v>587</v>
      </c>
      <c r="Q34" s="542">
        <v>2306</v>
      </c>
      <c r="R34" s="542">
        <v>3214</v>
      </c>
      <c r="S34" s="542">
        <v>3066</v>
      </c>
      <c r="T34" s="542">
        <v>2770</v>
      </c>
      <c r="U34" s="542">
        <v>2374</v>
      </c>
      <c r="V34" s="542">
        <v>1927</v>
      </c>
      <c r="W34" s="542">
        <v>1279.01</v>
      </c>
      <c r="X34" s="543">
        <v>753.6</v>
      </c>
      <c r="Y34" s="542">
        <f>'Janitza data '!O442</f>
        <v>953.81</v>
      </c>
      <c r="Z34" s="542">
        <f>IF(ISNUMBER('Janitza data '!P442),('Janitza data '!P442)," ")</f>
        <v>1162.21</v>
      </c>
      <c r="AA34" s="542">
        <f>IF(ISNUMBER('Janitza data '!Q442),('Janitza data '!Q442)," ")</f>
        <v>1553.12</v>
      </c>
      <c r="AB34" s="542">
        <f>IF(ISNUMBER('Janitza data '!R442),('Janitza data '!R442)," ")</f>
        <v>1113.6600000000001</v>
      </c>
      <c r="AC34" s="542">
        <f>IF(ISNUMBER('Janitza data '!S442),('Janitza data '!S442)," ")</f>
        <v>2170.8000000000002</v>
      </c>
      <c r="AD34" s="542">
        <f>IF(ISNUMBER('Janitza data '!T442),('Janitza data '!T442)," ")</f>
        <v>2277.86</v>
      </c>
      <c r="AE34" s="542">
        <f>IF(ISNUMBER('Janitza data '!U442),('Janitza data '!U442)," ")</f>
        <v>2781.74</v>
      </c>
      <c r="AF34" s="542">
        <f>IF(ISNUMBER('Janitza data '!V442),('Janitza data '!V442)," ")</f>
        <v>2885.86</v>
      </c>
      <c r="AG34" s="542">
        <f>IF(ISNUMBER('Janitza data '!W442),('Janitza data '!W442)," ")</f>
        <v>2224.7399999999998</v>
      </c>
      <c r="AH34" s="542">
        <f>IF(ISNUMBER('Janitza data '!X442),('Janitza data '!X442)," ")</f>
        <v>2048.75</v>
      </c>
      <c r="AI34" s="542">
        <f>IF(ISNUMBER('Janitza data '!Y442),('Janitza data '!Y442)," ")</f>
        <v>1200.29</v>
      </c>
      <c r="AJ34" s="542">
        <f>IF(ISNUMBER('Janitza data '!Z442),('Janitza data '!Z442)," ")</f>
        <v>836.4</v>
      </c>
      <c r="AK34" s="542">
        <f>IF(ISNUMBER('Janitza data '!AA442),('Janitza data '!AA442)," ")</f>
        <v>958.46</v>
      </c>
      <c r="AL34" s="542">
        <f>IF(ISNUMBER('Janitza data '!AB442),('Janitza data '!AB442)," ")</f>
        <v>1126.29</v>
      </c>
      <c r="AM34" s="542">
        <f>IF(ISNUMBER('Janitza data '!AC442),('Janitza data '!AC442)," ")</f>
        <v>1690</v>
      </c>
      <c r="AN34" s="542">
        <f>IF(ISNUMBER('Janitza data '!AD442),('Janitza data '!AD442)," ")</f>
        <v>1631.82</v>
      </c>
      <c r="AO34" s="542">
        <f>IF(ISNUMBER('Janitza data '!AE442),('Janitza data '!AE442)," ")</f>
        <v>2952.21</v>
      </c>
      <c r="AP34" s="542">
        <f>IF(ISNUMBER('Janitza data '!AF442),('Janitza data '!AF442)," ")</f>
        <v>2800.03</v>
      </c>
      <c r="AQ34" s="542">
        <f>IF(ISNUMBER('Janitza data '!AG442),('Janitza data '!AG442)," ")</f>
        <v>3567.14</v>
      </c>
      <c r="AR34" s="542">
        <f>IF(ISNUMBER('Janitza data '!AH442),('Janitza data '!AH442)," ")</f>
        <v>2831.39</v>
      </c>
      <c r="AS34" s="542">
        <f>IF(ISNUMBER('Janitza data '!AI442),('Janitza data '!AI442)," ")</f>
        <v>2039.94</v>
      </c>
      <c r="AT34" s="542">
        <f>IF(ISNUMBER('Janitza data '!AJ442),('Janitza data '!AJ442)," ")</f>
        <v>488.91</v>
      </c>
      <c r="AU34" s="542" t="str">
        <f>IF(ISNUMBER('Janitza data '!AK442),('Janitza data '!AK442)," ")</f>
        <v xml:space="preserve"> </v>
      </c>
      <c r="AV34" s="542" t="str">
        <f>IF(ISNUMBER('Janitza data '!AL442),('Janitza data '!AL442)," ")</f>
        <v xml:space="preserve"> </v>
      </c>
    </row>
    <row r="35" spans="1:48" ht="15.6">
      <c r="A35" s="544" t="s">
        <v>154</v>
      </c>
      <c r="B35" s="338" t="s">
        <v>170</v>
      </c>
      <c r="C35" s="535">
        <f t="shared" ca="1" si="0"/>
        <v>-319.06</v>
      </c>
      <c r="D35" s="55" t="s">
        <v>74</v>
      </c>
      <c r="E35" s="7" t="s">
        <v>75</v>
      </c>
      <c r="F35" s="37"/>
      <c r="G35" s="8"/>
      <c r="H35" s="8"/>
      <c r="I35" s="5"/>
      <c r="J35" s="519"/>
      <c r="K35" s="524">
        <f t="shared" ref="K35:Z35" si="9">IF(ISNUMBER(K34),K34-K36-K37," ")</f>
        <v>819</v>
      </c>
      <c r="L35" s="56">
        <f t="shared" si="9"/>
        <v>601</v>
      </c>
      <c r="M35" s="56">
        <f t="shared" si="9"/>
        <v>726</v>
      </c>
      <c r="N35" s="56">
        <f t="shared" si="9"/>
        <v>258</v>
      </c>
      <c r="O35" s="56">
        <f t="shared" si="9"/>
        <v>185</v>
      </c>
      <c r="P35" s="56">
        <f t="shared" si="9"/>
        <v>133</v>
      </c>
      <c r="Q35" s="56">
        <f t="shared" si="9"/>
        <v>1027</v>
      </c>
      <c r="R35" s="56">
        <f t="shared" si="9"/>
        <v>1630</v>
      </c>
      <c r="S35" s="56">
        <f t="shared" si="9"/>
        <v>1654</v>
      </c>
      <c r="T35" s="56">
        <f t="shared" si="9"/>
        <v>1393</v>
      </c>
      <c r="U35" s="56">
        <f t="shared" si="9"/>
        <v>1218</v>
      </c>
      <c r="V35" s="56">
        <f t="shared" si="9"/>
        <v>917</v>
      </c>
      <c r="W35" s="56">
        <f t="shared" si="9"/>
        <v>474.96999999999997</v>
      </c>
      <c r="X35" s="56">
        <f t="shared" si="9"/>
        <v>131.43000000000004</v>
      </c>
      <c r="Y35" s="56">
        <f t="shared" si="9"/>
        <v>324.41999999999996</v>
      </c>
      <c r="Z35" s="56">
        <f t="shared" si="9"/>
        <v>328.1</v>
      </c>
      <c r="AA35" s="56">
        <f t="shared" ref="AA35:AB35" si="10">IF(ISNUMBER(AA34),AA34-AA36-AA37," ")</f>
        <v>454.45999999999981</v>
      </c>
      <c r="AB35" s="56">
        <f t="shared" si="10"/>
        <v>320.61000000000007</v>
      </c>
      <c r="AC35" s="56">
        <f t="shared" ref="AC35:AO35" si="11">IF(ISNUMBER(AC34),AC34-AC36-AC37," ")</f>
        <v>788.88000000000022</v>
      </c>
      <c r="AD35" s="56">
        <f t="shared" si="11"/>
        <v>863.52000000000021</v>
      </c>
      <c r="AE35" s="56">
        <f t="shared" si="11"/>
        <v>1319.6099999999997</v>
      </c>
      <c r="AF35" s="56">
        <f t="shared" si="11"/>
        <v>1335.42</v>
      </c>
      <c r="AG35" s="56">
        <f t="shared" si="11"/>
        <v>1120.2599999999998</v>
      </c>
      <c r="AH35" s="56">
        <f t="shared" si="11"/>
        <v>956.59</v>
      </c>
      <c r="AI35" s="56">
        <f t="shared" si="11"/>
        <v>351.87</v>
      </c>
      <c r="AJ35" s="56">
        <f t="shared" si="11"/>
        <v>163.44</v>
      </c>
      <c r="AK35" s="56">
        <f t="shared" si="11"/>
        <v>353.56000000000006</v>
      </c>
      <c r="AL35" s="56">
        <f t="shared" si="11"/>
        <v>416.13999999999993</v>
      </c>
      <c r="AM35" s="56">
        <f t="shared" si="11"/>
        <v>660.88</v>
      </c>
      <c r="AN35" s="56">
        <f t="shared" si="11"/>
        <v>589.71999999999991</v>
      </c>
      <c r="AO35" s="56">
        <f t="shared" si="11"/>
        <v>1448.29</v>
      </c>
      <c r="AP35" s="56">
        <f t="shared" ref="AP35:AQ35" si="12">IF(ISNUMBER(AP34),AP34-AP36-AP37," ")</f>
        <v>1544.2400000000002</v>
      </c>
      <c r="AQ35" s="56">
        <f t="shared" si="12"/>
        <v>1796.75</v>
      </c>
      <c r="AR35" s="56">
        <f t="shared" ref="AR35:AV35" si="13">IF(ISNUMBER(AR34),AR34-AR36-AR37," ")</f>
        <v>1458.1299999999997</v>
      </c>
      <c r="AS35" s="56">
        <f t="shared" si="13"/>
        <v>770.55000000000018</v>
      </c>
      <c r="AT35" s="56">
        <f t="shared" si="13"/>
        <v>-319.06</v>
      </c>
      <c r="AU35" s="56" t="str">
        <f t="shared" si="13"/>
        <v xml:space="preserve"> </v>
      </c>
      <c r="AV35" s="56" t="str">
        <f t="shared" si="13"/>
        <v xml:space="preserve"> </v>
      </c>
    </row>
    <row r="36" spans="1:48" ht="15.6">
      <c r="A36" s="544" t="s">
        <v>72</v>
      </c>
      <c r="B36" s="5" t="s">
        <v>171</v>
      </c>
      <c r="C36" s="535">
        <f t="shared" ca="1" si="0"/>
        <v>708.99</v>
      </c>
      <c r="D36" s="55" t="s">
        <v>74</v>
      </c>
      <c r="E36" s="7" t="s">
        <v>172</v>
      </c>
      <c r="F36" s="8" t="s">
        <v>173</v>
      </c>
      <c r="G36" s="8" t="s">
        <v>82</v>
      </c>
      <c r="H36" s="8" t="s">
        <v>92</v>
      </c>
      <c r="I36" s="5" t="s">
        <v>84</v>
      </c>
      <c r="J36" s="519" t="s">
        <v>174</v>
      </c>
      <c r="K36" s="522">
        <v>472</v>
      </c>
      <c r="L36" s="54">
        <v>455</v>
      </c>
      <c r="M36" s="492">
        <v>458</v>
      </c>
      <c r="N36" s="54">
        <v>460</v>
      </c>
      <c r="O36" s="54">
        <v>195</v>
      </c>
      <c r="P36" s="54">
        <v>351</v>
      </c>
      <c r="Q36" s="54">
        <v>1042</v>
      </c>
      <c r="R36" s="54">
        <v>1365</v>
      </c>
      <c r="S36" s="54">
        <v>1211</v>
      </c>
      <c r="T36" s="54">
        <v>1061</v>
      </c>
      <c r="U36" s="54">
        <v>894</v>
      </c>
      <c r="V36" s="54">
        <v>747</v>
      </c>
      <c r="W36" s="54">
        <v>502.25</v>
      </c>
      <c r="X36" s="523">
        <v>425.46</v>
      </c>
      <c r="Y36" s="54">
        <f>'Janitza data '!O428</f>
        <v>339.77</v>
      </c>
      <c r="Z36" s="54">
        <f>IF(ISNUMBER('Janitza data '!P428),('Janitza data '!P428)," ")</f>
        <v>537.85</v>
      </c>
      <c r="AA36" s="54">
        <f>IF(ISNUMBER('Janitza data '!Q428),('Janitza data '!Q428)," ")</f>
        <v>753.19</v>
      </c>
      <c r="AB36" s="54">
        <f>IF(ISNUMBER('Janitza data '!R428),('Janitza data '!R428)," ")</f>
        <v>586</v>
      </c>
      <c r="AC36" s="54">
        <f>IF(ISNUMBER('Janitza data '!S428),('Janitza data '!S428)," ")</f>
        <v>1055.57</v>
      </c>
      <c r="AD36" s="54">
        <f>IF(ISNUMBER('Janitza data '!T428),('Janitza data '!T428)," ")</f>
        <v>1139.0899999999999</v>
      </c>
      <c r="AE36" s="54">
        <f>IF(ISNUMBER('Janitza data '!U428),('Janitza data '!U428)," ")</f>
        <v>1248.46</v>
      </c>
      <c r="AF36" s="54">
        <f>IF(ISNUMBER('Janitza data '!V428),('Janitza data '!V428)," ")</f>
        <v>1290.17</v>
      </c>
      <c r="AG36" s="54">
        <f>IF(ISNUMBER('Janitza data '!W428),('Janitza data '!W428)," ")</f>
        <v>840.19</v>
      </c>
      <c r="AH36" s="54">
        <f>IF(ISNUMBER('Janitza data '!X428),('Janitza data '!X428)," ")</f>
        <v>760.05</v>
      </c>
      <c r="AI36" s="54">
        <f>IF(ISNUMBER('Janitza data '!Y428),('Janitza data '!Y428)," ")</f>
        <v>598.04</v>
      </c>
      <c r="AJ36" s="54">
        <f>IF(ISNUMBER('Janitza data '!Z428),('Janitza data '!Z428)," ")</f>
        <v>443.46</v>
      </c>
      <c r="AK36" s="54">
        <f>IF(ISNUMBER('Janitza data '!AA428),('Janitza data '!AA428)," ")</f>
        <v>309.05</v>
      </c>
      <c r="AL36" s="54">
        <f>IF(ISNUMBER('Janitza data '!AB428),('Janitza data '!AB428)," ")</f>
        <v>390.94</v>
      </c>
      <c r="AM36" s="54">
        <f>IF(ISNUMBER('Janitza data '!AC428),('Janitza data '!AC428)," ")</f>
        <v>723.86</v>
      </c>
      <c r="AN36" s="54">
        <f>IF(ISNUMBER('Janitza data '!AD428),('Janitza data '!AD428)," ")</f>
        <v>722.97</v>
      </c>
      <c r="AO36" s="54">
        <f>IF(ISNUMBER('Janitza data '!AE428),('Janitza data '!AE428)," ")</f>
        <v>1198.82</v>
      </c>
      <c r="AP36" s="54">
        <f>IF(ISNUMBER('Janitza data '!AF428),('Janitza data '!AF428)," ")</f>
        <v>1033.6500000000001</v>
      </c>
      <c r="AQ36" s="54">
        <f>IF(ISNUMBER('Janitza data '!AG428),('Janitza data '!AG428)," ")</f>
        <v>1481.83</v>
      </c>
      <c r="AR36" s="54">
        <f>IF(ISNUMBER('Janitza data '!AH428),('Janitza data '!AH428)," ")</f>
        <v>1047.6400000000001</v>
      </c>
      <c r="AS36" s="54">
        <f>IF(ISNUMBER('Janitza data '!AI428),('Janitza data '!AI428)," ")</f>
        <v>903.91</v>
      </c>
      <c r="AT36" s="54">
        <f>IF(ISNUMBER('Janitza data '!AJ428),('Janitza data '!AJ428)," ")</f>
        <v>708.99</v>
      </c>
      <c r="AU36" s="54" t="str">
        <f>IF(ISNUMBER('Janitza data '!AK428),('Janitza data '!AK428)," ")</f>
        <v xml:space="preserve"> </v>
      </c>
      <c r="AV36" s="54" t="str">
        <f>IF(ISNUMBER('Janitza data '!AL428),('Janitza data '!AL428)," ")</f>
        <v xml:space="preserve"> </v>
      </c>
    </row>
    <row r="37" spans="1:48" ht="15.6">
      <c r="A37" s="544" t="s">
        <v>72</v>
      </c>
      <c r="B37" s="5" t="s">
        <v>175</v>
      </c>
      <c r="C37" s="535">
        <f t="shared" ca="1" si="0"/>
        <v>98.98</v>
      </c>
      <c r="D37" s="55" t="s">
        <v>74</v>
      </c>
      <c r="E37" s="7" t="s">
        <v>176</v>
      </c>
      <c r="F37" s="37" t="s">
        <v>177</v>
      </c>
      <c r="G37" s="8" t="s">
        <v>82</v>
      </c>
      <c r="H37" s="8" t="s">
        <v>92</v>
      </c>
      <c r="I37" s="5" t="s">
        <v>84</v>
      </c>
      <c r="J37" s="520" t="s">
        <v>178</v>
      </c>
      <c r="K37" s="522">
        <v>275</v>
      </c>
      <c r="L37" s="54">
        <v>222</v>
      </c>
      <c r="M37" s="492">
        <v>246</v>
      </c>
      <c r="N37" s="54">
        <v>209</v>
      </c>
      <c r="O37" s="54">
        <v>104</v>
      </c>
      <c r="P37" s="54">
        <v>103</v>
      </c>
      <c r="Q37" s="54">
        <v>237</v>
      </c>
      <c r="R37" s="54">
        <v>219</v>
      </c>
      <c r="S37" s="54">
        <v>201</v>
      </c>
      <c r="T37" s="54">
        <v>316</v>
      </c>
      <c r="U37" s="54">
        <v>262</v>
      </c>
      <c r="V37" s="54">
        <v>263</v>
      </c>
      <c r="W37" s="54">
        <v>301.79000000000002</v>
      </c>
      <c r="X37" s="523">
        <v>196.71</v>
      </c>
      <c r="Y37" s="54">
        <f>'Janitza data '!O429</f>
        <v>289.62</v>
      </c>
      <c r="Z37" s="54">
        <f>IF(ISNUMBER('Janitza data '!P429),('Janitza data '!P429)," ")</f>
        <v>296.26</v>
      </c>
      <c r="AA37" s="54">
        <f>IF(ISNUMBER('Janitza data '!Q429),('Janitza data '!Q429)," ")</f>
        <v>345.47</v>
      </c>
      <c r="AB37" s="54">
        <f>IF(ISNUMBER('Janitza data '!R429),('Janitza data '!R429)," ")</f>
        <v>207.05</v>
      </c>
      <c r="AC37" s="54">
        <f>IF(ISNUMBER('Janitza data '!S429),('Janitza data '!S429)," ")</f>
        <v>326.35000000000002</v>
      </c>
      <c r="AD37" s="54">
        <f>IF(ISNUMBER('Janitza data '!T429),('Janitza data '!T429)," ")</f>
        <v>275.25</v>
      </c>
      <c r="AE37" s="54">
        <f>IF(ISNUMBER('Janitza data '!U429),('Janitza data '!U429)," ")</f>
        <v>213.67</v>
      </c>
      <c r="AF37" s="54">
        <f>IF(ISNUMBER('Janitza data '!V429),('Janitza data '!V429)," ")</f>
        <v>260.27</v>
      </c>
      <c r="AG37" s="54">
        <f>IF(ISNUMBER('Janitza data '!W429),('Janitza data '!W429)," ")</f>
        <v>264.29000000000002</v>
      </c>
      <c r="AH37" s="54">
        <f>IF(ISNUMBER('Janitza data '!X429),('Janitza data '!X429)," ")</f>
        <v>332.11</v>
      </c>
      <c r="AI37" s="54">
        <f>IF(ISNUMBER('Janitza data '!Y429),('Janitza data '!Y429)," ")</f>
        <v>250.38</v>
      </c>
      <c r="AJ37" s="54">
        <f>IF(ISNUMBER('Janitza data '!Z429),('Janitza data '!Z429)," ")</f>
        <v>229.5</v>
      </c>
      <c r="AK37" s="54">
        <f>IF(ISNUMBER('Janitza data '!AA429),('Janitza data '!AA429)," ")</f>
        <v>295.85000000000002</v>
      </c>
      <c r="AL37" s="54">
        <f>IF(ISNUMBER('Janitza data '!AB429),('Janitza data '!AB429)," ")</f>
        <v>319.20999999999998</v>
      </c>
      <c r="AM37" s="54">
        <f>IF(ISNUMBER('Janitza data '!AC429),('Janitza data '!AC429)," ")</f>
        <v>305.26</v>
      </c>
      <c r="AN37" s="54">
        <f>IF(ISNUMBER('Janitza data '!AD429),('Janitza data '!AD429)," ")</f>
        <v>319.13</v>
      </c>
      <c r="AO37" s="54">
        <f>IF(ISNUMBER('Janitza data '!AE429),('Janitza data '!AE429)," ")</f>
        <v>305.10000000000002</v>
      </c>
      <c r="AP37" s="54">
        <f>IF(ISNUMBER('Janitza data '!AF429),('Janitza data '!AF429)," ")</f>
        <v>222.14</v>
      </c>
      <c r="AQ37" s="54">
        <f>IF(ISNUMBER('Janitza data '!AG429),('Janitza data '!AG429)," ")</f>
        <v>288.56</v>
      </c>
      <c r="AR37" s="54">
        <f>IF(ISNUMBER('Janitza data '!AH429),('Janitza data '!AH429)," ")</f>
        <v>325.62</v>
      </c>
      <c r="AS37" s="54">
        <f>IF(ISNUMBER('Janitza data '!AI429),('Janitza data '!AI429)," ")</f>
        <v>365.48</v>
      </c>
      <c r="AT37" s="54">
        <f>IF(ISNUMBER('Janitza data '!AJ429),('Janitza data '!AJ429)," ")</f>
        <v>98.98</v>
      </c>
      <c r="AU37" s="54" t="str">
        <f>IF(ISNUMBER('Janitza data '!AK429),('Janitza data '!AK429)," ")</f>
        <v xml:space="preserve"> </v>
      </c>
      <c r="AV37" s="54" t="str">
        <f>IF(ISNUMBER('Janitza data '!AL429),('Janitza data '!AL429)," ")</f>
        <v xml:space="preserve"> </v>
      </c>
    </row>
    <row r="38" spans="1:48" ht="15.6">
      <c r="A38" s="544" t="s">
        <v>72</v>
      </c>
      <c r="B38" s="6" t="s">
        <v>179</v>
      </c>
      <c r="C38" s="535">
        <f t="shared" ca="1" si="0"/>
        <v>605.66</v>
      </c>
      <c r="D38" s="55" t="s">
        <v>74</v>
      </c>
      <c r="E38" s="7" t="s">
        <v>80</v>
      </c>
      <c r="F38" s="8" t="s">
        <v>180</v>
      </c>
      <c r="G38" s="8" t="s">
        <v>82</v>
      </c>
      <c r="H38" s="8" t="s">
        <v>168</v>
      </c>
      <c r="I38" s="5" t="s">
        <v>84</v>
      </c>
      <c r="J38" s="519" t="s">
        <v>181</v>
      </c>
      <c r="K38" s="522">
        <v>1531</v>
      </c>
      <c r="L38" s="54">
        <v>1407</v>
      </c>
      <c r="M38" s="54">
        <v>1371</v>
      </c>
      <c r="N38" s="54">
        <v>1101</v>
      </c>
      <c r="O38" s="54">
        <v>1323</v>
      </c>
      <c r="P38" s="54">
        <v>1297</v>
      </c>
      <c r="Q38" s="54">
        <v>2137</v>
      </c>
      <c r="R38" s="54">
        <v>2974</v>
      </c>
      <c r="S38" s="54">
        <v>3129</v>
      </c>
      <c r="T38" s="54">
        <v>2256</v>
      </c>
      <c r="U38" s="54">
        <v>1887</v>
      </c>
      <c r="V38" s="54">
        <v>1762</v>
      </c>
      <c r="W38" s="54">
        <v>1513.62</v>
      </c>
      <c r="X38" s="523">
        <v>1294.1099999999999</v>
      </c>
      <c r="Y38" s="54">
        <f>'Janitza data '!O440</f>
        <v>1783.38</v>
      </c>
      <c r="Z38" s="54">
        <f>IF(ISNUMBER('Janitza data '!P440),('Janitza data '!P440)," ")</f>
        <v>1452.13</v>
      </c>
      <c r="AA38" s="54">
        <f>IF(ISNUMBER('Janitza data '!Q440),('Janitza data '!Q440)," ")</f>
        <v>1744.53</v>
      </c>
      <c r="AB38" s="54">
        <f>IF(ISNUMBER('Janitza data '!R440),('Janitza data '!R440)," ")</f>
        <v>1499.78</v>
      </c>
      <c r="AC38" s="54">
        <f>IF(ISNUMBER('Janitza data '!S440),('Janitza data '!S440)," ")</f>
        <v>2256.9899999999998</v>
      </c>
      <c r="AD38" s="54">
        <f>IF(ISNUMBER('Janitza data '!T440),('Janitza data '!T440)," ")</f>
        <v>2770.9</v>
      </c>
      <c r="AE38" s="54">
        <f>IF(ISNUMBER('Janitza data '!U440),('Janitza data '!U440)," ")</f>
        <v>2895.39</v>
      </c>
      <c r="AF38" s="54">
        <f>IF(ISNUMBER('Janitza data '!V440),('Janitza data '!V440)," ")</f>
        <v>3053.81</v>
      </c>
      <c r="AG38" s="54">
        <f>IF(ISNUMBER('Janitza data '!W440),('Janitza data '!W440)," ")</f>
        <v>1880.27</v>
      </c>
      <c r="AH38" s="54">
        <f>IF(ISNUMBER('Janitza data '!X440),('Janitza data '!X440)," ")</f>
        <v>1755.98</v>
      </c>
      <c r="AI38" s="54">
        <f>IF(ISNUMBER('Janitza data '!Y440),('Janitza data '!Y440)," ")</f>
        <v>1651.54</v>
      </c>
      <c r="AJ38" s="54">
        <f>IF(ISNUMBER('Janitza data '!Z440),('Janitza data '!Z440)," ")</f>
        <v>1109.22</v>
      </c>
      <c r="AK38" s="54">
        <f>IF(ISNUMBER('Janitza data '!AA440),('Janitza data '!AA440)," ")</f>
        <v>1202.42</v>
      </c>
      <c r="AL38" s="54">
        <f>IF(ISNUMBER('Janitza data '!AB440),('Janitza data '!AB440)," ")</f>
        <v>1413.07</v>
      </c>
      <c r="AM38" s="54">
        <f>IF(ISNUMBER('Janitza data '!AC440),('Janitza data '!AC440)," ")</f>
        <v>1615.86</v>
      </c>
      <c r="AN38" s="54">
        <f>IF(ISNUMBER('Janitza data '!AD440),('Janitza data '!AD440)," ")</f>
        <v>1785.71</v>
      </c>
      <c r="AO38" s="54">
        <f>IF(ISNUMBER('Janitza data '!AE440),('Janitza data '!AE440)," ")</f>
        <v>2897.44</v>
      </c>
      <c r="AP38" s="54">
        <f>IF(ISNUMBER('Janitza data '!AF440),('Janitza data '!AF440)," ")</f>
        <v>2477.04</v>
      </c>
      <c r="AQ38" s="54">
        <f>IF(ISNUMBER('Janitza data '!AG440),('Janitza data '!AG440)," ")</f>
        <v>3047.09</v>
      </c>
      <c r="AR38" s="54">
        <f>IF(ISNUMBER('Janitza data '!AH440),('Janitza data '!AH440)," ")</f>
        <v>2995.06</v>
      </c>
      <c r="AS38" s="54">
        <f>IF(ISNUMBER('Janitza data '!AI440),('Janitza data '!AI440)," ")</f>
        <v>1860.5</v>
      </c>
      <c r="AT38" s="54">
        <f>IF(ISNUMBER('Janitza data '!AJ440),('Janitza data '!AJ440)," ")</f>
        <v>605.66</v>
      </c>
      <c r="AU38" s="54" t="str">
        <f>IF(ISNUMBER('Janitza data '!AK440),('Janitza data '!AK440)," ")</f>
        <v xml:space="preserve"> </v>
      </c>
      <c r="AV38" s="54" t="str">
        <f>IF(ISNUMBER('Janitza data '!AL440),('Janitza data '!AL440)," ")</f>
        <v xml:space="preserve"> </v>
      </c>
    </row>
    <row r="39" spans="1:48" ht="15.6">
      <c r="A39" s="544" t="s">
        <v>72</v>
      </c>
      <c r="B39" s="5" t="s">
        <v>182</v>
      </c>
      <c r="C39" s="535">
        <f t="shared" ca="1" si="0"/>
        <v>0</v>
      </c>
      <c r="D39" s="55" t="s">
        <v>74</v>
      </c>
      <c r="E39" s="7" t="s">
        <v>80</v>
      </c>
      <c r="F39" s="8" t="s">
        <v>183</v>
      </c>
      <c r="G39" s="8" t="s">
        <v>82</v>
      </c>
      <c r="H39" s="8" t="s">
        <v>92</v>
      </c>
      <c r="I39" s="5" t="s">
        <v>84</v>
      </c>
      <c r="J39" s="519" t="s">
        <v>184</v>
      </c>
      <c r="K39" s="522">
        <v>0</v>
      </c>
      <c r="L39" s="54">
        <v>0</v>
      </c>
      <c r="M39" s="492">
        <v>0</v>
      </c>
      <c r="N39" s="54">
        <v>0</v>
      </c>
      <c r="O39" s="54">
        <v>0</v>
      </c>
      <c r="P39" s="54">
        <v>0</v>
      </c>
      <c r="Q39" s="54">
        <v>0</v>
      </c>
      <c r="R39" s="54">
        <v>0</v>
      </c>
      <c r="S39" s="54">
        <v>0</v>
      </c>
      <c r="T39" s="54">
        <v>0</v>
      </c>
      <c r="U39" s="54">
        <v>0</v>
      </c>
      <c r="V39" s="54">
        <v>0</v>
      </c>
      <c r="W39" s="54">
        <v>0</v>
      </c>
      <c r="X39" s="523">
        <v>0</v>
      </c>
      <c r="Y39" s="54">
        <f>'Janitza data '!O427</f>
        <v>0</v>
      </c>
      <c r="Z39" s="54">
        <f>IF(ISNUMBER('Janitza data '!P427),('Janitza data '!P427)," ")</f>
        <v>0</v>
      </c>
      <c r="AA39" s="54">
        <f>IF(ISNUMBER('Janitza data '!Q427),('Janitza data '!Q427)," ")</f>
        <v>0</v>
      </c>
      <c r="AB39" s="54">
        <f>IF(ISNUMBER('Janitza data '!R427),('Janitza data '!R427)," ")</f>
        <v>0</v>
      </c>
      <c r="AC39" s="54">
        <f>IF(ISNUMBER('Janitza data '!S427),('Janitza data '!S427)," ")</f>
        <v>0</v>
      </c>
      <c r="AD39" s="54">
        <f>IF(ISNUMBER('Janitza data '!T427),('Janitza data '!T427)," ")</f>
        <v>0</v>
      </c>
      <c r="AE39" s="54">
        <f>IF(ISNUMBER('Janitza data '!U427),('Janitza data '!U427)," ")</f>
        <v>0</v>
      </c>
      <c r="AF39" s="54">
        <f>IF(ISNUMBER('Janitza data '!V427),('Janitza data '!V427)," ")</f>
        <v>0</v>
      </c>
      <c r="AG39" s="54">
        <f>IF(ISNUMBER('Janitza data '!W427),('Janitza data '!W427)," ")</f>
        <v>0</v>
      </c>
      <c r="AH39" s="54">
        <f>IF(ISNUMBER('Janitza data '!X427),('Janitza data '!X427)," ")</f>
        <v>0</v>
      </c>
      <c r="AI39" s="54">
        <f>IF(ISNUMBER('Janitza data '!Y427),('Janitza data '!Y427)," ")</f>
        <v>0</v>
      </c>
      <c r="AJ39" s="54">
        <f>IF(ISNUMBER('Janitza data '!Z427),('Janitza data '!Z427)," ")</f>
        <v>0</v>
      </c>
      <c r="AK39" s="54">
        <f>IF(ISNUMBER('Janitza data '!AA427),('Janitza data '!AA427)," ")</f>
        <v>0</v>
      </c>
      <c r="AL39" s="54">
        <f>IF(ISNUMBER('Janitza data '!AB427),('Janitza data '!AB427)," ")</f>
        <v>0</v>
      </c>
      <c r="AM39" s="54">
        <f>IF(ISNUMBER('Janitza data '!AC427),('Janitza data '!AC427)," ")</f>
        <v>0</v>
      </c>
      <c r="AN39" s="54">
        <f>IF(ISNUMBER('Janitza data '!AD427),('Janitza data '!AD427)," ")</f>
        <v>0</v>
      </c>
      <c r="AO39" s="54">
        <f>IF(ISNUMBER('Janitza data '!AE427),('Janitza data '!AE427)," ")</f>
        <v>0</v>
      </c>
      <c r="AP39" s="54">
        <f>IF(ISNUMBER('Janitza data '!AF427),('Janitza data '!AF427)," ")</f>
        <v>0</v>
      </c>
      <c r="AQ39" s="54">
        <f>IF(ISNUMBER('Janitza data '!AG427),('Janitza data '!AG427)," ")</f>
        <v>0</v>
      </c>
      <c r="AR39" s="54">
        <f>IF(ISNUMBER('Janitza data '!AH427),('Janitza data '!AH427)," ")</f>
        <v>0</v>
      </c>
      <c r="AS39" s="54">
        <f>IF(ISNUMBER('Janitza data '!AI427),('Janitza data '!AI427)," ")</f>
        <v>0</v>
      </c>
      <c r="AT39" s="54">
        <f>IF(ISNUMBER('Janitza data '!AJ427),('Janitza data '!AJ427)," ")</f>
        <v>0</v>
      </c>
      <c r="AU39" s="54" t="str">
        <f>IF(ISNUMBER('Janitza data '!AK427),('Janitza data '!AK427)," ")</f>
        <v xml:space="preserve"> </v>
      </c>
      <c r="AV39" s="54" t="str">
        <f>IF(ISNUMBER('Janitza data '!AL427),('Janitza data '!AL427)," ")</f>
        <v xml:space="preserve"> </v>
      </c>
    </row>
    <row r="40" spans="1:48" ht="15.6">
      <c r="A40" s="544" t="s">
        <v>72</v>
      </c>
      <c r="B40" s="6" t="s">
        <v>185</v>
      </c>
      <c r="C40" s="535">
        <f t="shared" ca="1" si="0"/>
        <v>966.18</v>
      </c>
      <c r="D40" s="55" t="s">
        <v>74</v>
      </c>
      <c r="E40" s="7" t="s">
        <v>80</v>
      </c>
      <c r="F40" s="8" t="s">
        <v>186</v>
      </c>
      <c r="G40" s="8" t="s">
        <v>82</v>
      </c>
      <c r="H40" s="8" t="s">
        <v>168</v>
      </c>
      <c r="I40" s="5" t="s">
        <v>84</v>
      </c>
      <c r="J40" s="519" t="s">
        <v>187</v>
      </c>
      <c r="K40" s="522">
        <v>1684</v>
      </c>
      <c r="L40" s="54">
        <v>1228</v>
      </c>
      <c r="M40" s="54">
        <v>1026</v>
      </c>
      <c r="N40" s="54">
        <v>1137</v>
      </c>
      <c r="O40" s="54">
        <v>1416</v>
      </c>
      <c r="P40" s="54">
        <v>1905</v>
      </c>
      <c r="Q40" s="54">
        <v>3214</v>
      </c>
      <c r="R40" s="54">
        <v>4402</v>
      </c>
      <c r="S40" s="54">
        <v>5008</v>
      </c>
      <c r="T40" s="54">
        <v>4790</v>
      </c>
      <c r="U40" s="54">
        <v>3282</v>
      </c>
      <c r="V40" s="54">
        <v>3039</v>
      </c>
      <c r="W40" s="54">
        <v>1697.42</v>
      </c>
      <c r="X40" s="523">
        <v>1393.41</v>
      </c>
      <c r="Y40" s="54">
        <f>'Janitza data '!O444</f>
        <v>928.18</v>
      </c>
      <c r="Z40" s="54">
        <f>IF(ISNUMBER('Janitza data '!P444),('Janitza data '!P444)," ")</f>
        <v>1022.82</v>
      </c>
      <c r="AA40" s="54">
        <f>IF(ISNUMBER('Janitza data '!Q444),('Janitza data '!Q444)," ")</f>
        <v>1958.64</v>
      </c>
      <c r="AB40" s="54">
        <f>IF(ISNUMBER('Janitza data '!R444),('Janitza data '!R444)," ")</f>
        <v>2418.58</v>
      </c>
      <c r="AC40" s="54">
        <f>IF(ISNUMBER('Janitza data '!S444),('Janitza data '!S444)," ")</f>
        <v>3451.18</v>
      </c>
      <c r="AD40" s="54">
        <f>IF(ISNUMBER('Janitza data '!T444),('Janitza data '!T444)," ")</f>
        <v>4223.54</v>
      </c>
      <c r="AE40" s="54">
        <f>IF(ISNUMBER('Janitza data '!U444),('Janitza data '!U444)," ")</f>
        <v>4409.0600000000004</v>
      </c>
      <c r="AF40" s="54">
        <f>IF(ISNUMBER('Janitza data '!V444),('Janitza data '!V444)," ")</f>
        <v>5159.1400000000003</v>
      </c>
      <c r="AG40" s="54">
        <f>IF(ISNUMBER('Janitza data '!W444),('Janitza data '!W444)," ")</f>
        <v>3255.6</v>
      </c>
      <c r="AH40" s="54">
        <f>IF(ISNUMBER('Janitza data '!X444),('Janitza data '!X444)," ")</f>
        <v>2699.46</v>
      </c>
      <c r="AI40" s="54">
        <f>IF(ISNUMBER('Janitza data '!Y444),('Janitza data '!Y444)," ")</f>
        <v>2258.94</v>
      </c>
      <c r="AJ40" s="54">
        <f>IF(ISNUMBER('Janitza data '!Z444),('Janitza data '!Z444)," ")</f>
        <v>1432</v>
      </c>
      <c r="AK40" s="54">
        <f>IF(ISNUMBER('Janitza data '!AA444),('Janitza data '!AA444)," ")</f>
        <v>1215.81</v>
      </c>
      <c r="AL40" s="54">
        <f>IF(ISNUMBER('Janitza data '!AB444),('Janitza data '!AB444)," ")</f>
        <v>1520.86</v>
      </c>
      <c r="AM40" s="54">
        <f>IF(ISNUMBER('Janitza data '!AC444),('Janitza data '!AC444)," ")</f>
        <v>2730.46</v>
      </c>
      <c r="AN40" s="54">
        <f>IF(ISNUMBER('Janitza data '!AD444),('Janitza data '!AD444)," ")</f>
        <v>3292.35</v>
      </c>
      <c r="AO40" s="54">
        <f>IF(ISNUMBER('Janitza data '!AE444),('Janitza data '!AE444)," ")</f>
        <v>5094.05</v>
      </c>
      <c r="AP40" s="54">
        <f>IF(ISNUMBER('Janitza data '!AF444),('Janitza data '!AF444)," ")</f>
        <v>4178.72</v>
      </c>
      <c r="AQ40" s="54">
        <f>IF(ISNUMBER('Janitza data '!AG444),('Janitza data '!AG444)," ")</f>
        <v>5355.87</v>
      </c>
      <c r="AR40" s="54">
        <f>IF(ISNUMBER('Janitza data '!AH444),('Janitza data '!AH444)," ")</f>
        <v>4546.5600000000004</v>
      </c>
      <c r="AS40" s="54">
        <f>IF(ISNUMBER('Janitza data '!AI444),('Janitza data '!AI444)," ")</f>
        <v>3810.4</v>
      </c>
      <c r="AT40" s="54">
        <f>IF(ISNUMBER('Janitza data '!AJ444),('Janitza data '!AJ444)," ")</f>
        <v>966.18</v>
      </c>
      <c r="AU40" s="54" t="str">
        <f>IF(ISNUMBER('Janitza data '!AK444),('Janitza data '!AK444)," ")</f>
        <v xml:space="preserve"> </v>
      </c>
      <c r="AV40" s="54" t="str">
        <f>IF(ISNUMBER('Janitza data '!AL444),('Janitza data '!AL444)," ")</f>
        <v xml:space="preserve"> </v>
      </c>
    </row>
    <row r="41" spans="1:48" ht="15.6">
      <c r="A41" s="544" t="s">
        <v>72</v>
      </c>
      <c r="B41" s="338" t="s">
        <v>188</v>
      </c>
      <c r="C41" s="535">
        <f t="shared" ca="1" si="0"/>
        <v>-15.040000000000106</v>
      </c>
      <c r="D41" s="55" t="s">
        <v>74</v>
      </c>
      <c r="E41" s="7" t="s">
        <v>75</v>
      </c>
      <c r="F41" s="8"/>
      <c r="G41" s="8"/>
      <c r="H41" s="8"/>
      <c r="I41" s="5"/>
      <c r="J41" s="519"/>
      <c r="K41" s="524">
        <f t="shared" ref="K41:Z41" si="14">IF(ISNUMBER(K40),K40-K42-K43-K44," ")</f>
        <v>1404</v>
      </c>
      <c r="L41" s="56">
        <f t="shared" si="14"/>
        <v>521</v>
      </c>
      <c r="M41" s="56">
        <f t="shared" si="14"/>
        <v>520</v>
      </c>
      <c r="N41" s="56">
        <f t="shared" si="14"/>
        <v>389</v>
      </c>
      <c r="O41" s="56">
        <f t="shared" si="14"/>
        <v>459</v>
      </c>
      <c r="P41" s="56">
        <f t="shared" si="14"/>
        <v>495</v>
      </c>
      <c r="Q41" s="56">
        <f t="shared" si="14"/>
        <v>819</v>
      </c>
      <c r="R41" s="56">
        <f t="shared" si="14"/>
        <v>866</v>
      </c>
      <c r="S41" s="56">
        <f t="shared" si="14"/>
        <v>870</v>
      </c>
      <c r="T41" s="56">
        <f t="shared" si="14"/>
        <v>799</v>
      </c>
      <c r="U41" s="56">
        <f t="shared" si="14"/>
        <v>567</v>
      </c>
      <c r="V41" s="56">
        <f t="shared" si="14"/>
        <v>612</v>
      </c>
      <c r="W41" s="56">
        <f t="shared" si="14"/>
        <v>554.63000000000011</v>
      </c>
      <c r="X41" s="56">
        <f t="shared" si="14"/>
        <v>512.66000000000008</v>
      </c>
      <c r="Y41" s="56">
        <f t="shared" si="14"/>
        <v>509.66999999999996</v>
      </c>
      <c r="Z41" s="56">
        <f t="shared" si="14"/>
        <v>530.85</v>
      </c>
      <c r="AA41" s="56">
        <f t="shared" ref="AA41:AB41" si="15">IF(ISNUMBER(AA40),AA40-AA42-AA43-AA44," ")</f>
        <v>583.95000000000005</v>
      </c>
      <c r="AB41" s="56">
        <f t="shared" si="15"/>
        <v>599.87</v>
      </c>
      <c r="AC41" s="56">
        <f t="shared" ref="AC41:AO41" si="16">IF(ISNUMBER(AC40),AC40-AC42-AC43-AC44," ")</f>
        <v>684.42999999999984</v>
      </c>
      <c r="AD41" s="56">
        <f t="shared" si="16"/>
        <v>713.05000000000007</v>
      </c>
      <c r="AE41" s="56">
        <f t="shared" si="16"/>
        <v>966.15000000000032</v>
      </c>
      <c r="AF41" s="56">
        <f t="shared" si="16"/>
        <v>979.11000000000047</v>
      </c>
      <c r="AG41" s="56">
        <f t="shared" si="16"/>
        <v>757.85</v>
      </c>
      <c r="AH41" s="56">
        <f t="shared" si="16"/>
        <v>785.52</v>
      </c>
      <c r="AI41" s="56">
        <f t="shared" si="16"/>
        <v>608.01</v>
      </c>
      <c r="AJ41" s="56">
        <f t="shared" si="16"/>
        <v>614.51</v>
      </c>
      <c r="AK41" s="56">
        <f t="shared" si="16"/>
        <v>632.87</v>
      </c>
      <c r="AL41" s="56">
        <f t="shared" si="16"/>
        <v>640.9</v>
      </c>
      <c r="AM41" s="56">
        <f t="shared" si="16"/>
        <v>760.63</v>
      </c>
      <c r="AN41" s="56">
        <f t="shared" si="16"/>
        <v>889.77999999999986</v>
      </c>
      <c r="AO41" s="56">
        <f t="shared" si="16"/>
        <v>1058.6499999999999</v>
      </c>
      <c r="AP41" s="56">
        <f t="shared" ref="AP41:AQ41" si="17">IF(ISNUMBER(AP40),AP40-AP42-AP43-AP44," ")</f>
        <v>947.71</v>
      </c>
      <c r="AQ41" s="56">
        <f t="shared" si="17"/>
        <v>1074.4599999999998</v>
      </c>
      <c r="AR41" s="56">
        <f t="shared" ref="AR41:AV41" si="18">IF(ISNUMBER(AR40),AR40-AR42-AR43-AR44," ")</f>
        <v>1074.9800000000002</v>
      </c>
      <c r="AS41" s="56">
        <f t="shared" si="18"/>
        <v>800.02999999999986</v>
      </c>
      <c r="AT41" s="56">
        <f t="shared" si="18"/>
        <v>-15.040000000000106</v>
      </c>
      <c r="AU41" s="56" t="str">
        <f t="shared" si="18"/>
        <v xml:space="preserve"> </v>
      </c>
      <c r="AV41" s="56" t="str">
        <f t="shared" si="18"/>
        <v xml:space="preserve"> </v>
      </c>
    </row>
    <row r="42" spans="1:48" ht="15.6">
      <c r="A42" s="544" t="s">
        <v>72</v>
      </c>
      <c r="B42" s="225" t="s">
        <v>189</v>
      </c>
      <c r="C42" s="535">
        <f t="shared" ca="1" si="0"/>
        <v>621.57000000000005</v>
      </c>
      <c r="D42" s="55" t="s">
        <v>74</v>
      </c>
      <c r="E42" s="7" t="s">
        <v>80</v>
      </c>
      <c r="F42" s="8" t="s">
        <v>190</v>
      </c>
      <c r="G42" s="8" t="s">
        <v>82</v>
      </c>
      <c r="H42" s="8" t="s">
        <v>92</v>
      </c>
      <c r="I42" s="5" t="s">
        <v>84</v>
      </c>
      <c r="J42" s="519" t="s">
        <v>191</v>
      </c>
      <c r="K42" s="522">
        <v>280</v>
      </c>
      <c r="L42" s="54">
        <v>516</v>
      </c>
      <c r="M42" s="54">
        <v>319</v>
      </c>
      <c r="N42" s="54">
        <v>546</v>
      </c>
      <c r="O42" s="54">
        <v>585</v>
      </c>
      <c r="P42" s="54">
        <v>1038</v>
      </c>
      <c r="Q42" s="54">
        <v>1399</v>
      </c>
      <c r="R42" s="54">
        <v>2429</v>
      </c>
      <c r="S42" s="54">
        <v>2875</v>
      </c>
      <c r="T42" s="54">
        <v>3098</v>
      </c>
      <c r="U42" s="54">
        <v>2049</v>
      </c>
      <c r="V42" s="54">
        <v>1994</v>
      </c>
      <c r="W42" s="54">
        <v>928.17</v>
      </c>
      <c r="X42" s="523">
        <v>731.12</v>
      </c>
      <c r="Y42" s="54">
        <f>'Janitza data '!O431</f>
        <v>231.5</v>
      </c>
      <c r="Z42" s="54">
        <f>IF(ISNUMBER('Janitza data '!P431),('Janitza data '!P431)," ")</f>
        <v>290.18</v>
      </c>
      <c r="AA42" s="54">
        <f>IF(ISNUMBER('Janitza data '!Q431),('Janitza data '!Q431)," ")</f>
        <v>1008.67</v>
      </c>
      <c r="AB42" s="54">
        <f>IF(ISNUMBER('Janitza data '!R431),('Janitza data '!R431)," ")</f>
        <v>1573.84</v>
      </c>
      <c r="AC42" s="54">
        <f>IF(ISNUMBER('Janitza data '!S431),('Janitza data '!S431)," ")</f>
        <v>2299.52</v>
      </c>
      <c r="AD42" s="54">
        <f>IF(ISNUMBER('Janitza data '!T431),('Janitza data '!T431)," ")</f>
        <v>2685.1</v>
      </c>
      <c r="AE42" s="54">
        <f>IF(ISNUMBER('Janitza data '!U431),('Janitza data '!U431)," ")</f>
        <v>2569.3000000000002</v>
      </c>
      <c r="AF42" s="54">
        <f>IF(ISNUMBER('Janitza data '!V431),('Janitza data '!V431)," ")</f>
        <v>3068.64</v>
      </c>
      <c r="AG42" s="54">
        <f>IF(ISNUMBER('Janitza data '!W431),('Janitza data '!W431)," ")</f>
        <v>1874.82</v>
      </c>
      <c r="AH42" s="54">
        <f>IF(ISNUMBER('Janitza data '!X431),('Janitza data '!X431)," ")</f>
        <v>1578.76</v>
      </c>
      <c r="AI42" s="54">
        <f>IF(ISNUMBER('Janitza data '!Y431),('Janitza data '!Y431)," ")</f>
        <v>1327.92</v>
      </c>
      <c r="AJ42" s="54">
        <f>IF(ISNUMBER('Janitza data '!Z431),('Janitza data '!Z431)," ")</f>
        <v>579.5</v>
      </c>
      <c r="AK42" s="54">
        <f>IF(ISNUMBER('Janitza data '!AA431),('Janitza data '!AA431)," ")</f>
        <v>396.56</v>
      </c>
      <c r="AL42" s="54">
        <f>IF(ISNUMBER('Janitza data '!AB431),('Janitza data '!AB431)," ")</f>
        <v>699.65</v>
      </c>
      <c r="AM42" s="54">
        <f>IF(ISNUMBER('Janitza data '!AC431),('Janitza data '!AC431)," ")</f>
        <v>1487.15</v>
      </c>
      <c r="AN42" s="54">
        <f>IF(ISNUMBER('Janitza data '!AD431),('Janitza data '!AD431)," ")</f>
        <v>1882.2</v>
      </c>
      <c r="AO42" s="54">
        <f>IF(ISNUMBER('Janitza data '!AE431),('Janitza data '!AE431)," ")</f>
        <v>3125.9</v>
      </c>
      <c r="AP42" s="54">
        <f>IF(ISNUMBER('Janitza data '!AF431),('Janitza data '!AF431)," ")</f>
        <v>2424.7800000000002</v>
      </c>
      <c r="AQ42" s="54">
        <f>IF(ISNUMBER('Janitza data '!AG431),('Janitza data '!AG431)," ")</f>
        <v>3382.82</v>
      </c>
      <c r="AR42" s="54">
        <f>IF(ISNUMBER('Janitza data '!AH431),('Janitza data '!AH431)," ")</f>
        <v>2665.11</v>
      </c>
      <c r="AS42" s="54">
        <f>IF(ISNUMBER('Janitza data '!AI431),('Janitza data '!AI431)," ")</f>
        <v>2364.0300000000002</v>
      </c>
      <c r="AT42" s="54">
        <f>IF(ISNUMBER('Janitza data '!AJ431),('Janitza data '!AJ431)," ")</f>
        <v>621.57000000000005</v>
      </c>
      <c r="AU42" s="54" t="str">
        <f>IF(ISNUMBER('Janitza data '!AK431),('Janitza data '!AK431)," ")</f>
        <v xml:space="preserve"> </v>
      </c>
      <c r="AV42" s="54" t="str">
        <f>IF(ISNUMBER('Janitza data '!AL431),('Janitza data '!AL431)," ")</f>
        <v xml:space="preserve"> </v>
      </c>
    </row>
    <row r="43" spans="1:48" ht="15.6">
      <c r="A43" s="544" t="s">
        <v>72</v>
      </c>
      <c r="B43" s="225" t="s">
        <v>192</v>
      </c>
      <c r="C43" s="535">
        <f t="shared" ca="1" si="0"/>
        <v>282.56</v>
      </c>
      <c r="D43" s="55" t="s">
        <v>74</v>
      </c>
      <c r="E43" s="7" t="s">
        <v>80</v>
      </c>
      <c r="F43" s="8" t="s">
        <v>193</v>
      </c>
      <c r="G43" s="8" t="s">
        <v>82</v>
      </c>
      <c r="H43" s="8" t="s">
        <v>92</v>
      </c>
      <c r="I43" s="5" t="s">
        <v>84</v>
      </c>
      <c r="J43" s="519" t="s">
        <v>194</v>
      </c>
      <c r="K43" s="522">
        <v>0</v>
      </c>
      <c r="L43" s="54">
        <v>122</v>
      </c>
      <c r="M43" s="563">
        <v>58</v>
      </c>
      <c r="N43" s="54">
        <v>141</v>
      </c>
      <c r="O43" s="54">
        <v>210</v>
      </c>
      <c r="P43" s="54">
        <v>251</v>
      </c>
      <c r="Q43" s="54">
        <v>882</v>
      </c>
      <c r="R43" s="54">
        <v>1002</v>
      </c>
      <c r="S43" s="54">
        <v>1140</v>
      </c>
      <c r="T43" s="54">
        <v>781</v>
      </c>
      <c r="U43" s="54">
        <v>567</v>
      </c>
      <c r="V43" s="54">
        <v>355</v>
      </c>
      <c r="W43" s="54">
        <v>111.75</v>
      </c>
      <c r="X43" s="523">
        <v>73.73</v>
      </c>
      <c r="Y43" s="54">
        <f>'Janitza data '!O430</f>
        <v>65</v>
      </c>
      <c r="Z43" s="54">
        <f>IF(ISNUMBER('Janitza data '!P430),('Janitza data '!P430)," ")</f>
        <v>80.58</v>
      </c>
      <c r="AA43" s="54">
        <f>IF(ISNUMBER('Janitza data '!Q430),('Janitza data '!Q430)," ")</f>
        <v>242.84</v>
      </c>
      <c r="AB43" s="54">
        <f>IF(ISNUMBER('Janitza data '!R430),('Janitza data '!R430)," ")</f>
        <v>144.13</v>
      </c>
      <c r="AC43" s="54">
        <f>IF(ISNUMBER('Janitza data '!S430),('Janitza data '!S430)," ")</f>
        <v>361.13</v>
      </c>
      <c r="AD43" s="54">
        <f>IF(ISNUMBER('Janitza data '!T430),('Janitza data '!T430)," ")</f>
        <v>712.09</v>
      </c>
      <c r="AE43" s="54">
        <f>IF(ISNUMBER('Janitza data '!U430),('Janitza data '!U430)," ")</f>
        <v>763.85</v>
      </c>
      <c r="AF43" s="54">
        <f>IF(ISNUMBER('Janitza data '!V430),('Janitza data '!V430)," ")</f>
        <v>1039.47</v>
      </c>
      <c r="AG43" s="54">
        <f>IF(ISNUMBER('Janitza data '!W430),('Janitza data '!W430)," ")</f>
        <v>513.92999999999995</v>
      </c>
      <c r="AH43" s="54">
        <f>IF(ISNUMBER('Janitza data '!X430),('Janitza data '!X430)," ")</f>
        <v>258.70999999999998</v>
      </c>
      <c r="AI43" s="54">
        <f>IF(ISNUMBER('Janitza data '!Y430),('Janitza data '!Y430)," ")</f>
        <v>231.32</v>
      </c>
      <c r="AJ43" s="54">
        <f>IF(ISNUMBER('Janitza data '!Z430),('Janitza data '!Z430)," ")</f>
        <v>134.11000000000001</v>
      </c>
      <c r="AK43" s="54">
        <f>IF(ISNUMBER('Janitza data '!AA430),('Janitza data '!AA430)," ")</f>
        <v>113.88</v>
      </c>
      <c r="AL43" s="54">
        <f>IF(ISNUMBER('Janitza data '!AB430),('Janitza data '!AB430)," ")</f>
        <v>94.26</v>
      </c>
      <c r="AM43" s="54">
        <f>IF(ISNUMBER('Janitza data '!AC430),('Janitza data '!AC430)," ")</f>
        <v>384.27</v>
      </c>
      <c r="AN43" s="54">
        <f>IF(ISNUMBER('Janitza data '!AD430),('Janitza data '!AD430)," ")</f>
        <v>438.54</v>
      </c>
      <c r="AO43" s="54">
        <f>IF(ISNUMBER('Janitza data '!AE430),('Janitza data '!AE430)," ")</f>
        <v>829.82</v>
      </c>
      <c r="AP43" s="54">
        <f>IF(ISNUMBER('Janitza data '!AF430),('Janitza data '!AF430)," ")</f>
        <v>729.97</v>
      </c>
      <c r="AQ43" s="54">
        <f>IF(ISNUMBER('Janitza data '!AG430),('Janitza data '!AG430)," ")</f>
        <v>798.56</v>
      </c>
      <c r="AR43" s="54">
        <f>IF(ISNUMBER('Janitza data '!AH430),('Janitza data '!AH430)," ")</f>
        <v>706.05</v>
      </c>
      <c r="AS43" s="54">
        <f>IF(ISNUMBER('Janitza data '!AI430),('Janitza data '!AI430)," ")</f>
        <v>565.44000000000005</v>
      </c>
      <c r="AT43" s="54">
        <f>IF(ISNUMBER('Janitza data '!AJ430),('Janitza data '!AJ430)," ")</f>
        <v>282.56</v>
      </c>
      <c r="AU43" s="54" t="str">
        <f>IF(ISNUMBER('Janitza data '!AK430),('Janitza data '!AK430)," ")</f>
        <v xml:space="preserve"> </v>
      </c>
      <c r="AV43" s="54" t="str">
        <f>IF(ISNUMBER('Janitza data '!AL430),('Janitza data '!AL430)," ")</f>
        <v xml:space="preserve"> </v>
      </c>
    </row>
    <row r="44" spans="1:48" ht="15.6">
      <c r="A44" s="545" t="s">
        <v>72</v>
      </c>
      <c r="B44" s="546" t="s">
        <v>195</v>
      </c>
      <c r="C44" s="535">
        <f t="shared" ca="1" si="0"/>
        <v>77.09</v>
      </c>
      <c r="D44" s="547" t="s">
        <v>74</v>
      </c>
      <c r="E44" s="548" t="s">
        <v>80</v>
      </c>
      <c r="F44" s="549" t="s">
        <v>177</v>
      </c>
      <c r="G44" s="549" t="s">
        <v>82</v>
      </c>
      <c r="H44" s="549" t="s">
        <v>92</v>
      </c>
      <c r="I44" s="550" t="s">
        <v>84</v>
      </c>
      <c r="J44" s="551" t="s">
        <v>196</v>
      </c>
      <c r="K44" s="525">
        <v>0</v>
      </c>
      <c r="L44" s="526">
        <v>69</v>
      </c>
      <c r="M44" s="526">
        <v>129</v>
      </c>
      <c r="N44" s="526">
        <v>61</v>
      </c>
      <c r="O44" s="526">
        <v>162</v>
      </c>
      <c r="P44" s="526">
        <v>121</v>
      </c>
      <c r="Q44" s="526">
        <v>114</v>
      </c>
      <c r="R44" s="526">
        <v>105</v>
      </c>
      <c r="S44" s="526">
        <v>123</v>
      </c>
      <c r="T44" s="526">
        <v>112</v>
      </c>
      <c r="U44" s="526">
        <v>99</v>
      </c>
      <c r="V44" s="526">
        <v>78</v>
      </c>
      <c r="W44" s="526">
        <v>102.87</v>
      </c>
      <c r="X44" s="527">
        <v>75.900000000000006</v>
      </c>
      <c r="Y44" s="526">
        <f>'Janitza data '!O463</f>
        <v>122.01</v>
      </c>
      <c r="Z44" s="526">
        <f>IF(ISNUMBER('Janitza data '!P463),('Janitza data '!P463)," ")</f>
        <v>121.21</v>
      </c>
      <c r="AA44" s="526">
        <f>IF(ISNUMBER('Janitza data '!Q463),('Janitza data '!Q463)," ")</f>
        <v>123.18</v>
      </c>
      <c r="AB44" s="526">
        <f>IF(ISNUMBER('Janitza data '!R463),('Janitza data '!R463)," ")</f>
        <v>100.74</v>
      </c>
      <c r="AC44" s="526">
        <f>IF(ISNUMBER('Janitza data '!S463),('Janitza data '!S463)," ")</f>
        <v>106.1</v>
      </c>
      <c r="AD44" s="526">
        <f>IF(ISNUMBER('Janitza data '!T463),('Janitza data '!T463)," ")</f>
        <v>113.3</v>
      </c>
      <c r="AE44" s="526">
        <f>IF(ISNUMBER('Janitza data '!U463),('Janitza data '!U463)," ")</f>
        <v>109.76</v>
      </c>
      <c r="AF44" s="526">
        <f>IF(ISNUMBER('Janitza data '!V463),('Janitza data '!V463)," ")</f>
        <v>71.92</v>
      </c>
      <c r="AG44" s="526">
        <f>IF(ISNUMBER('Janitza data '!W463),('Janitza data '!W463)," ")</f>
        <v>109</v>
      </c>
      <c r="AH44" s="526">
        <f>IF(ISNUMBER('Janitza data '!X463),('Janitza data '!X463)," ")</f>
        <v>76.47</v>
      </c>
      <c r="AI44" s="526">
        <f>IF(ISNUMBER('Janitza data '!Y463),('Janitza data '!Y463)," ")</f>
        <v>91.69</v>
      </c>
      <c r="AJ44" s="526">
        <f>IF(ISNUMBER('Janitza data '!Z463),('Janitza data '!Z463)," ")</f>
        <v>103.88</v>
      </c>
      <c r="AK44" s="526">
        <f>IF(ISNUMBER('Janitza data '!AA463),('Janitza data '!AA463)," ")</f>
        <v>72.5</v>
      </c>
      <c r="AL44" s="526">
        <f>IF(ISNUMBER('Janitza data '!AB463),('Janitza data '!AB463)," ")</f>
        <v>86.05</v>
      </c>
      <c r="AM44" s="526">
        <f>IF(ISNUMBER('Janitza data '!AC463),('Janitza data '!AC463)," ")</f>
        <v>98.41</v>
      </c>
      <c r="AN44" s="526">
        <f>IF(ISNUMBER('Janitza data '!AD463),('Janitza data '!AD463)," ")</f>
        <v>81.83</v>
      </c>
      <c r="AO44" s="526">
        <f>IF(ISNUMBER('Janitza data '!AE463),('Janitza data '!AE463)," ")</f>
        <v>79.680000000000007</v>
      </c>
      <c r="AP44" s="526">
        <f>IF(ISNUMBER('Janitza data '!AF463),('Janitza data '!AF463)," ")</f>
        <v>76.260000000000005</v>
      </c>
      <c r="AQ44" s="526">
        <f>IF(ISNUMBER('Janitza data '!AG463),('Janitza data '!AG463)," ")</f>
        <v>100.03</v>
      </c>
      <c r="AR44" s="526">
        <f>IF(ISNUMBER('Janitza data '!AH463),('Janitza data '!AH463)," ")</f>
        <v>100.42</v>
      </c>
      <c r="AS44" s="526">
        <f>IF(ISNUMBER('Janitza data '!AI463),('Janitza data '!AI463)," ")</f>
        <v>80.900000000000006</v>
      </c>
      <c r="AT44" s="526">
        <f>IF(ISNUMBER('Janitza data '!AJ463),('Janitza data '!AJ463)," ")</f>
        <v>77.09</v>
      </c>
      <c r="AU44" s="526" t="str">
        <f>IF(ISNUMBER('Janitza data '!AK463),('Janitza data '!AK463)," ")</f>
        <v xml:space="preserve"> </v>
      </c>
      <c r="AV44" s="526" t="str">
        <f>IF(ISNUMBER('Janitza data '!AL463),('Janitza data '!AL463)," ")</f>
        <v xml:space="preserve"> </v>
      </c>
    </row>
    <row r="46" spans="1:48">
      <c r="AC46" s="173"/>
    </row>
    <row r="47" spans="1:48">
      <c r="AC47" s="173"/>
    </row>
    <row r="48" spans="1:48">
      <c r="AC48" s="173"/>
    </row>
    <row r="49" spans="1:29">
      <c r="AC49" s="173"/>
    </row>
    <row r="50" spans="1:29">
      <c r="A50" s="35" t="s">
        <v>197</v>
      </c>
      <c r="D50" s="35" t="s">
        <v>74</v>
      </c>
      <c r="AC50" s="173"/>
    </row>
    <row r="51" spans="1:29">
      <c r="A51" s="35" t="s">
        <v>198</v>
      </c>
      <c r="D51" s="35" t="s">
        <v>74</v>
      </c>
      <c r="AC51" s="173"/>
    </row>
    <row r="52" spans="1:29">
      <c r="A52" s="35" t="s">
        <v>199</v>
      </c>
      <c r="D52" s="35" t="s">
        <v>74</v>
      </c>
      <c r="AC52" s="173"/>
    </row>
    <row r="53" spans="1:29">
      <c r="A53" s="35" t="s">
        <v>200</v>
      </c>
      <c r="D53" s="35" t="s">
        <v>74</v>
      </c>
      <c r="AC53" s="173"/>
    </row>
    <row r="54" spans="1:29">
      <c r="AC54" s="173"/>
    </row>
    <row r="55" spans="1:29">
      <c r="A55" s="35" t="s">
        <v>201</v>
      </c>
      <c r="D55" s="35" t="s">
        <v>74</v>
      </c>
      <c r="AC55" s="173"/>
    </row>
    <row r="56" spans="1:29">
      <c r="AC56" s="173"/>
    </row>
    <row r="57" spans="1:29">
      <c r="AC57" s="173"/>
    </row>
    <row r="58" spans="1:29">
      <c r="A58" s="155" t="s">
        <v>202</v>
      </c>
      <c r="B58" s="156" t="s">
        <v>203</v>
      </c>
      <c r="C58" s="157" t="s">
        <v>204</v>
      </c>
      <c r="D58" s="158" t="s">
        <v>205</v>
      </c>
      <c r="Z58" t="s">
        <v>206</v>
      </c>
      <c r="AC58" s="173"/>
    </row>
    <row r="59" spans="1:29">
      <c r="A59" s="159" t="s">
        <v>207</v>
      </c>
      <c r="B59" s="160"/>
      <c r="C59" s="161" t="s">
        <v>205</v>
      </c>
      <c r="D59" s="159" t="s">
        <v>208</v>
      </c>
      <c r="Z59" t="s">
        <v>209</v>
      </c>
      <c r="AC59" s="173"/>
    </row>
    <row r="60" spans="1:29">
      <c r="A60" s="159" t="s">
        <v>210</v>
      </c>
      <c r="B60" s="160"/>
      <c r="C60" s="161" t="s">
        <v>205</v>
      </c>
      <c r="D60" s="159" t="s">
        <v>208</v>
      </c>
      <c r="AC60" s="173"/>
    </row>
    <row r="61" spans="1:29">
      <c r="A61" s="159" t="s">
        <v>211</v>
      </c>
      <c r="B61" s="160"/>
      <c r="C61" s="161" t="s">
        <v>205</v>
      </c>
      <c r="D61" s="159" t="s">
        <v>212</v>
      </c>
      <c r="Z61" t="s">
        <v>213</v>
      </c>
      <c r="AC61" s="173"/>
    </row>
    <row r="62" spans="1:29">
      <c r="A62" s="159" t="s">
        <v>214</v>
      </c>
      <c r="B62" s="160"/>
      <c r="C62" s="161" t="s">
        <v>205</v>
      </c>
      <c r="D62" s="159" t="s">
        <v>212</v>
      </c>
      <c r="Z62" s="35" t="s">
        <v>215</v>
      </c>
      <c r="AC62" s="173"/>
    </row>
    <row r="63" spans="1:29">
      <c r="A63" s="159" t="s">
        <v>216</v>
      </c>
      <c r="B63" s="160"/>
      <c r="C63" s="161" t="s">
        <v>205</v>
      </c>
      <c r="D63" s="159" t="s">
        <v>217</v>
      </c>
      <c r="AC63" s="173"/>
    </row>
    <row r="64" spans="1:29">
      <c r="A64" s="159" t="s">
        <v>218</v>
      </c>
      <c r="B64" s="160"/>
      <c r="C64" s="161" t="s">
        <v>205</v>
      </c>
      <c r="D64" s="159" t="s">
        <v>219</v>
      </c>
      <c r="S64">
        <v>2640</v>
      </c>
      <c r="T64">
        <v>3420</v>
      </c>
      <c r="U64">
        <v>3480</v>
      </c>
      <c r="Z64" s="35" t="s">
        <v>220</v>
      </c>
      <c r="AC64" s="173"/>
    </row>
    <row r="65" spans="1:29">
      <c r="A65" s="159" t="s">
        <v>221</v>
      </c>
      <c r="B65" s="160"/>
      <c r="C65" s="161" t="s">
        <v>205</v>
      </c>
      <c r="D65" s="159" t="s">
        <v>219</v>
      </c>
      <c r="S65">
        <v>1200</v>
      </c>
      <c r="T65">
        <v>2760</v>
      </c>
      <c r="U65">
        <v>3060</v>
      </c>
      <c r="Z65" s="35" t="s">
        <v>222</v>
      </c>
      <c r="AC65" s="173"/>
    </row>
    <row r="66" spans="1:29">
      <c r="A66" s="159" t="s">
        <v>223</v>
      </c>
      <c r="B66" s="160"/>
      <c r="C66" s="161" t="s">
        <v>205</v>
      </c>
      <c r="D66" s="159" t="s">
        <v>219</v>
      </c>
      <c r="S66">
        <v>3060</v>
      </c>
      <c r="T66">
        <v>2700</v>
      </c>
      <c r="U66">
        <v>2340</v>
      </c>
      <c r="Z66" s="35" t="s">
        <v>224</v>
      </c>
      <c r="AC66" s="173"/>
    </row>
    <row r="67" spans="1:29">
      <c r="A67" s="159" t="s">
        <v>225</v>
      </c>
      <c r="B67" s="160"/>
      <c r="C67" s="161" t="s">
        <v>205</v>
      </c>
      <c r="D67" s="159" t="s">
        <v>219</v>
      </c>
      <c r="AC67" s="173"/>
    </row>
    <row r="68" spans="1:29">
      <c r="A68" s="159" t="s">
        <v>226</v>
      </c>
      <c r="B68" s="160"/>
      <c r="C68" s="161" t="s">
        <v>205</v>
      </c>
      <c r="D68" s="159" t="s">
        <v>227</v>
      </c>
      <c r="S68" t="s">
        <v>228</v>
      </c>
      <c r="T68" t="s">
        <v>229</v>
      </c>
      <c r="V68" s="35" t="s">
        <v>230</v>
      </c>
      <c r="Z68" t="s">
        <v>231</v>
      </c>
      <c r="AC68" s="173"/>
    </row>
    <row r="69" spans="1:29">
      <c r="A69" s="159" t="s">
        <v>232</v>
      </c>
      <c r="B69" s="160"/>
      <c r="C69" s="161" t="s">
        <v>205</v>
      </c>
      <c r="D69" s="159" t="s">
        <v>227</v>
      </c>
      <c r="S69">
        <v>1560</v>
      </c>
      <c r="T69">
        <v>2160</v>
      </c>
      <c r="V69">
        <v>5320</v>
      </c>
      <c r="AC69" s="173"/>
    </row>
    <row r="70" spans="1:29">
      <c r="A70" s="159" t="s">
        <v>233</v>
      </c>
      <c r="B70" s="160"/>
      <c r="C70" s="161" t="s">
        <v>205</v>
      </c>
      <c r="D70" s="159" t="s">
        <v>227</v>
      </c>
      <c r="S70">
        <v>1600</v>
      </c>
      <c r="T70">
        <v>2000</v>
      </c>
      <c r="V70">
        <v>4120</v>
      </c>
      <c r="AC70" s="173"/>
    </row>
    <row r="71" spans="1:29">
      <c r="A71" s="159" t="s">
        <v>234</v>
      </c>
      <c r="B71" s="160"/>
      <c r="C71" s="161" t="s">
        <v>205</v>
      </c>
      <c r="D71" s="159" t="s">
        <v>235</v>
      </c>
      <c r="S71">
        <v>1000</v>
      </c>
      <c r="T71">
        <v>1440</v>
      </c>
      <c r="V71">
        <v>3720</v>
      </c>
      <c r="AC71" s="173"/>
    </row>
    <row r="72" spans="1:29">
      <c r="A72" s="159" t="s">
        <v>236</v>
      </c>
      <c r="B72" s="160"/>
      <c r="C72" s="161" t="s">
        <v>205</v>
      </c>
      <c r="D72" s="159" t="s">
        <v>235</v>
      </c>
      <c r="S72">
        <v>0</v>
      </c>
      <c r="T72">
        <v>0</v>
      </c>
      <c r="V72">
        <v>0</v>
      </c>
      <c r="AC72" s="173"/>
    </row>
    <row r="73" spans="1:29">
      <c r="A73" s="162" t="s">
        <v>237</v>
      </c>
      <c r="B73" s="160"/>
      <c r="C73" s="161" t="s">
        <v>205</v>
      </c>
      <c r="D73" s="159" t="s">
        <v>238</v>
      </c>
      <c r="S73">
        <v>6640</v>
      </c>
      <c r="T73">
        <v>9600</v>
      </c>
      <c r="V73">
        <v>21120</v>
      </c>
      <c r="AC73" s="173"/>
    </row>
    <row r="74" spans="1:29">
      <c r="A74" s="159" t="s">
        <v>239</v>
      </c>
      <c r="B74" s="160"/>
      <c r="C74" s="161" t="s">
        <v>205</v>
      </c>
      <c r="D74" s="159" t="s">
        <v>240</v>
      </c>
      <c r="AC74" s="173"/>
    </row>
    <row r="75" spans="1:29">
      <c r="A75" s="159" t="s">
        <v>241</v>
      </c>
      <c r="B75" s="160"/>
      <c r="C75" s="161" t="s">
        <v>205</v>
      </c>
      <c r="D75" s="159" t="s">
        <v>240</v>
      </c>
      <c r="AC75" s="173"/>
    </row>
    <row r="76" spans="1:29">
      <c r="A76" s="159" t="s">
        <v>242</v>
      </c>
      <c r="B76" s="160"/>
      <c r="C76" s="161" t="s">
        <v>205</v>
      </c>
      <c r="D76" s="159" t="s">
        <v>243</v>
      </c>
      <c r="AC76" s="173"/>
    </row>
    <row r="77" spans="1:29">
      <c r="A77" s="161" t="s">
        <v>244</v>
      </c>
      <c r="B77" s="160"/>
      <c r="C77" s="161" t="s">
        <v>205</v>
      </c>
      <c r="D77" s="159" t="s">
        <v>245</v>
      </c>
      <c r="AC77" s="174"/>
    </row>
    <row r="78" spans="1:29">
      <c r="A78" s="161" t="s">
        <v>246</v>
      </c>
      <c r="B78" s="160"/>
      <c r="C78" s="161" t="s">
        <v>205</v>
      </c>
      <c r="D78" s="159" t="s">
        <v>247</v>
      </c>
      <c r="AC78" s="174"/>
    </row>
    <row r="79" spans="1:29">
      <c r="A79" s="161" t="s">
        <v>248</v>
      </c>
      <c r="B79" s="160"/>
      <c r="C79" s="161" t="s">
        <v>205</v>
      </c>
      <c r="D79" s="159" t="s">
        <v>249</v>
      </c>
      <c r="AC79" s="174"/>
    </row>
    <row r="80" spans="1:29">
      <c r="A80" s="159" t="s">
        <v>250</v>
      </c>
      <c r="B80" s="160"/>
      <c r="C80" s="161" t="s">
        <v>205</v>
      </c>
      <c r="D80" s="159" t="s">
        <v>251</v>
      </c>
      <c r="AC80" s="174"/>
    </row>
    <row r="81" spans="1:29">
      <c r="A81" s="159" t="s">
        <v>252</v>
      </c>
      <c r="B81" s="160"/>
      <c r="C81" s="161" t="s">
        <v>205</v>
      </c>
      <c r="D81" s="159" t="s">
        <v>251</v>
      </c>
      <c r="AC81" s="174"/>
    </row>
    <row r="82" spans="1:29">
      <c r="A82" s="159" t="s">
        <v>253</v>
      </c>
      <c r="B82" s="160"/>
      <c r="C82" s="161" t="s">
        <v>205</v>
      </c>
      <c r="D82" s="159" t="s">
        <v>251</v>
      </c>
      <c r="AC82" s="174"/>
    </row>
    <row r="83" spans="1:29">
      <c r="A83" s="159" t="s">
        <v>254</v>
      </c>
      <c r="B83" s="160"/>
      <c r="C83" s="161" t="s">
        <v>205</v>
      </c>
      <c r="D83" s="159" t="s">
        <v>251</v>
      </c>
      <c r="AC83" s="174"/>
    </row>
    <row r="84" spans="1:29">
      <c r="A84" s="159" t="s">
        <v>255</v>
      </c>
      <c r="B84" s="160"/>
      <c r="C84" s="161" t="s">
        <v>205</v>
      </c>
      <c r="D84" s="159" t="s">
        <v>251</v>
      </c>
      <c r="AC84" s="174"/>
    </row>
    <row r="85" spans="1:29">
      <c r="A85" s="159" t="s">
        <v>256</v>
      </c>
      <c r="B85" s="160"/>
      <c r="C85" s="161" t="s">
        <v>205</v>
      </c>
      <c r="D85" s="159" t="s">
        <v>257</v>
      </c>
      <c r="AC85" s="174"/>
    </row>
    <row r="86" spans="1:29">
      <c r="A86" s="159"/>
      <c r="B86" s="160"/>
      <c r="C86" s="161"/>
      <c r="D86" s="159"/>
      <c r="AC86" s="174"/>
    </row>
    <row r="87" spans="1:29">
      <c r="A87" s="159" t="s">
        <v>258</v>
      </c>
      <c r="B87" s="160"/>
      <c r="C87" s="161" t="s">
        <v>205</v>
      </c>
      <c r="D87" s="159" t="s">
        <v>257</v>
      </c>
      <c r="AC87" s="174"/>
    </row>
    <row r="88" spans="1:29">
      <c r="A88" s="159" t="s">
        <v>259</v>
      </c>
      <c r="B88" s="160"/>
      <c r="C88" s="161" t="s">
        <v>205</v>
      </c>
      <c r="D88" s="159" t="s">
        <v>257</v>
      </c>
      <c r="AC88" s="174"/>
    </row>
    <row r="89" spans="1:29">
      <c r="A89" s="159" t="s">
        <v>260</v>
      </c>
      <c r="B89" s="160"/>
      <c r="C89" s="161" t="s">
        <v>205</v>
      </c>
      <c r="D89" s="159" t="s">
        <v>257</v>
      </c>
      <c r="AC89" s="174"/>
    </row>
    <row r="90" spans="1:29">
      <c r="A90" s="159" t="s">
        <v>261</v>
      </c>
      <c r="B90" s="160"/>
      <c r="C90" s="161" t="s">
        <v>205</v>
      </c>
      <c r="D90" s="159" t="s">
        <v>257</v>
      </c>
      <c r="AC90" s="174"/>
    </row>
    <row r="91" spans="1:29">
      <c r="A91" s="159" t="s">
        <v>262</v>
      </c>
      <c r="B91" s="160"/>
      <c r="C91" s="161" t="s">
        <v>205</v>
      </c>
      <c r="D91" s="159" t="s">
        <v>263</v>
      </c>
      <c r="AC91" s="174"/>
    </row>
    <row r="92" spans="1:29">
      <c r="A92" s="159" t="s">
        <v>264</v>
      </c>
      <c r="B92" s="160"/>
      <c r="C92" s="161" t="s">
        <v>205</v>
      </c>
      <c r="D92" s="159" t="s">
        <v>263</v>
      </c>
      <c r="AC92" s="174"/>
    </row>
    <row r="93" spans="1:29">
      <c r="A93" s="159" t="s">
        <v>265</v>
      </c>
      <c r="B93" s="160"/>
      <c r="C93" s="161" t="s">
        <v>205</v>
      </c>
      <c r="D93" s="159" t="s">
        <v>263</v>
      </c>
    </row>
    <row r="94" spans="1:29">
      <c r="A94" s="159" t="s">
        <v>266</v>
      </c>
      <c r="B94" s="160"/>
      <c r="C94" s="161" t="s">
        <v>205</v>
      </c>
      <c r="D94" s="159" t="s">
        <v>267</v>
      </c>
    </row>
    <row r="95" spans="1:29">
      <c r="A95" s="159" t="s">
        <v>268</v>
      </c>
      <c r="B95" s="160"/>
      <c r="C95" s="161" t="s">
        <v>205</v>
      </c>
      <c r="D95" s="159" t="s">
        <v>267</v>
      </c>
    </row>
    <row r="96" spans="1:29">
      <c r="A96" s="159"/>
      <c r="B96" s="160"/>
      <c r="C96" s="161"/>
      <c r="D96" s="159"/>
    </row>
    <row r="97" spans="1:4">
      <c r="A97" s="159" t="s">
        <v>269</v>
      </c>
      <c r="B97" s="160"/>
      <c r="C97" s="161" t="s">
        <v>205</v>
      </c>
      <c r="D97" s="159" t="s">
        <v>267</v>
      </c>
    </row>
    <row r="98" spans="1:4">
      <c r="A98" s="159" t="s">
        <v>270</v>
      </c>
      <c r="B98" s="160"/>
      <c r="C98" s="161" t="s">
        <v>205</v>
      </c>
      <c r="D98" s="159" t="s">
        <v>271</v>
      </c>
    </row>
    <row r="99" spans="1:4">
      <c r="A99" s="159" t="s">
        <v>272</v>
      </c>
      <c r="B99" s="160"/>
      <c r="C99" s="161" t="s">
        <v>205</v>
      </c>
      <c r="D99" s="159" t="s">
        <v>273</v>
      </c>
    </row>
    <row r="100" spans="1:4">
      <c r="A100" s="159" t="s">
        <v>274</v>
      </c>
      <c r="B100" s="160"/>
      <c r="C100" s="161" t="s">
        <v>205</v>
      </c>
      <c r="D100" s="159" t="s">
        <v>273</v>
      </c>
    </row>
    <row r="101" spans="1:4">
      <c r="A101" s="159" t="s">
        <v>275</v>
      </c>
      <c r="B101" s="160"/>
      <c r="C101" s="161" t="s">
        <v>205</v>
      </c>
      <c r="D101" s="159" t="s">
        <v>273</v>
      </c>
    </row>
    <row r="102" spans="1:4">
      <c r="A102" s="159"/>
      <c r="B102" s="160"/>
      <c r="C102" s="161" t="s">
        <v>205</v>
      </c>
      <c r="D102" s="159" t="s">
        <v>276</v>
      </c>
    </row>
    <row r="103" spans="1:4">
      <c r="A103" s="159" t="s">
        <v>277</v>
      </c>
      <c r="B103" s="160"/>
      <c r="C103" s="161" t="s">
        <v>205</v>
      </c>
      <c r="D103" s="159" t="s">
        <v>276</v>
      </c>
    </row>
    <row r="104" spans="1:4">
      <c r="A104" s="159" t="s">
        <v>278</v>
      </c>
      <c r="B104" s="160"/>
      <c r="C104" s="161" t="s">
        <v>205</v>
      </c>
      <c r="D104" s="159" t="s">
        <v>279</v>
      </c>
    </row>
    <row r="105" spans="1:4">
      <c r="A105" s="159" t="s">
        <v>280</v>
      </c>
      <c r="B105" s="160"/>
      <c r="C105" s="161" t="s">
        <v>205</v>
      </c>
      <c r="D105" s="159" t="s">
        <v>279</v>
      </c>
    </row>
    <row r="106" spans="1:4">
      <c r="A106" s="159" t="s">
        <v>281</v>
      </c>
      <c r="B106" s="160"/>
      <c r="C106" s="161" t="s">
        <v>205</v>
      </c>
      <c r="D106" s="159" t="s">
        <v>279</v>
      </c>
    </row>
    <row r="107" spans="1:4">
      <c r="A107" s="159" t="s">
        <v>282</v>
      </c>
      <c r="B107" s="160"/>
      <c r="C107" s="161" t="s">
        <v>205</v>
      </c>
      <c r="D107" s="159" t="s">
        <v>279</v>
      </c>
    </row>
    <row r="108" spans="1:4">
      <c r="A108" s="159" t="s">
        <v>283</v>
      </c>
      <c r="B108" s="160"/>
      <c r="C108" s="161" t="s">
        <v>205</v>
      </c>
      <c r="D108" s="159" t="s">
        <v>279</v>
      </c>
    </row>
    <row r="109" spans="1:4">
      <c r="A109" s="159" t="s">
        <v>284</v>
      </c>
      <c r="B109" s="160"/>
      <c r="C109" s="161" t="s">
        <v>205</v>
      </c>
      <c r="D109" s="159" t="s">
        <v>279</v>
      </c>
    </row>
    <row r="110" spans="1:4">
      <c r="A110" s="161" t="s">
        <v>285</v>
      </c>
      <c r="B110" s="160"/>
      <c r="C110" s="161" t="s">
        <v>205</v>
      </c>
      <c r="D110" s="159" t="s">
        <v>286</v>
      </c>
    </row>
    <row r="111" spans="1:4">
      <c r="A111" s="161" t="s">
        <v>287</v>
      </c>
      <c r="B111" s="163"/>
      <c r="C111" s="161" t="s">
        <v>288</v>
      </c>
      <c r="D111" s="159" t="s">
        <v>289</v>
      </c>
    </row>
    <row r="112" spans="1:4">
      <c r="A112" s="161" t="s">
        <v>290</v>
      </c>
      <c r="B112" s="163"/>
      <c r="C112" s="161" t="s">
        <v>288</v>
      </c>
      <c r="D112" s="159" t="s">
        <v>291</v>
      </c>
    </row>
    <row r="113" spans="1:4">
      <c r="A113" s="161" t="s">
        <v>292</v>
      </c>
      <c r="B113" s="163"/>
      <c r="C113" s="161" t="s">
        <v>288</v>
      </c>
      <c r="D113" s="159" t="s">
        <v>293</v>
      </c>
    </row>
    <row r="114" spans="1:4">
      <c r="A114" s="161" t="s">
        <v>294</v>
      </c>
      <c r="B114" s="163"/>
      <c r="C114" s="161" t="s">
        <v>288</v>
      </c>
      <c r="D114" s="159" t="s">
        <v>293</v>
      </c>
    </row>
    <row r="115" spans="1:4">
      <c r="A115" s="161" t="s">
        <v>295</v>
      </c>
      <c r="B115" s="163"/>
      <c r="C115" s="161" t="s">
        <v>288</v>
      </c>
      <c r="D115" s="159" t="s">
        <v>293</v>
      </c>
    </row>
    <row r="116" spans="1:4">
      <c r="A116" s="161" t="s">
        <v>296</v>
      </c>
      <c r="B116" s="163"/>
      <c r="C116" s="161" t="s">
        <v>297</v>
      </c>
      <c r="D116" s="159" t="s">
        <v>298</v>
      </c>
    </row>
    <row r="117" spans="1:4">
      <c r="A117" s="161" t="s">
        <v>299</v>
      </c>
      <c r="B117" s="163"/>
      <c r="C117" s="161" t="s">
        <v>300</v>
      </c>
      <c r="D117" s="159" t="s">
        <v>301</v>
      </c>
    </row>
    <row r="118" spans="1:4">
      <c r="A118" s="161" t="s">
        <v>302</v>
      </c>
      <c r="B118" s="163"/>
      <c r="C118" s="161" t="s">
        <v>303</v>
      </c>
      <c r="D118" s="159" t="s">
        <v>304</v>
      </c>
    </row>
    <row r="119" spans="1:4">
      <c r="A119" s="164" t="s">
        <v>305</v>
      </c>
      <c r="B119" s="160"/>
      <c r="C119" s="161" t="s">
        <v>306</v>
      </c>
      <c r="D119" s="165" t="s">
        <v>305</v>
      </c>
    </row>
    <row r="120" spans="1:4">
      <c r="A120" s="164" t="s">
        <v>307</v>
      </c>
      <c r="B120" s="160"/>
      <c r="C120" s="161" t="s">
        <v>306</v>
      </c>
      <c r="D120" s="165" t="s">
        <v>307</v>
      </c>
    </row>
    <row r="121" spans="1:4">
      <c r="A121" s="164" t="s">
        <v>308</v>
      </c>
      <c r="B121" s="163"/>
      <c r="C121" s="161" t="s">
        <v>306</v>
      </c>
      <c r="D121" s="165" t="s">
        <v>308</v>
      </c>
    </row>
    <row r="122" spans="1:4">
      <c r="A122" s="164" t="s">
        <v>309</v>
      </c>
      <c r="B122" s="163"/>
      <c r="C122" s="161" t="s">
        <v>306</v>
      </c>
      <c r="D122" s="165" t="s">
        <v>309</v>
      </c>
    </row>
    <row r="123" spans="1:4">
      <c r="A123" s="164" t="s">
        <v>310</v>
      </c>
      <c r="B123" s="163"/>
      <c r="C123" s="161" t="s">
        <v>306</v>
      </c>
      <c r="D123" s="165" t="s">
        <v>310</v>
      </c>
    </row>
    <row r="124" spans="1:4">
      <c r="A124" s="164" t="s">
        <v>311</v>
      </c>
      <c r="B124" s="163"/>
      <c r="C124" s="161" t="s">
        <v>306</v>
      </c>
      <c r="D124" s="165" t="s">
        <v>311</v>
      </c>
    </row>
    <row r="125" spans="1:4">
      <c r="A125" s="164" t="s">
        <v>312</v>
      </c>
      <c r="B125" s="163"/>
      <c r="C125" s="161" t="s">
        <v>306</v>
      </c>
      <c r="D125" s="165" t="s">
        <v>312</v>
      </c>
    </row>
    <row r="126" spans="1:4">
      <c r="A126" s="164" t="s">
        <v>313</v>
      </c>
      <c r="B126" s="163"/>
      <c r="C126" s="161" t="s">
        <v>306</v>
      </c>
      <c r="D126" s="165" t="s">
        <v>313</v>
      </c>
    </row>
    <row r="127" spans="1:4">
      <c r="A127" s="164" t="s">
        <v>314</v>
      </c>
      <c r="B127" s="163"/>
      <c r="C127" s="161" t="s">
        <v>306</v>
      </c>
      <c r="D127" s="165" t="s">
        <v>314</v>
      </c>
    </row>
    <row r="128" spans="1:4">
      <c r="A128" s="164" t="s">
        <v>315</v>
      </c>
      <c r="B128" s="163"/>
      <c r="C128" s="161" t="s">
        <v>306</v>
      </c>
      <c r="D128" s="165" t="s">
        <v>315</v>
      </c>
    </row>
    <row r="129" spans="1:4">
      <c r="A129" s="164" t="s">
        <v>316</v>
      </c>
      <c r="B129" s="160"/>
      <c r="C129" s="161" t="s">
        <v>306</v>
      </c>
      <c r="D129" s="165" t="s">
        <v>316</v>
      </c>
    </row>
    <row r="130" spans="1:4">
      <c r="A130" s="164" t="s">
        <v>317</v>
      </c>
      <c r="B130" s="160"/>
      <c r="C130" s="161" t="s">
        <v>306</v>
      </c>
      <c r="D130" s="165" t="s">
        <v>317</v>
      </c>
    </row>
    <row r="131" spans="1:4">
      <c r="A131" s="164" t="s">
        <v>318</v>
      </c>
      <c r="B131" s="160"/>
      <c r="C131" s="161" t="s">
        <v>306</v>
      </c>
      <c r="D131" s="165" t="s">
        <v>318</v>
      </c>
    </row>
    <row r="132" spans="1:4">
      <c r="A132" s="164" t="s">
        <v>319</v>
      </c>
      <c r="B132" s="160"/>
      <c r="C132" s="161" t="s">
        <v>306</v>
      </c>
      <c r="D132" s="165" t="s">
        <v>319</v>
      </c>
    </row>
    <row r="133" spans="1:4">
      <c r="A133" s="164" t="s">
        <v>320</v>
      </c>
      <c r="B133" s="160"/>
      <c r="C133" s="161" t="s">
        <v>306</v>
      </c>
      <c r="D133" s="165" t="s">
        <v>320</v>
      </c>
    </row>
    <row r="134" spans="1:4">
      <c r="A134" s="164" t="s">
        <v>321</v>
      </c>
      <c r="B134" s="160"/>
      <c r="C134" s="161" t="s">
        <v>306</v>
      </c>
      <c r="D134" s="165" t="s">
        <v>321</v>
      </c>
    </row>
  </sheetData>
  <customSheetViews>
    <customSheetView guid="{673E8A68-6A24-44BE-9F14-EEC413B6644E}" showPageBreaks="1" topLeftCell="A4">
      <selection activeCell="E32" sqref="E32"/>
      <pageMargins left="0" right="0" top="0" bottom="0" header="0" footer="0"/>
      <pageSetup paperSize="9" orientation="portrait" r:id="rId1"/>
    </customSheetView>
    <customSheetView guid="{D9BD3B37-9C0B-48A1-8A97-047766FF7485}" topLeftCell="A4">
      <selection activeCell="E32" sqref="E32"/>
      <pageMargins left="0" right="0" top="0" bottom="0" header="0" footer="0"/>
      <pageSetup paperSize="9" orientation="portrait" verticalDpi="0" r:id="rId2"/>
    </customSheetView>
    <customSheetView guid="{26BC36A8-DEE7-49C3-82FB-804A3B368D65}" showPageBreaks="1" topLeftCell="A10">
      <selection activeCell="F35" sqref="F35"/>
      <pageMargins left="0" right="0" top="0" bottom="0" header="0" footer="0"/>
      <pageSetup paperSize="9" orientation="portrait" r:id="rId3"/>
    </customSheetView>
    <customSheetView guid="{90A42C2A-6CDA-4EAF-9471-F44CF19471E9}" topLeftCell="A19">
      <selection activeCell="L21" sqref="L21"/>
      <pageMargins left="0" right="0" top="0" bottom="0" header="0" footer="0"/>
      <pageSetup paperSize="9" orientation="portrait" verticalDpi="0" r:id="rId4"/>
    </customSheetView>
  </customSheetViews>
  <phoneticPr fontId="74" type="noConversion"/>
  <conditionalFormatting sqref="M3:AV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164"/>
  <sheetViews>
    <sheetView tabSelected="1" zoomScale="85" zoomScaleNormal="85" workbookViewId="0" xr3:uid="{9B253EF2-77E0-53E3-AE26-4D66ECD923F3}">
      <pane ySplit="3" topLeftCell="A117" activePane="bottomLeft" state="frozen"/>
      <selection pane="bottomLeft" activeCell="T137" sqref="T137:T138"/>
    </sheetView>
  </sheetViews>
  <sheetFormatPr defaultRowHeight="13.15"/>
  <cols>
    <col min="1" max="1" width="10.42578125" bestFit="1" customWidth="1"/>
    <col min="2" max="2" width="10.42578125" customWidth="1"/>
    <col min="3" max="3" width="13.5703125" customWidth="1"/>
    <col min="4" max="4" width="20" bestFit="1" customWidth="1"/>
    <col min="5" max="5" width="12.7109375" customWidth="1"/>
    <col min="6" max="6" width="12" bestFit="1" customWidth="1"/>
    <col min="7" max="7" width="10.28515625" bestFit="1" customWidth="1"/>
    <col min="8" max="8" width="13.42578125" customWidth="1"/>
    <col min="9" max="9" width="14" customWidth="1"/>
    <col min="10" max="10" width="10.85546875" bestFit="1" customWidth="1"/>
    <col min="11" max="11" width="11.140625" bestFit="1" customWidth="1"/>
    <col min="12" max="12" width="13" customWidth="1"/>
    <col min="13" max="13" width="12.7109375" customWidth="1"/>
    <col min="14" max="14" width="11.28515625" bestFit="1" customWidth="1"/>
    <col min="15" max="15" width="11.42578125" customWidth="1"/>
    <col min="16" max="16" width="15.42578125" bestFit="1" customWidth="1"/>
    <col min="17" max="17" width="19.28515625" bestFit="1" customWidth="1"/>
    <col min="18" max="18" width="16.28515625" customWidth="1"/>
    <col min="19" max="19" width="15.28515625" customWidth="1"/>
    <col min="20" max="20" width="18.5703125" customWidth="1"/>
    <col min="21" max="21" width="11.85546875" customWidth="1"/>
    <col min="22" max="22" width="10" customWidth="1"/>
    <col min="23" max="23" width="11.85546875" customWidth="1"/>
    <col min="24" max="24" width="29.5703125" customWidth="1"/>
    <col min="25" max="25" width="10.140625" bestFit="1" customWidth="1"/>
    <col min="26" max="26" width="19.5703125" bestFit="1" customWidth="1"/>
    <col min="27" max="27" width="10.140625" bestFit="1" customWidth="1"/>
    <col min="28" max="28" width="14.7109375" bestFit="1" customWidth="1"/>
    <col min="29" max="29" width="10.140625" bestFit="1" customWidth="1"/>
    <col min="30" max="30" width="19.42578125" bestFit="1" customWidth="1"/>
    <col min="31" max="32" width="10.140625" bestFit="1" customWidth="1"/>
    <col min="33" max="33" width="16.28515625" customWidth="1"/>
  </cols>
  <sheetData>
    <row r="1" spans="1:20" ht="36.75" customHeight="1" thickBot="1">
      <c r="A1" s="63"/>
      <c r="B1" s="404"/>
      <c r="C1" s="493"/>
      <c r="D1" s="246"/>
      <c r="E1" s="66"/>
      <c r="F1" s="1318" t="s">
        <v>322</v>
      </c>
      <c r="G1" s="1318"/>
      <c r="H1" s="1318"/>
      <c r="I1" s="1318"/>
      <c r="J1" s="1318"/>
      <c r="K1" s="1318"/>
      <c r="L1" s="1318"/>
      <c r="M1" s="1319"/>
      <c r="N1" s="65"/>
      <c r="O1" s="65"/>
      <c r="P1" s="613"/>
      <c r="Q1" s="613"/>
      <c r="R1" s="613"/>
      <c r="S1" s="613" t="s">
        <v>323</v>
      </c>
    </row>
    <row r="2" spans="1:20" ht="38.25" customHeight="1" thickBot="1">
      <c r="A2" s="63"/>
      <c r="B2" s="65"/>
      <c r="C2" s="64" t="s">
        <v>324</v>
      </c>
      <c r="D2" s="250" t="s">
        <v>325</v>
      </c>
      <c r="E2" s="250" t="s">
        <v>326</v>
      </c>
      <c r="F2" s="1320" t="s">
        <v>327</v>
      </c>
      <c r="G2" s="1321"/>
      <c r="H2" s="1320" t="s">
        <v>328</v>
      </c>
      <c r="I2" s="1321"/>
      <c r="J2" s="1320" t="s">
        <v>329</v>
      </c>
      <c r="K2" s="1321"/>
      <c r="L2" s="1320" t="s">
        <v>330</v>
      </c>
      <c r="M2" s="1321"/>
      <c r="N2" s="1316" t="s">
        <v>331</v>
      </c>
      <c r="O2" s="1317"/>
      <c r="P2" s="978" t="s">
        <v>332</v>
      </c>
      <c r="Q2" s="978" t="s">
        <v>333</v>
      </c>
      <c r="R2" s="978" t="s">
        <v>334</v>
      </c>
      <c r="S2" s="978" t="s">
        <v>335</v>
      </c>
    </row>
    <row r="3" spans="1:20" ht="52.9">
      <c r="A3" s="405" t="s">
        <v>336</v>
      </c>
      <c r="B3" s="405" t="s">
        <v>337</v>
      </c>
      <c r="C3" s="399" t="s">
        <v>338</v>
      </c>
      <c r="D3" s="400" t="s">
        <v>339</v>
      </c>
      <c r="E3" s="399" t="s">
        <v>340</v>
      </c>
      <c r="F3" s="401" t="s">
        <v>341</v>
      </c>
      <c r="G3" s="401" t="s">
        <v>342</v>
      </c>
      <c r="H3" s="402" t="s">
        <v>343</v>
      </c>
      <c r="I3" s="402" t="s">
        <v>344</v>
      </c>
      <c r="J3" s="401" t="s">
        <v>345</v>
      </c>
      <c r="K3" s="401" t="s">
        <v>346</v>
      </c>
      <c r="L3" s="402" t="s">
        <v>347</v>
      </c>
      <c r="M3" s="402" t="s">
        <v>348</v>
      </c>
      <c r="N3" s="399" t="s">
        <v>349</v>
      </c>
      <c r="O3" s="979" t="s">
        <v>350</v>
      </c>
      <c r="P3" s="986" t="s">
        <v>351</v>
      </c>
      <c r="Q3" s="986" t="s">
        <v>352</v>
      </c>
      <c r="R3" s="986" t="s">
        <v>353</v>
      </c>
      <c r="S3" s="986" t="s">
        <v>354</v>
      </c>
      <c r="T3" s="1075" t="s">
        <v>355</v>
      </c>
    </row>
    <row r="4" spans="1:20" ht="14.25" customHeight="1">
      <c r="A4" s="406"/>
      <c r="B4" s="67"/>
      <c r="C4" s="70"/>
      <c r="D4" s="191"/>
      <c r="E4" s="74"/>
      <c r="F4" s="71"/>
      <c r="G4" s="72"/>
      <c r="H4" s="68"/>
      <c r="I4" s="69"/>
      <c r="J4" s="71"/>
      <c r="K4" s="72"/>
      <c r="L4" s="68"/>
      <c r="M4" s="69"/>
      <c r="N4" s="73"/>
      <c r="O4" s="980"/>
      <c r="P4" s="215"/>
      <c r="Q4" s="215"/>
      <c r="R4" s="215"/>
      <c r="S4" s="215" t="str">
        <f ca="1">IF(ISNUMBER(Table2[[#This Row],[D401&amp; D404  Consumption - kg]]),Table2[[#This Row],[D401&amp; D404  Consumption - kg]]/1.18," ")</f>
        <v xml:space="preserve"> </v>
      </c>
      <c r="T4" s="1072"/>
    </row>
    <row r="5" spans="1:20" ht="14.45">
      <c r="A5" s="406"/>
      <c r="B5" s="67"/>
      <c r="C5" s="75">
        <v>1461660</v>
      </c>
      <c r="D5" s="192"/>
      <c r="E5" s="77"/>
      <c r="F5" s="71">
        <v>232965</v>
      </c>
      <c r="G5" s="72">
        <v>171973</v>
      </c>
      <c r="H5" s="68">
        <f>F5</f>
        <v>232965</v>
      </c>
      <c r="I5" s="69">
        <v>171973</v>
      </c>
      <c r="J5" s="71">
        <v>941706</v>
      </c>
      <c r="K5" s="72">
        <v>726055.326</v>
      </c>
      <c r="L5" s="68">
        <f>J5</f>
        <v>941706</v>
      </c>
      <c r="M5" s="69">
        <f>K5</f>
        <v>726055.326</v>
      </c>
      <c r="N5" s="76">
        <f t="shared" ref="N5:N36" si="0">H5+L5</f>
        <v>1174671</v>
      </c>
      <c r="O5" s="981">
        <f t="shared" ref="O5:O36" si="1">I5+M5</f>
        <v>898028.326</v>
      </c>
      <c r="P5" s="260"/>
      <c r="Q5" s="260"/>
      <c r="R5" s="260"/>
      <c r="S5" s="260" t="str">
        <f ca="1">IF(ISNUMBER(Table2[[#This Row],[D401&amp; D404  Consumption - kg]]),Table2[[#This Row],[D401&amp; D404  Consumption - kg]]/1.18," ")</f>
        <v xml:space="preserve"> </v>
      </c>
      <c r="T5" s="1073"/>
    </row>
    <row r="6" spans="1:20" ht="14.45">
      <c r="A6" s="406"/>
      <c r="B6" s="67"/>
      <c r="C6" s="70">
        <v>890533</v>
      </c>
      <c r="D6" s="191"/>
      <c r="E6" s="74"/>
      <c r="F6" s="71">
        <v>409880</v>
      </c>
      <c r="G6" s="72">
        <v>302604</v>
      </c>
      <c r="H6" s="68">
        <f t="shared" ref="H6:H37" si="2">F6-F5</f>
        <v>176915</v>
      </c>
      <c r="I6" s="69">
        <f t="shared" ref="I6:I37" si="3">G6-G5</f>
        <v>130631</v>
      </c>
      <c r="J6" s="71">
        <v>1639892</v>
      </c>
      <c r="K6" s="72">
        <v>1265568</v>
      </c>
      <c r="L6" s="68">
        <f t="shared" ref="L6:L37" si="4">J6-J5</f>
        <v>698186</v>
      </c>
      <c r="M6" s="69">
        <f t="shared" ref="M6:M37" si="5">K6-K5</f>
        <v>539512.674</v>
      </c>
      <c r="N6" s="73">
        <f t="shared" si="0"/>
        <v>875101</v>
      </c>
      <c r="O6" s="980">
        <f t="shared" si="1"/>
        <v>670143.674</v>
      </c>
      <c r="P6" s="260"/>
      <c r="Q6" s="260"/>
      <c r="R6" s="260"/>
      <c r="S6" s="260" t="str">
        <f ca="1">IF(ISNUMBER(Table2[[#This Row],[D401&amp; D404  Consumption - kg]]),Table2[[#This Row],[D401&amp; D404  Consumption - kg]]/1.18," ")</f>
        <v xml:space="preserve"> </v>
      </c>
      <c r="T6" s="1073"/>
    </row>
    <row r="7" spans="1:20" ht="14.45">
      <c r="A7" s="406"/>
      <c r="B7" s="407"/>
      <c r="C7" s="385">
        <v>698871</v>
      </c>
      <c r="D7" s="191"/>
      <c r="E7" s="74"/>
      <c r="F7" s="71">
        <v>594114</v>
      </c>
      <c r="G7" s="72">
        <v>438662</v>
      </c>
      <c r="H7" s="68">
        <f t="shared" si="2"/>
        <v>184234</v>
      </c>
      <c r="I7" s="69">
        <f t="shared" si="3"/>
        <v>136058</v>
      </c>
      <c r="J7" s="71">
        <v>2316567</v>
      </c>
      <c r="K7" s="72">
        <v>1787915</v>
      </c>
      <c r="L7" s="68">
        <f t="shared" si="4"/>
        <v>676675</v>
      </c>
      <c r="M7" s="69">
        <f t="shared" si="5"/>
        <v>522347</v>
      </c>
      <c r="N7" s="73">
        <f t="shared" si="0"/>
        <v>860909</v>
      </c>
      <c r="O7" s="980">
        <f t="shared" si="1"/>
        <v>658405</v>
      </c>
      <c r="P7" s="260"/>
      <c r="Q7" s="260"/>
      <c r="R7" s="260"/>
      <c r="S7" s="260" t="str">
        <f ca="1">IF(ISNUMBER(Table2[[#This Row],[D401&amp; D404  Consumption - kg]]),Table2[[#This Row],[D401&amp; D404  Consumption - kg]]/1.18," ")</f>
        <v xml:space="preserve"> </v>
      </c>
      <c r="T7" s="1073"/>
    </row>
    <row r="8" spans="1:20" ht="14.45">
      <c r="A8" s="406" t="s">
        <v>228</v>
      </c>
      <c r="B8" s="407"/>
      <c r="C8" s="385">
        <v>742527</v>
      </c>
      <c r="D8" s="191"/>
      <c r="E8" s="74"/>
      <c r="F8" s="71">
        <v>760573</v>
      </c>
      <c r="G8" s="72">
        <v>561575</v>
      </c>
      <c r="H8" s="68">
        <f t="shared" si="2"/>
        <v>166459</v>
      </c>
      <c r="I8" s="69">
        <f t="shared" si="3"/>
        <v>122913</v>
      </c>
      <c r="J8" s="71">
        <v>2966206</v>
      </c>
      <c r="K8" s="72">
        <v>2289333</v>
      </c>
      <c r="L8" s="68">
        <f t="shared" si="4"/>
        <v>649639</v>
      </c>
      <c r="M8" s="69">
        <f t="shared" si="5"/>
        <v>501418</v>
      </c>
      <c r="N8" s="73">
        <f t="shared" si="0"/>
        <v>816098</v>
      </c>
      <c r="O8" s="980">
        <f t="shared" si="1"/>
        <v>624331</v>
      </c>
      <c r="P8" s="260"/>
      <c r="Q8" s="260"/>
      <c r="R8" s="260"/>
      <c r="S8" s="260" t="str">
        <f ca="1">IF(ISNUMBER(Table2[[#This Row],[D401&amp; D404  Consumption - kg]]),Table2[[#This Row],[D401&amp; D404  Consumption - kg]]/1.18," ")</f>
        <v xml:space="preserve"> </v>
      </c>
      <c r="T8" s="1073"/>
    </row>
    <row r="9" spans="1:20" ht="14.45">
      <c r="A9" s="406"/>
      <c r="B9" s="407"/>
      <c r="C9" s="385">
        <v>768501</v>
      </c>
      <c r="D9" s="191"/>
      <c r="E9" s="74"/>
      <c r="F9" s="71">
        <v>928873</v>
      </c>
      <c r="G9" s="72">
        <v>685833</v>
      </c>
      <c r="H9" s="68">
        <f t="shared" si="2"/>
        <v>168300</v>
      </c>
      <c r="I9" s="69">
        <f t="shared" si="3"/>
        <v>124258</v>
      </c>
      <c r="J9" s="71">
        <v>3622031</v>
      </c>
      <c r="K9" s="72">
        <v>2795466</v>
      </c>
      <c r="L9" s="68">
        <f t="shared" si="4"/>
        <v>655825</v>
      </c>
      <c r="M9" s="69">
        <f t="shared" si="5"/>
        <v>506133</v>
      </c>
      <c r="N9" s="73">
        <f t="shared" si="0"/>
        <v>824125</v>
      </c>
      <c r="O9" s="980">
        <f t="shared" si="1"/>
        <v>630391</v>
      </c>
      <c r="P9" s="260"/>
      <c r="Q9" s="260"/>
      <c r="R9" s="260"/>
      <c r="S9" s="260" t="str">
        <f ca="1">IF(ISNUMBER(Table2[[#This Row],[D401&amp; D404  Consumption - kg]]),Table2[[#This Row],[D401&amp; D404  Consumption - kg]]/1.18," ")</f>
        <v xml:space="preserve"> </v>
      </c>
      <c r="T9" s="1073"/>
    </row>
    <row r="10" spans="1:20" ht="14.45">
      <c r="A10" s="406"/>
      <c r="B10" s="407"/>
      <c r="C10" s="385">
        <v>824522</v>
      </c>
      <c r="D10" s="191"/>
      <c r="E10" s="74"/>
      <c r="F10" s="71">
        <v>1107632</v>
      </c>
      <c r="G10" s="72">
        <v>817798</v>
      </c>
      <c r="H10" s="68">
        <f t="shared" si="2"/>
        <v>178759</v>
      </c>
      <c r="I10" s="69">
        <f t="shared" si="3"/>
        <v>131965</v>
      </c>
      <c r="J10" s="71">
        <v>4311824</v>
      </c>
      <c r="K10" s="72">
        <v>3327782</v>
      </c>
      <c r="L10" s="68">
        <f t="shared" si="4"/>
        <v>689793</v>
      </c>
      <c r="M10" s="69">
        <f t="shared" si="5"/>
        <v>532316</v>
      </c>
      <c r="N10" s="73">
        <f t="shared" si="0"/>
        <v>868552</v>
      </c>
      <c r="O10" s="980">
        <f t="shared" si="1"/>
        <v>664281</v>
      </c>
      <c r="P10" s="260"/>
      <c r="Q10" s="260"/>
      <c r="R10" s="260"/>
      <c r="S10" s="260" t="str">
        <f ca="1">IF(ISNUMBER(Table2[[#This Row],[D401&amp; D404  Consumption - kg]]),Table2[[#This Row],[D401&amp; D404  Consumption - kg]]/1.18," ")</f>
        <v xml:space="preserve"> </v>
      </c>
      <c r="T10" s="1073"/>
    </row>
    <row r="11" spans="1:20" ht="14.45">
      <c r="A11" s="406"/>
      <c r="B11" s="407"/>
      <c r="C11" s="385">
        <v>1392125</v>
      </c>
      <c r="D11" s="191"/>
      <c r="E11" s="74"/>
      <c r="F11" s="71">
        <v>1304418</v>
      </c>
      <c r="G11" s="72">
        <v>963047</v>
      </c>
      <c r="H11" s="68">
        <f t="shared" si="2"/>
        <v>196786</v>
      </c>
      <c r="I11" s="69">
        <f t="shared" si="3"/>
        <v>145249</v>
      </c>
      <c r="J11" s="71">
        <v>5091806</v>
      </c>
      <c r="K11" s="72">
        <v>3929595</v>
      </c>
      <c r="L11" s="68">
        <f t="shared" si="4"/>
        <v>779982</v>
      </c>
      <c r="M11" s="69">
        <f t="shared" si="5"/>
        <v>601813</v>
      </c>
      <c r="N11" s="73">
        <f t="shared" si="0"/>
        <v>976768</v>
      </c>
      <c r="O11" s="980">
        <f t="shared" si="1"/>
        <v>747062</v>
      </c>
      <c r="P11" s="260"/>
      <c r="Q11" s="260"/>
      <c r="R11" s="260"/>
      <c r="S11" s="260" t="str">
        <f ca="1">IF(ISNUMBER(Table2[[#This Row],[D401&amp; D404  Consumption - kg]]),Table2[[#This Row],[D401&amp; D404  Consumption - kg]]/1.18," ")</f>
        <v xml:space="preserve"> </v>
      </c>
      <c r="T11" s="1073"/>
    </row>
    <row r="12" spans="1:20" ht="14.45">
      <c r="A12" s="406"/>
      <c r="B12" s="407"/>
      <c r="C12" s="385">
        <v>1793482</v>
      </c>
      <c r="D12" s="191"/>
      <c r="E12" s="74"/>
      <c r="F12" s="71">
        <v>1879791</v>
      </c>
      <c r="G12" s="72">
        <v>1387493</v>
      </c>
      <c r="H12" s="68">
        <f t="shared" si="2"/>
        <v>575373</v>
      </c>
      <c r="I12" s="69">
        <f t="shared" si="3"/>
        <v>424446</v>
      </c>
      <c r="J12" s="71">
        <v>6163970</v>
      </c>
      <c r="K12" s="72">
        <v>4756547</v>
      </c>
      <c r="L12" s="68">
        <f t="shared" si="4"/>
        <v>1072164</v>
      </c>
      <c r="M12" s="69">
        <f t="shared" si="5"/>
        <v>826952</v>
      </c>
      <c r="N12" s="73">
        <f t="shared" si="0"/>
        <v>1647537</v>
      </c>
      <c r="O12" s="980">
        <f t="shared" si="1"/>
        <v>1251398</v>
      </c>
      <c r="P12" s="274"/>
      <c r="Q12" s="274"/>
      <c r="R12" s="274"/>
      <c r="S12" s="274" t="str">
        <f ca="1">IF(ISNUMBER(Table2[[#This Row],[D401&amp; D404  Consumption - kg]]),Table2[[#This Row],[D401&amp; D404  Consumption - kg]]/1.18," ")</f>
        <v xml:space="preserve"> </v>
      </c>
      <c r="T12" s="1074"/>
    </row>
    <row r="13" spans="1:20" ht="14.45">
      <c r="A13" s="406"/>
      <c r="B13" s="407"/>
      <c r="C13" s="385">
        <v>1649016</v>
      </c>
      <c r="D13" s="260"/>
      <c r="E13" s="74"/>
      <c r="F13" s="71">
        <v>2557365</v>
      </c>
      <c r="G13" s="72">
        <v>1887313</v>
      </c>
      <c r="H13" s="68">
        <f t="shared" si="2"/>
        <v>677574</v>
      </c>
      <c r="I13" s="69">
        <f t="shared" si="3"/>
        <v>499820</v>
      </c>
      <c r="J13" s="71">
        <v>6819172</v>
      </c>
      <c r="K13" s="72">
        <v>5261913</v>
      </c>
      <c r="L13" s="68">
        <f t="shared" si="4"/>
        <v>655202</v>
      </c>
      <c r="M13" s="69">
        <f t="shared" si="5"/>
        <v>505366</v>
      </c>
      <c r="N13" s="73">
        <f t="shared" si="0"/>
        <v>1332776</v>
      </c>
      <c r="O13" s="980">
        <f t="shared" si="1"/>
        <v>1005186</v>
      </c>
      <c r="P13" s="260"/>
      <c r="Q13" s="260"/>
      <c r="R13" s="260"/>
      <c r="S13" s="260" t="str">
        <f ca="1">IF(ISNUMBER(Table2[[#This Row],[D401&amp; D404  Consumption - kg]]),Table2[[#This Row],[D401&amp; D404  Consumption - kg]]/1.18," ")</f>
        <v xml:space="preserve"> </v>
      </c>
      <c r="T13" s="1073"/>
    </row>
    <row r="14" spans="1:20" ht="14.45">
      <c r="A14" s="406" t="s">
        <v>356</v>
      </c>
      <c r="B14" s="407">
        <v>2014</v>
      </c>
      <c r="C14" s="385">
        <v>2143617</v>
      </c>
      <c r="D14" s="260"/>
      <c r="E14" s="74"/>
      <c r="F14" s="71">
        <v>3438631</v>
      </c>
      <c r="G14" s="72">
        <v>2537330</v>
      </c>
      <c r="H14" s="68">
        <f t="shared" si="2"/>
        <v>881266</v>
      </c>
      <c r="I14" s="69">
        <f t="shared" si="3"/>
        <v>650017</v>
      </c>
      <c r="J14" s="71">
        <v>7652443</v>
      </c>
      <c r="K14" s="72">
        <v>5904545</v>
      </c>
      <c r="L14" s="68">
        <f t="shared" si="4"/>
        <v>833271</v>
      </c>
      <c r="M14" s="69">
        <f t="shared" si="5"/>
        <v>642632</v>
      </c>
      <c r="N14" s="73">
        <f t="shared" si="0"/>
        <v>1714537</v>
      </c>
      <c r="O14" s="980">
        <f t="shared" si="1"/>
        <v>1292649</v>
      </c>
      <c r="P14" s="260"/>
      <c r="Q14" s="260"/>
      <c r="R14" s="260"/>
      <c r="S14" s="260" t="str">
        <f ca="1">IF(ISNUMBER(Table2[[#This Row],[D401&amp; D404  Consumption - kg]]),Table2[[#This Row],[D401&amp; D404  Consumption - kg]]/1.18," ")</f>
        <v xml:space="preserve"> </v>
      </c>
      <c r="T14" s="1073"/>
    </row>
    <row r="15" spans="1:20" ht="14.45">
      <c r="A15" s="406"/>
      <c r="B15" s="407"/>
      <c r="C15" s="385">
        <v>2019585</v>
      </c>
      <c r="D15" s="260"/>
      <c r="E15" s="74"/>
      <c r="F15" s="71">
        <v>4273685</v>
      </c>
      <c r="G15" s="72">
        <v>3153308</v>
      </c>
      <c r="H15" s="68">
        <f t="shared" si="2"/>
        <v>835054</v>
      </c>
      <c r="I15" s="69">
        <f t="shared" si="3"/>
        <v>615978</v>
      </c>
      <c r="J15" s="71">
        <v>8422624</v>
      </c>
      <c r="K15" s="72">
        <v>6498548</v>
      </c>
      <c r="L15" s="68">
        <f t="shared" si="4"/>
        <v>770181</v>
      </c>
      <c r="M15" s="69">
        <f t="shared" si="5"/>
        <v>594003</v>
      </c>
      <c r="N15" s="73">
        <f t="shared" si="0"/>
        <v>1605235</v>
      </c>
      <c r="O15" s="980">
        <f t="shared" si="1"/>
        <v>1209981</v>
      </c>
      <c r="P15" s="260"/>
      <c r="Q15" s="260"/>
      <c r="R15" s="260"/>
      <c r="S15" s="260" t="str">
        <f ca="1">IF(ISNUMBER(Table2[[#This Row],[D401&amp; D404  Consumption - kg]]),Table2[[#This Row],[D401&amp; D404  Consumption - kg]]/1.18," ")</f>
        <v xml:space="preserve"> </v>
      </c>
      <c r="T15" s="1073"/>
    </row>
    <row r="16" spans="1:20" ht="14.45">
      <c r="A16" s="406"/>
      <c r="B16" s="407"/>
      <c r="C16" s="385">
        <v>1590248</v>
      </c>
      <c r="D16" s="260"/>
      <c r="E16" s="74"/>
      <c r="F16" s="71">
        <v>4926396</v>
      </c>
      <c r="G16" s="72">
        <v>3634893</v>
      </c>
      <c r="H16" s="68">
        <f t="shared" si="2"/>
        <v>652711</v>
      </c>
      <c r="I16" s="69">
        <f t="shared" si="3"/>
        <v>481585</v>
      </c>
      <c r="J16" s="71">
        <v>9026503</v>
      </c>
      <c r="K16" s="72">
        <v>6964407</v>
      </c>
      <c r="L16" s="68">
        <f t="shared" si="4"/>
        <v>603879</v>
      </c>
      <c r="M16" s="69">
        <f t="shared" si="5"/>
        <v>465859</v>
      </c>
      <c r="N16" s="73">
        <f t="shared" si="0"/>
        <v>1256590</v>
      </c>
      <c r="O16" s="980">
        <f t="shared" si="1"/>
        <v>947444</v>
      </c>
      <c r="P16" s="260"/>
      <c r="Q16" s="260"/>
      <c r="R16" s="260"/>
      <c r="S16" s="260" t="str">
        <f ca="1">IF(ISNUMBER(Table2[[#This Row],[D401&amp; D404  Consumption - kg]]),Table2[[#This Row],[D401&amp; D404  Consumption - kg]]/1.18," ")</f>
        <v xml:space="preserve"> </v>
      </c>
      <c r="T16" s="1073"/>
    </row>
    <row r="17" spans="1:24" ht="14.45">
      <c r="A17" s="406"/>
      <c r="B17" s="407"/>
      <c r="C17" s="385">
        <v>1588987</v>
      </c>
      <c r="D17" s="260"/>
      <c r="E17" s="74"/>
      <c r="F17" s="71">
        <v>5557796</v>
      </c>
      <c r="G17" s="72">
        <v>4104022</v>
      </c>
      <c r="H17" s="68">
        <f t="shared" si="2"/>
        <v>631400</v>
      </c>
      <c r="I17" s="69">
        <f t="shared" si="3"/>
        <v>469129</v>
      </c>
      <c r="J17" s="71">
        <v>9607906</v>
      </c>
      <c r="K17" s="72">
        <v>7413065</v>
      </c>
      <c r="L17" s="68">
        <f t="shared" si="4"/>
        <v>581403</v>
      </c>
      <c r="M17" s="69">
        <f t="shared" si="5"/>
        <v>448658</v>
      </c>
      <c r="N17" s="73">
        <f t="shared" si="0"/>
        <v>1212803</v>
      </c>
      <c r="O17" s="980">
        <f t="shared" si="1"/>
        <v>917787</v>
      </c>
      <c r="P17" s="260"/>
      <c r="Q17" s="260"/>
      <c r="R17" s="260"/>
      <c r="S17" s="260" t="str">
        <f ca="1">IF(ISNUMBER(Table2[[#This Row],[D401&amp; D404  Consumption - kg]]),Table2[[#This Row],[D401&amp; D404  Consumption - kg]]/1.18," ")</f>
        <v xml:space="preserve"> </v>
      </c>
      <c r="T17" s="1073"/>
    </row>
    <row r="18" spans="1:24" ht="14.45">
      <c r="A18" s="406"/>
      <c r="B18" s="407"/>
      <c r="C18" s="385">
        <v>1263497</v>
      </c>
      <c r="D18" s="260"/>
      <c r="E18" s="74"/>
      <c r="F18" s="71">
        <v>6251889</v>
      </c>
      <c r="G18" s="72">
        <v>4638032</v>
      </c>
      <c r="H18" s="68">
        <f t="shared" si="2"/>
        <v>694093</v>
      </c>
      <c r="I18" s="69">
        <f t="shared" si="3"/>
        <v>534010</v>
      </c>
      <c r="J18" s="71">
        <v>10245370</v>
      </c>
      <c r="K18" s="72">
        <v>7905210</v>
      </c>
      <c r="L18" s="68">
        <f t="shared" si="4"/>
        <v>637464</v>
      </c>
      <c r="M18" s="69">
        <f t="shared" si="5"/>
        <v>492145</v>
      </c>
      <c r="N18" s="73">
        <f t="shared" si="0"/>
        <v>1331557</v>
      </c>
      <c r="O18" s="980">
        <f t="shared" si="1"/>
        <v>1026155</v>
      </c>
      <c r="P18" s="260"/>
      <c r="Q18" s="260"/>
      <c r="R18" s="260"/>
      <c r="S18" s="260" t="str">
        <f ca="1">IF(ISNUMBER(Table2[[#This Row],[D401&amp; D404  Consumption - kg]]),Table2[[#This Row],[D401&amp; D404  Consumption - kg]]/1.18," ")</f>
        <v xml:space="preserve"> </v>
      </c>
      <c r="T18" s="1073"/>
    </row>
    <row r="19" spans="1:24" ht="15" thickBot="1">
      <c r="A19" s="408"/>
      <c r="B19" s="407"/>
      <c r="C19" s="385">
        <v>909064</v>
      </c>
      <c r="D19" s="260"/>
      <c r="E19" s="74"/>
      <c r="F19" s="71">
        <v>6750922</v>
      </c>
      <c r="G19" s="72">
        <v>5023274</v>
      </c>
      <c r="H19" s="68">
        <f t="shared" si="2"/>
        <v>499033</v>
      </c>
      <c r="I19" s="69">
        <f t="shared" si="3"/>
        <v>385242</v>
      </c>
      <c r="J19" s="71">
        <v>10689718</v>
      </c>
      <c r="K19" s="72">
        <v>8248420</v>
      </c>
      <c r="L19" s="68">
        <f t="shared" si="4"/>
        <v>444348</v>
      </c>
      <c r="M19" s="69">
        <f t="shared" si="5"/>
        <v>343210</v>
      </c>
      <c r="N19" s="73">
        <f t="shared" si="0"/>
        <v>943381</v>
      </c>
      <c r="O19" s="980">
        <f t="shared" si="1"/>
        <v>728452</v>
      </c>
      <c r="P19" s="260"/>
      <c r="Q19" s="260"/>
      <c r="R19" s="260"/>
      <c r="S19" s="260" t="str">
        <f ca="1">IF(ISNUMBER(Table2[[#This Row],[D401&amp; D404  Consumption - kg]]),Table2[[#This Row],[D401&amp; D404  Consumption - kg]]/1.18," ")</f>
        <v xml:space="preserve"> </v>
      </c>
      <c r="T19" s="1073"/>
    </row>
    <row r="20" spans="1:24" ht="14.45">
      <c r="A20" s="406" t="s">
        <v>228</v>
      </c>
      <c r="B20" s="407"/>
      <c r="C20" s="385">
        <v>133374</v>
      </c>
      <c r="D20" s="274"/>
      <c r="E20" s="74"/>
      <c r="F20" s="71">
        <v>7113619</v>
      </c>
      <c r="G20" s="72">
        <v>5303335</v>
      </c>
      <c r="H20" s="68">
        <f t="shared" si="2"/>
        <v>362697</v>
      </c>
      <c r="I20" s="69">
        <f t="shared" si="3"/>
        <v>280061</v>
      </c>
      <c r="J20" s="71">
        <v>11006719</v>
      </c>
      <c r="K20" s="72">
        <v>8493583</v>
      </c>
      <c r="L20" s="68">
        <f t="shared" si="4"/>
        <v>317001</v>
      </c>
      <c r="M20" s="69">
        <f t="shared" si="5"/>
        <v>245163</v>
      </c>
      <c r="N20" s="73">
        <f t="shared" si="0"/>
        <v>679698</v>
      </c>
      <c r="O20" s="980">
        <f t="shared" si="1"/>
        <v>525224</v>
      </c>
      <c r="P20" s="260"/>
      <c r="Q20" s="260"/>
      <c r="R20" s="260"/>
      <c r="S20" s="260" t="str">
        <f ca="1">IF(ISNUMBER(Table2[[#This Row],[D401&amp; D404  Consumption - kg]]),Table2[[#This Row],[D401&amp; D404  Consumption - kg]]/1.18," ")</f>
        <v xml:space="preserve"> </v>
      </c>
      <c r="T20" s="1073"/>
    </row>
    <row r="21" spans="1:24" ht="14.45">
      <c r="A21" s="406"/>
      <c r="B21" s="407"/>
      <c r="C21" s="385">
        <v>671217</v>
      </c>
      <c r="D21" s="260"/>
      <c r="E21" s="74"/>
      <c r="F21" s="71">
        <v>7462088</v>
      </c>
      <c r="G21" s="72">
        <v>5572365</v>
      </c>
      <c r="H21" s="68">
        <f t="shared" si="2"/>
        <v>348469</v>
      </c>
      <c r="I21" s="69">
        <f t="shared" si="3"/>
        <v>269030</v>
      </c>
      <c r="J21" s="71">
        <v>11250730</v>
      </c>
      <c r="K21" s="72">
        <v>8682588</v>
      </c>
      <c r="L21" s="68">
        <f t="shared" si="4"/>
        <v>244011</v>
      </c>
      <c r="M21" s="69">
        <f t="shared" si="5"/>
        <v>189005</v>
      </c>
      <c r="N21" s="73">
        <f t="shared" si="0"/>
        <v>592480</v>
      </c>
      <c r="O21" s="980">
        <f t="shared" si="1"/>
        <v>458035</v>
      </c>
      <c r="P21" s="260"/>
      <c r="Q21" s="260"/>
      <c r="R21" s="260"/>
      <c r="S21" s="260" t="str">
        <f ca="1">IF(ISNUMBER(Table2[[#This Row],[D401&amp; D404  Consumption - kg]]),Table2[[#This Row],[D401&amp; D404  Consumption - kg]]/1.18," ")</f>
        <v xml:space="preserve"> </v>
      </c>
      <c r="T21" s="1073"/>
    </row>
    <row r="22" spans="1:24" ht="14.45">
      <c r="A22" s="406"/>
      <c r="B22" s="407"/>
      <c r="C22" s="385">
        <v>221654</v>
      </c>
      <c r="D22" s="260"/>
      <c r="E22" s="74"/>
      <c r="F22" s="71">
        <v>7958878</v>
      </c>
      <c r="G22" s="72">
        <v>5955951</v>
      </c>
      <c r="H22" s="68">
        <f t="shared" si="2"/>
        <v>496790</v>
      </c>
      <c r="I22" s="69">
        <f t="shared" si="3"/>
        <v>383586</v>
      </c>
      <c r="J22" s="71">
        <v>11626767</v>
      </c>
      <c r="K22" s="72">
        <v>8992555</v>
      </c>
      <c r="L22" s="68">
        <f t="shared" si="4"/>
        <v>376037</v>
      </c>
      <c r="M22" s="69">
        <f t="shared" si="5"/>
        <v>309967</v>
      </c>
      <c r="N22" s="73">
        <f t="shared" si="0"/>
        <v>872827</v>
      </c>
      <c r="O22" s="980">
        <f t="shared" si="1"/>
        <v>693553</v>
      </c>
      <c r="P22" s="260"/>
      <c r="Q22" s="260"/>
      <c r="R22" s="260"/>
      <c r="S22" s="260" t="str">
        <f ca="1">IF(ISNUMBER(Table2[[#This Row],[D401&amp; D404  Consumption - kg]]),Table2[[#This Row],[D401&amp; D404  Consumption - kg]]/1.18," ")</f>
        <v xml:space="preserve"> </v>
      </c>
      <c r="T22" s="1073"/>
    </row>
    <row r="23" spans="1:24" ht="14.45">
      <c r="A23" s="406"/>
      <c r="B23" s="407"/>
      <c r="C23" s="385">
        <v>1251200</v>
      </c>
      <c r="D23" s="260"/>
      <c r="E23" s="74"/>
      <c r="F23" s="71">
        <v>8838028</v>
      </c>
      <c r="G23" s="72">
        <v>6634221</v>
      </c>
      <c r="H23" s="68">
        <f t="shared" si="2"/>
        <v>879150</v>
      </c>
      <c r="I23" s="69">
        <f t="shared" si="3"/>
        <v>678270</v>
      </c>
      <c r="J23" s="71">
        <v>11824119</v>
      </c>
      <c r="K23" s="72">
        <v>9159549</v>
      </c>
      <c r="L23" s="68">
        <f t="shared" si="4"/>
        <v>197352</v>
      </c>
      <c r="M23" s="69">
        <f t="shared" si="5"/>
        <v>166994</v>
      </c>
      <c r="N23" s="73">
        <f t="shared" si="0"/>
        <v>1076502</v>
      </c>
      <c r="O23" s="980">
        <f t="shared" si="1"/>
        <v>845264</v>
      </c>
      <c r="P23" s="260"/>
      <c r="Q23" s="260"/>
      <c r="R23" s="260"/>
      <c r="S23" s="260" t="str">
        <f ca="1">IF(ISNUMBER(Table2[[#This Row],[D401&amp; D404  Consumption - kg]]),Table2[[#This Row],[D401&amp; D404  Consumption - kg]]/1.18," ")</f>
        <v xml:space="preserve"> </v>
      </c>
      <c r="T23" s="1073"/>
      <c r="X23" t="s">
        <v>357</v>
      </c>
    </row>
    <row r="24" spans="1:24" ht="14.45">
      <c r="A24" s="406"/>
      <c r="B24" s="407"/>
      <c r="C24" s="385">
        <v>1937850</v>
      </c>
      <c r="D24" s="260"/>
      <c r="E24" s="74"/>
      <c r="F24" s="71">
        <v>10180080</v>
      </c>
      <c r="G24" s="72">
        <v>7670494</v>
      </c>
      <c r="H24" s="68">
        <f t="shared" si="2"/>
        <v>1342052</v>
      </c>
      <c r="I24" s="69">
        <f t="shared" si="3"/>
        <v>1036273</v>
      </c>
      <c r="J24" s="71">
        <v>11921012</v>
      </c>
      <c r="K24" s="72">
        <v>9241435</v>
      </c>
      <c r="L24" s="68">
        <f t="shared" si="4"/>
        <v>96893</v>
      </c>
      <c r="M24" s="69">
        <f t="shared" si="5"/>
        <v>81886</v>
      </c>
      <c r="N24" s="73">
        <f t="shared" si="0"/>
        <v>1438945</v>
      </c>
      <c r="O24" s="980">
        <f t="shared" si="1"/>
        <v>1118159</v>
      </c>
      <c r="P24" s="260"/>
      <c r="Q24" s="260"/>
      <c r="R24" s="260"/>
      <c r="S24" s="260" t="str">
        <f ca="1">IF(ISNUMBER(Table2[[#This Row],[D401&amp; D404  Consumption - kg]]),Table2[[#This Row],[D401&amp; D404  Consumption - kg]]/1.18," ")</f>
        <v xml:space="preserve"> </v>
      </c>
      <c r="T24" s="1073"/>
    </row>
    <row r="25" spans="1:24" ht="14.45">
      <c r="A25" s="406"/>
      <c r="B25" s="407"/>
      <c r="C25" s="385">
        <v>2310330</v>
      </c>
      <c r="D25" s="260"/>
      <c r="E25" s="74"/>
      <c r="F25" s="71">
        <v>11422381</v>
      </c>
      <c r="G25" s="72">
        <v>8629738</v>
      </c>
      <c r="H25" s="68">
        <f t="shared" si="2"/>
        <v>1242301</v>
      </c>
      <c r="I25" s="69">
        <f t="shared" si="3"/>
        <v>959244</v>
      </c>
      <c r="J25" s="71">
        <v>12192848</v>
      </c>
      <c r="K25" s="72">
        <v>9471632</v>
      </c>
      <c r="L25" s="68">
        <f t="shared" si="4"/>
        <v>271836</v>
      </c>
      <c r="M25" s="69">
        <f t="shared" si="5"/>
        <v>230197</v>
      </c>
      <c r="N25" s="73">
        <f t="shared" si="0"/>
        <v>1514137</v>
      </c>
      <c r="O25" s="980">
        <f t="shared" si="1"/>
        <v>1189441</v>
      </c>
      <c r="P25" s="260"/>
      <c r="Q25" s="260"/>
      <c r="R25" s="260"/>
      <c r="S25" s="260" t="str">
        <f ca="1">IF(ISNUMBER(Table2[[#This Row],[D401&amp; D404  Consumption - kg]]),Table2[[#This Row],[D401&amp; D404  Consumption - kg]]/1.18," ")</f>
        <v xml:space="preserve"> </v>
      </c>
      <c r="T25" s="1073"/>
    </row>
    <row r="26" spans="1:24" ht="14.45">
      <c r="A26" s="406" t="s">
        <v>356</v>
      </c>
      <c r="B26" s="407">
        <v>2015</v>
      </c>
      <c r="C26" s="385">
        <v>2610780</v>
      </c>
      <c r="D26" s="260"/>
      <c r="E26" s="74"/>
      <c r="F26" s="71">
        <v>12925900</v>
      </c>
      <c r="G26" s="72">
        <v>9803808</v>
      </c>
      <c r="H26" s="68">
        <f t="shared" si="2"/>
        <v>1503519</v>
      </c>
      <c r="I26" s="69">
        <f t="shared" si="3"/>
        <v>1174070</v>
      </c>
      <c r="J26" s="71">
        <v>12546459</v>
      </c>
      <c r="K26" s="72">
        <v>9756722</v>
      </c>
      <c r="L26" s="68">
        <f t="shared" si="4"/>
        <v>353611</v>
      </c>
      <c r="M26" s="69">
        <f t="shared" si="5"/>
        <v>285090</v>
      </c>
      <c r="N26" s="73">
        <f t="shared" si="0"/>
        <v>1857130</v>
      </c>
      <c r="O26" s="980">
        <f t="shared" si="1"/>
        <v>1459160</v>
      </c>
      <c r="P26" s="260"/>
      <c r="Q26" s="260"/>
      <c r="R26" s="260"/>
      <c r="S26" s="260" t="str">
        <f ca="1">IF(ISNUMBER(Table2[[#This Row],[D401&amp; D404  Consumption - kg]]),Table2[[#This Row],[D401&amp; D404  Consumption - kg]]/1.18," ")</f>
        <v xml:space="preserve"> </v>
      </c>
      <c r="T26" s="1073"/>
    </row>
    <row r="27" spans="1:24" ht="14.45">
      <c r="A27" s="406"/>
      <c r="B27" s="407"/>
      <c r="C27" s="385">
        <v>2538660</v>
      </c>
      <c r="D27" s="260"/>
      <c r="E27" s="74"/>
      <c r="F27" s="71">
        <v>14212833</v>
      </c>
      <c r="G27" s="72">
        <v>10851958</v>
      </c>
      <c r="H27" s="68">
        <f t="shared" si="2"/>
        <v>1286933</v>
      </c>
      <c r="I27" s="69">
        <f t="shared" si="3"/>
        <v>1048150</v>
      </c>
      <c r="J27" s="71">
        <v>12897059</v>
      </c>
      <c r="K27" s="72">
        <v>10027609</v>
      </c>
      <c r="L27" s="68">
        <f t="shared" si="4"/>
        <v>350600</v>
      </c>
      <c r="M27" s="69">
        <f t="shared" si="5"/>
        <v>270887</v>
      </c>
      <c r="N27" s="73">
        <f t="shared" si="0"/>
        <v>1637533</v>
      </c>
      <c r="O27" s="980">
        <f t="shared" si="1"/>
        <v>1319037</v>
      </c>
      <c r="P27" s="260"/>
      <c r="Q27" s="260"/>
      <c r="R27" s="260"/>
      <c r="S27" s="260" t="str">
        <f ca="1">IF(ISNUMBER(Table2[[#This Row],[D401&amp; D404  Consumption - kg]]),Table2[[#This Row],[D401&amp; D404  Consumption - kg]]/1.18," ")</f>
        <v xml:space="preserve"> </v>
      </c>
      <c r="T27" s="1073"/>
    </row>
    <row r="28" spans="1:24" ht="14.45">
      <c r="A28" s="406"/>
      <c r="B28" s="407"/>
      <c r="C28" s="385">
        <v>2239000</v>
      </c>
      <c r="D28" s="260"/>
      <c r="E28" s="74"/>
      <c r="F28" s="71">
        <v>15389766</v>
      </c>
      <c r="G28" s="72">
        <v>11808199</v>
      </c>
      <c r="H28" s="68">
        <f t="shared" si="2"/>
        <v>1176933</v>
      </c>
      <c r="I28" s="69">
        <f t="shared" si="3"/>
        <v>956241</v>
      </c>
      <c r="J28" s="71">
        <v>13203042</v>
      </c>
      <c r="K28" s="72">
        <v>10263796</v>
      </c>
      <c r="L28" s="68">
        <f t="shared" si="4"/>
        <v>305983</v>
      </c>
      <c r="M28" s="69">
        <f t="shared" si="5"/>
        <v>236187</v>
      </c>
      <c r="N28" s="73">
        <f t="shared" si="0"/>
        <v>1482916</v>
      </c>
      <c r="O28" s="980">
        <f t="shared" si="1"/>
        <v>1192428</v>
      </c>
      <c r="P28" s="274"/>
      <c r="Q28" s="274"/>
      <c r="R28" s="274"/>
      <c r="S28" s="274" t="str">
        <f ca="1">IF(ISNUMBER(Table2[[#This Row],[D401&amp; D404  Consumption - kg]]),Table2[[#This Row],[D401&amp; D404  Consumption - kg]]/1.18," ")</f>
        <v xml:space="preserve"> </v>
      </c>
      <c r="T28" s="1074"/>
    </row>
    <row r="29" spans="1:24" ht="14.45">
      <c r="A29" s="406"/>
      <c r="B29" s="407"/>
      <c r="C29" s="70">
        <v>1592020</v>
      </c>
      <c r="D29" s="260"/>
      <c r="E29" s="74"/>
      <c r="F29" s="71">
        <v>16258660</v>
      </c>
      <c r="G29" s="72">
        <v>12535159</v>
      </c>
      <c r="H29" s="68">
        <f t="shared" si="2"/>
        <v>868894</v>
      </c>
      <c r="I29" s="69">
        <f t="shared" si="3"/>
        <v>726960</v>
      </c>
      <c r="J29" s="71">
        <v>13495842</v>
      </c>
      <c r="K29" s="72">
        <v>10490080</v>
      </c>
      <c r="L29" s="68">
        <f t="shared" si="4"/>
        <v>292800</v>
      </c>
      <c r="M29" s="69">
        <f t="shared" si="5"/>
        <v>226284</v>
      </c>
      <c r="N29" s="73">
        <f t="shared" si="0"/>
        <v>1161694</v>
      </c>
      <c r="O29" s="980">
        <f t="shared" si="1"/>
        <v>953244</v>
      </c>
      <c r="P29" s="260"/>
      <c r="Q29" s="260"/>
      <c r="R29" s="260"/>
      <c r="S29" s="260" t="str">
        <f ca="1">IF(ISNUMBER(Table2[[#This Row],[D401&amp; D404  Consumption - kg]]),Table2[[#This Row],[D401&amp; D404  Consumption - kg]]/1.18," ")</f>
        <v xml:space="preserve"> </v>
      </c>
      <c r="T29" s="1073"/>
    </row>
    <row r="30" spans="1:24" ht="14.45">
      <c r="A30" s="406"/>
      <c r="B30" s="407"/>
      <c r="C30" s="70">
        <v>1259890</v>
      </c>
      <c r="D30" s="260"/>
      <c r="E30" s="74"/>
      <c r="F30" s="71">
        <v>16984543</v>
      </c>
      <c r="G30" s="72">
        <v>13136263</v>
      </c>
      <c r="H30" s="68">
        <f t="shared" si="2"/>
        <v>725883</v>
      </c>
      <c r="I30" s="69">
        <f t="shared" si="3"/>
        <v>601104</v>
      </c>
      <c r="J30" s="71">
        <v>13696089</v>
      </c>
      <c r="K30" s="72">
        <v>10644638</v>
      </c>
      <c r="L30" s="68">
        <f t="shared" si="4"/>
        <v>200247</v>
      </c>
      <c r="M30" s="69">
        <f t="shared" si="5"/>
        <v>154558</v>
      </c>
      <c r="N30" s="73">
        <f t="shared" si="0"/>
        <v>926130</v>
      </c>
      <c r="O30" s="980">
        <f t="shared" si="1"/>
        <v>755662</v>
      </c>
      <c r="P30" s="260"/>
      <c r="Q30" s="260"/>
      <c r="R30" s="260"/>
      <c r="S30" s="260" t="str">
        <f ca="1">IF(ISNUMBER(Table2[[#This Row],[D401&amp; D404  Consumption - kg]]),Table2[[#This Row],[D401&amp; D404  Consumption - kg]]/1.18," ")</f>
        <v xml:space="preserve"> </v>
      </c>
      <c r="T30" s="1073"/>
    </row>
    <row r="31" spans="1:24" ht="15" thickBot="1">
      <c r="A31" s="408"/>
      <c r="B31" s="409"/>
      <c r="C31" s="285">
        <v>891480</v>
      </c>
      <c r="D31" s="260"/>
      <c r="E31" s="286"/>
      <c r="F31" s="287">
        <v>17652538</v>
      </c>
      <c r="G31" s="288">
        <v>13702261</v>
      </c>
      <c r="H31" s="289">
        <f t="shared" si="2"/>
        <v>667995</v>
      </c>
      <c r="I31" s="290">
        <f t="shared" si="3"/>
        <v>565998</v>
      </c>
      <c r="J31" s="287">
        <v>13881837</v>
      </c>
      <c r="K31" s="288">
        <v>10788016</v>
      </c>
      <c r="L31" s="289">
        <f t="shared" si="4"/>
        <v>185748</v>
      </c>
      <c r="M31" s="290">
        <f t="shared" si="5"/>
        <v>143378</v>
      </c>
      <c r="N31" s="291">
        <f t="shared" si="0"/>
        <v>853743</v>
      </c>
      <c r="O31" s="609">
        <f t="shared" si="1"/>
        <v>709376</v>
      </c>
      <c r="P31" s="260"/>
      <c r="Q31" s="260"/>
      <c r="R31" s="260"/>
      <c r="S31" s="260" t="str">
        <f ca="1">IF(ISNUMBER(Table2[[#This Row],[D401&amp; D404  Consumption - kg]]),Table2[[#This Row],[D401&amp; D404  Consumption - kg]]/1.18," ")</f>
        <v xml:space="preserve"> </v>
      </c>
      <c r="T31" s="1073"/>
    </row>
    <row r="32" spans="1:24" ht="14.45">
      <c r="A32" s="406" t="s">
        <v>228</v>
      </c>
      <c r="B32" s="407"/>
      <c r="C32" s="70">
        <v>965140</v>
      </c>
      <c r="D32" s="260"/>
      <c r="E32" s="74"/>
      <c r="F32" s="71">
        <v>18222228</v>
      </c>
      <c r="G32" s="72">
        <v>14185031</v>
      </c>
      <c r="H32" s="68">
        <f t="shared" si="2"/>
        <v>569690</v>
      </c>
      <c r="I32" s="69">
        <f t="shared" si="3"/>
        <v>482770</v>
      </c>
      <c r="J32" s="71">
        <v>14039635</v>
      </c>
      <c r="K32" s="72">
        <v>10909824</v>
      </c>
      <c r="L32" s="68">
        <f t="shared" si="4"/>
        <v>157798</v>
      </c>
      <c r="M32" s="69">
        <f t="shared" si="5"/>
        <v>121808</v>
      </c>
      <c r="N32" s="73">
        <f t="shared" si="0"/>
        <v>727488</v>
      </c>
      <c r="O32" s="980">
        <f t="shared" si="1"/>
        <v>604578</v>
      </c>
      <c r="P32" s="260"/>
      <c r="Q32" s="260"/>
      <c r="R32" s="260"/>
      <c r="S32" s="260" t="str">
        <f ca="1">IF(ISNUMBER(Table2[[#This Row],[D401&amp; D404  Consumption - kg]]),Table2[[#This Row],[D401&amp; D404  Consumption - kg]]/1.18," ")</f>
        <v xml:space="preserve"> </v>
      </c>
      <c r="T32" s="1073"/>
    </row>
    <row r="33" spans="1:24" ht="14.45">
      <c r="A33" s="406"/>
      <c r="B33" s="407"/>
      <c r="C33" s="70">
        <v>755550</v>
      </c>
      <c r="D33" s="260"/>
      <c r="E33" s="74"/>
      <c r="F33" s="71">
        <v>18622199</v>
      </c>
      <c r="G33" s="72">
        <v>14491323</v>
      </c>
      <c r="H33" s="68">
        <f t="shared" si="2"/>
        <v>399971</v>
      </c>
      <c r="I33" s="69">
        <f t="shared" si="3"/>
        <v>306292</v>
      </c>
      <c r="J33" s="71">
        <v>14180667</v>
      </c>
      <c r="K33" s="72">
        <v>11018693</v>
      </c>
      <c r="L33" s="68">
        <f t="shared" si="4"/>
        <v>141032</v>
      </c>
      <c r="M33" s="69">
        <f t="shared" si="5"/>
        <v>108869</v>
      </c>
      <c r="N33" s="73">
        <f t="shared" si="0"/>
        <v>541003</v>
      </c>
      <c r="O33" s="980">
        <f t="shared" si="1"/>
        <v>415161</v>
      </c>
      <c r="P33" s="260"/>
      <c r="Q33" s="260"/>
      <c r="R33" s="260"/>
      <c r="S33" s="260" t="str">
        <f ca="1">IF(ISNUMBER(Table2[[#This Row],[D401&amp; D404  Consumption - kg]]),Table2[[#This Row],[D401&amp; D404  Consumption - kg]]/1.18," ")</f>
        <v xml:space="preserve"> </v>
      </c>
      <c r="T33" s="1073"/>
    </row>
    <row r="34" spans="1:24" ht="14.45">
      <c r="A34" s="406"/>
      <c r="B34" s="407"/>
      <c r="C34" s="70">
        <v>1124730</v>
      </c>
      <c r="D34" s="260"/>
      <c r="E34" s="74"/>
      <c r="F34" s="71">
        <v>19230827</v>
      </c>
      <c r="G34" s="72">
        <v>14940719</v>
      </c>
      <c r="H34" s="68">
        <f t="shared" si="2"/>
        <v>608628</v>
      </c>
      <c r="I34" s="69">
        <f t="shared" si="3"/>
        <v>449396</v>
      </c>
      <c r="J34" s="71">
        <v>14334893</v>
      </c>
      <c r="K34" s="72">
        <v>11137734</v>
      </c>
      <c r="L34" s="68">
        <f t="shared" si="4"/>
        <v>154226</v>
      </c>
      <c r="M34" s="69">
        <f t="shared" si="5"/>
        <v>119041</v>
      </c>
      <c r="N34" s="73">
        <f t="shared" si="0"/>
        <v>762854</v>
      </c>
      <c r="O34" s="980">
        <f t="shared" si="1"/>
        <v>568437</v>
      </c>
      <c r="P34" s="260"/>
      <c r="Q34" s="260"/>
      <c r="R34" s="516"/>
      <c r="S34" s="516" t="str">
        <f ca="1">IF(ISNUMBER(Table2[[#This Row],[D401&amp; D404  Consumption - kg]]),Table2[[#This Row],[D401&amp; D404  Consumption - kg]]/1.18," ")</f>
        <v xml:space="preserve"> </v>
      </c>
      <c r="T34" s="323"/>
    </row>
    <row r="35" spans="1:24" ht="14.45">
      <c r="A35" s="406"/>
      <c r="B35" s="407"/>
      <c r="C35" s="70">
        <v>1376570</v>
      </c>
      <c r="D35" s="260"/>
      <c r="E35" s="74"/>
      <c r="F35" s="71">
        <v>20039377</v>
      </c>
      <c r="G35" s="72">
        <v>15537654</v>
      </c>
      <c r="H35" s="68">
        <f t="shared" si="2"/>
        <v>808550</v>
      </c>
      <c r="I35" s="69">
        <f t="shared" si="3"/>
        <v>596935</v>
      </c>
      <c r="J35" s="71">
        <v>14545449</v>
      </c>
      <c r="K35" s="72">
        <v>11300245</v>
      </c>
      <c r="L35" s="68">
        <f t="shared" si="4"/>
        <v>210556</v>
      </c>
      <c r="M35" s="69">
        <f t="shared" si="5"/>
        <v>162511</v>
      </c>
      <c r="N35" s="73">
        <f t="shared" si="0"/>
        <v>1019106</v>
      </c>
      <c r="O35" s="980">
        <f t="shared" si="1"/>
        <v>759446</v>
      </c>
      <c r="P35" s="260"/>
      <c r="Q35" s="260"/>
      <c r="R35" s="516"/>
      <c r="S35" s="516" t="str">
        <f ca="1">IF(ISNUMBER(Table2[[#This Row],[D401&amp; D404  Consumption - kg]]),Table2[[#This Row],[D401&amp; D404  Consumption - kg]]/1.18," ")</f>
        <v xml:space="preserve"> </v>
      </c>
      <c r="T35" s="323"/>
    </row>
    <row r="36" spans="1:24" ht="14.45">
      <c r="A36" s="406"/>
      <c r="B36" s="407"/>
      <c r="C36" s="70">
        <v>1371580</v>
      </c>
      <c r="D36" s="274"/>
      <c r="E36" s="74"/>
      <c r="F36" s="71">
        <v>21011192</v>
      </c>
      <c r="G36" s="72">
        <v>16287434</v>
      </c>
      <c r="H36" s="68">
        <f t="shared" si="2"/>
        <v>971815</v>
      </c>
      <c r="I36" s="69">
        <f t="shared" si="3"/>
        <v>749780</v>
      </c>
      <c r="J36" s="71">
        <v>14787496</v>
      </c>
      <c r="K36" s="72">
        <v>11487019</v>
      </c>
      <c r="L36" s="68">
        <f t="shared" si="4"/>
        <v>242047</v>
      </c>
      <c r="M36" s="69">
        <f t="shared" si="5"/>
        <v>186774</v>
      </c>
      <c r="N36" s="73">
        <f t="shared" si="0"/>
        <v>1213862</v>
      </c>
      <c r="O36" s="980">
        <f t="shared" si="1"/>
        <v>936554</v>
      </c>
      <c r="P36" s="260"/>
      <c r="Q36" s="260"/>
      <c r="R36" s="516"/>
      <c r="S36" s="516" t="str">
        <f ca="1">IF(ISNUMBER(Table2[[#This Row],[D401&amp; D404  Consumption - kg]]),Table2[[#This Row],[D401&amp; D404  Consumption - kg]]/1.18," ")</f>
        <v xml:space="preserve"> </v>
      </c>
      <c r="T36" s="323"/>
    </row>
    <row r="37" spans="1:24" ht="14.45">
      <c r="A37" s="406"/>
      <c r="B37" s="407"/>
      <c r="C37" s="70">
        <v>2322200</v>
      </c>
      <c r="D37" s="260"/>
      <c r="E37" s="74"/>
      <c r="F37" s="71">
        <v>22038486</v>
      </c>
      <c r="G37" s="72">
        <v>17079971</v>
      </c>
      <c r="H37" s="68">
        <f t="shared" si="2"/>
        <v>1027294</v>
      </c>
      <c r="I37" s="69">
        <f t="shared" si="3"/>
        <v>792537</v>
      </c>
      <c r="J37" s="71">
        <v>15032730</v>
      </c>
      <c r="K37" s="72">
        <v>11676246</v>
      </c>
      <c r="L37" s="68">
        <f t="shared" si="4"/>
        <v>245234</v>
      </c>
      <c r="M37" s="69">
        <f t="shared" si="5"/>
        <v>189227</v>
      </c>
      <c r="N37" s="73">
        <f t="shared" ref="N37:N68" si="6">H37+L37</f>
        <v>1272528</v>
      </c>
      <c r="O37" s="980">
        <f t="shared" ref="O37:O68" si="7">I37+M37</f>
        <v>981764</v>
      </c>
      <c r="P37" s="260"/>
      <c r="Q37" s="260"/>
      <c r="R37" s="516"/>
      <c r="S37" s="516" t="str">
        <f ca="1">IF(ISNUMBER(Table2[[#This Row],[D401&amp; D404  Consumption - kg]]),Table2[[#This Row],[D401&amp; D404  Consumption - kg]]/1.18," ")</f>
        <v xml:space="preserve"> </v>
      </c>
      <c r="T37" s="323"/>
    </row>
    <row r="38" spans="1:24" ht="14.45">
      <c r="A38" s="406" t="s">
        <v>356</v>
      </c>
      <c r="B38" s="407">
        <v>2016</v>
      </c>
      <c r="C38" s="70">
        <v>2698640</v>
      </c>
      <c r="D38" s="260">
        <v>61340</v>
      </c>
      <c r="E38" s="74" t="s">
        <v>358</v>
      </c>
      <c r="F38" s="71">
        <v>23344738</v>
      </c>
      <c r="G38" s="72">
        <v>18087525</v>
      </c>
      <c r="H38" s="68">
        <f t="shared" ref="H38:H69" si="8">F38-F37</f>
        <v>1306252</v>
      </c>
      <c r="I38" s="69">
        <f t="shared" ref="I38:I69" si="9">G38-G37</f>
        <v>1007554</v>
      </c>
      <c r="J38" s="71">
        <v>15342292</v>
      </c>
      <c r="K38" s="72">
        <v>11915077</v>
      </c>
      <c r="L38" s="68">
        <f t="shared" ref="L38:L69" si="10">J38-J37</f>
        <v>309562</v>
      </c>
      <c r="M38" s="69">
        <f t="shared" ref="M38:M69" si="11">K38-K37</f>
        <v>238831</v>
      </c>
      <c r="N38" s="73">
        <f t="shared" si="6"/>
        <v>1615814</v>
      </c>
      <c r="O38" s="980">
        <f t="shared" si="7"/>
        <v>1246385</v>
      </c>
      <c r="P38" s="260"/>
      <c r="Q38" s="260"/>
      <c r="R38" s="516"/>
      <c r="S38" s="516" t="str">
        <f ca="1">IF(ISNUMBER(Table2[[#This Row],[D401&amp; D404  Consumption - kg]]),Table2[[#This Row],[D401&amp; D404  Consumption - kg]]/1.18," ")</f>
        <v xml:space="preserve"> </v>
      </c>
      <c r="T38" s="323"/>
    </row>
    <row r="39" spans="1:24" ht="14.45">
      <c r="A39" s="406"/>
      <c r="B39" s="407"/>
      <c r="C39" s="70">
        <v>2729420</v>
      </c>
      <c r="D39" s="260">
        <v>153980</v>
      </c>
      <c r="E39" s="74">
        <f t="shared" ref="E39:E70" si="12">(D39-D38)</f>
        <v>92640</v>
      </c>
      <c r="F39" s="71">
        <v>24699088</v>
      </c>
      <c r="G39" s="72">
        <v>19132216</v>
      </c>
      <c r="H39" s="68">
        <f t="shared" si="8"/>
        <v>1354350</v>
      </c>
      <c r="I39" s="69">
        <f t="shared" si="9"/>
        <v>1044691</v>
      </c>
      <c r="J39" s="71">
        <v>15676064</v>
      </c>
      <c r="K39" s="72">
        <v>12172579</v>
      </c>
      <c r="L39" s="68">
        <f t="shared" si="10"/>
        <v>333772</v>
      </c>
      <c r="M39" s="69">
        <f t="shared" si="11"/>
        <v>257502</v>
      </c>
      <c r="N39" s="73">
        <f t="shared" si="6"/>
        <v>1688122</v>
      </c>
      <c r="O39" s="980">
        <f t="shared" si="7"/>
        <v>1302193</v>
      </c>
      <c r="P39" s="260"/>
      <c r="Q39" s="260"/>
      <c r="R39" s="516"/>
      <c r="S39" s="516">
        <v>0</v>
      </c>
      <c r="T39" s="323">
        <f ca="1">IF(ISNUMBER(Table2[[#This Row],[  A + B
kWh]]),Table2[[#This Row],[  A + B
kWh]]+Table2[[#This Row],[192 Consumption
KWh]]+Table2[[#This Row],[D401&amp; D404  Consumption - kWh]]," ")</f>
        <v>1394833</v>
      </c>
    </row>
    <row r="40" spans="1:24" ht="14.45">
      <c r="A40" s="406"/>
      <c r="B40" s="407"/>
      <c r="C40" s="70">
        <v>2154610</v>
      </c>
      <c r="D40" s="260">
        <v>211030</v>
      </c>
      <c r="E40" s="74">
        <f t="shared" si="12"/>
        <v>57050</v>
      </c>
      <c r="F40" s="71">
        <v>25781399</v>
      </c>
      <c r="G40" s="72">
        <v>19967405</v>
      </c>
      <c r="H40" s="68">
        <f t="shared" si="8"/>
        <v>1082311</v>
      </c>
      <c r="I40" s="69">
        <f t="shared" si="9"/>
        <v>835189</v>
      </c>
      <c r="J40" s="71">
        <v>15951684</v>
      </c>
      <c r="K40" s="72">
        <v>12385295</v>
      </c>
      <c r="L40" s="68">
        <f t="shared" si="10"/>
        <v>275620</v>
      </c>
      <c r="M40" s="69">
        <f t="shared" si="11"/>
        <v>212716</v>
      </c>
      <c r="N40" s="73">
        <f t="shared" si="6"/>
        <v>1357931</v>
      </c>
      <c r="O40" s="980">
        <f t="shared" si="7"/>
        <v>1047905</v>
      </c>
      <c r="P40" s="260"/>
      <c r="Q40" s="260"/>
      <c r="R40" s="516"/>
      <c r="S40" s="985">
        <v>0</v>
      </c>
      <c r="T40" s="253">
        <f ca="1">IF(ISNUMBER(Table2[[#This Row],[  A + B
kWh]]),Table2[[#This Row],[  A + B
kWh]]+Table2[[#This Row],[192 Consumption
KWh]]+Table2[[#This Row],[D401&amp; D404  Consumption - kWh]]," ")</f>
        <v>1104955</v>
      </c>
    </row>
    <row r="41" spans="1:24" ht="14.45">
      <c r="A41" s="406"/>
      <c r="B41" s="407"/>
      <c r="C41" s="70">
        <v>1705270</v>
      </c>
      <c r="D41" s="260">
        <v>264870</v>
      </c>
      <c r="E41" s="74">
        <f t="shared" si="12"/>
        <v>53840</v>
      </c>
      <c r="F41" s="71">
        <v>26636406</v>
      </c>
      <c r="G41" s="72">
        <v>20627360</v>
      </c>
      <c r="H41" s="68">
        <f t="shared" si="8"/>
        <v>855007</v>
      </c>
      <c r="I41" s="69">
        <f t="shared" si="9"/>
        <v>659955</v>
      </c>
      <c r="J41" s="71">
        <v>16175680</v>
      </c>
      <c r="K41" s="72">
        <v>12558202</v>
      </c>
      <c r="L41" s="68">
        <f t="shared" si="10"/>
        <v>223996</v>
      </c>
      <c r="M41" s="69">
        <f t="shared" si="11"/>
        <v>172907</v>
      </c>
      <c r="N41" s="73">
        <f t="shared" si="6"/>
        <v>1079003</v>
      </c>
      <c r="O41" s="980">
        <f t="shared" si="7"/>
        <v>832862</v>
      </c>
      <c r="P41" s="260"/>
      <c r="Q41" s="260"/>
      <c r="R41" s="516"/>
      <c r="S41" s="516">
        <v>0</v>
      </c>
      <c r="T41" s="323">
        <f ca="1">IF(ISNUMBER(Table2[[#This Row],[  A + B
kWh]]),Table2[[#This Row],[  A + B
kWh]]+Table2[[#This Row],[192 Consumption
KWh]]+Table2[[#This Row],[D401&amp; D404  Consumption - kWh]]," ")</f>
        <v>886702</v>
      </c>
    </row>
    <row r="42" spans="1:24" ht="14.45">
      <c r="A42" s="406"/>
      <c r="B42" s="407"/>
      <c r="C42" s="70">
        <v>1312070</v>
      </c>
      <c r="D42" s="260">
        <v>297490</v>
      </c>
      <c r="E42" s="74">
        <f t="shared" si="12"/>
        <v>32620</v>
      </c>
      <c r="F42" s="71">
        <v>27349957</v>
      </c>
      <c r="G42" s="72">
        <v>21178081</v>
      </c>
      <c r="H42" s="68">
        <f t="shared" si="8"/>
        <v>713551</v>
      </c>
      <c r="I42" s="69">
        <f t="shared" si="9"/>
        <v>550721</v>
      </c>
      <c r="J42" s="71">
        <v>16380869</v>
      </c>
      <c r="K42" s="72">
        <v>12716604</v>
      </c>
      <c r="L42" s="68">
        <f t="shared" si="10"/>
        <v>205189</v>
      </c>
      <c r="M42" s="69">
        <f t="shared" si="11"/>
        <v>158402</v>
      </c>
      <c r="N42" s="73">
        <f t="shared" si="6"/>
        <v>918740</v>
      </c>
      <c r="O42" s="980">
        <f t="shared" si="7"/>
        <v>709123</v>
      </c>
      <c r="P42" s="260"/>
      <c r="Q42" s="260"/>
      <c r="R42" s="516"/>
      <c r="S42" s="516">
        <v>0</v>
      </c>
      <c r="T42" s="323">
        <f ca="1">IF(ISNUMBER(Table2[[#This Row],[  A + B
kWh]]),Table2[[#This Row],[  A + B
kWh]]+Table2[[#This Row],[192 Consumption
KWh]]+Table2[[#This Row],[D401&amp; D404  Consumption - kWh]]," ")</f>
        <v>741743</v>
      </c>
    </row>
    <row r="43" spans="1:24" ht="15" thickBot="1">
      <c r="A43" s="408"/>
      <c r="B43" s="410"/>
      <c r="C43" s="285">
        <v>983180</v>
      </c>
      <c r="D43" s="260">
        <v>315930</v>
      </c>
      <c r="E43" s="286">
        <f t="shared" si="12"/>
        <v>18440</v>
      </c>
      <c r="F43" s="287">
        <v>28154026</v>
      </c>
      <c r="G43" s="288">
        <v>21807680</v>
      </c>
      <c r="H43" s="289">
        <f t="shared" si="8"/>
        <v>804069</v>
      </c>
      <c r="I43" s="290">
        <f t="shared" si="9"/>
        <v>629599</v>
      </c>
      <c r="J43" s="287">
        <v>16596426</v>
      </c>
      <c r="K43" s="288">
        <v>12885093</v>
      </c>
      <c r="L43" s="289">
        <f t="shared" si="10"/>
        <v>215557</v>
      </c>
      <c r="M43" s="290">
        <f t="shared" si="11"/>
        <v>168489</v>
      </c>
      <c r="N43" s="291">
        <f t="shared" si="6"/>
        <v>1019626</v>
      </c>
      <c r="O43" s="609">
        <f t="shared" si="7"/>
        <v>798088</v>
      </c>
      <c r="P43" s="260"/>
      <c r="Q43" s="260"/>
      <c r="R43" s="516"/>
      <c r="S43" s="516">
        <v>0</v>
      </c>
      <c r="T43" s="323">
        <f ca="1">IF(ISNUMBER(Table2[[#This Row],[  A + B
kWh]]),Table2[[#This Row],[  A + B
kWh]]+Table2[[#This Row],[192 Consumption
KWh]]+Table2[[#This Row],[D401&amp; D404  Consumption - kWh]]," ")</f>
        <v>816528</v>
      </c>
    </row>
    <row r="44" spans="1:24" ht="14.45">
      <c r="A44" s="406" t="s">
        <v>228</v>
      </c>
      <c r="B44" s="411"/>
      <c r="C44" s="70">
        <v>950000</v>
      </c>
      <c r="D44" s="260">
        <v>334760</v>
      </c>
      <c r="E44" s="74">
        <f t="shared" si="12"/>
        <v>18830</v>
      </c>
      <c r="F44" s="71">
        <v>28808614</v>
      </c>
      <c r="G44" s="72">
        <v>22303994</v>
      </c>
      <c r="H44" s="68">
        <f t="shared" si="8"/>
        <v>654588</v>
      </c>
      <c r="I44" s="69">
        <f t="shared" si="9"/>
        <v>496314</v>
      </c>
      <c r="J44" s="71">
        <v>16781964</v>
      </c>
      <c r="K44" s="72">
        <v>13026246</v>
      </c>
      <c r="L44" s="68">
        <f t="shared" si="10"/>
        <v>185538</v>
      </c>
      <c r="M44" s="69">
        <f t="shared" si="11"/>
        <v>141153</v>
      </c>
      <c r="N44" s="73">
        <f t="shared" si="6"/>
        <v>840126</v>
      </c>
      <c r="O44" s="980">
        <f t="shared" si="7"/>
        <v>637467</v>
      </c>
      <c r="P44" s="274"/>
      <c r="Q44" s="274"/>
      <c r="R44" s="516"/>
      <c r="S44" s="516">
        <v>0</v>
      </c>
      <c r="T44" s="323">
        <f ca="1">IF(ISNUMBER(Table2[[#This Row],[  A + B
kWh]]),Table2[[#This Row],[  A + B
kWh]]+Table2[[#This Row],[192 Consumption
KWh]]+Table2[[#This Row],[D401&amp; D404  Consumption - kWh]]," ")</f>
        <v>656297</v>
      </c>
      <c r="X44" t="s">
        <v>359</v>
      </c>
    </row>
    <row r="45" spans="1:24" ht="14.45">
      <c r="A45" s="406"/>
      <c r="B45" s="411"/>
      <c r="C45" s="70">
        <v>760000</v>
      </c>
      <c r="D45" s="260">
        <v>352720</v>
      </c>
      <c r="E45" s="74">
        <f t="shared" si="12"/>
        <v>17960</v>
      </c>
      <c r="F45" s="71">
        <v>29318291</v>
      </c>
      <c r="G45" s="72">
        <v>22697415</v>
      </c>
      <c r="H45" s="68">
        <f t="shared" si="8"/>
        <v>509677</v>
      </c>
      <c r="I45" s="69">
        <f t="shared" si="9"/>
        <v>393421</v>
      </c>
      <c r="J45" s="71">
        <v>16983418</v>
      </c>
      <c r="K45" s="72">
        <v>13181770</v>
      </c>
      <c r="L45" s="68">
        <f t="shared" si="10"/>
        <v>201454</v>
      </c>
      <c r="M45" s="69">
        <f t="shared" si="11"/>
        <v>155524</v>
      </c>
      <c r="N45" s="73">
        <f t="shared" si="6"/>
        <v>711131</v>
      </c>
      <c r="O45" s="980">
        <f t="shared" si="7"/>
        <v>548945</v>
      </c>
      <c r="P45" s="260"/>
      <c r="Q45" s="260"/>
      <c r="R45" s="516"/>
      <c r="S45" s="516">
        <v>0</v>
      </c>
      <c r="T45" s="323">
        <f ca="1">IF(ISNUMBER(Table2[[#This Row],[  A + B
kWh]]),Table2[[#This Row],[  A + B
kWh]]+Table2[[#This Row],[192 Consumption
KWh]]+Table2[[#This Row],[D401&amp; D404  Consumption - kWh]]," ")</f>
        <v>566905</v>
      </c>
      <c r="X45" t="s">
        <v>359</v>
      </c>
    </row>
    <row r="46" spans="1:24" ht="14.45">
      <c r="A46" s="406"/>
      <c r="B46" s="411"/>
      <c r="C46" s="70">
        <v>1100000</v>
      </c>
      <c r="D46" s="260">
        <v>398990</v>
      </c>
      <c r="E46" s="74">
        <f t="shared" si="12"/>
        <v>46270</v>
      </c>
      <c r="F46" s="71">
        <v>30016377</v>
      </c>
      <c r="G46" s="72">
        <v>23236153</v>
      </c>
      <c r="H46" s="68">
        <f t="shared" si="8"/>
        <v>698086</v>
      </c>
      <c r="I46" s="69">
        <f t="shared" si="9"/>
        <v>538738</v>
      </c>
      <c r="J46" s="71">
        <v>17274215</v>
      </c>
      <c r="K46" s="72">
        <v>13406236</v>
      </c>
      <c r="L46" s="68">
        <f t="shared" si="10"/>
        <v>290797</v>
      </c>
      <c r="M46" s="69">
        <f t="shared" si="11"/>
        <v>224466</v>
      </c>
      <c r="N46" s="73">
        <f t="shared" si="6"/>
        <v>988883</v>
      </c>
      <c r="O46" s="980">
        <f t="shared" si="7"/>
        <v>763204</v>
      </c>
      <c r="P46" s="260"/>
      <c r="Q46" s="260"/>
      <c r="R46" s="516"/>
      <c r="S46" s="516">
        <v>0</v>
      </c>
      <c r="T46" s="323">
        <f ca="1">IF(ISNUMBER(Table2[[#This Row],[  A + B
kWh]]),Table2[[#This Row],[  A + B
kWh]]+Table2[[#This Row],[192 Consumption
KWh]]+Table2[[#This Row],[D401&amp; D404  Consumption - kWh]]," ")</f>
        <v>809474</v>
      </c>
      <c r="X46" t="s">
        <v>360</v>
      </c>
    </row>
    <row r="47" spans="1:24" ht="15" thickBot="1">
      <c r="A47" s="406"/>
      <c r="B47" s="411"/>
      <c r="C47" s="70">
        <v>1250000</v>
      </c>
      <c r="D47" s="260">
        <v>447340</v>
      </c>
      <c r="E47" s="74">
        <f t="shared" si="12"/>
        <v>48350</v>
      </c>
      <c r="F47" s="71">
        <v>30718084</v>
      </c>
      <c r="G47" s="72">
        <v>23777623</v>
      </c>
      <c r="H47" s="68">
        <f t="shared" si="8"/>
        <v>701707</v>
      </c>
      <c r="I47" s="69">
        <f t="shared" si="9"/>
        <v>541470</v>
      </c>
      <c r="J47" s="71">
        <v>17561424</v>
      </c>
      <c r="K47" s="72">
        <v>13627904</v>
      </c>
      <c r="L47" s="68">
        <f t="shared" si="10"/>
        <v>287209</v>
      </c>
      <c r="M47" s="69">
        <f t="shared" si="11"/>
        <v>221668</v>
      </c>
      <c r="N47" s="73">
        <f t="shared" si="6"/>
        <v>988916</v>
      </c>
      <c r="O47" s="980">
        <f t="shared" si="7"/>
        <v>763138</v>
      </c>
      <c r="P47" s="260"/>
      <c r="Q47" s="260"/>
      <c r="R47" s="609"/>
      <c r="S47" s="516">
        <v>0</v>
      </c>
      <c r="T47" s="323">
        <f ca="1">IF(ISNUMBER(Table2[[#This Row],[  A + B
kWh]]),Table2[[#This Row],[  A + B
kWh]]+Table2[[#This Row],[192 Consumption
KWh]]+Table2[[#This Row],[D401&amp; D404  Consumption - kWh]]," ")</f>
        <v>811488</v>
      </c>
      <c r="X47" t="s">
        <v>360</v>
      </c>
    </row>
    <row r="48" spans="1:24" ht="14.45">
      <c r="A48" s="406"/>
      <c r="B48" s="411"/>
      <c r="C48" s="70">
        <v>1860000</v>
      </c>
      <c r="D48" s="260">
        <v>520150</v>
      </c>
      <c r="E48" s="74">
        <f t="shared" si="12"/>
        <v>72810</v>
      </c>
      <c r="F48" s="71">
        <v>31648000</v>
      </c>
      <c r="G48" s="72">
        <v>24494961</v>
      </c>
      <c r="H48" s="68">
        <f t="shared" si="8"/>
        <v>929916</v>
      </c>
      <c r="I48" s="69">
        <f t="shared" si="9"/>
        <v>717338</v>
      </c>
      <c r="J48" s="71">
        <v>17946489</v>
      </c>
      <c r="K48" s="72">
        <v>13925009</v>
      </c>
      <c r="L48" s="68">
        <f t="shared" si="10"/>
        <v>385065</v>
      </c>
      <c r="M48" s="69">
        <f t="shared" si="11"/>
        <v>297105</v>
      </c>
      <c r="N48" s="73">
        <f t="shared" si="6"/>
        <v>1314981</v>
      </c>
      <c r="O48" s="980">
        <f t="shared" si="7"/>
        <v>1014443</v>
      </c>
      <c r="P48" s="260"/>
      <c r="Q48" s="260"/>
      <c r="R48" s="611"/>
      <c r="S48" s="516">
        <v>0</v>
      </c>
      <c r="T48" s="323">
        <f ca="1">IF(ISNUMBER(Table2[[#This Row],[  A + B
kWh]]),Table2[[#This Row],[  A + B
kWh]]+Table2[[#This Row],[192 Consumption
KWh]]+Table2[[#This Row],[D401&amp; D404  Consumption - kWh]]," ")</f>
        <v>1087253</v>
      </c>
      <c r="X48" t="s">
        <v>360</v>
      </c>
    </row>
    <row r="49" spans="1:24" ht="14.45">
      <c r="A49" s="406"/>
      <c r="B49" s="411"/>
      <c r="C49" s="70">
        <v>2250000</v>
      </c>
      <c r="D49" s="260">
        <v>586550</v>
      </c>
      <c r="E49" s="74">
        <f t="shared" si="12"/>
        <v>66400</v>
      </c>
      <c r="F49" s="71">
        <v>32715031</v>
      </c>
      <c r="G49" s="72">
        <v>25318060</v>
      </c>
      <c r="H49" s="68">
        <f t="shared" si="8"/>
        <v>1067031</v>
      </c>
      <c r="I49" s="69">
        <f t="shared" si="9"/>
        <v>823099</v>
      </c>
      <c r="J49" s="71">
        <v>18383322</v>
      </c>
      <c r="K49" s="72">
        <v>14262059</v>
      </c>
      <c r="L49" s="68">
        <f t="shared" si="10"/>
        <v>436833</v>
      </c>
      <c r="M49" s="69">
        <f t="shared" si="11"/>
        <v>337050</v>
      </c>
      <c r="N49" s="73">
        <f t="shared" si="6"/>
        <v>1503864</v>
      </c>
      <c r="O49" s="980">
        <f t="shared" si="7"/>
        <v>1160149</v>
      </c>
      <c r="P49" s="260"/>
      <c r="Q49" s="260"/>
      <c r="R49" s="332"/>
      <c r="S49" s="516">
        <v>0</v>
      </c>
      <c r="T49" s="323">
        <f ca="1">IF(ISNUMBER(Table2[[#This Row],[  A + B
kWh]]),Table2[[#This Row],[  A + B
kWh]]+Table2[[#This Row],[192 Consumption
KWh]]+Table2[[#This Row],[D401&amp; D404  Consumption - kWh]]," ")</f>
        <v>1226549</v>
      </c>
      <c r="X49" t="s">
        <v>361</v>
      </c>
    </row>
    <row r="50" spans="1:24" ht="14.45">
      <c r="A50" s="406" t="s">
        <v>356</v>
      </c>
      <c r="B50" s="411">
        <v>2017</v>
      </c>
      <c r="C50" s="70">
        <v>2600000</v>
      </c>
      <c r="D50" s="260">
        <v>668820</v>
      </c>
      <c r="E50" s="74">
        <f t="shared" si="12"/>
        <v>82270</v>
      </c>
      <c r="F50" s="71">
        <v>33823155</v>
      </c>
      <c r="G50" s="72">
        <v>26172578</v>
      </c>
      <c r="H50" s="68">
        <f t="shared" si="8"/>
        <v>1108124</v>
      </c>
      <c r="I50" s="69">
        <f t="shared" si="9"/>
        <v>854518</v>
      </c>
      <c r="J50" s="71">
        <v>18831142</v>
      </c>
      <c r="K50" s="72">
        <v>14607462</v>
      </c>
      <c r="L50" s="68">
        <f t="shared" si="10"/>
        <v>447820</v>
      </c>
      <c r="M50" s="69">
        <f t="shared" si="11"/>
        <v>345403</v>
      </c>
      <c r="N50" s="73">
        <f t="shared" si="6"/>
        <v>1555944</v>
      </c>
      <c r="O50" s="980">
        <f t="shared" si="7"/>
        <v>1199921</v>
      </c>
      <c r="P50" s="260"/>
      <c r="Q50" s="260"/>
      <c r="R50" s="332"/>
      <c r="S50" s="516">
        <v>0</v>
      </c>
      <c r="T50" s="323">
        <f ca="1">IF(ISNUMBER(Table2[[#This Row],[  A + B
kWh]]),Table2[[#This Row],[  A + B
kWh]]+Table2[[#This Row],[192 Consumption
KWh]]+Table2[[#This Row],[D401&amp; D404  Consumption - kWh]]," ")</f>
        <v>1282191</v>
      </c>
      <c r="X50" t="s">
        <v>362</v>
      </c>
    </row>
    <row r="51" spans="1:24" ht="14.45">
      <c r="A51" s="406"/>
      <c r="B51" s="411"/>
      <c r="C51" s="70">
        <v>2280000</v>
      </c>
      <c r="D51" s="260">
        <v>741400</v>
      </c>
      <c r="E51" s="74">
        <f t="shared" si="12"/>
        <v>72580</v>
      </c>
      <c r="F51" s="71">
        <v>34794851</v>
      </c>
      <c r="G51" s="72">
        <v>26922242</v>
      </c>
      <c r="H51" s="68">
        <f t="shared" si="8"/>
        <v>971696</v>
      </c>
      <c r="I51" s="69">
        <f t="shared" si="9"/>
        <v>749664</v>
      </c>
      <c r="J51" s="71">
        <v>19228670</v>
      </c>
      <c r="K51" s="72">
        <v>14914193</v>
      </c>
      <c r="L51" s="68">
        <f t="shared" si="10"/>
        <v>397528</v>
      </c>
      <c r="M51" s="69">
        <f t="shared" si="11"/>
        <v>306731</v>
      </c>
      <c r="N51" s="73">
        <f t="shared" si="6"/>
        <v>1369224</v>
      </c>
      <c r="O51" s="980">
        <f t="shared" si="7"/>
        <v>1056395</v>
      </c>
      <c r="P51" s="260"/>
      <c r="Q51" s="260"/>
      <c r="R51" s="332"/>
      <c r="S51" s="516">
        <v>0</v>
      </c>
      <c r="T51" s="323">
        <f ca="1">IF(ISNUMBER(Table2[[#This Row],[  A + B
kWh]]),Table2[[#This Row],[  A + B
kWh]]+Table2[[#This Row],[192 Consumption
KWh]]+Table2[[#This Row],[D401&amp; D404  Consumption - kWh]]," ")</f>
        <v>1128975</v>
      </c>
      <c r="X51" t="s">
        <v>363</v>
      </c>
    </row>
    <row r="52" spans="1:24" ht="14.45">
      <c r="A52" s="406"/>
      <c r="B52" s="411"/>
      <c r="C52" s="70">
        <v>2050000</v>
      </c>
      <c r="D52" s="274">
        <v>807190</v>
      </c>
      <c r="E52" s="74">
        <f t="shared" si="12"/>
        <v>65790</v>
      </c>
      <c r="F52" s="71">
        <v>35662045</v>
      </c>
      <c r="G52" s="72">
        <v>27591179</v>
      </c>
      <c r="H52" s="68">
        <f t="shared" si="8"/>
        <v>867194</v>
      </c>
      <c r="I52" s="69">
        <f t="shared" si="9"/>
        <v>668937</v>
      </c>
      <c r="J52" s="71">
        <v>19525427</v>
      </c>
      <c r="K52" s="72">
        <v>15147734</v>
      </c>
      <c r="L52" s="68">
        <f t="shared" si="10"/>
        <v>296757</v>
      </c>
      <c r="M52" s="69">
        <f t="shared" si="11"/>
        <v>233541</v>
      </c>
      <c r="N52" s="73">
        <f t="shared" si="6"/>
        <v>1163951</v>
      </c>
      <c r="O52" s="980">
        <f t="shared" si="7"/>
        <v>902478</v>
      </c>
      <c r="P52" s="260"/>
      <c r="Q52" s="260"/>
      <c r="R52" s="332"/>
      <c r="S52" s="516">
        <v>0</v>
      </c>
      <c r="T52" s="323">
        <f ca="1">IF(ISNUMBER(Table2[[#This Row],[  A + B
kWh]]),Table2[[#This Row],[  A + B
kWh]]+Table2[[#This Row],[192 Consumption
KWh]]+Table2[[#This Row],[D401&amp; D404  Consumption - kWh]]," ")</f>
        <v>968268</v>
      </c>
      <c r="X52" t="s">
        <v>364</v>
      </c>
    </row>
    <row r="53" spans="1:24" ht="14.45">
      <c r="A53" s="406"/>
      <c r="B53" s="411"/>
      <c r="C53" s="70">
        <v>1800000</v>
      </c>
      <c r="D53" s="260">
        <v>859160</v>
      </c>
      <c r="E53" s="74">
        <f t="shared" si="12"/>
        <v>51970</v>
      </c>
      <c r="F53" s="71">
        <v>36395158</v>
      </c>
      <c r="G53" s="72">
        <v>28156859</v>
      </c>
      <c r="H53" s="68">
        <f t="shared" si="8"/>
        <v>733113</v>
      </c>
      <c r="I53" s="69">
        <f t="shared" si="9"/>
        <v>565680</v>
      </c>
      <c r="J53" s="71">
        <v>19698080</v>
      </c>
      <c r="K53" s="72">
        <v>15292334</v>
      </c>
      <c r="L53" s="68">
        <f t="shared" si="10"/>
        <v>172653</v>
      </c>
      <c r="M53" s="69">
        <f t="shared" si="11"/>
        <v>144600</v>
      </c>
      <c r="N53" s="73">
        <f t="shared" si="6"/>
        <v>905766</v>
      </c>
      <c r="O53" s="980">
        <f t="shared" si="7"/>
        <v>710280</v>
      </c>
      <c r="P53" s="260"/>
      <c r="Q53" s="260"/>
      <c r="R53" s="332"/>
      <c r="S53" s="516">
        <v>0</v>
      </c>
      <c r="T53" s="323">
        <f ca="1">IF(ISNUMBER(Table2[[#This Row],[  A + B
kWh]]),Table2[[#This Row],[  A + B
kWh]]+Table2[[#This Row],[192 Consumption
KWh]]+Table2[[#This Row],[D401&amp; D404  Consumption - kWh]]," ")</f>
        <v>762250</v>
      </c>
      <c r="X53" t="s">
        <v>365</v>
      </c>
    </row>
    <row r="54" spans="1:24" ht="14.45">
      <c r="A54" s="406"/>
      <c r="B54" s="411"/>
      <c r="C54" s="70">
        <v>1250000</v>
      </c>
      <c r="D54" s="260">
        <v>891160</v>
      </c>
      <c r="E54" s="74">
        <f t="shared" si="12"/>
        <v>32000</v>
      </c>
      <c r="F54" s="71">
        <v>37004907</v>
      </c>
      <c r="G54" s="72">
        <f>(I53/H53)*H54+G53</f>
        <v>28627349.653309926</v>
      </c>
      <c r="H54" s="68">
        <f t="shared" si="8"/>
        <v>609749</v>
      </c>
      <c r="I54" s="69">
        <f t="shared" si="9"/>
        <v>470490.65330992639</v>
      </c>
      <c r="J54" s="71">
        <v>19882008</v>
      </c>
      <c r="K54" s="72">
        <f>(M53/L53)*L54+K53</f>
        <v>15446377.015759934</v>
      </c>
      <c r="L54" s="68">
        <f t="shared" si="10"/>
        <v>183928</v>
      </c>
      <c r="M54" s="69">
        <f t="shared" si="11"/>
        <v>154043.01575993374</v>
      </c>
      <c r="N54" s="73">
        <f t="shared" si="6"/>
        <v>793677</v>
      </c>
      <c r="O54" s="980">
        <f t="shared" si="7"/>
        <v>624533.66906986013</v>
      </c>
      <c r="P54" s="260"/>
      <c r="Q54" s="260"/>
      <c r="R54" s="332"/>
      <c r="S54" s="516">
        <v>0</v>
      </c>
      <c r="T54" s="323">
        <f ca="1">IF(ISNUMBER(Table2[[#This Row],[  A + B
kWh]]),Table2[[#This Row],[  A + B
kWh]]+Table2[[#This Row],[192 Consumption
KWh]]+Table2[[#This Row],[D401&amp; D404  Consumption - kWh]]," ")</f>
        <v>656533.66906986013</v>
      </c>
      <c r="X54" t="s">
        <v>366</v>
      </c>
    </row>
    <row r="55" spans="1:24" ht="15" thickBot="1">
      <c r="A55" s="408"/>
      <c r="B55" s="410"/>
      <c r="C55" s="285">
        <v>850000</v>
      </c>
      <c r="D55" s="260">
        <v>892940</v>
      </c>
      <c r="E55" s="286">
        <f t="shared" si="12"/>
        <v>1780</v>
      </c>
      <c r="F55" s="287">
        <v>37499086</v>
      </c>
      <c r="G55" s="288">
        <v>29008931</v>
      </c>
      <c r="H55" s="289">
        <f t="shared" si="8"/>
        <v>494179</v>
      </c>
      <c r="I55" s="290">
        <f t="shared" si="9"/>
        <v>381581.34669007361</v>
      </c>
      <c r="J55" s="287">
        <v>19972704</v>
      </c>
      <c r="K55" s="288">
        <v>15522566</v>
      </c>
      <c r="L55" s="289">
        <f t="shared" si="10"/>
        <v>90696</v>
      </c>
      <c r="M55" s="290">
        <f t="shared" si="11"/>
        <v>76188.98424006626</v>
      </c>
      <c r="N55" s="291">
        <f t="shared" si="6"/>
        <v>584875</v>
      </c>
      <c r="O55" s="609">
        <f t="shared" si="7"/>
        <v>457770.33093013987</v>
      </c>
      <c r="P55" s="260"/>
      <c r="Q55" s="260"/>
      <c r="R55" s="332"/>
      <c r="S55" s="516">
        <v>0</v>
      </c>
      <c r="T55" s="323">
        <f ca="1">IF(ISNUMBER(Table2[[#This Row],[  A + B
kWh]]),Table2[[#This Row],[  A + B
kWh]]+Table2[[#This Row],[192 Consumption
KWh]]+Table2[[#This Row],[D401&amp; D404  Consumption - kWh]]," ")</f>
        <v>459550.33093013987</v>
      </c>
      <c r="X55" t="s">
        <v>367</v>
      </c>
    </row>
    <row r="56" spans="1:24" ht="14.45">
      <c r="A56" s="406" t="s">
        <v>228</v>
      </c>
      <c r="B56" s="411"/>
      <c r="C56" s="70">
        <v>900000</v>
      </c>
      <c r="D56" s="260">
        <v>903240</v>
      </c>
      <c r="E56" s="74">
        <f t="shared" si="12"/>
        <v>10300</v>
      </c>
      <c r="F56" s="71">
        <v>38026961</v>
      </c>
      <c r="G56" s="72">
        <v>29419080</v>
      </c>
      <c r="H56" s="68">
        <f t="shared" si="8"/>
        <v>527875</v>
      </c>
      <c r="I56" s="69">
        <f t="shared" si="9"/>
        <v>410149</v>
      </c>
      <c r="J56" s="71">
        <v>20095550</v>
      </c>
      <c r="K56" s="72">
        <v>15626163</v>
      </c>
      <c r="L56" s="68">
        <f t="shared" si="10"/>
        <v>122846</v>
      </c>
      <c r="M56" s="69">
        <f t="shared" si="11"/>
        <v>103597</v>
      </c>
      <c r="N56" s="73">
        <f t="shared" si="6"/>
        <v>650721</v>
      </c>
      <c r="O56" s="980">
        <f t="shared" si="7"/>
        <v>513746</v>
      </c>
      <c r="P56" s="260"/>
      <c r="Q56" s="260"/>
      <c r="R56" s="516"/>
      <c r="S56" s="516">
        <v>0</v>
      </c>
      <c r="T56" s="323">
        <f ca="1">IF(ISNUMBER(Table2[[#This Row],[  A + B
kWh]]),Table2[[#This Row],[  A + B
kWh]]+Table2[[#This Row],[192 Consumption
KWh]]+Table2[[#This Row],[D401&amp; D404  Consumption - kWh]]," ")</f>
        <v>524046</v>
      </c>
      <c r="X56" t="s">
        <v>368</v>
      </c>
    </row>
    <row r="57" spans="1:24" ht="14.45">
      <c r="A57" s="406"/>
      <c r="B57" s="411"/>
      <c r="C57" s="70">
        <v>522148</v>
      </c>
      <c r="D57" s="260">
        <v>920860</v>
      </c>
      <c r="E57" s="74">
        <f t="shared" si="12"/>
        <v>17620</v>
      </c>
      <c r="F57" s="71">
        <v>38478816</v>
      </c>
      <c r="G57" s="72">
        <v>29763213</v>
      </c>
      <c r="H57" s="68">
        <f t="shared" si="8"/>
        <v>451855</v>
      </c>
      <c r="I57" s="69">
        <f t="shared" si="9"/>
        <v>344133</v>
      </c>
      <c r="J57" s="71">
        <v>20223481</v>
      </c>
      <c r="K57" s="72">
        <v>15732754</v>
      </c>
      <c r="L57" s="68">
        <f t="shared" si="10"/>
        <v>127931</v>
      </c>
      <c r="M57" s="69">
        <f t="shared" si="11"/>
        <v>106591</v>
      </c>
      <c r="N57" s="73">
        <f t="shared" si="6"/>
        <v>579786</v>
      </c>
      <c r="O57" s="980">
        <f t="shared" si="7"/>
        <v>450724</v>
      </c>
      <c r="P57" s="260"/>
      <c r="Q57" s="260"/>
      <c r="R57" s="516"/>
      <c r="S57" s="516">
        <v>0</v>
      </c>
      <c r="T57" s="323">
        <f ca="1">IF(ISNUMBER(Table2[[#This Row],[  A + B
kWh]]),Table2[[#This Row],[  A + B
kWh]]+Table2[[#This Row],[192 Consumption
KWh]]+Table2[[#This Row],[D401&amp; D404  Consumption - kWh]]," ")</f>
        <v>468344</v>
      </c>
      <c r="X57" t="s">
        <v>369</v>
      </c>
    </row>
    <row r="58" spans="1:24" ht="14.45">
      <c r="A58" s="406"/>
      <c r="B58" s="411"/>
      <c r="C58" s="70">
        <v>951000</v>
      </c>
      <c r="D58" s="260">
        <v>956060</v>
      </c>
      <c r="E58" s="74">
        <f t="shared" si="12"/>
        <v>35200</v>
      </c>
      <c r="F58" s="71">
        <v>39084995</v>
      </c>
      <c r="G58" s="72">
        <v>30233008</v>
      </c>
      <c r="H58" s="68">
        <f t="shared" si="8"/>
        <v>606179</v>
      </c>
      <c r="I58" s="69">
        <f t="shared" si="9"/>
        <v>469795</v>
      </c>
      <c r="J58" s="71">
        <v>20398045</v>
      </c>
      <c r="K58" s="72">
        <v>15881331</v>
      </c>
      <c r="L58" s="68">
        <f t="shared" si="10"/>
        <v>174564</v>
      </c>
      <c r="M58" s="69">
        <f t="shared" si="11"/>
        <v>148577</v>
      </c>
      <c r="N58" s="73">
        <f t="shared" si="6"/>
        <v>780743</v>
      </c>
      <c r="O58" s="980">
        <f t="shared" si="7"/>
        <v>618372</v>
      </c>
      <c r="P58" s="260"/>
      <c r="Q58" s="260"/>
      <c r="R58" s="516"/>
      <c r="S58" s="985">
        <v>0</v>
      </c>
      <c r="T58" s="253">
        <f ca="1">IF(ISNUMBER(Table2[[#This Row],[  A + B
kWh]]),Table2[[#This Row],[  A + B
kWh]]+Table2[[#This Row],[192 Consumption
KWh]]+Table2[[#This Row],[D401&amp; D404  Consumption - kWh]]," ")</f>
        <v>653572</v>
      </c>
      <c r="X58" t="s">
        <v>369</v>
      </c>
    </row>
    <row r="59" spans="1:24" ht="14.45">
      <c r="A59" s="406"/>
      <c r="B59" s="411"/>
      <c r="C59" s="70">
        <v>1600000</v>
      </c>
      <c r="D59" s="260">
        <v>1004860</v>
      </c>
      <c r="E59" s="74">
        <f t="shared" si="12"/>
        <v>48800</v>
      </c>
      <c r="F59" s="71">
        <v>39857585</v>
      </c>
      <c r="G59" s="72">
        <v>30829179</v>
      </c>
      <c r="H59" s="68">
        <f t="shared" si="8"/>
        <v>772590</v>
      </c>
      <c r="I59" s="69">
        <f t="shared" si="9"/>
        <v>596171</v>
      </c>
      <c r="J59" s="71">
        <v>20560408</v>
      </c>
      <c r="K59" s="72">
        <v>16017002</v>
      </c>
      <c r="L59" s="68">
        <f t="shared" si="10"/>
        <v>162363</v>
      </c>
      <c r="M59" s="69">
        <f t="shared" si="11"/>
        <v>135671</v>
      </c>
      <c r="N59" s="73">
        <f t="shared" si="6"/>
        <v>934953</v>
      </c>
      <c r="O59" s="980">
        <f t="shared" si="7"/>
        <v>731842</v>
      </c>
      <c r="P59" s="260"/>
      <c r="Q59" s="260"/>
      <c r="R59" s="516"/>
      <c r="S59" s="516">
        <v>0</v>
      </c>
      <c r="T59" s="323">
        <f ca="1">IF(ISNUMBER(Table2[[#This Row],[  A + B
kWh]]),Table2[[#This Row],[  A + B
kWh]]+Table2[[#This Row],[192 Consumption
KWh]]+Table2[[#This Row],[D401&amp; D404  Consumption - kWh]]," ")</f>
        <v>780642</v>
      </c>
      <c r="X59" t="s">
        <v>370</v>
      </c>
    </row>
    <row r="60" spans="1:24" ht="14.45">
      <c r="A60" s="406"/>
      <c r="B60" s="411"/>
      <c r="C60" s="70">
        <v>2280000</v>
      </c>
      <c r="D60" s="260">
        <v>1073900</v>
      </c>
      <c r="E60" s="74">
        <f t="shared" si="12"/>
        <v>69040</v>
      </c>
      <c r="F60" s="71">
        <v>40795143</v>
      </c>
      <c r="G60" s="72">
        <v>31552461</v>
      </c>
      <c r="H60" s="68">
        <f t="shared" si="8"/>
        <v>937558</v>
      </c>
      <c r="I60" s="69">
        <f t="shared" si="9"/>
        <v>723282</v>
      </c>
      <c r="J60" s="71">
        <v>20795587</v>
      </c>
      <c r="K60" s="72">
        <v>16216288</v>
      </c>
      <c r="L60" s="68">
        <f t="shared" si="10"/>
        <v>235179</v>
      </c>
      <c r="M60" s="69">
        <f t="shared" si="11"/>
        <v>199286</v>
      </c>
      <c r="N60" s="73">
        <f t="shared" si="6"/>
        <v>1172737</v>
      </c>
      <c r="O60" s="980">
        <f t="shared" si="7"/>
        <v>922568</v>
      </c>
      <c r="P60" s="274"/>
      <c r="Q60" s="274"/>
      <c r="R60" s="516"/>
      <c r="S60" s="516">
        <v>0</v>
      </c>
      <c r="T60" s="323">
        <f ca="1">IF(ISNUMBER(Table2[[#This Row],[  A + B
kWh]]),Table2[[#This Row],[  A + B
kWh]]+Table2[[#This Row],[192 Consumption
KWh]]+Table2[[#This Row],[D401&amp; D404  Consumption - kWh]]," ")</f>
        <v>991608</v>
      </c>
      <c r="X60" t="s">
        <v>371</v>
      </c>
    </row>
    <row r="61" spans="1:24" ht="14.45">
      <c r="A61" s="406"/>
      <c r="B61" s="411"/>
      <c r="C61" s="70">
        <v>2099430</v>
      </c>
      <c r="D61" s="260">
        <v>1140930</v>
      </c>
      <c r="E61" s="74">
        <f t="shared" si="12"/>
        <v>67030</v>
      </c>
      <c r="F61" s="71">
        <v>41501435</v>
      </c>
      <c r="G61" s="72">
        <v>32097292</v>
      </c>
      <c r="H61" s="68">
        <f t="shared" si="8"/>
        <v>706292</v>
      </c>
      <c r="I61" s="69">
        <f t="shared" si="9"/>
        <v>544831</v>
      </c>
      <c r="J61" s="71">
        <v>21257441</v>
      </c>
      <c r="K61" s="72">
        <v>16603017</v>
      </c>
      <c r="L61" s="68">
        <f t="shared" si="10"/>
        <v>461854</v>
      </c>
      <c r="M61" s="69">
        <f t="shared" si="11"/>
        <v>386729</v>
      </c>
      <c r="N61" s="73">
        <f t="shared" si="6"/>
        <v>1168146</v>
      </c>
      <c r="O61" s="980">
        <f t="shared" si="7"/>
        <v>931560</v>
      </c>
      <c r="P61" s="260"/>
      <c r="Q61" s="260"/>
      <c r="R61" s="516"/>
      <c r="S61" s="516">
        <v>0</v>
      </c>
      <c r="T61" s="323">
        <f ca="1">IF(ISNUMBER(Table2[[#This Row],[  A + B
kWh]]),Table2[[#This Row],[  A + B
kWh]]+Table2[[#This Row],[192 Consumption
KWh]]+Table2[[#This Row],[D401&amp; D404  Consumption - kWh]]," ")</f>
        <v>998590</v>
      </c>
      <c r="X61" t="s">
        <v>372</v>
      </c>
    </row>
    <row r="62" spans="1:24" ht="14.45">
      <c r="A62" s="406" t="s">
        <v>356</v>
      </c>
      <c r="B62" s="411">
        <v>2018</v>
      </c>
      <c r="C62" s="70">
        <v>2564280</v>
      </c>
      <c r="D62" s="260">
        <v>1218390</v>
      </c>
      <c r="E62" s="74">
        <f t="shared" si="12"/>
        <v>77460</v>
      </c>
      <c r="F62" s="71">
        <v>42005345</v>
      </c>
      <c r="G62" s="72">
        <v>32485993</v>
      </c>
      <c r="H62" s="68">
        <f t="shared" si="8"/>
        <v>503910</v>
      </c>
      <c r="I62" s="69">
        <f t="shared" si="9"/>
        <v>388701</v>
      </c>
      <c r="J62" s="71">
        <v>21975308</v>
      </c>
      <c r="K62" s="72">
        <v>17208959</v>
      </c>
      <c r="L62" s="68">
        <f t="shared" si="10"/>
        <v>717867</v>
      </c>
      <c r="M62" s="69">
        <f t="shared" si="11"/>
        <v>605942</v>
      </c>
      <c r="N62" s="73">
        <f t="shared" si="6"/>
        <v>1221777</v>
      </c>
      <c r="O62" s="980">
        <f t="shared" si="7"/>
        <v>994643</v>
      </c>
      <c r="P62" s="260"/>
      <c r="Q62" s="260"/>
      <c r="R62" s="516"/>
      <c r="S62" s="516">
        <v>0</v>
      </c>
      <c r="T62" s="323">
        <f ca="1">IF(ISNUMBER(Table2[[#This Row],[  A + B
kWh]]),Table2[[#This Row],[  A + B
kWh]]+Table2[[#This Row],[192 Consumption
KWh]]+Table2[[#This Row],[D401&amp; D404  Consumption - kWh]]," ")</f>
        <v>1072103</v>
      </c>
    </row>
    <row r="63" spans="1:24" ht="14.45">
      <c r="A63" s="406"/>
      <c r="B63" s="411"/>
      <c r="C63" s="70">
        <v>2436650</v>
      </c>
      <c r="D63" s="260">
        <v>1296480</v>
      </c>
      <c r="E63" s="74">
        <f t="shared" si="12"/>
        <v>78090</v>
      </c>
      <c r="F63" s="71">
        <v>42005345</v>
      </c>
      <c r="G63" s="72">
        <v>32485993</v>
      </c>
      <c r="H63" s="68">
        <f t="shared" si="8"/>
        <v>0</v>
      </c>
      <c r="I63" s="69">
        <f t="shared" si="9"/>
        <v>0</v>
      </c>
      <c r="J63" s="71">
        <v>23378103</v>
      </c>
      <c r="K63" s="72">
        <v>18357034</v>
      </c>
      <c r="L63" s="68">
        <f t="shared" si="10"/>
        <v>1402795</v>
      </c>
      <c r="M63" s="69">
        <f t="shared" si="11"/>
        <v>1148075</v>
      </c>
      <c r="N63" s="73">
        <f t="shared" si="6"/>
        <v>1402795</v>
      </c>
      <c r="O63" s="980">
        <f t="shared" si="7"/>
        <v>1148075</v>
      </c>
      <c r="P63" s="260"/>
      <c r="Q63" s="260"/>
      <c r="R63" s="516"/>
      <c r="S63" s="516">
        <v>0</v>
      </c>
      <c r="T63" s="323">
        <f ca="1">IF(ISNUMBER(Table2[[#This Row],[  A + B
kWh]]),Table2[[#This Row],[  A + B
kWh]]+Table2[[#This Row],[192 Consumption
KWh]]+Table2[[#This Row],[D401&amp; D404  Consumption - kWh]]," ")</f>
        <v>1226165</v>
      </c>
    </row>
    <row r="64" spans="1:24" ht="15" thickBot="1">
      <c r="A64" s="406"/>
      <c r="B64" s="411"/>
      <c r="C64" s="70">
        <v>2135960</v>
      </c>
      <c r="D64" s="260">
        <v>1359160</v>
      </c>
      <c r="E64" s="74">
        <f t="shared" si="12"/>
        <v>62680</v>
      </c>
      <c r="F64" s="71">
        <v>42120430</v>
      </c>
      <c r="G64" s="72">
        <v>32583537</v>
      </c>
      <c r="H64" s="68">
        <f t="shared" si="8"/>
        <v>115085</v>
      </c>
      <c r="I64" s="69">
        <f t="shared" si="9"/>
        <v>97544</v>
      </c>
      <c r="J64" s="71">
        <v>24017198</v>
      </c>
      <c r="K64" s="72">
        <v>18854288</v>
      </c>
      <c r="L64" s="68">
        <f t="shared" si="10"/>
        <v>639095</v>
      </c>
      <c r="M64" s="69">
        <f t="shared" si="11"/>
        <v>497254</v>
      </c>
      <c r="N64" s="73">
        <f t="shared" si="6"/>
        <v>754180</v>
      </c>
      <c r="O64" s="980">
        <f t="shared" si="7"/>
        <v>594798</v>
      </c>
      <c r="P64" s="260"/>
      <c r="Q64" s="260"/>
      <c r="R64" s="609"/>
      <c r="S64" s="516">
        <v>0</v>
      </c>
      <c r="T64" s="323">
        <f ca="1">IF(ISNUMBER(Table2[[#This Row],[  A + B
kWh]]),Table2[[#This Row],[  A + B
kWh]]+Table2[[#This Row],[192 Consumption
KWh]]+Table2[[#This Row],[D401&amp; D404  Consumption - kWh]]," ")</f>
        <v>657478</v>
      </c>
    </row>
    <row r="65" spans="1:24" ht="14.45">
      <c r="A65" s="406"/>
      <c r="B65" s="411"/>
      <c r="C65" s="70">
        <v>1854730</v>
      </c>
      <c r="D65" s="260">
        <v>1414710</v>
      </c>
      <c r="E65" s="74">
        <f t="shared" si="12"/>
        <v>55550</v>
      </c>
      <c r="F65" s="71">
        <v>42634959</v>
      </c>
      <c r="G65" s="72">
        <v>33019266</v>
      </c>
      <c r="H65" s="68">
        <f t="shared" si="8"/>
        <v>514529</v>
      </c>
      <c r="I65" s="69">
        <f t="shared" si="9"/>
        <v>435729</v>
      </c>
      <c r="J65" s="71">
        <v>24586119</v>
      </c>
      <c r="K65" s="72">
        <v>19293458</v>
      </c>
      <c r="L65" s="68">
        <f t="shared" si="10"/>
        <v>568921</v>
      </c>
      <c r="M65" s="69">
        <f t="shared" si="11"/>
        <v>439170</v>
      </c>
      <c r="N65" s="73">
        <f t="shared" si="6"/>
        <v>1083450</v>
      </c>
      <c r="O65" s="980">
        <f t="shared" si="7"/>
        <v>874899</v>
      </c>
      <c r="P65" s="260"/>
      <c r="Q65" s="260"/>
      <c r="R65" s="611"/>
      <c r="S65" s="516">
        <v>0</v>
      </c>
      <c r="T65" s="323">
        <f ca="1">IF(ISNUMBER(Table2[[#This Row],[  A + B
kWh]]),Table2[[#This Row],[  A + B
kWh]]+Table2[[#This Row],[192 Consumption
KWh]]+Table2[[#This Row],[D401&amp; D404  Consumption - kWh]]," ")</f>
        <v>930449</v>
      </c>
    </row>
    <row r="66" spans="1:24" ht="14.45">
      <c r="A66" s="406"/>
      <c r="B66" s="411"/>
      <c r="C66" s="70">
        <v>1339430</v>
      </c>
      <c r="D66" s="260">
        <v>1443650</v>
      </c>
      <c r="E66" s="74">
        <f t="shared" si="12"/>
        <v>28940</v>
      </c>
      <c r="F66" s="71">
        <v>43123225</v>
      </c>
      <c r="G66" s="72">
        <v>33433052</v>
      </c>
      <c r="H66" s="68">
        <f t="shared" si="8"/>
        <v>488266</v>
      </c>
      <c r="I66" s="69">
        <f t="shared" si="9"/>
        <v>413786</v>
      </c>
      <c r="J66" s="71">
        <v>25082646</v>
      </c>
      <c r="K66" s="72">
        <v>19696443</v>
      </c>
      <c r="L66" s="68">
        <f t="shared" si="10"/>
        <v>496527</v>
      </c>
      <c r="M66" s="69">
        <f t="shared" si="11"/>
        <v>402985</v>
      </c>
      <c r="N66" s="73">
        <f t="shared" si="6"/>
        <v>984793</v>
      </c>
      <c r="O66" s="980">
        <f t="shared" si="7"/>
        <v>816771</v>
      </c>
      <c r="P66" s="260"/>
      <c r="Q66" s="260"/>
      <c r="R66" s="332"/>
      <c r="S66" s="516">
        <v>0</v>
      </c>
      <c r="T66" s="323">
        <f ca="1">IF(ISNUMBER(Table2[[#This Row],[  A + B
kWh]]),Table2[[#This Row],[  A + B
kWh]]+Table2[[#This Row],[192 Consumption
KWh]]+Table2[[#This Row],[D401&amp; D404  Consumption - kWh]]," ")</f>
        <v>845711</v>
      </c>
    </row>
    <row r="67" spans="1:24" ht="15" thickBot="1">
      <c r="A67" s="408"/>
      <c r="B67" s="410"/>
      <c r="C67" s="285">
        <v>939950</v>
      </c>
      <c r="D67" s="260">
        <v>1464020</v>
      </c>
      <c r="E67" s="286">
        <f t="shared" si="12"/>
        <v>20370</v>
      </c>
      <c r="F67" s="287">
        <v>43593610</v>
      </c>
      <c r="G67" s="288">
        <v>33831573</v>
      </c>
      <c r="H67" s="289">
        <f t="shared" si="8"/>
        <v>470385</v>
      </c>
      <c r="I67" s="290">
        <f t="shared" si="9"/>
        <v>398521</v>
      </c>
      <c r="J67" s="287">
        <v>25488111</v>
      </c>
      <c r="K67" s="288">
        <v>20029536</v>
      </c>
      <c r="L67" s="289">
        <f t="shared" si="10"/>
        <v>405465</v>
      </c>
      <c r="M67" s="290">
        <f t="shared" si="11"/>
        <v>333093</v>
      </c>
      <c r="N67" s="291">
        <f t="shared" si="6"/>
        <v>875850</v>
      </c>
      <c r="O67" s="609">
        <f t="shared" si="7"/>
        <v>731614</v>
      </c>
      <c r="P67" s="260"/>
      <c r="Q67" s="260"/>
      <c r="R67" s="332"/>
      <c r="S67" s="516">
        <v>0</v>
      </c>
      <c r="T67" s="323">
        <f ca="1">IF(ISNUMBER(Table2[[#This Row],[  A + B
kWh]]),Table2[[#This Row],[  A + B
kWh]]+Table2[[#This Row],[192 Consumption
KWh]]+Table2[[#This Row],[D401&amp; D404  Consumption - kWh]]," ")</f>
        <v>751984</v>
      </c>
    </row>
    <row r="68" spans="1:24" ht="14.45">
      <c r="A68" s="406" t="s">
        <v>228</v>
      </c>
      <c r="B68" s="411"/>
      <c r="C68" s="70">
        <v>843030</v>
      </c>
      <c r="D68" s="274">
        <v>1474050</v>
      </c>
      <c r="E68" s="74">
        <f t="shared" si="12"/>
        <v>10030</v>
      </c>
      <c r="F68" s="71">
        <v>43970866</v>
      </c>
      <c r="G68" s="72">
        <v>34151135</v>
      </c>
      <c r="H68" s="68">
        <f t="shared" si="8"/>
        <v>377256</v>
      </c>
      <c r="I68" s="69">
        <f t="shared" si="9"/>
        <v>319562</v>
      </c>
      <c r="J68" s="71">
        <v>25872832</v>
      </c>
      <c r="K68" s="72">
        <v>20337019</v>
      </c>
      <c r="L68" s="68">
        <f t="shared" si="10"/>
        <v>384721</v>
      </c>
      <c r="M68" s="69">
        <f t="shared" si="11"/>
        <v>307483</v>
      </c>
      <c r="N68" s="73">
        <f t="shared" si="6"/>
        <v>761977</v>
      </c>
      <c r="O68" s="980">
        <f t="shared" si="7"/>
        <v>627045</v>
      </c>
      <c r="P68" s="260"/>
      <c r="Q68" s="260"/>
      <c r="R68" s="332"/>
      <c r="S68" s="516">
        <v>0</v>
      </c>
      <c r="T68" s="323">
        <f ca="1">IF(ISNUMBER(Table2[[#This Row],[  A + B
kWh]]),Table2[[#This Row],[  A + B
kWh]]+Table2[[#This Row],[192 Consumption
KWh]]+Table2[[#This Row],[D401&amp; D404  Consumption - kWh]]," ")</f>
        <v>637075</v>
      </c>
    </row>
    <row r="69" spans="1:24" ht="14.45">
      <c r="A69" s="406"/>
      <c r="B69" s="411"/>
      <c r="C69" s="70">
        <v>870650</v>
      </c>
      <c r="D69" s="260">
        <v>1495420</v>
      </c>
      <c r="E69" s="74">
        <f t="shared" si="12"/>
        <v>21370</v>
      </c>
      <c r="F69" s="71">
        <v>44366899</v>
      </c>
      <c r="G69" s="72">
        <v>34486799</v>
      </c>
      <c r="H69" s="68">
        <f t="shared" si="8"/>
        <v>396033</v>
      </c>
      <c r="I69" s="69">
        <f t="shared" si="9"/>
        <v>335664</v>
      </c>
      <c r="J69" s="71">
        <v>26333042</v>
      </c>
      <c r="K69" s="72">
        <v>20712346</v>
      </c>
      <c r="L69" s="68">
        <f t="shared" si="10"/>
        <v>460210</v>
      </c>
      <c r="M69" s="69">
        <f t="shared" si="11"/>
        <v>375327</v>
      </c>
      <c r="N69" s="73">
        <f t="shared" ref="N69:N87" si="13">H69+L69</f>
        <v>856243</v>
      </c>
      <c r="O69" s="980">
        <f t="shared" ref="O69:O87" si="14">I69+M69</f>
        <v>710991</v>
      </c>
      <c r="P69" s="260"/>
      <c r="Q69" s="260"/>
      <c r="R69" s="332"/>
      <c r="S69" s="516">
        <v>0</v>
      </c>
      <c r="T69" s="323">
        <f ca="1">IF(ISNUMBER(Table2[[#This Row],[  A + B
kWh]]),Table2[[#This Row],[  A + B
kWh]]+Table2[[#This Row],[192 Consumption
KWh]]+Table2[[#This Row],[D401&amp; D404  Consumption - kWh]]," ")</f>
        <v>732361</v>
      </c>
    </row>
    <row r="70" spans="1:24" ht="14.45">
      <c r="A70" s="406"/>
      <c r="B70" s="411"/>
      <c r="C70" s="70">
        <v>928510</v>
      </c>
      <c r="D70" s="260">
        <v>1519850</v>
      </c>
      <c r="E70" s="74">
        <f t="shared" si="12"/>
        <v>24430</v>
      </c>
      <c r="F70" s="71">
        <v>44706509</v>
      </c>
      <c r="G70" s="72">
        <v>34774645</v>
      </c>
      <c r="H70" s="68">
        <f t="shared" ref="H70:H86" si="15">F70-F69</f>
        <v>339610</v>
      </c>
      <c r="I70" s="69">
        <f t="shared" ref="I70:I86" si="16">G70-G69</f>
        <v>287846</v>
      </c>
      <c r="J70" s="71">
        <v>26756795</v>
      </c>
      <c r="K70" s="72">
        <v>21049572</v>
      </c>
      <c r="L70" s="68">
        <f t="shared" ref="L70:L86" si="17">J70-J69</f>
        <v>423753</v>
      </c>
      <c r="M70" s="69">
        <f t="shared" ref="M70:M86" si="18">K70-K69</f>
        <v>337226</v>
      </c>
      <c r="N70" s="73">
        <f t="shared" si="13"/>
        <v>763363</v>
      </c>
      <c r="O70" s="980">
        <f t="shared" si="14"/>
        <v>625072</v>
      </c>
      <c r="P70" s="260"/>
      <c r="Q70" s="260"/>
      <c r="R70" s="332"/>
      <c r="S70" s="516">
        <v>0</v>
      </c>
      <c r="T70" s="323">
        <f ca="1">IF(ISNUMBER(Table2[[#This Row],[  A + B
kWh]]),Table2[[#This Row],[  A + B
kWh]]+Table2[[#This Row],[192 Consumption
KWh]]+Table2[[#This Row],[D401&amp; D404  Consumption - kWh]]," ")</f>
        <v>649502</v>
      </c>
    </row>
    <row r="71" spans="1:24" ht="14.45">
      <c r="A71" s="406"/>
      <c r="B71" s="411"/>
      <c r="C71" s="70">
        <v>1570180</v>
      </c>
      <c r="D71" s="260">
        <v>1569040</v>
      </c>
      <c r="E71" s="74">
        <f t="shared" ref="E71:E87" si="19">(D71-D70)</f>
        <v>49190</v>
      </c>
      <c r="F71" s="71">
        <v>45246594</v>
      </c>
      <c r="G71" s="72">
        <v>35232706</v>
      </c>
      <c r="H71" s="68">
        <f t="shared" si="15"/>
        <v>540085</v>
      </c>
      <c r="I71" s="69">
        <f t="shared" si="16"/>
        <v>458061</v>
      </c>
      <c r="J71" s="71">
        <v>27392326</v>
      </c>
      <c r="K71" s="72">
        <v>21569894</v>
      </c>
      <c r="L71" s="68">
        <f t="shared" si="17"/>
        <v>635531</v>
      </c>
      <c r="M71" s="69">
        <f t="shared" si="18"/>
        <v>520322</v>
      </c>
      <c r="N71" s="73">
        <f t="shared" si="13"/>
        <v>1175616</v>
      </c>
      <c r="O71" s="980">
        <f t="shared" si="14"/>
        <v>978383</v>
      </c>
      <c r="P71" s="260"/>
      <c r="Q71" s="260"/>
      <c r="R71" s="332"/>
      <c r="S71" s="516">
        <v>0</v>
      </c>
      <c r="T71" s="323">
        <f ca="1">IF(ISNUMBER(Table2[[#This Row],[  A + B
kWh]]),Table2[[#This Row],[  A + B
kWh]]+Table2[[#This Row],[192 Consumption
KWh]]+Table2[[#This Row],[D401&amp; D404  Consumption - kWh]]," ")</f>
        <v>1027573</v>
      </c>
    </row>
    <row r="72" spans="1:24" ht="14.45">
      <c r="A72" s="406"/>
      <c r="B72" s="411"/>
      <c r="C72" s="70">
        <v>1903020</v>
      </c>
      <c r="D72" s="260">
        <v>1637410</v>
      </c>
      <c r="E72" s="74">
        <f t="shared" si="19"/>
        <v>68370</v>
      </c>
      <c r="F72" s="71">
        <v>45884727</v>
      </c>
      <c r="G72" s="72">
        <v>35773777</v>
      </c>
      <c r="H72" s="68">
        <f t="shared" si="15"/>
        <v>638133</v>
      </c>
      <c r="I72" s="69">
        <f t="shared" si="16"/>
        <v>541071</v>
      </c>
      <c r="J72" s="71">
        <v>28058377</v>
      </c>
      <c r="K72" s="72">
        <v>22132475</v>
      </c>
      <c r="L72" s="68">
        <f t="shared" si="17"/>
        <v>666051</v>
      </c>
      <c r="M72" s="69">
        <f t="shared" si="18"/>
        <v>562581</v>
      </c>
      <c r="N72" s="73">
        <f t="shared" si="13"/>
        <v>1304184</v>
      </c>
      <c r="O72" s="980">
        <f t="shared" si="14"/>
        <v>1103652</v>
      </c>
      <c r="P72" s="260"/>
      <c r="Q72" s="260"/>
      <c r="R72" s="332"/>
      <c r="S72" s="516">
        <v>0</v>
      </c>
      <c r="T72" s="323">
        <f ca="1">IF(ISNUMBER(Table2[[#This Row],[  A + B
kWh]]),Table2[[#This Row],[  A + B
kWh]]+Table2[[#This Row],[192 Consumption
KWh]]+Table2[[#This Row],[D401&amp; D404  Consumption - kWh]]," ")</f>
        <v>1172022</v>
      </c>
    </row>
    <row r="73" spans="1:24" ht="14.45">
      <c r="A73" s="406"/>
      <c r="B73" s="411"/>
      <c r="C73" s="70">
        <v>2117240</v>
      </c>
      <c r="D73" s="260">
        <v>1693440</v>
      </c>
      <c r="E73" s="74">
        <f t="shared" si="19"/>
        <v>56030</v>
      </c>
      <c r="F73" s="71">
        <v>46521837</v>
      </c>
      <c r="G73" s="72">
        <v>36313713</v>
      </c>
      <c r="H73" s="68">
        <f t="shared" si="15"/>
        <v>637110</v>
      </c>
      <c r="I73" s="69">
        <f t="shared" si="16"/>
        <v>539936</v>
      </c>
      <c r="J73" s="71">
        <v>28856068</v>
      </c>
      <c r="K73" s="72">
        <v>22764142</v>
      </c>
      <c r="L73" s="68">
        <f t="shared" si="17"/>
        <v>797691</v>
      </c>
      <c r="M73" s="69">
        <f t="shared" si="18"/>
        <v>631667</v>
      </c>
      <c r="N73" s="73">
        <f t="shared" si="13"/>
        <v>1434801</v>
      </c>
      <c r="O73" s="980">
        <f t="shared" si="14"/>
        <v>1171603</v>
      </c>
      <c r="P73" s="260"/>
      <c r="Q73" s="260"/>
      <c r="R73" s="516"/>
      <c r="S73" s="516">
        <v>0</v>
      </c>
      <c r="T73" s="323">
        <f ca="1">IF(ISNUMBER(Table2[[#This Row],[  A + B
kWh]]),Table2[[#This Row],[  A + B
kWh]]+Table2[[#This Row],[192 Consumption
KWh]]+Table2[[#This Row],[D401&amp; D404  Consumption - kWh]]," ")</f>
        <v>1227633</v>
      </c>
      <c r="X73" t="s">
        <v>373</v>
      </c>
    </row>
    <row r="74" spans="1:24" ht="14.45">
      <c r="A74" s="406" t="s">
        <v>356</v>
      </c>
      <c r="B74" s="411">
        <v>2019</v>
      </c>
      <c r="C74" s="70">
        <v>2240190</v>
      </c>
      <c r="D74" s="260">
        <v>1771660</v>
      </c>
      <c r="E74" s="74">
        <f t="shared" si="19"/>
        <v>78220</v>
      </c>
      <c r="F74" s="71">
        <v>47171243</v>
      </c>
      <c r="G74" s="72">
        <v>36864118</v>
      </c>
      <c r="H74" s="68">
        <f t="shared" si="15"/>
        <v>649406</v>
      </c>
      <c r="I74" s="69">
        <f t="shared" si="16"/>
        <v>550405</v>
      </c>
      <c r="J74" s="71">
        <v>29192180</v>
      </c>
      <c r="K74" s="72">
        <v>23023721</v>
      </c>
      <c r="L74" s="68">
        <f t="shared" si="17"/>
        <v>336112</v>
      </c>
      <c r="M74" s="69">
        <f t="shared" si="18"/>
        <v>259579</v>
      </c>
      <c r="N74" s="73">
        <f t="shared" si="13"/>
        <v>985518</v>
      </c>
      <c r="O74" s="980">
        <f t="shared" si="14"/>
        <v>809984</v>
      </c>
      <c r="P74" s="260"/>
      <c r="Q74" s="260"/>
      <c r="R74" s="516"/>
      <c r="S74" s="516">
        <v>0</v>
      </c>
      <c r="T74" s="323">
        <f ca="1">IF(ISNUMBER(Table2[[#This Row],[  A + B
kWh]]),Table2[[#This Row],[  A + B
kWh]]+Table2[[#This Row],[192 Consumption
KWh]]+Table2[[#This Row],[D401&amp; D404  Consumption - kWh]]," ")</f>
        <v>888204</v>
      </c>
    </row>
    <row r="75" spans="1:24" ht="14.45">
      <c r="A75" s="406"/>
      <c r="B75" s="411"/>
      <c r="C75" s="70">
        <v>2502010</v>
      </c>
      <c r="D75" s="260">
        <v>1851790</v>
      </c>
      <c r="E75" s="74">
        <f t="shared" si="19"/>
        <v>80130</v>
      </c>
      <c r="F75" s="71">
        <v>47898060</v>
      </c>
      <c r="G75" s="72">
        <v>37480179</v>
      </c>
      <c r="H75" s="68">
        <f t="shared" si="15"/>
        <v>726817</v>
      </c>
      <c r="I75" s="69">
        <f t="shared" si="16"/>
        <v>616061</v>
      </c>
      <c r="J75" s="71">
        <v>30166643</v>
      </c>
      <c r="K75" s="72">
        <v>23776255</v>
      </c>
      <c r="L75" s="68">
        <f t="shared" si="17"/>
        <v>974463</v>
      </c>
      <c r="M75" s="69">
        <f t="shared" si="18"/>
        <v>752534</v>
      </c>
      <c r="N75" s="73">
        <f t="shared" si="13"/>
        <v>1701280</v>
      </c>
      <c r="O75" s="980">
        <f t="shared" si="14"/>
        <v>1368595</v>
      </c>
      <c r="P75" s="260"/>
      <c r="Q75" s="260"/>
      <c r="R75" s="516"/>
      <c r="S75" s="516">
        <v>0</v>
      </c>
      <c r="T75" s="323">
        <f ca="1">IF(ISNUMBER(Table2[[#This Row],[  A + B
kWh]]),Table2[[#This Row],[  A + B
kWh]]+Table2[[#This Row],[192 Consumption
KWh]]+Table2[[#This Row],[D401&amp; D404  Consumption - kWh]]," ")</f>
        <v>1448725</v>
      </c>
    </row>
    <row r="76" spans="1:24" ht="14.45">
      <c r="A76" s="406"/>
      <c r="B76" s="411"/>
      <c r="C76" s="70">
        <v>2104040</v>
      </c>
      <c r="D76" s="260">
        <v>1923240</v>
      </c>
      <c r="E76" s="74">
        <f t="shared" si="19"/>
        <v>71450</v>
      </c>
      <c r="F76" s="71">
        <v>48435978</v>
      </c>
      <c r="G76" s="72">
        <v>37936094</v>
      </c>
      <c r="H76" s="68">
        <f t="shared" si="15"/>
        <v>537918</v>
      </c>
      <c r="I76" s="69">
        <f t="shared" si="16"/>
        <v>455915</v>
      </c>
      <c r="J76" s="71">
        <v>30579023</v>
      </c>
      <c r="K76" s="72">
        <v>24095670</v>
      </c>
      <c r="L76" s="68">
        <f t="shared" si="17"/>
        <v>412380</v>
      </c>
      <c r="M76" s="69">
        <f t="shared" si="18"/>
        <v>319415</v>
      </c>
      <c r="N76" s="73">
        <f t="shared" si="13"/>
        <v>950298</v>
      </c>
      <c r="O76" s="980">
        <f t="shared" si="14"/>
        <v>775330</v>
      </c>
      <c r="P76" s="274"/>
      <c r="Q76" s="274"/>
      <c r="R76" s="516"/>
      <c r="S76" s="985">
        <v>0</v>
      </c>
      <c r="T76" s="253">
        <f ca="1">IF(ISNUMBER(Table2[[#This Row],[  A + B
kWh]]),Table2[[#This Row],[  A + B
kWh]]+Table2[[#This Row],[192 Consumption
KWh]]+Table2[[#This Row],[D401&amp; D404  Consumption - kWh]]," ")</f>
        <v>846780</v>
      </c>
    </row>
    <row r="77" spans="1:24" ht="14.45">
      <c r="A77" s="406"/>
      <c r="B77" s="411"/>
      <c r="C77" s="70">
        <v>2059870</v>
      </c>
      <c r="D77" s="260">
        <v>1986170</v>
      </c>
      <c r="E77" s="74">
        <f t="shared" si="19"/>
        <v>62930</v>
      </c>
      <c r="F77" s="71">
        <v>49059201</v>
      </c>
      <c r="G77" s="72">
        <v>38464031</v>
      </c>
      <c r="H77" s="68">
        <f t="shared" si="15"/>
        <v>623223</v>
      </c>
      <c r="I77" s="69">
        <f t="shared" si="16"/>
        <v>527937</v>
      </c>
      <c r="J77" s="71">
        <v>31276405</v>
      </c>
      <c r="K77" s="72">
        <v>24686445</v>
      </c>
      <c r="L77" s="68">
        <f t="shared" si="17"/>
        <v>697382</v>
      </c>
      <c r="M77" s="69">
        <f t="shared" si="18"/>
        <v>590775</v>
      </c>
      <c r="N77" s="73">
        <f t="shared" si="13"/>
        <v>1320605</v>
      </c>
      <c r="O77" s="980">
        <f t="shared" si="14"/>
        <v>1118712</v>
      </c>
      <c r="P77" s="260"/>
      <c r="Q77" s="260"/>
      <c r="R77" s="516"/>
      <c r="S77" s="516">
        <v>0</v>
      </c>
      <c r="T77" s="323">
        <f ca="1">IF(ISNUMBER(Table2[[#This Row],[  A + B
kWh]]),Table2[[#This Row],[  A + B
kWh]]+Table2[[#This Row],[192 Consumption
KWh]]+Table2[[#This Row],[D401&amp; D404  Consumption - kWh]]," ")</f>
        <v>1181642</v>
      </c>
    </row>
    <row r="78" spans="1:24" ht="14.45">
      <c r="A78" s="406"/>
      <c r="B78" s="412"/>
      <c r="C78" s="253">
        <v>1153870</v>
      </c>
      <c r="D78" s="260">
        <v>2013860</v>
      </c>
      <c r="E78" s="266">
        <f t="shared" si="19"/>
        <v>27690</v>
      </c>
      <c r="F78" s="255">
        <v>49446454</v>
      </c>
      <c r="G78" s="256">
        <v>38792129</v>
      </c>
      <c r="H78" s="275">
        <f t="shared" si="15"/>
        <v>387253</v>
      </c>
      <c r="I78" s="261">
        <f t="shared" si="16"/>
        <v>328098</v>
      </c>
      <c r="J78" s="255">
        <v>31613309</v>
      </c>
      <c r="K78" s="256">
        <v>24971914</v>
      </c>
      <c r="L78" s="275">
        <f t="shared" si="17"/>
        <v>336904</v>
      </c>
      <c r="M78" s="261">
        <f t="shared" si="18"/>
        <v>285469</v>
      </c>
      <c r="N78" s="276">
        <f t="shared" si="13"/>
        <v>724157</v>
      </c>
      <c r="O78" s="516">
        <f t="shared" si="14"/>
        <v>613567</v>
      </c>
      <c r="P78" s="260"/>
      <c r="Q78" s="260"/>
      <c r="R78" s="516"/>
      <c r="S78" s="516">
        <v>0</v>
      </c>
      <c r="T78" s="323">
        <f ca="1">IF(ISNUMBER(Table2[[#This Row],[  A + B
kWh]]),Table2[[#This Row],[  A + B
kWh]]+Table2[[#This Row],[192 Consumption
KWh]]+Table2[[#This Row],[D401&amp; D404  Consumption - kWh]]," ")</f>
        <v>641257</v>
      </c>
    </row>
    <row r="79" spans="1:24" ht="15" thickBot="1">
      <c r="A79" s="408"/>
      <c r="B79" s="413"/>
      <c r="C79" s="277">
        <v>1088650</v>
      </c>
      <c r="D79" s="260">
        <v>2037590</v>
      </c>
      <c r="E79" s="278">
        <f t="shared" si="19"/>
        <v>23730</v>
      </c>
      <c r="F79" s="279">
        <v>49987218</v>
      </c>
      <c r="G79" s="280">
        <v>39235231</v>
      </c>
      <c r="H79" s="281">
        <f t="shared" si="15"/>
        <v>540764</v>
      </c>
      <c r="I79" s="282">
        <f t="shared" si="16"/>
        <v>443102</v>
      </c>
      <c r="J79" s="279">
        <v>32122850</v>
      </c>
      <c r="K79" s="280">
        <v>25403612</v>
      </c>
      <c r="L79" s="281">
        <f t="shared" si="17"/>
        <v>509541</v>
      </c>
      <c r="M79" s="282">
        <f t="shared" si="18"/>
        <v>431698</v>
      </c>
      <c r="N79" s="283">
        <f t="shared" si="13"/>
        <v>1050305</v>
      </c>
      <c r="O79" s="982">
        <f t="shared" si="14"/>
        <v>874800</v>
      </c>
      <c r="P79" s="260"/>
      <c r="Q79" s="260"/>
      <c r="R79" s="516"/>
      <c r="S79" s="516">
        <v>0</v>
      </c>
      <c r="T79" s="323">
        <f ca="1">IF(ISNUMBER(Table2[[#This Row],[  A + B
kWh]]),Table2[[#This Row],[  A + B
kWh]]+Table2[[#This Row],[192 Consumption
KWh]]+Table2[[#This Row],[D401&amp; D404  Consumption - kWh]]," ")</f>
        <v>898530</v>
      </c>
    </row>
    <row r="80" spans="1:24" ht="14.45">
      <c r="A80" s="406" t="s">
        <v>228</v>
      </c>
      <c r="B80" s="414"/>
      <c r="C80" s="216">
        <v>969870</v>
      </c>
      <c r="D80" s="260">
        <v>2037590</v>
      </c>
      <c r="E80" s="74">
        <f t="shared" si="19"/>
        <v>0</v>
      </c>
      <c r="F80" s="217">
        <v>50323804</v>
      </c>
      <c r="G80" s="215">
        <v>39512953</v>
      </c>
      <c r="H80" s="330">
        <f t="shared" si="15"/>
        <v>336586</v>
      </c>
      <c r="I80" s="328">
        <f t="shared" si="16"/>
        <v>277722</v>
      </c>
      <c r="J80" s="257">
        <v>32461101</v>
      </c>
      <c r="K80" s="218">
        <v>25690102</v>
      </c>
      <c r="L80" s="68">
        <f t="shared" si="17"/>
        <v>338251</v>
      </c>
      <c r="M80" s="67">
        <f t="shared" si="18"/>
        <v>286490</v>
      </c>
      <c r="N80" s="331">
        <f t="shared" si="13"/>
        <v>674837</v>
      </c>
      <c r="O80" s="515">
        <f t="shared" si="14"/>
        <v>564212</v>
      </c>
      <c r="P80" s="260"/>
      <c r="Q80" s="260"/>
      <c r="R80" s="516"/>
      <c r="S80" s="516">
        <v>0</v>
      </c>
      <c r="T80" s="323">
        <f ca="1">IF(ISNUMBER(Table2[[#This Row],[  A + B
kWh]]),Table2[[#This Row],[  A + B
kWh]]+Table2[[#This Row],[192 Consumption
KWh]]+Table2[[#This Row],[D401&amp; D404  Consumption - kWh]]," ")</f>
        <v>564212</v>
      </c>
    </row>
    <row r="81" spans="1:24" ht="15" thickBot="1">
      <c r="A81" s="406"/>
      <c r="B81" s="414"/>
      <c r="C81" s="216">
        <v>917130</v>
      </c>
      <c r="D81" s="260">
        <v>2072950</v>
      </c>
      <c r="E81" s="74">
        <f t="shared" si="19"/>
        <v>35360</v>
      </c>
      <c r="F81" s="217">
        <v>50654475</v>
      </c>
      <c r="G81" s="215">
        <v>39793101</v>
      </c>
      <c r="H81" s="71">
        <f t="shared" si="15"/>
        <v>330671</v>
      </c>
      <c r="I81" s="69">
        <f t="shared" si="16"/>
        <v>280148</v>
      </c>
      <c r="J81" s="257">
        <v>32871426</v>
      </c>
      <c r="K81" s="218">
        <v>26037624</v>
      </c>
      <c r="L81" s="68">
        <f t="shared" si="17"/>
        <v>410325</v>
      </c>
      <c r="M81" s="67">
        <f t="shared" si="18"/>
        <v>347522</v>
      </c>
      <c r="N81" s="73">
        <f t="shared" si="13"/>
        <v>740996</v>
      </c>
      <c r="O81" s="980">
        <f t="shared" si="14"/>
        <v>627670</v>
      </c>
      <c r="P81" s="260"/>
      <c r="Q81" s="260"/>
      <c r="R81" s="609"/>
      <c r="S81" s="516">
        <v>0</v>
      </c>
      <c r="T81" s="323">
        <f ca="1">IF(ISNUMBER(Table2[[#This Row],[  A + B
kWh]]),Table2[[#This Row],[  A + B
kWh]]+Table2[[#This Row],[192 Consumption
KWh]]+Table2[[#This Row],[D401&amp; D404  Consumption - kWh]]," ")</f>
        <v>663030</v>
      </c>
    </row>
    <row r="82" spans="1:24" ht="14.45">
      <c r="A82" s="406"/>
      <c r="B82" s="414"/>
      <c r="C82" s="216">
        <v>1310570</v>
      </c>
      <c r="D82" s="260">
        <v>2106380</v>
      </c>
      <c r="E82" s="74">
        <f t="shared" si="19"/>
        <v>33430</v>
      </c>
      <c r="F82" s="217">
        <v>51062625</v>
      </c>
      <c r="G82" s="215">
        <v>40138314</v>
      </c>
      <c r="H82" s="71">
        <f t="shared" si="15"/>
        <v>408150</v>
      </c>
      <c r="I82" s="261">
        <f t="shared" si="16"/>
        <v>345213</v>
      </c>
      <c r="J82" s="257">
        <v>33364657</v>
      </c>
      <c r="K82" s="218">
        <v>26448698</v>
      </c>
      <c r="L82" s="68">
        <f t="shared" si="17"/>
        <v>493231</v>
      </c>
      <c r="M82" s="67">
        <f t="shared" si="18"/>
        <v>411074</v>
      </c>
      <c r="N82" s="73">
        <f t="shared" si="13"/>
        <v>901381</v>
      </c>
      <c r="O82" s="980">
        <f t="shared" si="14"/>
        <v>756287</v>
      </c>
      <c r="P82" s="260"/>
      <c r="Q82" s="260"/>
      <c r="R82" s="611"/>
      <c r="S82" s="516">
        <v>0</v>
      </c>
      <c r="T82" s="323">
        <f ca="1">IF(ISNUMBER(Table2[[#This Row],[  A + B
kWh]]),Table2[[#This Row],[  A + B
kWh]]+Table2[[#This Row],[192 Consumption
KWh]]+Table2[[#This Row],[D401&amp; D404  Consumption - kWh]]," ")</f>
        <v>789717</v>
      </c>
    </row>
    <row r="83" spans="1:24" ht="14.45">
      <c r="A83" s="406"/>
      <c r="B83" s="414"/>
      <c r="C83" s="267">
        <v>1112170</v>
      </c>
      <c r="D83" s="260">
        <v>2143360</v>
      </c>
      <c r="E83" s="254">
        <f t="shared" si="19"/>
        <v>36980</v>
      </c>
      <c r="F83" s="255">
        <v>51543358</v>
      </c>
      <c r="G83" s="274">
        <v>40546233</v>
      </c>
      <c r="H83" s="217">
        <f t="shared" si="15"/>
        <v>480733</v>
      </c>
      <c r="I83" s="258">
        <f t="shared" si="16"/>
        <v>407919</v>
      </c>
      <c r="J83" s="252">
        <v>33932635</v>
      </c>
      <c r="K83" s="256">
        <v>26928285</v>
      </c>
      <c r="L83" s="257">
        <f t="shared" si="17"/>
        <v>567978</v>
      </c>
      <c r="M83" s="215">
        <f t="shared" si="18"/>
        <v>479587</v>
      </c>
      <c r="N83" s="259">
        <f t="shared" si="13"/>
        <v>1048711</v>
      </c>
      <c r="O83" s="983">
        <f t="shared" si="14"/>
        <v>887506</v>
      </c>
      <c r="P83" s="260"/>
      <c r="Q83" s="260"/>
      <c r="R83" s="332"/>
      <c r="S83" s="516">
        <v>0</v>
      </c>
      <c r="T83" s="323">
        <f ca="1">IF(ISNUMBER(Table2[[#This Row],[  A + B
kWh]]),Table2[[#This Row],[  A + B
kWh]]+Table2[[#This Row],[192 Consumption
KWh]]+Table2[[#This Row],[D401&amp; D404  Consumption - kWh]]," ")</f>
        <v>924486</v>
      </c>
      <c r="X83" t="s">
        <v>374</v>
      </c>
    </row>
    <row r="84" spans="1:24" ht="14.45">
      <c r="A84" s="406"/>
      <c r="B84" s="414"/>
      <c r="C84" s="269">
        <v>1570250</v>
      </c>
      <c r="D84" s="274">
        <v>2193880</v>
      </c>
      <c r="E84" s="266">
        <f t="shared" si="19"/>
        <v>50520</v>
      </c>
      <c r="F84" s="264">
        <v>52089011</v>
      </c>
      <c r="G84" s="260">
        <v>41008611</v>
      </c>
      <c r="H84" s="264">
        <f t="shared" si="15"/>
        <v>545653</v>
      </c>
      <c r="I84" s="261">
        <f t="shared" si="16"/>
        <v>462378</v>
      </c>
      <c r="J84" s="260">
        <v>34529994</v>
      </c>
      <c r="K84" s="265">
        <v>27434213</v>
      </c>
      <c r="L84" s="260">
        <f t="shared" si="17"/>
        <v>597359</v>
      </c>
      <c r="M84" s="260">
        <f t="shared" si="18"/>
        <v>505928</v>
      </c>
      <c r="N84" s="332">
        <f t="shared" si="13"/>
        <v>1143012</v>
      </c>
      <c r="O84" s="516">
        <f t="shared" si="14"/>
        <v>968306</v>
      </c>
      <c r="P84" s="260"/>
      <c r="Q84" s="260"/>
      <c r="R84" s="332"/>
      <c r="S84" s="516">
        <v>0</v>
      </c>
      <c r="T84" s="323">
        <f ca="1">IF(ISNUMBER(Table2[[#This Row],[  A + B
kWh]]),Table2[[#This Row],[  A + B
kWh]]+Table2[[#This Row],[192 Consumption
KWh]]+Table2[[#This Row],[D401&amp; D404  Consumption - kWh]]," ")</f>
        <v>1018826</v>
      </c>
    </row>
    <row r="85" spans="1:24" ht="14.45">
      <c r="A85" s="406"/>
      <c r="B85" s="414"/>
      <c r="C85" s="270">
        <v>1991767</v>
      </c>
      <c r="D85" s="260">
        <v>2252600</v>
      </c>
      <c r="E85" s="268">
        <f t="shared" si="19"/>
        <v>58720</v>
      </c>
      <c r="F85" s="215">
        <v>52684069</v>
      </c>
      <c r="G85" s="215">
        <v>41512937</v>
      </c>
      <c r="H85" s="264">
        <f t="shared" si="15"/>
        <v>595058</v>
      </c>
      <c r="I85" s="261">
        <f t="shared" si="16"/>
        <v>504326</v>
      </c>
      <c r="J85" s="215">
        <v>35152193</v>
      </c>
      <c r="K85" s="218">
        <v>27961247</v>
      </c>
      <c r="L85" s="260">
        <f t="shared" si="17"/>
        <v>622199</v>
      </c>
      <c r="M85" s="260">
        <f t="shared" si="18"/>
        <v>527034</v>
      </c>
      <c r="N85" s="332">
        <f t="shared" si="13"/>
        <v>1217257</v>
      </c>
      <c r="O85" s="516">
        <f t="shared" si="14"/>
        <v>1031360</v>
      </c>
      <c r="P85" s="260"/>
      <c r="Q85" s="260"/>
      <c r="R85" s="332"/>
      <c r="S85" s="516">
        <v>0</v>
      </c>
      <c r="T85" s="323">
        <f ca="1">IF(ISNUMBER(Table2[[#This Row],[  A + B
kWh]]),Table2[[#This Row],[  A + B
kWh]]+Table2[[#This Row],[192 Consumption
KWh]]+Table2[[#This Row],[D401&amp; D404  Consumption - kWh]]," ")</f>
        <v>1090080</v>
      </c>
    </row>
    <row r="86" spans="1:24" ht="14.45">
      <c r="A86" s="406" t="s">
        <v>356</v>
      </c>
      <c r="B86" s="414">
        <v>2020</v>
      </c>
      <c r="C86" s="271">
        <v>2034420</v>
      </c>
      <c r="D86" s="260">
        <v>2326040</v>
      </c>
      <c r="E86" s="268">
        <f t="shared" si="19"/>
        <v>73440</v>
      </c>
      <c r="F86" s="215">
        <v>53417841</v>
      </c>
      <c r="G86" s="215">
        <v>42134847</v>
      </c>
      <c r="H86" s="264">
        <f t="shared" si="15"/>
        <v>733772</v>
      </c>
      <c r="I86" s="261">
        <f t="shared" si="16"/>
        <v>621910</v>
      </c>
      <c r="J86" s="215">
        <v>35941889</v>
      </c>
      <c r="K86" s="218">
        <v>28623666</v>
      </c>
      <c r="L86" s="260">
        <f t="shared" si="17"/>
        <v>789696</v>
      </c>
      <c r="M86" s="260">
        <f t="shared" si="18"/>
        <v>662419</v>
      </c>
      <c r="N86" s="332">
        <f t="shared" si="13"/>
        <v>1523468</v>
      </c>
      <c r="O86" s="516">
        <f t="shared" si="14"/>
        <v>1284329</v>
      </c>
      <c r="P86" s="260"/>
      <c r="Q86" s="260"/>
      <c r="R86" s="332"/>
      <c r="S86" s="516">
        <v>0</v>
      </c>
      <c r="T86" s="323">
        <f ca="1">IF(ISNUMBER(Table2[[#This Row],[  A + B
kWh]]),Table2[[#This Row],[  A + B
kWh]]+Table2[[#This Row],[192 Consumption
KWh]]+Table2[[#This Row],[D401&amp; D404  Consumption - kWh]]," ")</f>
        <v>1357769</v>
      </c>
    </row>
    <row r="87" spans="1:24" ht="14.45">
      <c r="A87" s="406"/>
      <c r="B87" s="414"/>
      <c r="C87" s="270">
        <v>1554580</v>
      </c>
      <c r="D87" s="260">
        <v>2393540</v>
      </c>
      <c r="E87" s="268">
        <f t="shared" si="19"/>
        <v>67500</v>
      </c>
      <c r="F87" s="243">
        <v>54025015</v>
      </c>
      <c r="G87" s="325">
        <f>G86+I87</f>
        <v>42595145.609399997</v>
      </c>
      <c r="H87" s="264">
        <f>F87-F86</f>
        <v>607174</v>
      </c>
      <c r="I87" s="261">
        <f>H87*0.7581</f>
        <v>460298.60940000002</v>
      </c>
      <c r="J87" s="243">
        <v>36631188</v>
      </c>
      <c r="K87" s="273">
        <f>K86+M87</f>
        <v>29146223.571899999</v>
      </c>
      <c r="L87" s="260">
        <f>J87-J86</f>
        <v>689299</v>
      </c>
      <c r="M87" s="260">
        <f>L87*0.7581</f>
        <v>522557.57189999998</v>
      </c>
      <c r="N87" s="332">
        <f t="shared" si="13"/>
        <v>1296473</v>
      </c>
      <c r="O87" s="516">
        <f t="shared" si="14"/>
        <v>982856.18130000005</v>
      </c>
      <c r="P87" s="260"/>
      <c r="Q87" s="260"/>
      <c r="R87" s="332"/>
      <c r="S87" s="516">
        <v>0</v>
      </c>
      <c r="T87" s="323">
        <f ca="1">IF(ISNUMBER(Table2[[#This Row],[  A + B
kWh]]),Table2[[#This Row],[  A + B
kWh]]+Table2[[#This Row],[192 Consumption
KWh]]+Table2[[#This Row],[D401&amp; D404  Consumption - kWh]]," ")</f>
        <v>1050356.1813000001</v>
      </c>
      <c r="X87" t="s">
        <v>375</v>
      </c>
    </row>
    <row r="88" spans="1:24" ht="14.45">
      <c r="A88" s="406"/>
      <c r="B88" s="414"/>
      <c r="C88" s="272">
        <v>1452960</v>
      </c>
      <c r="D88" s="260">
        <v>2454970</v>
      </c>
      <c r="E88" s="268">
        <f t="shared" ref="E88:E118" si="20">IF(ISNUMBER(D88),D88-D87," ")</f>
        <v>61430</v>
      </c>
      <c r="F88" s="215">
        <v>54613021</v>
      </c>
      <c r="G88">
        <v>43147810</v>
      </c>
      <c r="H88" s="264">
        <f t="shared" ref="H88:H115" si="21">IF(ISNUMBER(F88),F88-F87," ")</f>
        <v>588006</v>
      </c>
      <c r="I88" s="261">
        <f t="shared" ref="I88:I115" si="22">IF(ISNUMBER(G88),G88-G87," ")</f>
        <v>552664.3906000033</v>
      </c>
      <c r="J88" s="215">
        <v>37360642</v>
      </c>
      <c r="K88" s="263">
        <v>29819338</v>
      </c>
      <c r="L88" s="260">
        <f t="shared" ref="L88:L118" si="23">IF(ISNUMBER(J88),J88-J87," ")</f>
        <v>729454</v>
      </c>
      <c r="M88" s="260">
        <f t="shared" ref="M88:M118" si="24">IF(ISNUMBER(K88),K88-K87," ")</f>
        <v>673114.42810000107</v>
      </c>
      <c r="N88" s="332">
        <f t="shared" ref="N88:N115" si="25">IF(ISNUMBER(H88),H88+L88," ")</f>
        <v>1317460</v>
      </c>
      <c r="O88" s="516">
        <f t="shared" ref="O88:O115" si="26">IF(ISNUMBER(I88),I88+M88," ")</f>
        <v>1225778.8187000044</v>
      </c>
      <c r="P88" s="260"/>
      <c r="Q88" s="260"/>
      <c r="R88" s="332"/>
      <c r="S88" s="516">
        <v>0</v>
      </c>
      <c r="T88" s="323">
        <f ca="1">IF(ISNUMBER(Table2[[#This Row],[  A + B
kWh]]),Table2[[#This Row],[  A + B
kWh]]+Table2[[#This Row],[192 Consumption
KWh]]+Table2[[#This Row],[D401&amp; D404  Consumption - kWh]]," ")</f>
        <v>1287208.8187000044</v>
      </c>
    </row>
    <row r="89" spans="1:24" ht="14.45">
      <c r="A89" s="406"/>
      <c r="B89" s="414"/>
      <c r="C89" s="272">
        <v>1348890</v>
      </c>
      <c r="D89" s="260">
        <v>2507870</v>
      </c>
      <c r="E89" s="268">
        <f t="shared" si="20"/>
        <v>52900</v>
      </c>
      <c r="F89" s="215">
        <v>55137854</v>
      </c>
      <c r="G89">
        <v>43592521</v>
      </c>
      <c r="H89" s="264">
        <f t="shared" si="21"/>
        <v>524833</v>
      </c>
      <c r="I89" s="261">
        <f t="shared" si="22"/>
        <v>444711</v>
      </c>
      <c r="J89" s="215">
        <v>37956969</v>
      </c>
      <c r="K89" s="263">
        <v>30321959</v>
      </c>
      <c r="L89" s="260">
        <f t="shared" si="23"/>
        <v>596327</v>
      </c>
      <c r="M89" s="260">
        <f t="shared" si="24"/>
        <v>502621</v>
      </c>
      <c r="N89" s="332">
        <f t="shared" si="25"/>
        <v>1121160</v>
      </c>
      <c r="O89" s="516">
        <f t="shared" si="26"/>
        <v>947332</v>
      </c>
      <c r="P89" s="260"/>
      <c r="Q89" s="260"/>
      <c r="R89" s="332"/>
      <c r="S89" s="516">
        <v>0</v>
      </c>
      <c r="T89" s="323">
        <f ca="1">IF(ISNUMBER(Table2[[#This Row],[  A + B
kWh]]),Table2[[#This Row],[  A + B
kWh]]+Table2[[#This Row],[192 Consumption
KWh]]+Table2[[#This Row],[D401&amp; D404  Consumption - kWh]]," ")</f>
        <v>1000232</v>
      </c>
    </row>
    <row r="90" spans="1:24" ht="14.45">
      <c r="A90" s="406"/>
      <c r="B90" s="263"/>
      <c r="C90" s="272">
        <v>1286760</v>
      </c>
      <c r="D90" s="260">
        <v>2534750</v>
      </c>
      <c r="E90" s="268">
        <f t="shared" si="20"/>
        <v>26880</v>
      </c>
      <c r="F90" s="215">
        <v>55614778</v>
      </c>
      <c r="G90">
        <v>43996787</v>
      </c>
      <c r="H90" s="264">
        <f t="shared" si="21"/>
        <v>476924</v>
      </c>
      <c r="I90" s="261">
        <f t="shared" si="22"/>
        <v>404266</v>
      </c>
      <c r="J90" s="215">
        <v>38381999</v>
      </c>
      <c r="K90" s="263">
        <v>30676168</v>
      </c>
      <c r="L90" s="260">
        <f t="shared" si="23"/>
        <v>425030</v>
      </c>
      <c r="M90" s="260">
        <f t="shared" si="24"/>
        <v>354209</v>
      </c>
      <c r="N90" s="332">
        <f t="shared" si="25"/>
        <v>901954</v>
      </c>
      <c r="O90" s="516">
        <f t="shared" si="26"/>
        <v>758475</v>
      </c>
      <c r="P90" s="260"/>
      <c r="Q90" s="260"/>
      <c r="R90" s="516"/>
      <c r="S90" s="516">
        <v>0</v>
      </c>
      <c r="T90" s="323">
        <f ca="1">IF(ISNUMBER(Table2[[#This Row],[  A + B
kWh]]),Table2[[#This Row],[  A + B
kWh]]+Table2[[#This Row],[192 Consumption
KWh]]+Table2[[#This Row],[D401&amp; D404  Consumption - kWh]]," ")</f>
        <v>785355</v>
      </c>
    </row>
    <row r="91" spans="1:24" ht="15" thickBot="1">
      <c r="A91" s="408"/>
      <c r="B91" s="293"/>
      <c r="C91" s="294">
        <v>1115860</v>
      </c>
      <c r="D91" s="260">
        <v>2552480</v>
      </c>
      <c r="E91" s="304">
        <f t="shared" si="20"/>
        <v>17730</v>
      </c>
      <c r="F91" s="295">
        <v>56042306</v>
      </c>
      <c r="G91" s="295">
        <v>44359071</v>
      </c>
      <c r="H91" s="329">
        <f t="shared" si="21"/>
        <v>427528</v>
      </c>
      <c r="I91" s="290">
        <f t="shared" si="22"/>
        <v>362284</v>
      </c>
      <c r="J91" s="295">
        <v>38878962</v>
      </c>
      <c r="K91" s="293">
        <v>31088839</v>
      </c>
      <c r="L91" s="284">
        <f t="shared" si="23"/>
        <v>496963</v>
      </c>
      <c r="M91" s="284">
        <f t="shared" si="24"/>
        <v>412671</v>
      </c>
      <c r="N91" s="610">
        <f t="shared" si="25"/>
        <v>924491</v>
      </c>
      <c r="O91" s="985">
        <f t="shared" si="26"/>
        <v>774955</v>
      </c>
      <c r="P91" s="274"/>
      <c r="Q91" s="274"/>
      <c r="R91" s="985"/>
      <c r="S91" s="985">
        <v>0</v>
      </c>
      <c r="T91" s="253">
        <f ca="1">IF(ISNUMBER(Table2[[#This Row],[  A + B
kWh]]),Table2[[#This Row],[  A + B
kWh]]+Table2[[#This Row],[192 Consumption
KWh]]+Table2[[#This Row],[D401&amp; D404  Consumption - kWh]]," ")</f>
        <v>792685</v>
      </c>
    </row>
    <row r="92" spans="1:24" ht="14.45">
      <c r="A92" s="406" t="s">
        <v>228</v>
      </c>
      <c r="B92" s="414"/>
      <c r="C92" s="322">
        <v>959670</v>
      </c>
      <c r="D92" s="260">
        <v>2566660</v>
      </c>
      <c r="E92" s="326">
        <f t="shared" si="20"/>
        <v>14180</v>
      </c>
      <c r="F92" s="257">
        <v>56414424</v>
      </c>
      <c r="G92" s="215">
        <v>44674392</v>
      </c>
      <c r="H92" s="327">
        <f t="shared" si="21"/>
        <v>372118</v>
      </c>
      <c r="I92" s="328">
        <f t="shared" si="22"/>
        <v>315321</v>
      </c>
      <c r="J92" s="257">
        <v>39408862</v>
      </c>
      <c r="K92" s="218">
        <v>31536691</v>
      </c>
      <c r="L92" s="260">
        <f t="shared" si="23"/>
        <v>529900</v>
      </c>
      <c r="M92" s="260">
        <f t="shared" si="24"/>
        <v>447852</v>
      </c>
      <c r="N92" s="334">
        <f t="shared" si="25"/>
        <v>902018</v>
      </c>
      <c r="O92" s="515">
        <f t="shared" si="26"/>
        <v>763173</v>
      </c>
      <c r="P92" s="607"/>
      <c r="Q92" s="607"/>
      <c r="R92" s="515"/>
      <c r="S92" s="515">
        <v>0</v>
      </c>
      <c r="T92" s="326">
        <f ca="1">IF(ISNUMBER(Table2[[#This Row],[  A + B
kWh]]),Table2[[#This Row],[  A + B
kWh]]+Table2[[#This Row],[192 Consumption
KWh]]+Table2[[#This Row],[D401&amp; D404  Consumption - kWh]]," ")</f>
        <v>777353</v>
      </c>
    </row>
    <row r="93" spans="1:24" ht="14.45">
      <c r="A93" s="406"/>
      <c r="B93" s="414"/>
      <c r="C93" s="216">
        <v>829380</v>
      </c>
      <c r="D93" s="260">
        <v>2582240</v>
      </c>
      <c r="E93" s="323">
        <f t="shared" si="20"/>
        <v>15580</v>
      </c>
      <c r="F93" s="257">
        <v>56723559</v>
      </c>
      <c r="G93" s="215">
        <v>44936352</v>
      </c>
      <c r="H93" s="264">
        <f t="shared" si="21"/>
        <v>309135</v>
      </c>
      <c r="I93" s="261">
        <f t="shared" si="22"/>
        <v>261960</v>
      </c>
      <c r="J93" s="257">
        <v>39683040</v>
      </c>
      <c r="K93" s="218">
        <v>31765993</v>
      </c>
      <c r="L93" s="260">
        <f t="shared" si="23"/>
        <v>274178</v>
      </c>
      <c r="M93" s="260">
        <f t="shared" si="24"/>
        <v>229302</v>
      </c>
      <c r="N93" s="332">
        <f t="shared" si="25"/>
        <v>583313</v>
      </c>
      <c r="O93" s="516">
        <f t="shared" si="26"/>
        <v>491262</v>
      </c>
      <c r="P93" s="260"/>
      <c r="Q93" s="260"/>
      <c r="R93" s="516"/>
      <c r="S93" s="516">
        <v>0</v>
      </c>
      <c r="T93" s="323">
        <f ca="1">IF(ISNUMBER(Table2[[#This Row],[  A + B
kWh]]),Table2[[#This Row],[  A + B
kWh]]+Table2[[#This Row],[192 Consumption
KWh]]+Table2[[#This Row],[D401&amp; D404  Consumption - kWh]]," ")</f>
        <v>506842</v>
      </c>
    </row>
    <row r="94" spans="1:24" ht="14.45">
      <c r="A94" s="406"/>
      <c r="B94" s="414"/>
      <c r="C94" s="216">
        <v>1082860</v>
      </c>
      <c r="D94" s="260">
        <v>2609730</v>
      </c>
      <c r="E94" s="323">
        <f t="shared" si="20"/>
        <v>27490</v>
      </c>
      <c r="F94" s="257">
        <v>57057337</v>
      </c>
      <c r="G94" s="215">
        <v>45219178</v>
      </c>
      <c r="H94" s="264">
        <f t="shared" si="21"/>
        <v>333778</v>
      </c>
      <c r="I94" s="261">
        <f t="shared" si="22"/>
        <v>282826</v>
      </c>
      <c r="J94" s="257">
        <v>40097574</v>
      </c>
      <c r="K94" s="218">
        <v>32114905</v>
      </c>
      <c r="L94" s="260">
        <f t="shared" si="23"/>
        <v>414534</v>
      </c>
      <c r="M94" s="260">
        <f t="shared" si="24"/>
        <v>348912</v>
      </c>
      <c r="N94" s="332">
        <f t="shared" si="25"/>
        <v>748312</v>
      </c>
      <c r="O94" s="516">
        <f t="shared" si="26"/>
        <v>631738</v>
      </c>
      <c r="P94" s="260"/>
      <c r="Q94" s="260"/>
      <c r="R94" s="516"/>
      <c r="S94" s="985">
        <v>0</v>
      </c>
      <c r="T94" s="253">
        <f ca="1">IF(ISNUMBER(Table2[[#This Row],[  A + B
kWh]]),Table2[[#This Row],[  A + B
kWh]]+Table2[[#This Row],[192 Consumption
KWh]]+Table2[[#This Row],[D401&amp; D404  Consumption - kWh]]," ")</f>
        <v>659228</v>
      </c>
    </row>
    <row r="95" spans="1:24" ht="14.45">
      <c r="A95" s="406"/>
      <c r="B95" s="414"/>
      <c r="C95" s="253">
        <v>932860</v>
      </c>
      <c r="D95" s="260">
        <v>2654230</v>
      </c>
      <c r="E95" s="323">
        <f t="shared" si="20"/>
        <v>44500</v>
      </c>
      <c r="F95" s="394">
        <v>57444759</v>
      </c>
      <c r="G95" s="394">
        <v>45547473</v>
      </c>
      <c r="H95" s="395">
        <f t="shared" si="21"/>
        <v>387422</v>
      </c>
      <c r="I95" s="396">
        <f t="shared" si="22"/>
        <v>328295</v>
      </c>
      <c r="J95" s="394">
        <v>40586483</v>
      </c>
      <c r="K95" s="394">
        <v>32518320</v>
      </c>
      <c r="L95" s="260">
        <f t="shared" si="23"/>
        <v>488909</v>
      </c>
      <c r="M95" s="260">
        <f t="shared" si="24"/>
        <v>403415</v>
      </c>
      <c r="N95" s="332">
        <f t="shared" si="25"/>
        <v>876331</v>
      </c>
      <c r="O95" s="516">
        <f t="shared" si="26"/>
        <v>731710</v>
      </c>
      <c r="P95" s="260"/>
      <c r="Q95" s="260"/>
      <c r="R95" s="516"/>
      <c r="S95" s="516">
        <v>0</v>
      </c>
      <c r="T95" s="323">
        <f ca="1">IF(ISNUMBER(Table2[[#This Row],[  A + B
kWh]]),Table2[[#This Row],[  A + B
kWh]]+Table2[[#This Row],[192 Consumption
KWh]]+Table2[[#This Row],[D401&amp; D404  Consumption - kWh]]," ")</f>
        <v>776210</v>
      </c>
    </row>
    <row r="96" spans="1:24" ht="14.45">
      <c r="A96" s="406"/>
      <c r="B96" s="414"/>
      <c r="C96" s="323">
        <v>2179897</v>
      </c>
      <c r="D96" s="260">
        <v>2711840</v>
      </c>
      <c r="E96" s="323">
        <f t="shared" si="20"/>
        <v>57610</v>
      </c>
      <c r="F96" s="260">
        <v>57903065</v>
      </c>
      <c r="G96" s="260">
        <v>45935945</v>
      </c>
      <c r="H96" s="264">
        <f t="shared" si="21"/>
        <v>458306</v>
      </c>
      <c r="I96" s="261">
        <f t="shared" si="22"/>
        <v>388472</v>
      </c>
      <c r="J96" s="260">
        <v>41127820</v>
      </c>
      <c r="K96" s="265">
        <v>32961875</v>
      </c>
      <c r="L96" s="260">
        <f t="shared" si="23"/>
        <v>541337</v>
      </c>
      <c r="M96" s="260">
        <f t="shared" si="24"/>
        <v>443555</v>
      </c>
      <c r="N96" s="332">
        <f t="shared" si="25"/>
        <v>999643</v>
      </c>
      <c r="O96" s="516">
        <f t="shared" si="26"/>
        <v>832027</v>
      </c>
      <c r="P96" s="260"/>
      <c r="Q96" s="260"/>
      <c r="R96" s="516"/>
      <c r="S96" s="516">
        <v>0</v>
      </c>
      <c r="T96" s="323">
        <f ca="1">IF(ISNUMBER(Table2[[#This Row],[  A + B
kWh]]),Table2[[#This Row],[  A + B
kWh]]+Table2[[#This Row],[192 Consumption
KWh]]+Table2[[#This Row],[D401&amp; D404  Consumption - kWh]]," ")</f>
        <v>889637</v>
      </c>
    </row>
    <row r="97" spans="1:24" ht="14.45">
      <c r="A97" s="406"/>
      <c r="B97" s="414"/>
      <c r="C97" s="216">
        <v>2328480</v>
      </c>
      <c r="D97" s="260">
        <v>2779200</v>
      </c>
      <c r="E97" s="323">
        <f t="shared" si="20"/>
        <v>67360</v>
      </c>
      <c r="F97" s="215">
        <v>58480891</v>
      </c>
      <c r="G97" s="215">
        <v>46425676</v>
      </c>
      <c r="H97" s="264">
        <f t="shared" si="21"/>
        <v>577826</v>
      </c>
      <c r="I97" s="261">
        <f t="shared" si="22"/>
        <v>489731</v>
      </c>
      <c r="J97" s="215">
        <v>41747233</v>
      </c>
      <c r="K97" s="218">
        <v>33473921</v>
      </c>
      <c r="L97" s="260">
        <f t="shared" si="23"/>
        <v>619413</v>
      </c>
      <c r="M97" s="260">
        <f t="shared" si="24"/>
        <v>512046</v>
      </c>
      <c r="N97" s="332">
        <f t="shared" si="25"/>
        <v>1197239</v>
      </c>
      <c r="O97" s="516">
        <f t="shared" si="26"/>
        <v>1001777</v>
      </c>
      <c r="P97" s="260"/>
      <c r="Q97" s="260"/>
      <c r="R97" s="516"/>
      <c r="S97" s="516">
        <v>0</v>
      </c>
      <c r="T97" s="323">
        <f ca="1">IF(ISNUMBER(Table2[[#This Row],[  A + B
kWh]]),Table2[[#This Row],[  A + B
kWh]]+Table2[[#This Row],[192 Consumption
KWh]]+Table2[[#This Row],[D401&amp; D404  Consumption - kWh]]," ")</f>
        <v>1069137</v>
      </c>
    </row>
    <row r="98" spans="1:24" ht="15" thickBot="1">
      <c r="A98" s="406" t="s">
        <v>356</v>
      </c>
      <c r="B98" s="414">
        <v>2021</v>
      </c>
      <c r="C98" s="324">
        <v>2505780</v>
      </c>
      <c r="D98" s="260">
        <v>2858360</v>
      </c>
      <c r="E98" s="323">
        <f t="shared" si="20"/>
        <v>79160</v>
      </c>
      <c r="F98" s="215">
        <v>59172742</v>
      </c>
      <c r="G98" s="215">
        <v>47012149</v>
      </c>
      <c r="H98" s="264">
        <f t="shared" si="21"/>
        <v>691851</v>
      </c>
      <c r="I98" s="261">
        <f t="shared" si="22"/>
        <v>586473</v>
      </c>
      <c r="J98" s="215">
        <v>42540149</v>
      </c>
      <c r="K98" s="218">
        <v>34119345</v>
      </c>
      <c r="L98" s="260">
        <f t="shared" si="23"/>
        <v>792916</v>
      </c>
      <c r="M98" s="260">
        <f t="shared" si="24"/>
        <v>645424</v>
      </c>
      <c r="N98" s="332">
        <f t="shared" si="25"/>
        <v>1484767</v>
      </c>
      <c r="O98" s="516">
        <f t="shared" si="26"/>
        <v>1231897</v>
      </c>
      <c r="P98" s="260"/>
      <c r="Q98" s="260"/>
      <c r="R98" s="609"/>
      <c r="S98" s="516">
        <v>0</v>
      </c>
      <c r="T98" s="323">
        <f ca="1">IF(ISNUMBER(Table2[[#This Row],[  A + B
kWh]]),Table2[[#This Row],[  A + B
kWh]]+Table2[[#This Row],[192 Consumption
KWh]]+Table2[[#This Row],[D401&amp; D404  Consumption - kWh]]," ")</f>
        <v>1311057</v>
      </c>
    </row>
    <row r="99" spans="1:24" ht="14.45">
      <c r="A99" s="406"/>
      <c r="B99" s="414"/>
      <c r="C99" s="216">
        <v>2180230</v>
      </c>
      <c r="D99" s="260">
        <v>2928260</v>
      </c>
      <c r="E99" s="323">
        <f t="shared" si="20"/>
        <v>69900</v>
      </c>
      <c r="F99" s="394">
        <v>59795212</v>
      </c>
      <c r="G99" s="325">
        <v>47539740</v>
      </c>
      <c r="H99" s="264">
        <f t="shared" si="21"/>
        <v>622470</v>
      </c>
      <c r="I99" s="261">
        <f t="shared" si="22"/>
        <v>527591</v>
      </c>
      <c r="J99" s="481">
        <f>J98+675802</f>
        <v>43215951</v>
      </c>
      <c r="K99" s="273">
        <v>34689849</v>
      </c>
      <c r="L99" s="260">
        <f t="shared" si="23"/>
        <v>675802</v>
      </c>
      <c r="M99" s="260">
        <f t="shared" si="24"/>
        <v>570504</v>
      </c>
      <c r="N99" s="332">
        <f t="shared" si="25"/>
        <v>1298272</v>
      </c>
      <c r="O99" s="516">
        <f t="shared" si="26"/>
        <v>1098095</v>
      </c>
      <c r="P99" s="260"/>
      <c r="Q99" s="260"/>
      <c r="R99" s="611"/>
      <c r="S99" s="516">
        <v>0</v>
      </c>
      <c r="T99" s="323">
        <f ca="1">IF(ISNUMBER(Table2[[#This Row],[  A + B
kWh]]),Table2[[#This Row],[  A + B
kWh]]+Table2[[#This Row],[192 Consumption
KWh]]+Table2[[#This Row],[D401&amp; D404  Consumption - kWh]]," ")</f>
        <v>1167995</v>
      </c>
      <c r="X99" t="s">
        <v>376</v>
      </c>
    </row>
    <row r="100" spans="1:24" ht="14.45">
      <c r="A100" s="406"/>
      <c r="B100" s="414"/>
      <c r="C100" s="324">
        <v>2012460</v>
      </c>
      <c r="D100" s="274">
        <v>2989750</v>
      </c>
      <c r="E100" s="323">
        <f t="shared" si="20"/>
        <v>61490</v>
      </c>
      <c r="F100" s="215">
        <v>60391626</v>
      </c>
      <c r="G100" s="325">
        <v>48045245</v>
      </c>
      <c r="H100" s="264">
        <f t="shared" si="21"/>
        <v>596414</v>
      </c>
      <c r="I100" s="261">
        <f t="shared" si="22"/>
        <v>505505</v>
      </c>
      <c r="J100" s="215">
        <v>43907618</v>
      </c>
      <c r="K100" s="273">
        <v>35237142</v>
      </c>
      <c r="L100" s="260">
        <f t="shared" si="23"/>
        <v>691667</v>
      </c>
      <c r="M100" s="260">
        <f t="shared" si="24"/>
        <v>547293</v>
      </c>
      <c r="N100" s="332">
        <f t="shared" si="25"/>
        <v>1288081</v>
      </c>
      <c r="O100" s="516">
        <f t="shared" si="26"/>
        <v>1052798</v>
      </c>
      <c r="P100" s="260"/>
      <c r="Q100" s="260"/>
      <c r="R100" s="332"/>
      <c r="S100" s="516">
        <v>0</v>
      </c>
      <c r="T100" s="323">
        <f ca="1">IF(ISNUMBER(Table2[[#This Row],[  A + B
kWh]]),Table2[[#This Row],[  A + B
kWh]]+Table2[[#This Row],[192 Consumption
KWh]]+Table2[[#This Row],[D401&amp; D404  Consumption - kWh]]," ")</f>
        <v>1114288</v>
      </c>
    </row>
    <row r="101" spans="1:24" ht="14.45">
      <c r="A101" s="406"/>
      <c r="B101" s="414"/>
      <c r="C101" s="324">
        <v>1756730</v>
      </c>
      <c r="D101" s="260">
        <v>3034200</v>
      </c>
      <c r="E101" s="323">
        <f t="shared" si="20"/>
        <v>44450</v>
      </c>
      <c r="F101" s="215">
        <v>60856253</v>
      </c>
      <c r="G101" s="325">
        <v>48438996</v>
      </c>
      <c r="H101" s="264">
        <f t="shared" si="21"/>
        <v>464627</v>
      </c>
      <c r="I101" s="261">
        <f t="shared" si="22"/>
        <v>393751</v>
      </c>
      <c r="J101" s="215">
        <v>44416726</v>
      </c>
      <c r="K101" s="273">
        <v>35642040</v>
      </c>
      <c r="L101" s="260">
        <f t="shared" si="23"/>
        <v>509108</v>
      </c>
      <c r="M101" s="260">
        <f t="shared" si="24"/>
        <v>404898</v>
      </c>
      <c r="N101" s="332">
        <f t="shared" si="25"/>
        <v>973735</v>
      </c>
      <c r="O101" s="516">
        <f t="shared" si="26"/>
        <v>798649</v>
      </c>
      <c r="P101" s="260"/>
      <c r="Q101" s="260"/>
      <c r="R101" s="332"/>
      <c r="S101" s="516">
        <v>0</v>
      </c>
      <c r="T101" s="323">
        <f ca="1">IF(ISNUMBER(Table2[[#This Row],[  A + B
kWh]]),Table2[[#This Row],[  A + B
kWh]]+Table2[[#This Row],[192 Consumption
KWh]]+Table2[[#This Row],[D401&amp; D404  Consumption - kWh]]," ")</f>
        <v>843099</v>
      </c>
    </row>
    <row r="102" spans="1:24" ht="14.45">
      <c r="A102" s="406"/>
      <c r="B102" s="414"/>
      <c r="C102" s="324">
        <v>1282250</v>
      </c>
      <c r="D102" s="260">
        <v>3051700</v>
      </c>
      <c r="E102" s="323">
        <f>IF(ISNUMBER(D102),D102-D101," ")</f>
        <v>17500</v>
      </c>
      <c r="F102" s="215">
        <v>61263254</v>
      </c>
      <c r="G102" s="325">
        <v>48783869</v>
      </c>
      <c r="H102" s="264">
        <f t="shared" si="21"/>
        <v>407001</v>
      </c>
      <c r="I102" s="261">
        <f t="shared" si="22"/>
        <v>344873</v>
      </c>
      <c r="J102" s="215">
        <v>44865005</v>
      </c>
      <c r="K102" s="273">
        <v>36021017</v>
      </c>
      <c r="L102" s="260">
        <f t="shared" si="23"/>
        <v>448279</v>
      </c>
      <c r="M102" s="260">
        <f t="shared" si="24"/>
        <v>378977</v>
      </c>
      <c r="N102" s="332">
        <f t="shared" si="25"/>
        <v>855280</v>
      </c>
      <c r="O102" s="516">
        <f t="shared" si="26"/>
        <v>723850</v>
      </c>
      <c r="P102" s="260">
        <v>41638976</v>
      </c>
      <c r="Q102" s="260">
        <v>6009716</v>
      </c>
      <c r="R102" s="332"/>
      <c r="S102" s="516">
        <v>0</v>
      </c>
      <c r="T102" s="323">
        <f ca="1">IF(ISNUMBER(Table2[[#This Row],[  A + B
kWh]]),Table2[[#This Row],[  A + B
kWh]]+Table2[[#This Row],[192 Consumption
KWh]]+Table2[[#This Row],[D401&amp; D404  Consumption - kWh]]," ")</f>
        <v>741350</v>
      </c>
    </row>
    <row r="103" spans="1:24" ht="15" thickBot="1">
      <c r="A103" s="408"/>
      <c r="B103" s="295"/>
      <c r="C103" s="480">
        <v>939370</v>
      </c>
      <c r="D103" s="260">
        <v>3051700</v>
      </c>
      <c r="E103" s="285">
        <f>IF(ISNUMBER(D103),D103-D102," ")</f>
        <v>0</v>
      </c>
      <c r="F103" s="478">
        <v>61623078</v>
      </c>
      <c r="G103" s="478">
        <v>49088773</v>
      </c>
      <c r="H103" s="403">
        <f t="shared" si="21"/>
        <v>359824</v>
      </c>
      <c r="I103" s="335">
        <f t="shared" si="22"/>
        <v>304904</v>
      </c>
      <c r="J103" s="478">
        <v>45284894</v>
      </c>
      <c r="K103" s="479">
        <v>36369720</v>
      </c>
      <c r="L103" s="274">
        <f t="shared" si="23"/>
        <v>419889</v>
      </c>
      <c r="M103" s="274">
        <f t="shared" si="24"/>
        <v>348703</v>
      </c>
      <c r="N103" s="333">
        <f t="shared" si="25"/>
        <v>779713</v>
      </c>
      <c r="O103" s="609">
        <f t="shared" si="26"/>
        <v>653607</v>
      </c>
      <c r="P103" s="284">
        <v>41649152</v>
      </c>
      <c r="Q103" s="284">
        <v>6015293</v>
      </c>
      <c r="R103" s="333">
        <v>15753</v>
      </c>
      <c r="S103" s="609">
        <f ca="1">IF(ISNUMBER(Table2[[#This Row],[D401&amp; D404  Consumption - kg]]),Table2[[#This Row],[D401&amp; D404  Consumption - kg]]/1.18," ")</f>
        <v>13350</v>
      </c>
      <c r="T103" s="253">
        <f ca="1">IF(ISNUMBER(Table2[[#This Row],[  A + B
kWh]]),Table2[[#This Row],[  A + B
kWh]]+Table2[[#This Row],[192 Consumption
KWh]]+Table2[[#This Row],[D401&amp; D404  Consumption - kWh]]," ")</f>
        <v>666957</v>
      </c>
    </row>
    <row r="104" spans="1:24" ht="14.45">
      <c r="A104" s="605" t="s">
        <v>228</v>
      </c>
      <c r="B104" s="415"/>
      <c r="C104" s="322">
        <v>882860</v>
      </c>
      <c r="D104" s="260">
        <v>3051700</v>
      </c>
      <c r="E104" s="326">
        <f t="shared" ref="E104:E105" si="27">IF(ISNUMBER(D104),D104-D103," ")</f>
        <v>0</v>
      </c>
      <c r="F104" s="606">
        <v>61965442</v>
      </c>
      <c r="G104" s="607">
        <v>49378866</v>
      </c>
      <c r="H104" s="512">
        <f t="shared" si="21"/>
        <v>342364</v>
      </c>
      <c r="I104" s="513">
        <f t="shared" si="22"/>
        <v>290093</v>
      </c>
      <c r="J104" s="606">
        <v>45673821</v>
      </c>
      <c r="K104" s="607">
        <v>36670141</v>
      </c>
      <c r="L104" s="512">
        <f t="shared" ref="L104:L106" si="28">IF(ISNUMBER(J104),J104-J103," ")</f>
        <v>388927</v>
      </c>
      <c r="M104" s="513">
        <f t="shared" ref="M104:M106" si="29">IF(ISNUMBER(K104),K104-K103," ")</f>
        <v>300421</v>
      </c>
      <c r="N104" s="515">
        <f t="shared" si="25"/>
        <v>731291</v>
      </c>
      <c r="O104" s="984">
        <f t="shared" si="26"/>
        <v>590514</v>
      </c>
      <c r="P104" s="327">
        <v>41654219</v>
      </c>
      <c r="Q104" s="1067">
        <v>6025820</v>
      </c>
      <c r="R104" s="334">
        <v>15594</v>
      </c>
      <c r="S104" s="515">
        <f ca="1">IF(ISNUMBER(Table2[[#This Row],[D401&amp; D404  Consumption - kg]]),Table2[[#This Row],[D401&amp; D404  Consumption - kg]]/1.18," ")</f>
        <v>13215.254237288136</v>
      </c>
      <c r="T104" s="322">
        <f ca="1">IF(ISNUMBER(Table2[[#This Row],[  A + B
kWh]]),Table2[[#This Row],[  A + B
kWh]]+Table2[[#This Row],[192 Consumption
KWh]]+Table2[[#This Row],[D401&amp; D404  Consumption - kWh]]," ")</f>
        <v>603729.25423728814</v>
      </c>
    </row>
    <row r="105" spans="1:24" ht="14.45">
      <c r="A105" s="608"/>
      <c r="B105" s="416"/>
      <c r="C105" s="216">
        <v>886950</v>
      </c>
      <c r="D105" s="260">
        <v>3080000</v>
      </c>
      <c r="E105" s="323">
        <f t="shared" si="27"/>
        <v>28300</v>
      </c>
      <c r="F105" s="257">
        <v>62300500</v>
      </c>
      <c r="G105" s="215">
        <v>49662760</v>
      </c>
      <c r="H105" s="514">
        <f t="shared" si="21"/>
        <v>335058</v>
      </c>
      <c r="I105" s="258">
        <f t="shared" si="22"/>
        <v>283894</v>
      </c>
      <c r="J105" s="257">
        <v>45822589</v>
      </c>
      <c r="K105" s="215">
        <v>36787565</v>
      </c>
      <c r="L105" s="514">
        <f t="shared" si="28"/>
        <v>148768</v>
      </c>
      <c r="M105" s="258">
        <f t="shared" si="29"/>
        <v>117424</v>
      </c>
      <c r="N105" s="516">
        <f t="shared" si="25"/>
        <v>483826</v>
      </c>
      <c r="O105" s="266">
        <f t="shared" si="26"/>
        <v>401318</v>
      </c>
      <c r="P105" s="264">
        <v>41684552</v>
      </c>
      <c r="Q105" s="260">
        <v>6038496</v>
      </c>
      <c r="R105" s="332">
        <v>43009</v>
      </c>
      <c r="S105" s="516">
        <f ca="1">IF(ISNUMBER(Table2[[#This Row],[D401&amp; D404  Consumption - kg]]),Table2[[#This Row],[D401&amp; D404  Consumption - kg]]/1.18," ")</f>
        <v>36448.305084745763</v>
      </c>
      <c r="T105" s="216">
        <f ca="1">IF(ISNUMBER(Table2[[#This Row],[  A + B
kWh]]),Table2[[#This Row],[  A + B
kWh]]+Table2[[#This Row],[192 Consumption
KWh]]+Table2[[#This Row],[D401&amp; D404  Consumption - kWh]]," ")</f>
        <v>466066.30508474575</v>
      </c>
    </row>
    <row r="106" spans="1:24" ht="14.45">
      <c r="A106" s="608"/>
      <c r="B106" s="416"/>
      <c r="C106" s="216">
        <v>1057320</v>
      </c>
      <c r="D106" s="260">
        <v>0</v>
      </c>
      <c r="E106" s="323">
        <v>70000</v>
      </c>
      <c r="F106" s="257">
        <v>62649416</v>
      </c>
      <c r="G106" s="215">
        <v>49958387</v>
      </c>
      <c r="H106" s="514">
        <f t="shared" si="21"/>
        <v>348916</v>
      </c>
      <c r="I106" s="258">
        <f t="shared" si="22"/>
        <v>295627</v>
      </c>
      <c r="J106" s="257">
        <v>45911479</v>
      </c>
      <c r="K106" s="215">
        <v>36862870</v>
      </c>
      <c r="L106" s="514">
        <f t="shared" si="28"/>
        <v>88890</v>
      </c>
      <c r="M106" s="258">
        <f t="shared" si="29"/>
        <v>75305</v>
      </c>
      <c r="N106" s="516">
        <f t="shared" si="25"/>
        <v>437806</v>
      </c>
      <c r="O106" s="266">
        <f t="shared" si="26"/>
        <v>370932</v>
      </c>
      <c r="P106" s="264">
        <v>41766163</v>
      </c>
      <c r="Q106" s="260">
        <v>6078531</v>
      </c>
      <c r="R106" s="332">
        <v>121646</v>
      </c>
      <c r="S106" s="516">
        <f ca="1">IF(ISNUMBER(Table2[[#This Row],[D401&amp; D404  Consumption - kg]]),Table2[[#This Row],[D401&amp; D404  Consumption - kg]]/1.18," ")</f>
        <v>103089.83050847458</v>
      </c>
      <c r="T106" s="216">
        <f ca="1">IF(ISNUMBER(Table2[[#This Row],[  A + B
kWh]]),Table2[[#This Row],[  A + B
kWh]]+Table2[[#This Row],[192 Consumption
KWh]]+Table2[[#This Row],[D401&amp; D404  Consumption - kWh]]," ")</f>
        <v>544021.83050847461</v>
      </c>
    </row>
    <row r="107" spans="1:24" ht="14.45">
      <c r="A107" s="608"/>
      <c r="B107" s="416"/>
      <c r="C107" s="253">
        <v>1390460</v>
      </c>
      <c r="D107" s="260">
        <v>40900</v>
      </c>
      <c r="E107" s="323">
        <f t="shared" si="20"/>
        <v>40900</v>
      </c>
      <c r="F107" s="252">
        <v>63175461</v>
      </c>
      <c r="G107" s="274">
        <v>50404046</v>
      </c>
      <c r="H107" s="514">
        <f t="shared" si="21"/>
        <v>526045</v>
      </c>
      <c r="I107" s="258">
        <f t="shared" si="22"/>
        <v>445659</v>
      </c>
      <c r="J107" s="252">
        <v>46273878</v>
      </c>
      <c r="K107" s="274">
        <v>37156188</v>
      </c>
      <c r="L107" s="514">
        <f t="shared" si="23"/>
        <v>362399</v>
      </c>
      <c r="M107" s="258">
        <f t="shared" si="24"/>
        <v>293318</v>
      </c>
      <c r="N107" s="516">
        <f t="shared" si="25"/>
        <v>888444</v>
      </c>
      <c r="O107" s="266">
        <f t="shared" si="26"/>
        <v>738977</v>
      </c>
      <c r="P107" s="264">
        <v>41766163</v>
      </c>
      <c r="Q107" s="260">
        <v>6078531</v>
      </c>
      <c r="R107" s="516">
        <v>121646</v>
      </c>
      <c r="S107" s="516">
        <f ca="1">IF(ISNUMBER(Table2[[#This Row],[D401&amp; D404  Consumption - kg]]),Table2[[#This Row],[D401&amp; D404  Consumption - kg]]/1.18," ")</f>
        <v>103089.83050847458</v>
      </c>
      <c r="T107" s="216">
        <f ca="1">IF(ISNUMBER(Table2[[#This Row],[  A + B
kWh]]),Table2[[#This Row],[  A + B
kWh]]+Table2[[#This Row],[192 Consumption
KWh]]+Table2[[#This Row],[D401&amp; D404  Consumption - kWh]]," ")</f>
        <v>882966.83050847461</v>
      </c>
    </row>
    <row r="108" spans="1:24" ht="14.45">
      <c r="A108" s="608"/>
      <c r="B108" s="416"/>
      <c r="C108" s="323">
        <v>1902630</v>
      </c>
      <c r="D108" s="260">
        <v>109400</v>
      </c>
      <c r="E108" s="323">
        <f t="shared" si="20"/>
        <v>68500</v>
      </c>
      <c r="F108" s="260">
        <v>63686408</v>
      </c>
      <c r="G108" s="260">
        <v>50836928</v>
      </c>
      <c r="H108" s="514">
        <f t="shared" si="21"/>
        <v>510947</v>
      </c>
      <c r="I108" s="258">
        <f t="shared" si="22"/>
        <v>432882</v>
      </c>
      <c r="J108" s="260">
        <v>46744285</v>
      </c>
      <c r="K108" s="260">
        <v>37554808</v>
      </c>
      <c r="L108" s="514">
        <f t="shared" si="23"/>
        <v>470407</v>
      </c>
      <c r="M108" s="258">
        <f t="shared" si="24"/>
        <v>398620</v>
      </c>
      <c r="N108" s="516">
        <f t="shared" si="25"/>
        <v>981354</v>
      </c>
      <c r="O108" s="266">
        <f t="shared" si="26"/>
        <v>831502</v>
      </c>
      <c r="P108" s="403">
        <v>41962384</v>
      </c>
      <c r="Q108" s="274">
        <v>6197218</v>
      </c>
      <c r="R108" s="516">
        <v>193262</v>
      </c>
      <c r="S108" s="516">
        <f ca="1">IF(ISNUMBER(Table2[[#This Row],[D401&amp; D404  Consumption - kg]]),Table2[[#This Row],[D401&amp; D404  Consumption - kg]]/1.18," ")</f>
        <v>163781.35593220341</v>
      </c>
      <c r="T108" s="216">
        <f ca="1">IF(ISNUMBER(Table2[[#This Row],[  A + B
kWh]]),Table2[[#This Row],[  A + B
kWh]]+Table2[[#This Row],[192 Consumption
KWh]]+Table2[[#This Row],[D401&amp; D404  Consumption - kWh]]," ")</f>
        <v>1063783.3559322034</v>
      </c>
    </row>
    <row r="109" spans="1:24" ht="14.45">
      <c r="A109" s="608"/>
      <c r="B109" s="416"/>
      <c r="C109" s="216">
        <v>2352150</v>
      </c>
      <c r="D109" s="260">
        <v>183400</v>
      </c>
      <c r="E109" s="323">
        <f t="shared" si="20"/>
        <v>74000</v>
      </c>
      <c r="F109" s="215">
        <v>64252680</v>
      </c>
      <c r="G109" s="215">
        <v>51317034</v>
      </c>
      <c r="H109" s="514">
        <f t="shared" si="21"/>
        <v>566272</v>
      </c>
      <c r="I109" s="258">
        <f t="shared" si="22"/>
        <v>480106</v>
      </c>
      <c r="J109" s="215">
        <v>47321548</v>
      </c>
      <c r="K109" s="215">
        <v>38044061</v>
      </c>
      <c r="L109" s="514">
        <f t="shared" si="23"/>
        <v>577263</v>
      </c>
      <c r="M109" s="258">
        <f t="shared" si="24"/>
        <v>489253</v>
      </c>
      <c r="N109" s="516">
        <f t="shared" si="25"/>
        <v>1143535</v>
      </c>
      <c r="O109" s="266">
        <f t="shared" si="26"/>
        <v>969359</v>
      </c>
      <c r="P109" s="264">
        <v>41962384</v>
      </c>
      <c r="Q109" s="260">
        <v>6197218</v>
      </c>
      <c r="R109" s="516">
        <v>193262</v>
      </c>
      <c r="S109" s="516">
        <f ca="1">IF(ISNUMBER(Table2[[#This Row],[D401&amp; D404  Consumption - kg]]),Table2[[#This Row],[D401&amp; D404  Consumption - kg]]/1.18," ")</f>
        <v>163781.35593220341</v>
      </c>
      <c r="T109" s="216">
        <f ca="1">IF(ISNUMBER(Table2[[#This Row],[  A + B
kWh]]),Table2[[#This Row],[  A + B
kWh]]+Table2[[#This Row],[192 Consumption
KWh]]+Table2[[#This Row],[D401&amp; D404  Consumption - kWh]]," ")</f>
        <v>1207140.3559322034</v>
      </c>
    </row>
    <row r="110" spans="1:24" ht="14.45">
      <c r="A110" s="608" t="s">
        <v>356</v>
      </c>
      <c r="B110" s="416">
        <v>2022</v>
      </c>
      <c r="C110" s="324">
        <v>2631050</v>
      </c>
      <c r="D110" s="260">
        <v>280500</v>
      </c>
      <c r="E110" s="323">
        <f t="shared" si="20"/>
        <v>97100</v>
      </c>
      <c r="F110" s="215">
        <v>65001568</v>
      </c>
      <c r="G110" s="215">
        <v>51951854</v>
      </c>
      <c r="H110" s="514">
        <f t="shared" si="21"/>
        <v>748888</v>
      </c>
      <c r="I110" s="258">
        <f t="shared" si="22"/>
        <v>634820</v>
      </c>
      <c r="J110" s="215">
        <v>48126686</v>
      </c>
      <c r="K110" s="215">
        <v>38721348</v>
      </c>
      <c r="L110" s="514">
        <f t="shared" si="23"/>
        <v>805138</v>
      </c>
      <c r="M110" s="258">
        <f t="shared" si="24"/>
        <v>677287</v>
      </c>
      <c r="N110" s="516">
        <f t="shared" si="25"/>
        <v>1554026</v>
      </c>
      <c r="O110" s="266">
        <f t="shared" si="26"/>
        <v>1312107</v>
      </c>
      <c r="P110" s="264">
        <v>42268557</v>
      </c>
      <c r="Q110" s="260">
        <v>6380561</v>
      </c>
      <c r="R110" s="516">
        <v>296254</v>
      </c>
      <c r="S110" s="516">
        <f ca="1">IF(ISNUMBER(Table2[[#This Row],[D401&amp; D404  Consumption - kg]]),Table2[[#This Row],[D401&amp; D404  Consumption - kg]]/1.18," ")</f>
        <v>251062.7118644068</v>
      </c>
      <c r="T110" s="216">
        <f ca="1">IF(ISNUMBER(Table2[[#This Row],[  A + B
kWh]]),Table2[[#This Row],[  A + B
kWh]]+Table2[[#This Row],[192 Consumption
KWh]]+Table2[[#This Row],[D401&amp; D404  Consumption - kWh]]," ")</f>
        <v>1660269.7118644067</v>
      </c>
    </row>
    <row r="111" spans="1:24" ht="14.45">
      <c r="A111" s="608"/>
      <c r="B111" s="416"/>
      <c r="C111" s="216">
        <v>2193547</v>
      </c>
      <c r="D111" s="260">
        <v>357000</v>
      </c>
      <c r="E111" s="323">
        <f t="shared" si="20"/>
        <v>76500</v>
      </c>
      <c r="F111" s="394">
        <v>65544037</v>
      </c>
      <c r="G111" s="325">
        <v>52411630</v>
      </c>
      <c r="H111" s="514">
        <f t="shared" si="21"/>
        <v>542469</v>
      </c>
      <c r="I111" s="258">
        <f t="shared" si="22"/>
        <v>459776</v>
      </c>
      <c r="J111" s="394">
        <v>48523113</v>
      </c>
      <c r="K111" s="325">
        <v>39056575</v>
      </c>
      <c r="L111" s="514">
        <f t="shared" si="23"/>
        <v>396427</v>
      </c>
      <c r="M111" s="258">
        <f t="shared" si="24"/>
        <v>335227</v>
      </c>
      <c r="N111" s="516">
        <f t="shared" si="25"/>
        <v>938896</v>
      </c>
      <c r="O111" s="266">
        <f t="shared" si="26"/>
        <v>795003</v>
      </c>
      <c r="P111" s="264">
        <v>42418557</v>
      </c>
      <c r="Q111" s="260">
        <v>6470561</v>
      </c>
      <c r="R111" s="516">
        <v>240000</v>
      </c>
      <c r="S111" s="516">
        <f ca="1">IF(ISNUMBER(Table2[[#This Row],[D401&amp; D404  Consumption - kg]]),Table2[[#This Row],[D401&amp; D404  Consumption - kg]]/1.18," ")</f>
        <v>203389.83050847458</v>
      </c>
      <c r="T111" s="216">
        <f ca="1">IF(ISNUMBER(Table2[[#This Row],[  A + B
kWh]]),Table2[[#This Row],[  A + B
kWh]]+Table2[[#This Row],[192 Consumption
KWh]]+Table2[[#This Row],[D401&amp; D404  Consumption - kWh]]," ")</f>
        <v>1074892.8305084745</v>
      </c>
    </row>
    <row r="112" spans="1:24" ht="14.45">
      <c r="A112" s="608"/>
      <c r="B112" s="416"/>
      <c r="C112" s="324">
        <v>2084430</v>
      </c>
      <c r="D112" s="260">
        <v>430900</v>
      </c>
      <c r="E112" s="323">
        <f t="shared" si="20"/>
        <v>73900</v>
      </c>
      <c r="F112" s="215">
        <v>66084445</v>
      </c>
      <c r="G112" s="325">
        <v>52869653</v>
      </c>
      <c r="H112" s="514">
        <f t="shared" si="21"/>
        <v>540408</v>
      </c>
      <c r="I112" s="258">
        <f t="shared" si="22"/>
        <v>458023</v>
      </c>
      <c r="J112" s="215">
        <v>49085441</v>
      </c>
      <c r="K112" s="325">
        <v>39532978</v>
      </c>
      <c r="L112" s="514">
        <f t="shared" si="23"/>
        <v>562328</v>
      </c>
      <c r="M112" s="258">
        <f t="shared" si="24"/>
        <v>476403</v>
      </c>
      <c r="N112" s="516">
        <f t="shared" si="25"/>
        <v>1102736</v>
      </c>
      <c r="O112" s="266">
        <f t="shared" si="26"/>
        <v>934426</v>
      </c>
      <c r="P112" s="264">
        <v>42543247</v>
      </c>
      <c r="Q112" s="260">
        <v>6542186</v>
      </c>
      <c r="R112" s="516">
        <v>196315</v>
      </c>
      <c r="S112" s="985">
        <f ca="1">IF(ISNUMBER(Table2[[#This Row],[D401&amp; D404  Consumption - kg]]),Table2[[#This Row],[D401&amp; D404  Consumption - kg]]/1.18," ")</f>
        <v>166368.64406779662</v>
      </c>
      <c r="T112" s="216">
        <f ca="1">IF(ISNUMBER(Table2[[#This Row],[  A + B
kWh]]),Table2[[#This Row],[  A + B
kWh]]+Table2[[#This Row],[192 Consumption
KWh]]+Table2[[#This Row],[D401&amp; D404  Consumption - kWh]]," ")</f>
        <v>1174694.6440677966</v>
      </c>
    </row>
    <row r="113" spans="1:28" ht="14.45">
      <c r="A113" s="608"/>
      <c r="B113" s="417"/>
      <c r="C113" s="324">
        <v>2046890</v>
      </c>
      <c r="D113" s="260">
        <v>499700</v>
      </c>
      <c r="E113" s="323">
        <f t="shared" si="20"/>
        <v>68800</v>
      </c>
      <c r="F113" s="215">
        <v>66626788</v>
      </c>
      <c r="G113" s="325">
        <v>53329304</v>
      </c>
      <c r="H113" s="514">
        <f t="shared" si="21"/>
        <v>542343</v>
      </c>
      <c r="I113" s="258">
        <f t="shared" si="22"/>
        <v>459651</v>
      </c>
      <c r="J113" s="215">
        <v>49673357</v>
      </c>
      <c r="K113" s="325">
        <v>40028103</v>
      </c>
      <c r="L113" s="514">
        <f t="shared" si="23"/>
        <v>587916</v>
      </c>
      <c r="M113" s="258">
        <f t="shared" si="24"/>
        <v>495125</v>
      </c>
      <c r="N113" s="516">
        <f t="shared" si="25"/>
        <v>1130259</v>
      </c>
      <c r="O113" s="266">
        <f t="shared" si="26"/>
        <v>954776</v>
      </c>
      <c r="P113" s="264">
        <v>42672590</v>
      </c>
      <c r="Q113" s="260">
        <v>6622444</v>
      </c>
      <c r="R113" s="516">
        <f ca="1">IF(ISNUMBER(Table2[[#This Row],[D401 Dining Meter Reading]]),(Table2[[#This Row],[D401 Dining Meter Reading]]-P112)+(Table2[[#This Row],[D404 Castle Meter Reading]]-Q112)," ")</f>
        <v>209601</v>
      </c>
      <c r="S113" s="516">
        <f ca="1">IF(ISNUMBER(Table2[[#This Row],[D401&amp; D404  Consumption - kg]]),Table2[[#This Row],[D401&amp; D404  Consumption - kg]]/1.18," ")</f>
        <v>177627.96610169491</v>
      </c>
      <c r="T113" s="216">
        <f ca="1">IF(ISNUMBER(Table2[[#This Row],[  A + B
kWh]]),Table2[[#This Row],[  A + B
kWh]]+Table2[[#This Row],[192 Consumption
KWh]]+Table2[[#This Row],[D401&amp; D404  Consumption - kWh]]," ")</f>
        <v>1201203.9661016949</v>
      </c>
    </row>
    <row r="114" spans="1:28" ht="14.45">
      <c r="A114" s="608"/>
      <c r="B114" s="417"/>
      <c r="C114" s="324">
        <v>1236867</v>
      </c>
      <c r="D114" s="260">
        <v>533100</v>
      </c>
      <c r="E114" s="323">
        <f t="shared" si="20"/>
        <v>33400</v>
      </c>
      <c r="F114" s="215">
        <v>67050611</v>
      </c>
      <c r="G114" s="325">
        <v>53688392</v>
      </c>
      <c r="H114" s="514">
        <f t="shared" si="21"/>
        <v>423823</v>
      </c>
      <c r="I114" s="258">
        <f t="shared" si="22"/>
        <v>359088</v>
      </c>
      <c r="J114" s="215">
        <v>50154709</v>
      </c>
      <c r="K114" s="325">
        <v>40434869</v>
      </c>
      <c r="L114" s="514">
        <f t="shared" si="23"/>
        <v>481352</v>
      </c>
      <c r="M114" s="258">
        <f t="shared" si="24"/>
        <v>406766</v>
      </c>
      <c r="N114" s="516">
        <f t="shared" si="25"/>
        <v>905175</v>
      </c>
      <c r="O114" s="266">
        <f t="shared" si="26"/>
        <v>765854</v>
      </c>
      <c r="P114" s="264">
        <v>42710685</v>
      </c>
      <c r="Q114" s="260">
        <v>6638540</v>
      </c>
      <c r="R114" s="516">
        <f ca="1">IF(ISNUMBER(Table2[[#This Row],[D401 Dining Meter Reading]]),(Table2[[#This Row],[D401 Dining Meter Reading]]-P113)+(Table2[[#This Row],[D404 Castle Meter Reading]]-Q113)," ")</f>
        <v>54191</v>
      </c>
      <c r="S114" s="516">
        <f ca="1">IF(ISNUMBER(Table2[[#This Row],[D401&amp; D404  Consumption - kg]]),Table2[[#This Row],[D401&amp; D404  Consumption - kg]]/1.18," ")</f>
        <v>45924.576271186445</v>
      </c>
      <c r="T114" s="216">
        <f ca="1">IF(ISNUMBER(Table2[[#This Row],[  A + B
kWh]]),Table2[[#This Row],[  A + B
kWh]]+Table2[[#This Row],[192 Consumption
KWh]]+Table2[[#This Row],[D401&amp; D404  Consumption - kWh]]," ")</f>
        <v>845178.57627118647</v>
      </c>
    </row>
    <row r="115" spans="1:28" ht="15" thickBot="1">
      <c r="A115" s="1069"/>
      <c r="B115" s="417"/>
      <c r="C115" s="324">
        <v>536240</v>
      </c>
      <c r="D115" s="274">
        <v>550000</v>
      </c>
      <c r="E115" s="253">
        <f t="shared" si="20"/>
        <v>16900</v>
      </c>
      <c r="F115" s="325">
        <v>67472268</v>
      </c>
      <c r="G115" s="325">
        <v>54045657</v>
      </c>
      <c r="H115" s="514">
        <f t="shared" si="21"/>
        <v>421657</v>
      </c>
      <c r="I115" s="258">
        <f t="shared" si="22"/>
        <v>357265</v>
      </c>
      <c r="J115" s="325">
        <v>50637921</v>
      </c>
      <c r="K115" s="325">
        <v>40844160</v>
      </c>
      <c r="L115" s="514">
        <f t="shared" si="23"/>
        <v>483212</v>
      </c>
      <c r="M115" s="258">
        <f t="shared" si="24"/>
        <v>409291</v>
      </c>
      <c r="N115" s="985">
        <f t="shared" si="25"/>
        <v>904869</v>
      </c>
      <c r="O115" s="1068">
        <f t="shared" si="26"/>
        <v>766556</v>
      </c>
      <c r="P115" s="403">
        <f>42710685+9000</f>
        <v>42719685</v>
      </c>
      <c r="Q115" s="274">
        <f>Q114+9000</f>
        <v>6647540</v>
      </c>
      <c r="R115" s="985">
        <f ca="1">IF(ISNUMBER(Table2[[#This Row],[D401 Dining Meter Reading]]),(Table2[[#This Row],[D401 Dining Meter Reading]]-P114)+(Table2[[#This Row],[D404 Castle Meter Reading]]-Q114)," ")</f>
        <v>18000</v>
      </c>
      <c r="S115" s="985">
        <f ca="1">IF(ISNUMBER(Table2[[#This Row],[D401&amp; D404  Consumption - kg]]),Table2[[#This Row],[D401&amp; D404  Consumption - kg]]/1.18," ")</f>
        <v>15254.237288135593</v>
      </c>
      <c r="T115" s="277">
        <f ca="1">IF(ISNUMBER(Table2[[#This Row],[  A + B
kWh]]),Table2[[#This Row],[  A + B
kWh]]+Table2[[#This Row],[192 Consumption
KWh]]+Table2[[#This Row],[D401&amp; D404  Consumption - kWh]]," ")</f>
        <v>798710.23728813557</v>
      </c>
    </row>
    <row r="116" spans="1:28" ht="14.45">
      <c r="A116" s="605" t="s">
        <v>228</v>
      </c>
      <c r="B116" s="415"/>
      <c r="C116" s="322">
        <v>806188</v>
      </c>
      <c r="D116" s="607">
        <v>567800</v>
      </c>
      <c r="E116" s="326">
        <f t="shared" si="20"/>
        <v>17800</v>
      </c>
      <c r="F116" s="606">
        <v>67756110</v>
      </c>
      <c r="G116" s="607">
        <v>54286155</v>
      </c>
      <c r="H116" s="327">
        <f t="shared" ref="H116:H127" si="30">IF(ISNUMBER(F116),F116-F115," ")</f>
        <v>283842</v>
      </c>
      <c r="I116" s="328">
        <f t="shared" ref="I116:I127" si="31">IF(ISNUMBER(G116),G116-G115," ")</f>
        <v>240498</v>
      </c>
      <c r="J116" s="606">
        <v>50962948</v>
      </c>
      <c r="K116" s="1070">
        <v>41119316</v>
      </c>
      <c r="L116" s="1067">
        <f t="shared" si="23"/>
        <v>325027</v>
      </c>
      <c r="M116" s="1067">
        <f t="shared" si="24"/>
        <v>275156</v>
      </c>
      <c r="N116" s="334">
        <f t="shared" ref="N116:N127" si="32">IF(ISNUMBER(H116),H116+L116," ")</f>
        <v>608869</v>
      </c>
      <c r="O116" s="515">
        <f t="shared" ref="O116:O127" si="33">IF(ISNUMBER(I116),I116+M116," ")</f>
        <v>515654</v>
      </c>
      <c r="P116" s="1067">
        <f>P115+11000</f>
        <v>42730685</v>
      </c>
      <c r="Q116" s="1067">
        <f>Q115+12000</f>
        <v>6659540</v>
      </c>
      <c r="R116" s="334">
        <f ca="1">IF(ISNUMBER(Table2[[#This Row],[D401 Dining Meter Reading]]),(Table2[[#This Row],[D401 Dining Meter Reading]]-P115)+(Table2[[#This Row],[D404 Castle Meter Reading]]-Q115)," ")</f>
        <v>23000</v>
      </c>
      <c r="S116" s="515">
        <f ca="1">IF(ISNUMBER(Table2[[#This Row],[D401&amp; D404  Consumption - kg]]),Table2[[#This Row],[D401&amp; D404  Consumption - kg]]/1.18," ")</f>
        <v>19491.525423728814</v>
      </c>
      <c r="T116" s="322">
        <f ca="1">IF(ISNUMBER(Table2[[#This Row],[  A + B
kWh]]),Table2[[#This Row],[  A + B
kWh]]+Table2[[#This Row],[192 Consumption
KWh]]+Table2[[#This Row],[D401&amp; D404  Consumption - kWh]]," ")</f>
        <v>552945.52542372886</v>
      </c>
    </row>
    <row r="117" spans="1:28" ht="14.45">
      <c r="A117" s="608"/>
      <c r="B117" s="416"/>
      <c r="C117" s="216">
        <v>784246</v>
      </c>
      <c r="D117" s="260">
        <v>585600</v>
      </c>
      <c r="E117" s="323">
        <f t="shared" si="20"/>
        <v>17800</v>
      </c>
      <c r="F117" s="257">
        <v>68051267</v>
      </c>
      <c r="G117" s="215">
        <v>54536268</v>
      </c>
      <c r="H117" s="264">
        <f t="shared" si="30"/>
        <v>295157</v>
      </c>
      <c r="I117" s="261">
        <f t="shared" si="31"/>
        <v>250113</v>
      </c>
      <c r="J117" s="257">
        <v>51233059</v>
      </c>
      <c r="K117" s="218">
        <v>41348186</v>
      </c>
      <c r="L117" s="260">
        <f t="shared" si="23"/>
        <v>270111</v>
      </c>
      <c r="M117" s="260">
        <f t="shared" si="24"/>
        <v>228870</v>
      </c>
      <c r="N117" s="332">
        <f t="shared" si="32"/>
        <v>565268</v>
      </c>
      <c r="O117" s="516">
        <f t="shared" si="33"/>
        <v>478983</v>
      </c>
      <c r="P117" s="260">
        <v>42779349</v>
      </c>
      <c r="Q117" s="260">
        <v>6674584</v>
      </c>
      <c r="R117" s="332">
        <f ca="1">IF(ISNUMBER(Table2[[#This Row],[D401 Dining Meter Reading]]),(Table2[[#This Row],[D401 Dining Meter Reading]]-P116)+(Table2[[#This Row],[D404 Castle Meter Reading]]-Q116)," ")</f>
        <v>63708</v>
      </c>
      <c r="S117" s="516">
        <f ca="1">IF(ISNUMBER(Table2[[#This Row],[D401&amp; D404  Consumption - kg]]),Table2[[#This Row],[D401&amp; D404  Consumption - kg]]/1.18," ")</f>
        <v>53989.830508474581</v>
      </c>
      <c r="T117" s="216">
        <f ca="1">IF(ISNUMBER(Table2[[#This Row],[  A + B
kWh]]),Table2[[#This Row],[  A + B
kWh]]+Table2[[#This Row],[192 Consumption
KWh]]+Table2[[#This Row],[D401&amp; D404  Consumption - kWh]]," ")</f>
        <v>550772.83050847461</v>
      </c>
    </row>
    <row r="118" spans="1:28" ht="14.45">
      <c r="A118" s="608"/>
      <c r="B118" s="416"/>
      <c r="C118" s="216">
        <v>1242068</v>
      </c>
      <c r="D118" s="260">
        <v>615600</v>
      </c>
      <c r="E118" s="323">
        <f t="shared" si="20"/>
        <v>30000</v>
      </c>
      <c r="F118" s="257">
        <v>68432893</v>
      </c>
      <c r="G118" s="215">
        <v>54859663</v>
      </c>
      <c r="H118" s="264">
        <f t="shared" si="30"/>
        <v>381626</v>
      </c>
      <c r="I118" s="261">
        <f t="shared" si="31"/>
        <v>323395</v>
      </c>
      <c r="J118" s="257">
        <v>51540527</v>
      </c>
      <c r="K118" s="218">
        <v>41608703</v>
      </c>
      <c r="L118" s="260">
        <f t="shared" si="23"/>
        <v>307468</v>
      </c>
      <c r="M118" s="260">
        <f t="shared" si="24"/>
        <v>260517</v>
      </c>
      <c r="N118" s="332">
        <f t="shared" si="32"/>
        <v>689094</v>
      </c>
      <c r="O118" s="516">
        <f t="shared" si="33"/>
        <v>583912</v>
      </c>
      <c r="P118" s="260">
        <v>42809250</v>
      </c>
      <c r="Q118" s="260">
        <v>6725753</v>
      </c>
      <c r="R118" s="332">
        <f ca="1">IF(ISNUMBER(Table2[[#This Row],[D401 Dining Meter Reading]]),(Table2[[#This Row],[D401 Dining Meter Reading]]-P117)+(Table2[[#This Row],[D404 Castle Meter Reading]]-Q117)," ")</f>
        <v>81070</v>
      </c>
      <c r="S118" s="516">
        <f ca="1">IF(ISNUMBER(Table2[[#This Row],[D401&amp; D404  Consumption - kg]]),Table2[[#This Row],[D401&amp; D404  Consumption - kg]]/1.18," ")</f>
        <v>68703.389830508473</v>
      </c>
      <c r="T118" s="70">
        <f ca="1">IF(ISNUMBER(Table2[[#This Row],[  A + B
kWh]]),Table2[[#This Row],[  A + B
kWh]]+Table2[[#This Row],[192 Consumption
KWh]]+Table2[[#This Row],[D401&amp; D404  Consumption - kWh]]," ")</f>
        <v>682615.3898305085</v>
      </c>
    </row>
    <row r="119" spans="1:28" ht="14.45">
      <c r="A119" s="608"/>
      <c r="B119" s="416"/>
      <c r="C119" s="216">
        <v>1582880</v>
      </c>
      <c r="D119" s="260">
        <v>653500</v>
      </c>
      <c r="E119" s="323">
        <f t="shared" ref="E119:E127" si="34">IF(ISNUMBER(D119),D119-D118," ")</f>
        <v>37900</v>
      </c>
      <c r="F119" s="252">
        <v>68872693</v>
      </c>
      <c r="G119" s="274">
        <v>55232402</v>
      </c>
      <c r="H119" s="264">
        <f t="shared" si="30"/>
        <v>439800</v>
      </c>
      <c r="I119" s="261">
        <f t="shared" si="31"/>
        <v>372739</v>
      </c>
      <c r="J119" s="252">
        <v>51817095</v>
      </c>
      <c r="K119" s="218">
        <v>41843045</v>
      </c>
      <c r="L119" s="260">
        <f t="shared" ref="L119:L127" si="35">IF(ISNUMBER(J119),J119-J118," ")</f>
        <v>276568</v>
      </c>
      <c r="M119" s="260">
        <f t="shared" ref="M119:M127" si="36">IF(ISNUMBER(K119),K119-K118," ")</f>
        <v>234342</v>
      </c>
      <c r="N119" s="332">
        <f t="shared" si="32"/>
        <v>716368</v>
      </c>
      <c r="O119" s="516">
        <f t="shared" si="33"/>
        <v>607081</v>
      </c>
      <c r="P119" s="260">
        <v>42897908</v>
      </c>
      <c r="Q119" s="260">
        <v>6783116</v>
      </c>
      <c r="R119" s="332">
        <f ca="1">IF(ISNUMBER(Table2[[#This Row],[D401 Dining Meter Reading]]),(Table2[[#This Row],[D401 Dining Meter Reading]]-P118)+(Table2[[#This Row],[D404 Castle Meter Reading]]-Q118)," ")</f>
        <v>146021</v>
      </c>
      <c r="S119" s="516">
        <f ca="1">IF(ISNUMBER(Table2[[#This Row],[D401&amp; D404  Consumption - kg]]),Table2[[#This Row],[D401&amp; D404  Consumption - kg]]/1.18," ")</f>
        <v>123746.61016949153</v>
      </c>
      <c r="T119" s="323">
        <f ca="1">IF(ISNUMBER(Table2[[#This Row],[  A + B
kWh]]),Table2[[#This Row],[  A + B
kWh]]+Table2[[#This Row],[192 Consumption
KWh]]+Table2[[#This Row],[D401&amp; D404  Consumption - kWh]]," ")</f>
        <v>768727.6101694915</v>
      </c>
    </row>
    <row r="120" spans="1:28" ht="14.45">
      <c r="A120" s="608"/>
      <c r="B120" s="416"/>
      <c r="C120" s="216">
        <v>1867226</v>
      </c>
      <c r="D120" s="260">
        <v>701400</v>
      </c>
      <c r="E120" s="323">
        <f t="shared" si="34"/>
        <v>47900</v>
      </c>
      <c r="F120" s="260">
        <v>69311784</v>
      </c>
      <c r="G120" s="260">
        <v>55604551</v>
      </c>
      <c r="H120" s="264">
        <f t="shared" si="30"/>
        <v>439091</v>
      </c>
      <c r="I120" s="261">
        <f t="shared" si="31"/>
        <v>372149</v>
      </c>
      <c r="J120" s="260">
        <v>52294917</v>
      </c>
      <c r="K120" s="218">
        <v>42239419</v>
      </c>
      <c r="L120" s="260">
        <f t="shared" si="35"/>
        <v>477822</v>
      </c>
      <c r="M120" s="260">
        <f t="shared" si="36"/>
        <v>396374</v>
      </c>
      <c r="N120" s="332">
        <f t="shared" si="32"/>
        <v>916913</v>
      </c>
      <c r="O120" s="516">
        <f t="shared" si="33"/>
        <v>768523</v>
      </c>
      <c r="P120" s="260">
        <v>43018130</v>
      </c>
      <c r="Q120" s="260">
        <v>6861298</v>
      </c>
      <c r="R120" s="332">
        <f ca="1">IF(ISNUMBER(Table2[[#This Row],[D401 Dining Meter Reading]]),(Table2[[#This Row],[D401 Dining Meter Reading]]-P119)+(Table2[[#This Row],[D404 Castle Meter Reading]]-Q119)," ")</f>
        <v>198404</v>
      </c>
      <c r="S120" s="516">
        <f ca="1">IF(ISNUMBER(Table2[[#This Row],[D401&amp; D404  Consumption - kg]]),Table2[[#This Row],[D401&amp; D404  Consumption - kg]]/1.18," ")</f>
        <v>168138.98305084746</v>
      </c>
      <c r="T120" s="323">
        <f ca="1">IF(ISNUMBER(Table2[[#This Row],[  A + B
kWh]]),Table2[[#This Row],[  A + B
kWh]]+Table2[[#This Row],[192 Consumption
KWh]]+Table2[[#This Row],[D401&amp; D404  Consumption - kWh]]," ")</f>
        <v>984561.98305084743</v>
      </c>
    </row>
    <row r="121" spans="1:28" ht="14.45">
      <c r="A121" s="608"/>
      <c r="B121" s="416"/>
      <c r="C121" s="216">
        <v>2183608</v>
      </c>
      <c r="D121" s="260">
        <v>753900</v>
      </c>
      <c r="E121" s="323">
        <f t="shared" si="34"/>
        <v>52500</v>
      </c>
      <c r="F121" s="215">
        <v>69806768</v>
      </c>
      <c r="G121" s="215">
        <v>56024152</v>
      </c>
      <c r="H121" s="264">
        <f t="shared" si="30"/>
        <v>494984</v>
      </c>
      <c r="I121" s="261">
        <f t="shared" si="31"/>
        <v>419601</v>
      </c>
      <c r="J121" s="215">
        <v>52841810</v>
      </c>
      <c r="K121" s="218">
        <v>42702853</v>
      </c>
      <c r="L121" s="260">
        <f t="shared" si="35"/>
        <v>546893</v>
      </c>
      <c r="M121" s="260">
        <f t="shared" si="36"/>
        <v>463434</v>
      </c>
      <c r="N121" s="332">
        <f t="shared" si="32"/>
        <v>1041877</v>
      </c>
      <c r="O121" s="516">
        <f t="shared" si="33"/>
        <v>883035</v>
      </c>
      <c r="P121" s="1101">
        <v>43140000</v>
      </c>
      <c r="Q121" s="1101">
        <v>6952000</v>
      </c>
      <c r="R121" s="332">
        <f ca="1">IF(ISNUMBER(Table2[[#This Row],[D401 Dining Meter Reading]]),(Table2[[#This Row],[D401 Dining Meter Reading]]-P120)+(Table2[[#This Row],[D404 Castle Meter Reading]]-Q120)," ")</f>
        <v>212572</v>
      </c>
      <c r="S121" s="516">
        <f ca="1">IF(ISNUMBER(Table2[[#This Row],[D401&amp; D404  Consumption - kg]]),Table2[[#This Row],[D401&amp; D404  Consumption - kg]]/1.18," ")</f>
        <v>180145.76271186443</v>
      </c>
      <c r="T121" s="323">
        <f ca="1">IF(ISNUMBER(Table2[[#This Row],[  A + B
kWh]]),Table2[[#This Row],[  A + B
kWh]]+Table2[[#This Row],[192 Consumption
KWh]]+Table2[[#This Row],[D401&amp; D404  Consumption - kWh]]," ")</f>
        <v>1115680.7627118644</v>
      </c>
    </row>
    <row r="122" spans="1:28" ht="14.45">
      <c r="A122" s="608" t="s">
        <v>356</v>
      </c>
      <c r="B122" s="416">
        <v>2023</v>
      </c>
      <c r="C122" s="324">
        <f>1422390+1062983</f>
        <v>2485373</v>
      </c>
      <c r="D122" s="260">
        <v>820300</v>
      </c>
      <c r="E122" s="323">
        <f t="shared" si="34"/>
        <v>66400</v>
      </c>
      <c r="F122" s="215">
        <v>70419568</v>
      </c>
      <c r="G122" s="215">
        <v>56543638</v>
      </c>
      <c r="H122" s="264">
        <f t="shared" si="30"/>
        <v>612800</v>
      </c>
      <c r="I122" s="261">
        <f t="shared" si="31"/>
        <v>519486</v>
      </c>
      <c r="J122" s="215">
        <v>53531195</v>
      </c>
      <c r="K122" s="218">
        <v>43287069</v>
      </c>
      <c r="L122" s="260">
        <f t="shared" si="35"/>
        <v>689385</v>
      </c>
      <c r="M122" s="260">
        <f t="shared" si="36"/>
        <v>584216</v>
      </c>
      <c r="N122" s="332">
        <f t="shared" si="32"/>
        <v>1302185</v>
      </c>
      <c r="O122" s="516">
        <f t="shared" si="33"/>
        <v>1103702</v>
      </c>
      <c r="P122" s="260">
        <v>43283324</v>
      </c>
      <c r="Q122" s="260">
        <v>7046961</v>
      </c>
      <c r="R122" s="332">
        <f ca="1">IF(ISNUMBER(Table2[[#This Row],[D401 Dining Meter Reading]]),(Table2[[#This Row],[D401 Dining Meter Reading]]-P121)+(Table2[[#This Row],[D404 Castle Meter Reading]]-Q121)," ")</f>
        <v>238285</v>
      </c>
      <c r="S122" s="516">
        <f ca="1">IF(ISNUMBER(Table2[[#This Row],[D401&amp; D404  Consumption - kg]]),Table2[[#This Row],[D401&amp; D404  Consumption - kg]]/1.18," ")</f>
        <v>201936.44067796611</v>
      </c>
      <c r="T122" s="323">
        <f ca="1">IF(ISNUMBER(Table2[[#This Row],[  A + B
kWh]]),Table2[[#This Row],[  A + B
kWh]]+Table2[[#This Row],[192 Consumption
KWh]]+Table2[[#This Row],[D401&amp; D404  Consumption - kWh]]," ")</f>
        <v>1372038.440677966</v>
      </c>
      <c r="V122" s="35" t="s">
        <v>377</v>
      </c>
    </row>
    <row r="123" spans="1:28" ht="14.45">
      <c r="A123" s="608"/>
      <c r="B123" s="416"/>
      <c r="C123" s="216">
        <v>2752910</v>
      </c>
      <c r="D123" s="1143">
        <v>894000</v>
      </c>
      <c r="E123" s="323">
        <f t="shared" si="34"/>
        <v>73700</v>
      </c>
      <c r="F123" s="215">
        <v>71047335</v>
      </c>
      <c r="G123" s="325">
        <v>57075829</v>
      </c>
      <c r="H123" s="264">
        <f t="shared" si="30"/>
        <v>627767</v>
      </c>
      <c r="I123" s="261">
        <f t="shared" si="31"/>
        <v>532191</v>
      </c>
      <c r="J123" s="215">
        <v>54203015</v>
      </c>
      <c r="K123" s="273">
        <v>43849129</v>
      </c>
      <c r="L123" s="260">
        <f t="shared" si="35"/>
        <v>671820</v>
      </c>
      <c r="M123" s="260">
        <f t="shared" si="36"/>
        <v>562060</v>
      </c>
      <c r="N123" s="332">
        <f t="shared" si="32"/>
        <v>1299587</v>
      </c>
      <c r="O123" s="516">
        <f t="shared" si="33"/>
        <v>1094251</v>
      </c>
      <c r="P123" s="260">
        <v>43441111</v>
      </c>
      <c r="Q123" s="260">
        <v>7167555</v>
      </c>
      <c r="R123" s="332">
        <f ca="1">IF(ISNUMBER(Table2[[#This Row],[D401 Dining Meter Reading]]),(Table2[[#This Row],[D401 Dining Meter Reading]]-P122)+(Table2[[#This Row],[D404 Castle Meter Reading]]-Q122)," ")</f>
        <v>278381</v>
      </c>
      <c r="S123" s="516">
        <f ca="1">IF(ISNUMBER(Table2[[#This Row],[D401&amp; D404  Consumption - kg]]),Table2[[#This Row],[D401&amp; D404  Consumption - kg]]/1.18," ")</f>
        <v>235916.10169491527</v>
      </c>
      <c r="T123" s="323">
        <f ca="1">IF(ISNUMBER(Table2[[#This Row],[  A + B
kWh]]),Table2[[#This Row],[  A + B
kWh]]+Table2[[#This Row],[192 Consumption
KWh]]+Table2[[#This Row],[D401&amp; D404  Consumption - kWh]]," ")</f>
        <v>1403867.1016949152</v>
      </c>
      <c r="U123" s="35"/>
    </row>
    <row r="124" spans="1:28" ht="14.45">
      <c r="A124" s="608"/>
      <c r="B124" s="416"/>
      <c r="C124" s="324">
        <v>2255240</v>
      </c>
      <c r="D124" s="260">
        <v>940500</v>
      </c>
      <c r="E124" s="323">
        <f t="shared" si="34"/>
        <v>46500</v>
      </c>
      <c r="F124" s="215">
        <v>71581767</v>
      </c>
      <c r="G124" s="325">
        <v>57528802</v>
      </c>
      <c r="H124" s="264">
        <f t="shared" si="30"/>
        <v>534432</v>
      </c>
      <c r="I124" s="261">
        <f t="shared" si="31"/>
        <v>452973</v>
      </c>
      <c r="J124" s="215">
        <v>54774536</v>
      </c>
      <c r="K124" s="273">
        <v>44324745</v>
      </c>
      <c r="L124" s="260">
        <f t="shared" si="35"/>
        <v>571521</v>
      </c>
      <c r="M124" s="260">
        <f t="shared" si="36"/>
        <v>475616</v>
      </c>
      <c r="N124" s="332">
        <f t="shared" si="32"/>
        <v>1105953</v>
      </c>
      <c r="O124" s="516">
        <f t="shared" si="33"/>
        <v>928589</v>
      </c>
      <c r="P124" s="274">
        <v>43548534</v>
      </c>
      <c r="Q124" s="274">
        <v>7264335</v>
      </c>
      <c r="R124" s="516">
        <f ca="1">IF(ISNUMBER(Table2[[#This Row],[D401 Dining Meter Reading]]),(Table2[[#This Row],[D401 Dining Meter Reading]]-P123)+(Table2[[#This Row],[D404 Castle Meter Reading]]-Q123)," ")</f>
        <v>204203</v>
      </c>
      <c r="S124" s="516">
        <f ca="1">IF(ISNUMBER(Table2[[#This Row],[D401&amp; D404  Consumption - kg]]),Table2[[#This Row],[D401&amp; D404  Consumption - kg]]/1.18," ")</f>
        <v>173053.38983050847</v>
      </c>
      <c r="T124" s="323">
        <f ca="1">IF(ISNUMBER(Table2[[#This Row],[  A + B
kWh]]),Table2[[#This Row],[  A + B
kWh]]+Table2[[#This Row],[192 Consumption
KWh]]+Table2[[#This Row],[D401&amp; D404  Consumption - kWh]]," ")</f>
        <v>1148142.3898305085</v>
      </c>
    </row>
    <row r="125" spans="1:28" ht="14.45">
      <c r="A125" s="608"/>
      <c r="B125" s="417"/>
      <c r="C125" s="324">
        <v>2023701</v>
      </c>
      <c r="D125" s="260">
        <v>984800</v>
      </c>
      <c r="E125" s="323">
        <f t="shared" si="34"/>
        <v>44300</v>
      </c>
      <c r="F125" s="215">
        <v>71989644</v>
      </c>
      <c r="G125" s="325">
        <v>57874507</v>
      </c>
      <c r="H125" s="264">
        <f t="shared" si="30"/>
        <v>407877</v>
      </c>
      <c r="I125" s="261">
        <f t="shared" si="31"/>
        <v>345705</v>
      </c>
      <c r="J125" s="215">
        <v>55246340</v>
      </c>
      <c r="K125" s="273">
        <v>44723997</v>
      </c>
      <c r="L125" s="260">
        <f t="shared" si="35"/>
        <v>471804</v>
      </c>
      <c r="M125" s="260">
        <f t="shared" si="36"/>
        <v>399252</v>
      </c>
      <c r="N125" s="332">
        <f t="shared" si="32"/>
        <v>879681</v>
      </c>
      <c r="O125" s="516">
        <f t="shared" si="33"/>
        <v>744957</v>
      </c>
      <c r="P125" s="260">
        <v>43651447</v>
      </c>
      <c r="Q125" s="260">
        <v>7348038</v>
      </c>
      <c r="R125" s="516">
        <f ca="1">IF(ISNUMBER(Table2[[#This Row],[D401 Dining Meter Reading]]),(Table2[[#This Row],[D401 Dining Meter Reading]]-P124)+(Table2[[#This Row],[D404 Castle Meter Reading]]-Q124)," ")</f>
        <v>186616</v>
      </c>
      <c r="S125" s="516">
        <f ca="1">IF(ISNUMBER(Table2[[#This Row],[D401&amp; D404  Consumption - kg]]),Table2[[#This Row],[D401&amp; D404  Consumption - kg]]/1.18," ")</f>
        <v>158149.1525423729</v>
      </c>
      <c r="T125" s="323">
        <f ca="1">IF(ISNUMBER(Table2[[#This Row],[  A + B
kWh]]),Table2[[#This Row],[  A + B
kWh]]+Table2[[#This Row],[192 Consumption
KWh]]+Table2[[#This Row],[D401&amp; D404  Consumption - kWh]]," ")</f>
        <v>947406.15254237293</v>
      </c>
    </row>
    <row r="126" spans="1:28" ht="14.45">
      <c r="A126" s="608"/>
      <c r="B126" s="417"/>
      <c r="C126" s="1203">
        <v>1275338</v>
      </c>
      <c r="D126" s="1143">
        <v>1010300</v>
      </c>
      <c r="E126" s="323">
        <f t="shared" si="34"/>
        <v>25500</v>
      </c>
      <c r="F126" s="215">
        <v>72396603</v>
      </c>
      <c r="G126" s="325">
        <v>58219378</v>
      </c>
      <c r="H126" s="264">
        <f t="shared" si="30"/>
        <v>406959</v>
      </c>
      <c r="I126" s="261">
        <f t="shared" si="31"/>
        <v>344871</v>
      </c>
      <c r="J126" s="215">
        <v>55705864</v>
      </c>
      <c r="K126" s="273">
        <v>45112649</v>
      </c>
      <c r="L126" s="260">
        <f t="shared" si="35"/>
        <v>459524</v>
      </c>
      <c r="M126" s="260">
        <f t="shared" si="36"/>
        <v>388652</v>
      </c>
      <c r="N126" s="332">
        <f t="shared" si="32"/>
        <v>866483</v>
      </c>
      <c r="O126" s="516">
        <f t="shared" si="33"/>
        <v>733523</v>
      </c>
      <c r="P126" s="260">
        <v>43716550</v>
      </c>
      <c r="Q126" s="260">
        <v>7417462</v>
      </c>
      <c r="R126" s="516">
        <f ca="1">IF(ISNUMBER(Table2[[#This Row],[D401 Dining Meter Reading]]),(Table2[[#This Row],[D401 Dining Meter Reading]]-P125)+(Table2[[#This Row],[D404 Castle Meter Reading]]-Q125)," ")</f>
        <v>134527</v>
      </c>
      <c r="S126" s="516">
        <f ca="1">IF(ISNUMBER(Table2[[#This Row],[D401&amp; D404  Consumption - kg]]),Table2[[#This Row],[D401&amp; D404  Consumption - kg]]/1.18," ")</f>
        <v>114005.93220338984</v>
      </c>
      <c r="T126" s="323">
        <f ca="1">IF(ISNUMBER(Table2[[#This Row],[  A + B
kWh]]),Table2[[#This Row],[  A + B
kWh]]+Table2[[#This Row],[192 Consumption
KWh]]+Table2[[#This Row],[D401&amp; D404  Consumption - kWh]]," ")</f>
        <v>873028.93220338982</v>
      </c>
    </row>
    <row r="127" spans="1:28" ht="14.45">
      <c r="A127" s="1069"/>
      <c r="B127" s="417"/>
      <c r="C127" s="324">
        <v>1220450</v>
      </c>
      <c r="D127" s="274">
        <v>1022200</v>
      </c>
      <c r="E127" s="253">
        <f t="shared" si="34"/>
        <v>11900</v>
      </c>
      <c r="F127" s="215">
        <v>72628355</v>
      </c>
      <c r="G127" s="325">
        <v>58415774</v>
      </c>
      <c r="H127" s="403">
        <f t="shared" si="30"/>
        <v>231752</v>
      </c>
      <c r="I127" s="335">
        <f t="shared" si="31"/>
        <v>196396</v>
      </c>
      <c r="J127" s="215">
        <v>55968930</v>
      </c>
      <c r="K127" s="273">
        <v>45335513</v>
      </c>
      <c r="L127" s="274">
        <f t="shared" si="35"/>
        <v>263066</v>
      </c>
      <c r="M127" s="274">
        <f t="shared" si="36"/>
        <v>222864</v>
      </c>
      <c r="N127" s="610">
        <f t="shared" si="32"/>
        <v>494818</v>
      </c>
      <c r="O127" s="985">
        <f t="shared" si="33"/>
        <v>419260</v>
      </c>
      <c r="P127" s="274">
        <v>43731793</v>
      </c>
      <c r="Q127" s="274">
        <v>7452710</v>
      </c>
      <c r="R127" s="985">
        <f ca="1">IF(ISNUMBER(Table2[[#This Row],[D401 Dining Meter Reading]]),(Table2[[#This Row],[D401 Dining Meter Reading]]-P126)+(Table2[[#This Row],[D404 Castle Meter Reading]]-Q126)," ")</f>
        <v>50491</v>
      </c>
      <c r="S127" s="985">
        <f ca="1">IF(ISNUMBER(Table2[[#This Row],[D401&amp; D404  Consumption - kg]]),Table2[[#This Row],[D401&amp; D404  Consumption - kg]]/1.18," ")</f>
        <v>42788.983050847462</v>
      </c>
      <c r="T127" s="285">
        <f ca="1">IF(ISNUMBER(Table2[[#This Row],[  A + B
kWh]]),Table2[[#This Row],[  A + B
kWh]]+Table2[[#This Row],[192 Consumption
KWh]]+Table2[[#This Row],[D401&amp; D404  Consumption - kWh]]," ")</f>
        <v>473948.98305084748</v>
      </c>
    </row>
    <row r="128" spans="1:28" ht="14.45">
      <c r="A128" s="1196" t="s">
        <v>228</v>
      </c>
      <c r="B128" s="1197"/>
      <c r="C128" s="322">
        <v>1090082</v>
      </c>
      <c r="D128" s="607">
        <v>1025600</v>
      </c>
      <c r="E128" s="322">
        <f t="shared" ref="E128:E139" si="37">IF(ISNUMBER(D128),D128-D127," ")</f>
        <v>3400</v>
      </c>
      <c r="F128" s="607">
        <v>73065881</v>
      </c>
      <c r="G128" s="607">
        <v>58786531</v>
      </c>
      <c r="H128" s="512">
        <f t="shared" ref="H128:H139" si="38">IF(ISNUMBER(F128),F128-F127," ")</f>
        <v>437526</v>
      </c>
      <c r="I128" s="513">
        <f t="shared" ref="I128:I139" si="39">IF(ISNUMBER(G128),G128-G127," ")</f>
        <v>370757</v>
      </c>
      <c r="J128" s="607">
        <v>56453071</v>
      </c>
      <c r="K128" s="607">
        <v>45745670</v>
      </c>
      <c r="L128" s="512">
        <f t="shared" ref="L128:L139" si="40">IF(ISNUMBER(J128),J128-J127," ")</f>
        <v>484141</v>
      </c>
      <c r="M128" s="513">
        <f t="shared" ref="M128:M139" si="41">IF(ISNUMBER(K128),K128-K127," ")</f>
        <v>410157</v>
      </c>
      <c r="N128" s="1198">
        <f t="shared" ref="N128:N139" si="42">IF(ISNUMBER(H128),H128+L128," ")</f>
        <v>921667</v>
      </c>
      <c r="O128" s="1198">
        <f t="shared" ref="O128:O139" si="43">IF(ISNUMBER(I128),I128+M128," ")</f>
        <v>780914</v>
      </c>
      <c r="P128" s="607">
        <v>43742344</v>
      </c>
      <c r="Q128" s="607">
        <v>7455925</v>
      </c>
      <c r="R128" s="326">
        <f ca="1">IF(ISNUMBER(Table2[[#This Row],[D401 Dining Meter Reading]]),(Table2[[#This Row],[D401 Dining Meter Reading]]-P127)+(Table2[[#This Row],[D404 Castle Meter Reading]]-Q127)," ")</f>
        <v>13766</v>
      </c>
      <c r="S128" s="1198">
        <f ca="1">IF(ISNUMBER(Table2[[#This Row],[D401&amp; D404  Consumption - kg]]),Table2[[#This Row],[D401&amp; D404  Consumption - kg]]/1.18," ")</f>
        <v>11666.101694915254</v>
      </c>
      <c r="T128" s="322">
        <f ca="1">IF(ISNUMBER(Table2[[#This Row],[  A + B
kWh]]),Table2[[#This Row],[  A + B
kWh]]+Table2[[#This Row],[192 Consumption
KWh]]+Table2[[#This Row],[D401&amp; D404  Consumption - kWh]]," ")</f>
        <v>795980.10169491521</v>
      </c>
      <c r="AB128">
        <f>(N48/N47)-1</f>
        <v>0.32971961218141876</v>
      </c>
    </row>
    <row r="129" spans="1:28" ht="14.45">
      <c r="A129" s="1199"/>
      <c r="B129" s="414"/>
      <c r="C129" s="216">
        <v>1215228</v>
      </c>
      <c r="D129" s="215">
        <v>1044000</v>
      </c>
      <c r="E129" s="216">
        <f t="shared" si="37"/>
        <v>18400</v>
      </c>
      <c r="F129" s="215">
        <v>73372685</v>
      </c>
      <c r="G129" s="215">
        <v>59046524</v>
      </c>
      <c r="H129" s="514">
        <f t="shared" si="38"/>
        <v>306804</v>
      </c>
      <c r="I129" s="258">
        <f t="shared" si="39"/>
        <v>259993</v>
      </c>
      <c r="J129" s="215">
        <v>56788912</v>
      </c>
      <c r="K129" s="215">
        <v>46027642</v>
      </c>
      <c r="L129" s="514">
        <f t="shared" si="40"/>
        <v>335841</v>
      </c>
      <c r="M129" s="258">
        <f t="shared" si="41"/>
        <v>281972</v>
      </c>
      <c r="N129" s="983">
        <f t="shared" si="42"/>
        <v>642645</v>
      </c>
      <c r="O129" s="983">
        <f t="shared" si="43"/>
        <v>541965</v>
      </c>
      <c r="P129" s="215">
        <v>43774670</v>
      </c>
      <c r="Q129" s="215">
        <v>7469772</v>
      </c>
      <c r="R129" s="253">
        <f ca="1">IF(ISNUMBER(Table2[[#This Row],[D401 Dining Meter Reading]]),(Table2[[#This Row],[D401 Dining Meter Reading]]-P128)+(Table2[[#This Row],[D404 Castle Meter Reading]]-Q128)," ")</f>
        <v>46173</v>
      </c>
      <c r="S129" s="983">
        <f ca="1">IF(ISNUMBER(Table2[[#This Row],[D401&amp; D404  Consumption - kg]]),Table2[[#This Row],[D401&amp; D404  Consumption - kg]]/1.18," ")</f>
        <v>39129.661016949154</v>
      </c>
      <c r="T129" s="216">
        <f ca="1">IF(ISNUMBER(Table2[[#This Row],[  A + B
kWh]]),Table2[[#This Row],[  A + B
kWh]]+Table2[[#This Row],[192 Consumption
KWh]]+Table2[[#This Row],[D401&amp; D404  Consumption - kWh]]," ")</f>
        <v>599494.6610169491</v>
      </c>
      <c r="AB129">
        <f>(C48/C47)-1</f>
        <v>0.48799999999999999</v>
      </c>
    </row>
    <row r="130" spans="1:28" ht="14.45">
      <c r="A130" s="1199"/>
      <c r="B130" s="414"/>
      <c r="C130" s="216">
        <v>1750460</v>
      </c>
      <c r="D130" s="215">
        <v>1085900</v>
      </c>
      <c r="E130" s="216">
        <f t="shared" si="37"/>
        <v>41900</v>
      </c>
      <c r="F130" s="215">
        <v>73811348</v>
      </c>
      <c r="G130" s="215">
        <v>59418277</v>
      </c>
      <c r="H130" s="514">
        <f t="shared" si="38"/>
        <v>438663</v>
      </c>
      <c r="I130" s="258">
        <f t="shared" si="39"/>
        <v>371753</v>
      </c>
      <c r="J130" s="215">
        <v>57230823</v>
      </c>
      <c r="K130" s="215">
        <v>46400640</v>
      </c>
      <c r="L130" s="514">
        <f t="shared" si="40"/>
        <v>441911</v>
      </c>
      <c r="M130" s="258">
        <f t="shared" si="41"/>
        <v>372998</v>
      </c>
      <c r="N130" s="983">
        <f t="shared" si="42"/>
        <v>880574</v>
      </c>
      <c r="O130" s="983">
        <f t="shared" si="43"/>
        <v>744751</v>
      </c>
      <c r="P130" s="215">
        <v>43862971</v>
      </c>
      <c r="Q130" s="215">
        <v>7512575</v>
      </c>
      <c r="R130" s="323">
        <f ca="1">IF(ISNUMBER(Table2[[#This Row],[D401 Dining Meter Reading]]),(Table2[[#This Row],[D401 Dining Meter Reading]]-P129)+(Table2[[#This Row],[D404 Castle Meter Reading]]-Q129)," ")</f>
        <v>131104</v>
      </c>
      <c r="S130" s="983">
        <f ca="1">IF(ISNUMBER(Table2[[#This Row],[D401&amp; D404  Consumption - kg]]),Table2[[#This Row],[D401&amp; D404  Consumption - kg]]/1.18," ")</f>
        <v>111105.08474576272</v>
      </c>
      <c r="T130" s="216">
        <f ca="1">IF(ISNUMBER(Table2[[#This Row],[  A + B
kWh]]),Table2[[#This Row],[  A + B
kWh]]+Table2[[#This Row],[192 Consumption
KWh]]+Table2[[#This Row],[D401&amp; D404  Consumption - kWh]]," ")</f>
        <v>897756.08474576275</v>
      </c>
    </row>
    <row r="131" spans="1:28" ht="14.45">
      <c r="A131" s="1199"/>
      <c r="B131" s="414"/>
      <c r="C131" s="216">
        <v>1903140</v>
      </c>
      <c r="D131" s="215">
        <v>1129900</v>
      </c>
      <c r="E131" s="216">
        <f t="shared" si="37"/>
        <v>44000</v>
      </c>
      <c r="F131" s="215">
        <v>74217169</v>
      </c>
      <c r="G131" s="215">
        <v>59762243</v>
      </c>
      <c r="H131" s="514">
        <f t="shared" si="38"/>
        <v>405821</v>
      </c>
      <c r="I131" s="258">
        <f t="shared" si="39"/>
        <v>343966</v>
      </c>
      <c r="J131" s="215">
        <v>57645922</v>
      </c>
      <c r="K131" s="215">
        <v>46750529</v>
      </c>
      <c r="L131" s="514">
        <f t="shared" si="40"/>
        <v>415099</v>
      </c>
      <c r="M131" s="258">
        <f t="shared" si="41"/>
        <v>349889</v>
      </c>
      <c r="N131" s="983">
        <f t="shared" si="42"/>
        <v>820920</v>
      </c>
      <c r="O131" s="983">
        <f t="shared" si="43"/>
        <v>693855</v>
      </c>
      <c r="P131" s="215">
        <v>43958869</v>
      </c>
      <c r="Q131" s="215">
        <v>7545793</v>
      </c>
      <c r="R131" s="253">
        <f ca="1">IF(ISNUMBER(Table2[[#This Row],[D401 Dining Meter Reading]]),(Table2[[#This Row],[D401 Dining Meter Reading]]-P130)+(Table2[[#This Row],[D404 Castle Meter Reading]]-Q130)," ")</f>
        <v>129116</v>
      </c>
      <c r="S131" s="983">
        <f ca="1">IF(ISNUMBER(Table2[[#This Row],[D401&amp; D404  Consumption - kg]]),Table2[[#This Row],[D401&amp; D404  Consumption - kg]]/1.18," ")</f>
        <v>109420.33898305085</v>
      </c>
      <c r="T131" s="216">
        <f ca="1">IF(ISNUMBER(Table2[[#This Row],[  A + B
kWh]]),Table2[[#This Row],[  A + B
kWh]]+Table2[[#This Row],[192 Consumption
KWh]]+Table2[[#This Row],[D401&amp; D404  Consumption - kWh]]," ")</f>
        <v>847275.3389830509</v>
      </c>
      <c r="V131">
        <f>F15/G15</f>
        <v>1.3553021144778754</v>
      </c>
      <c r="W131">
        <f>J15/K15</f>
        <v>1.2960778315402148</v>
      </c>
    </row>
    <row r="132" spans="1:28" ht="14.45">
      <c r="A132" s="1199"/>
      <c r="B132" s="414"/>
      <c r="C132" s="216">
        <v>2682010</v>
      </c>
      <c r="D132" s="215">
        <v>1196200</v>
      </c>
      <c r="E132" s="216">
        <f t="shared" si="37"/>
        <v>66300</v>
      </c>
      <c r="F132" s="215">
        <v>74762398</v>
      </c>
      <c r="G132" s="215">
        <v>60224435</v>
      </c>
      <c r="H132" s="514">
        <f t="shared" si="38"/>
        <v>545229</v>
      </c>
      <c r="I132" s="258">
        <f>IF(ISNUMBER(G132),G132-G131," ")</f>
        <v>462192</v>
      </c>
      <c r="J132" s="215">
        <v>58205841</v>
      </c>
      <c r="K132" s="215">
        <v>47212800</v>
      </c>
      <c r="L132" s="514">
        <f t="shared" si="40"/>
        <v>559919</v>
      </c>
      <c r="M132" s="258">
        <f t="shared" si="41"/>
        <v>462271</v>
      </c>
      <c r="N132" s="983">
        <f t="shared" si="42"/>
        <v>1105148</v>
      </c>
      <c r="O132" s="983">
        <f t="shared" si="43"/>
        <v>924463</v>
      </c>
      <c r="P132" s="215">
        <v>44105915</v>
      </c>
      <c r="Q132" s="215">
        <v>7616421</v>
      </c>
      <c r="R132" s="323">
        <f ca="1">IF(ISNUMBER(Table2[[#This Row],[D401 Dining Meter Reading]]),(Table2[[#This Row],[D401 Dining Meter Reading]]-P131)+(Table2[[#This Row],[D404 Castle Meter Reading]]-Q131)," ")</f>
        <v>217674</v>
      </c>
      <c r="S132" s="983">
        <f ca="1">IF(ISNUMBER(Table2[[#This Row],[D401&amp; D404  Consumption - kg]]),Table2[[#This Row],[D401&amp; D404  Consumption - kg]]/1.18," ")</f>
        <v>184469.49152542374</v>
      </c>
      <c r="T132" s="216">
        <f ca="1">IF(ISNUMBER(Table2[[#This Row],[  A + B
kWh]]),Table2[[#This Row],[  A + B
kWh]]+Table2[[#This Row],[192 Consumption
KWh]]+Table2[[#This Row],[D401&amp; D404  Consumption - kWh]]," ")</f>
        <v>1175232.4915254237</v>
      </c>
      <c r="V132">
        <f>F16/G16</f>
        <v>1.3553070200415802</v>
      </c>
      <c r="W132">
        <f>J16/K16</f>
        <v>1.2960906793643738</v>
      </c>
    </row>
    <row r="133" spans="1:28" ht="14.45">
      <c r="A133" s="1199"/>
      <c r="B133" s="414"/>
      <c r="C133" s="216">
        <v>2502168</v>
      </c>
      <c r="D133" s="215">
        <v>1257800</v>
      </c>
      <c r="E133" s="216">
        <f t="shared" si="37"/>
        <v>61600</v>
      </c>
      <c r="F133" s="215">
        <v>75295155</v>
      </c>
      <c r="G133" s="215">
        <v>60676050</v>
      </c>
      <c r="H133" s="514">
        <f t="shared" si="38"/>
        <v>532757</v>
      </c>
      <c r="I133" s="258">
        <f t="shared" si="39"/>
        <v>451615</v>
      </c>
      <c r="J133" s="215">
        <v>58704811</v>
      </c>
      <c r="K133" s="215">
        <v>47635726</v>
      </c>
      <c r="L133" s="514">
        <f t="shared" si="40"/>
        <v>498970</v>
      </c>
      <c r="M133" s="258">
        <f t="shared" si="41"/>
        <v>422926</v>
      </c>
      <c r="N133" s="983">
        <f t="shared" si="42"/>
        <v>1031727</v>
      </c>
      <c r="O133" s="983">
        <f t="shared" si="43"/>
        <v>874541</v>
      </c>
      <c r="P133" s="215">
        <v>44216166</v>
      </c>
      <c r="Q133" s="215">
        <v>7655816</v>
      </c>
      <c r="R133" s="253">
        <f ca="1">IF(ISNUMBER(Table2[[#This Row],[D401 Dining Meter Reading]]),(Table2[[#This Row],[D401 Dining Meter Reading]]-P132)+(Table2[[#This Row],[D404 Castle Meter Reading]]-Q132)," ")</f>
        <v>149646</v>
      </c>
      <c r="S133" s="983">
        <f ca="1">IF(ISNUMBER(Table2[[#This Row],[D401&amp; D404  Consumption - kg]]),Table2[[#This Row],[D401&amp; D404  Consumption - kg]]/1.18," ")</f>
        <v>126818.64406779662</v>
      </c>
      <c r="T133" s="216">
        <f ca="1">IF(ISNUMBER(Table2[[#This Row],[  A + B
kWh]]),Table2[[#This Row],[  A + B
kWh]]+Table2[[#This Row],[192 Consumption
KWh]]+Table2[[#This Row],[D401&amp; D404  Consumption - kWh]]," ")</f>
        <v>1062959.6440677966</v>
      </c>
    </row>
    <row r="134" spans="1:28" ht="14.45">
      <c r="A134" s="1199" t="s">
        <v>356</v>
      </c>
      <c r="B134" s="414">
        <v>2024</v>
      </c>
      <c r="C134" s="324">
        <v>2672173</v>
      </c>
      <c r="D134" s="215">
        <v>1323800</v>
      </c>
      <c r="E134" s="216">
        <f t="shared" si="37"/>
        <v>66000</v>
      </c>
      <c r="F134" s="215">
        <v>75828848</v>
      </c>
      <c r="G134" s="215">
        <v>61128463</v>
      </c>
      <c r="H134" s="514">
        <f t="shared" si="38"/>
        <v>533693</v>
      </c>
      <c r="I134" s="258">
        <f t="shared" si="39"/>
        <v>452413</v>
      </c>
      <c r="J134" s="215">
        <v>59225251</v>
      </c>
      <c r="K134" s="215">
        <v>48076864</v>
      </c>
      <c r="L134" s="514">
        <f t="shared" si="40"/>
        <v>520440</v>
      </c>
      <c r="M134" s="258">
        <f t="shared" si="41"/>
        <v>441138</v>
      </c>
      <c r="N134" s="983">
        <f t="shared" si="42"/>
        <v>1054133</v>
      </c>
      <c r="O134" s="983">
        <f t="shared" si="43"/>
        <v>893551</v>
      </c>
      <c r="P134" s="215">
        <v>44347539</v>
      </c>
      <c r="Q134" s="215">
        <v>7709610</v>
      </c>
      <c r="R134" s="323">
        <f ca="1">IF(ISNUMBER(Table2[[#This Row],[D401 Dining Meter Reading]]),(Table2[[#This Row],[D401 Dining Meter Reading]]-P133)+(Table2[[#This Row],[D404 Castle Meter Reading]]-Q133)," ")</f>
        <v>185167</v>
      </c>
      <c r="S134" s="983">
        <f ca="1">IF(ISNUMBER(Table2[[#This Row],[D401&amp; D404  Consumption - kg]]),Table2[[#This Row],[D401&amp; D404  Consumption - kg]]/1.18," ")</f>
        <v>156921.18644067796</v>
      </c>
      <c r="T134" s="216">
        <f ca="1">IF(ISNUMBER(Table2[[#This Row],[  A + B
kWh]]),Table2[[#This Row],[  A + B
kWh]]+Table2[[#This Row],[192 Consumption
KWh]]+Table2[[#This Row],[D401&amp; D404  Consumption - kWh]]," ")</f>
        <v>1116472.1864406778</v>
      </c>
      <c r="V134">
        <f>M15/L15</f>
        <v>0.77125117342546756</v>
      </c>
      <c r="W134" t="s">
        <v>378</v>
      </c>
      <c r="X134">
        <f>O15/N15</f>
        <v>0.75377187763785369</v>
      </c>
      <c r="Y134" t="s">
        <v>378</v>
      </c>
      <c r="AA134" t="s">
        <v>379</v>
      </c>
    </row>
    <row r="135" spans="1:28" ht="14.45">
      <c r="A135" s="1199"/>
      <c r="B135" s="414"/>
      <c r="C135" s="216">
        <v>2725880</v>
      </c>
      <c r="D135" s="215">
        <v>1395300</v>
      </c>
      <c r="E135" s="216">
        <f t="shared" si="37"/>
        <v>71500</v>
      </c>
      <c r="F135" s="215">
        <v>76418403</v>
      </c>
      <c r="G135" s="325">
        <v>61628228</v>
      </c>
      <c r="H135" s="514">
        <f>IF(ISNUMBER(F135),F135-F134," ")</f>
        <v>589555</v>
      </c>
      <c r="I135" s="258">
        <f t="shared" si="39"/>
        <v>499765</v>
      </c>
      <c r="J135" s="215">
        <v>59796095</v>
      </c>
      <c r="K135" s="325">
        <v>48560714</v>
      </c>
      <c r="L135" s="514">
        <f t="shared" si="40"/>
        <v>570844</v>
      </c>
      <c r="M135" s="258">
        <f t="shared" si="41"/>
        <v>483850</v>
      </c>
      <c r="N135" s="983">
        <f t="shared" si="42"/>
        <v>1160399</v>
      </c>
      <c r="O135" s="983">
        <f t="shared" si="43"/>
        <v>983615</v>
      </c>
      <c r="P135" s="215">
        <v>44500210</v>
      </c>
      <c r="Q135" s="215">
        <v>7781513</v>
      </c>
      <c r="R135" s="253">
        <f ca="1">IF(ISNUMBER(Table2[[#This Row],[D401 Dining Meter Reading]]),(Table2[[#This Row],[D401 Dining Meter Reading]]-P134)+(Table2[[#This Row],[D404 Castle Meter Reading]]-Q134)," ")</f>
        <v>224574</v>
      </c>
      <c r="S135" s="983">
        <f ca="1">IF(ISNUMBER(Table2[[#This Row],[D401&amp; D404  Consumption - kg]]),Table2[[#This Row],[D401&amp; D404  Consumption - kg]]/1.18," ")</f>
        <v>190316.94915254239</v>
      </c>
      <c r="T135" s="216">
        <f ca="1">IF(ISNUMBER(Table2[[#This Row],[  A + B
kWh]]),Table2[[#This Row],[  A + B
kWh]]+Table2[[#This Row],[192 Consumption
KWh]]+Table2[[#This Row],[D401&amp; D404  Consumption - kWh]]," ")</f>
        <v>1245431.9491525423</v>
      </c>
      <c r="X135">
        <f>0.16*X134</f>
        <v>0.1206035004220566</v>
      </c>
      <c r="Y135" t="s">
        <v>380</v>
      </c>
    </row>
    <row r="136" spans="1:28" ht="14.45">
      <c r="A136" s="1199"/>
      <c r="B136" s="414"/>
      <c r="C136" s="324">
        <v>2257100</v>
      </c>
      <c r="D136" s="215">
        <v>1449100</v>
      </c>
      <c r="E136" s="216">
        <f t="shared" si="37"/>
        <v>53800</v>
      </c>
      <c r="F136" s="215">
        <v>76903450</v>
      </c>
      <c r="G136" s="325">
        <v>62039346</v>
      </c>
      <c r="H136" s="514">
        <f t="shared" si="38"/>
        <v>485047</v>
      </c>
      <c r="I136" s="258">
        <f t="shared" si="39"/>
        <v>411118</v>
      </c>
      <c r="J136" s="215">
        <v>60264754</v>
      </c>
      <c r="K136" s="325">
        <v>48957917</v>
      </c>
      <c r="L136" s="514">
        <f t="shared" si="40"/>
        <v>468659</v>
      </c>
      <c r="M136" s="258">
        <f t="shared" si="41"/>
        <v>397203</v>
      </c>
      <c r="N136" s="983">
        <f t="shared" si="42"/>
        <v>953706</v>
      </c>
      <c r="O136" s="983">
        <f t="shared" si="43"/>
        <v>808321</v>
      </c>
      <c r="P136" s="1305">
        <v>44650296</v>
      </c>
      <c r="Q136" s="1143">
        <v>7855521</v>
      </c>
      <c r="R136" s="323">
        <f ca="1">IF(ISNUMBER(Table2[[#This Row],[D401 Dining Meter Reading]]),(Table2[[#This Row],[D401 Dining Meter Reading]]-P135)+(Table2[[#This Row],[D404 Castle Meter Reading]]-Q135)," ")</f>
        <v>224094</v>
      </c>
      <c r="S136" s="983">
        <f ca="1">IF(ISNUMBER(Table2[[#This Row],[D401&amp; D404  Consumption - kg]]),Table2[[#This Row],[D401&amp; D404  Consumption - kg]]/1.18," ")</f>
        <v>189910.16949152542</v>
      </c>
      <c r="T136" s="216">
        <f ca="1">IF(ISNUMBER(Table2[[#This Row],[  A + B
kWh]]),Table2[[#This Row],[  A + B
kWh]]+Table2[[#This Row],[192 Consumption
KWh]]+Table2[[#This Row],[D401&amp; D404  Consumption - kWh]]," ")</f>
        <v>1052031.1694915255</v>
      </c>
      <c r="X136">
        <f>X134-X135</f>
        <v>0.63316837721579711</v>
      </c>
      <c r="AA136" t="s">
        <v>381</v>
      </c>
    </row>
    <row r="137" spans="1:28" ht="14.45">
      <c r="A137" s="1199"/>
      <c r="C137" s="324">
        <v>2097170</v>
      </c>
      <c r="D137" s="215">
        <v>1497200</v>
      </c>
      <c r="E137" s="216">
        <f t="shared" si="37"/>
        <v>48100</v>
      </c>
      <c r="F137" s="215">
        <v>77365772</v>
      </c>
      <c r="G137" s="325">
        <v>62431186</v>
      </c>
      <c r="H137" s="514">
        <f t="shared" si="38"/>
        <v>462322</v>
      </c>
      <c r="I137" s="258">
        <f t="shared" si="39"/>
        <v>391840</v>
      </c>
      <c r="J137" s="215">
        <v>60711740</v>
      </c>
      <c r="K137" s="325">
        <v>49336703</v>
      </c>
      <c r="L137" s="514">
        <f t="shared" si="40"/>
        <v>446986</v>
      </c>
      <c r="M137" s="258">
        <f t="shared" si="41"/>
        <v>378786</v>
      </c>
      <c r="N137" s="983">
        <f t="shared" si="42"/>
        <v>909308</v>
      </c>
      <c r="O137" s="983">
        <f t="shared" si="43"/>
        <v>770626</v>
      </c>
      <c r="P137" s="215">
        <v>44745887</v>
      </c>
      <c r="Q137" s="215">
        <v>7894389</v>
      </c>
      <c r="R137" s="253">
        <f ca="1">IF(ISNUMBER(Table2[[#This Row],[D401 Dining Meter Reading]]),(Table2[[#This Row],[D401 Dining Meter Reading]]-P136)+(Table2[[#This Row],[D404 Castle Meter Reading]]-Q136)," ")</f>
        <v>134459</v>
      </c>
      <c r="S137" s="983">
        <f ca="1">IF(ISNUMBER(Table2[[#This Row],[D401&amp; D404  Consumption - kg]]),Table2[[#This Row],[D401&amp; D404  Consumption - kg]]/1.18," ")</f>
        <v>113948.30508474576</v>
      </c>
      <c r="T137" s="216">
        <f ca="1">IF(ISNUMBER(Table2[[#This Row],[  A + B
kWh]]),Table2[[#This Row],[  A + B
kWh]]+Table2[[#This Row],[192 Consumption
KWh]]+Table2[[#This Row],[D401&amp; D404  Consumption - kWh]]," ")</f>
        <v>932674.30508474575</v>
      </c>
    </row>
    <row r="138" spans="1:28" ht="14.25" customHeight="1">
      <c r="A138" s="1199"/>
      <c r="C138" s="324">
        <v>1561870</v>
      </c>
      <c r="D138" s="215">
        <v>1522900</v>
      </c>
      <c r="E138" s="216">
        <f t="shared" si="37"/>
        <v>25700</v>
      </c>
      <c r="F138" s="215">
        <v>77730443</v>
      </c>
      <c r="G138" s="325">
        <v>62740223</v>
      </c>
      <c r="H138" s="514">
        <f t="shared" si="38"/>
        <v>364671</v>
      </c>
      <c r="I138" s="258">
        <f t="shared" si="39"/>
        <v>309037</v>
      </c>
      <c r="J138" s="215">
        <v>61069274</v>
      </c>
      <c r="K138" s="325">
        <v>49637871</v>
      </c>
      <c r="L138" s="514">
        <f t="shared" si="40"/>
        <v>357534</v>
      </c>
      <c r="M138" s="258">
        <f t="shared" si="41"/>
        <v>301168</v>
      </c>
      <c r="N138" s="983">
        <f t="shared" si="42"/>
        <v>722205</v>
      </c>
      <c r="O138" s="983">
        <f t="shared" si="43"/>
        <v>610205</v>
      </c>
      <c r="P138" s="215"/>
      <c r="Q138" s="215"/>
      <c r="R138" s="323" t="str">
        <f ca="1">IF(ISNUMBER(Table2[[#This Row],[D401 Dining Meter Reading]]),(Table2[[#This Row],[D401 Dining Meter Reading]]-P137)+(Table2[[#This Row],[D404 Castle Meter Reading]]-Q137)," ")</f>
        <v xml:space="preserve"> </v>
      </c>
      <c r="S138" s="983" t="str">
        <f ca="1">IF(ISNUMBER(Table2[[#This Row],[D401&amp; D404  Consumption - kg]]),Table2[[#This Row],[D401&amp; D404  Consumption - kg]]/1.18," ")</f>
        <v xml:space="preserve"> </v>
      </c>
      <c r="T138" s="216" t="e">
        <f ca="1">IF(ISNUMBER(Table2[[#This Row],[  A + B
kWh]]),Table2[[#This Row],[  A + B
kWh]]+Table2[[#This Row],[192 Consumption
KWh]]+Table2[[#This Row],[D401&amp; D404  Consumption - kWh]]," ")</f>
        <v>#VALUE!</v>
      </c>
    </row>
    <row r="139" spans="1:28" ht="14.45">
      <c r="A139" s="1200"/>
      <c r="B139" s="295"/>
      <c r="C139" s="480"/>
      <c r="D139" s="1071"/>
      <c r="E139" s="277" t="str">
        <f t="shared" si="37"/>
        <v xml:space="preserve"> </v>
      </c>
      <c r="F139" s="1071"/>
      <c r="G139" s="478"/>
      <c r="H139" s="514" t="str">
        <f t="shared" si="38"/>
        <v xml:space="preserve"> </v>
      </c>
      <c r="I139" s="282" t="str">
        <f t="shared" si="39"/>
        <v xml:space="preserve"> </v>
      </c>
      <c r="J139" s="1071"/>
      <c r="K139" s="478"/>
      <c r="L139" s="1201" t="str">
        <f t="shared" si="40"/>
        <v xml:space="preserve"> </v>
      </c>
      <c r="M139" s="282" t="str">
        <f t="shared" si="41"/>
        <v xml:space="preserve"> </v>
      </c>
      <c r="N139" s="982" t="str">
        <f t="shared" si="42"/>
        <v xml:space="preserve"> </v>
      </c>
      <c r="O139" s="982" t="str">
        <f t="shared" si="43"/>
        <v xml:space="preserve"> </v>
      </c>
      <c r="P139" s="1071"/>
      <c r="Q139" s="1071"/>
      <c r="R139" s="253" t="str">
        <f ca="1">IF(ISNUMBER(Table2[[#This Row],[D401 Dining Meter Reading]]),(Table2[[#This Row],[D401 Dining Meter Reading]]-P138)+(Table2[[#This Row],[D404 Castle Meter Reading]]-Q138)," ")</f>
        <v xml:space="preserve"> </v>
      </c>
      <c r="S139" s="982" t="str">
        <f ca="1">IF(ISNUMBER(Table2[[#This Row],[D401&amp; D404  Consumption - kg]]),Table2[[#This Row],[D401&amp; D404  Consumption - kg]]/1.18," ")</f>
        <v xml:space="preserve"> </v>
      </c>
      <c r="T139" s="277" t="str">
        <f ca="1">IF(ISNUMBER(Table2[[#This Row],[  A + B
kWh]]),Table2[[#This Row],[  A + B
kWh]]+Table2[[#This Row],[192 Consumption
KWh]]+Table2[[#This Row],[D401&amp; D404  Consumption - kWh]]," ")</f>
        <v xml:space="preserve"> </v>
      </c>
    </row>
    <row r="140" spans="1:28" ht="14.45">
      <c r="A140" s="1196" t="s">
        <v>228</v>
      </c>
      <c r="B140" s="1197"/>
      <c r="C140" s="322"/>
      <c r="D140" s="607"/>
      <c r="E140" s="322" t="str">
        <f t="shared" ref="E140:E151" si="44">IF(ISNUMBER(D140),D140-D139," ")</f>
        <v xml:space="preserve"> </v>
      </c>
      <c r="F140" s="607"/>
      <c r="G140" s="607"/>
      <c r="H140" s="512" t="str">
        <f t="shared" ref="H140:H151" si="45">IF(ISNUMBER(F140),F140-F139," ")</f>
        <v xml:space="preserve"> </v>
      </c>
      <c r="I140" s="513" t="str">
        <f t="shared" ref="I140:I151" si="46">IF(ISNUMBER(G140),G140-G139," ")</f>
        <v xml:space="preserve"> </v>
      </c>
      <c r="J140" s="607"/>
      <c r="K140" s="607"/>
      <c r="L140" s="512" t="str">
        <f t="shared" ref="L140:L151" si="47">IF(ISNUMBER(J140),J140-J139," ")</f>
        <v xml:space="preserve"> </v>
      </c>
      <c r="M140" s="513" t="str">
        <f t="shared" ref="M140:M151" si="48">IF(ISNUMBER(K140),K140-K139," ")</f>
        <v xml:space="preserve"> </v>
      </c>
      <c r="N140" s="1198" t="str">
        <f t="shared" ref="N140:N151" si="49">IF(ISNUMBER(H140),H140+L140," ")</f>
        <v xml:space="preserve"> </v>
      </c>
      <c r="O140" s="1198" t="str">
        <f t="shared" ref="O140:O151" si="50">IF(ISNUMBER(I140),I140+M140," ")</f>
        <v xml:space="preserve"> </v>
      </c>
      <c r="P140" s="607"/>
      <c r="Q140" s="607"/>
      <c r="R140" s="326" t="str">
        <f ca="1">IF(ISNUMBER(Table2[[#This Row],[D401 Dining Meter Reading]]),(Table2[[#This Row],[D401 Dining Meter Reading]]-P139)+(Table2[[#This Row],[D404 Castle Meter Reading]]-Q139)," ")</f>
        <v xml:space="preserve"> </v>
      </c>
      <c r="S140" s="1198" t="str">
        <f ca="1">IF(ISNUMBER(Table2[[#This Row],[D401&amp; D404  Consumption - kg]]),Table2[[#This Row],[D401&amp; D404  Consumption - kg]]/1.18," ")</f>
        <v xml:space="preserve"> </v>
      </c>
      <c r="T140" s="322" t="str">
        <f ca="1">IF(ISNUMBER(Table2[[#This Row],[  A + B
kWh]]),Table2[[#This Row],[  A + B
kWh]]+Table2[[#This Row],[192 Consumption
KWh]]+Table2[[#This Row],[D401&amp; D404  Consumption - kWh]]," ")</f>
        <v xml:space="preserve"> </v>
      </c>
    </row>
    <row r="141" spans="1:28" ht="14.45">
      <c r="A141" s="1199"/>
      <c r="B141" s="414"/>
      <c r="C141" s="216"/>
      <c r="D141" s="215"/>
      <c r="E141" s="216" t="str">
        <f t="shared" si="44"/>
        <v xml:space="preserve"> </v>
      </c>
      <c r="F141" s="215"/>
      <c r="G141" s="215"/>
      <c r="H141" s="514" t="str">
        <f t="shared" si="45"/>
        <v xml:space="preserve"> </v>
      </c>
      <c r="I141" s="258" t="str">
        <f t="shared" si="46"/>
        <v xml:space="preserve"> </v>
      </c>
      <c r="J141" s="215"/>
      <c r="K141" s="215"/>
      <c r="L141" s="514" t="str">
        <f t="shared" si="47"/>
        <v xml:space="preserve"> </v>
      </c>
      <c r="M141" s="258" t="str">
        <f t="shared" si="48"/>
        <v xml:space="preserve"> </v>
      </c>
      <c r="N141" s="983" t="str">
        <f t="shared" si="49"/>
        <v xml:space="preserve"> </v>
      </c>
      <c r="O141" s="983" t="str">
        <f t="shared" si="50"/>
        <v xml:space="preserve"> </v>
      </c>
      <c r="P141" s="215"/>
      <c r="Q141" s="215"/>
      <c r="R141" s="253" t="str">
        <f ca="1">IF(ISNUMBER(Table2[[#This Row],[D401 Dining Meter Reading]]),(Table2[[#This Row],[D401 Dining Meter Reading]]-P140)+(Table2[[#This Row],[D404 Castle Meter Reading]]-Q140)," ")</f>
        <v xml:space="preserve"> </v>
      </c>
      <c r="S141" s="983" t="str">
        <f ca="1">IF(ISNUMBER(Table2[[#This Row],[D401&amp; D404  Consumption - kg]]),Table2[[#This Row],[D401&amp; D404  Consumption - kg]]/1.18," ")</f>
        <v xml:space="preserve"> </v>
      </c>
      <c r="T141" s="216" t="str">
        <f ca="1">IF(ISNUMBER(Table2[[#This Row],[  A + B
kWh]]),Table2[[#This Row],[  A + B
kWh]]+Table2[[#This Row],[192 Consumption
KWh]]+Table2[[#This Row],[D401&amp; D404  Consumption - kWh]]," ")</f>
        <v xml:space="preserve"> </v>
      </c>
    </row>
    <row r="142" spans="1:28" ht="14.45">
      <c r="A142" s="1199"/>
      <c r="B142" s="414"/>
      <c r="C142" s="216"/>
      <c r="D142" s="215"/>
      <c r="E142" s="216" t="str">
        <f t="shared" si="44"/>
        <v xml:space="preserve"> </v>
      </c>
      <c r="F142" s="215"/>
      <c r="G142" s="215"/>
      <c r="H142" s="514" t="str">
        <f t="shared" si="45"/>
        <v xml:space="preserve"> </v>
      </c>
      <c r="I142" s="258" t="str">
        <f t="shared" si="46"/>
        <v xml:space="preserve"> </v>
      </c>
      <c r="J142" s="215"/>
      <c r="K142" s="215"/>
      <c r="L142" s="514" t="str">
        <f t="shared" si="47"/>
        <v xml:space="preserve"> </v>
      </c>
      <c r="M142" s="258" t="str">
        <f t="shared" si="48"/>
        <v xml:space="preserve"> </v>
      </c>
      <c r="N142" s="983" t="str">
        <f t="shared" si="49"/>
        <v xml:space="preserve"> </v>
      </c>
      <c r="O142" s="983" t="str">
        <f t="shared" si="50"/>
        <v xml:space="preserve"> </v>
      </c>
      <c r="P142" s="215"/>
      <c r="Q142" s="215"/>
      <c r="R142" s="323" t="str">
        <f ca="1">IF(ISNUMBER(Table2[[#This Row],[D401 Dining Meter Reading]]),(Table2[[#This Row],[D401 Dining Meter Reading]]-P141)+(Table2[[#This Row],[D404 Castle Meter Reading]]-Q141)," ")</f>
        <v xml:space="preserve"> </v>
      </c>
      <c r="S142" s="983" t="str">
        <f ca="1">IF(ISNUMBER(Table2[[#This Row],[D401&amp; D404  Consumption - kg]]),Table2[[#This Row],[D401&amp; D404  Consumption - kg]]/1.18," ")</f>
        <v xml:space="preserve"> </v>
      </c>
      <c r="T142" s="216" t="str">
        <f ca="1">IF(ISNUMBER(Table2[[#This Row],[  A + B
kWh]]),Table2[[#This Row],[  A + B
kWh]]+Table2[[#This Row],[192 Consumption
KWh]]+Table2[[#This Row],[D401&amp; D404  Consumption - kWh]]," ")</f>
        <v xml:space="preserve"> </v>
      </c>
    </row>
    <row r="143" spans="1:28" ht="14.45">
      <c r="A143" s="1199"/>
      <c r="B143" s="414"/>
      <c r="C143" s="216"/>
      <c r="D143" s="215"/>
      <c r="E143" s="216" t="str">
        <f t="shared" si="44"/>
        <v xml:space="preserve"> </v>
      </c>
      <c r="F143" s="215"/>
      <c r="G143" s="215"/>
      <c r="H143" s="514" t="str">
        <f t="shared" si="45"/>
        <v xml:space="preserve"> </v>
      </c>
      <c r="I143" s="258" t="str">
        <f t="shared" si="46"/>
        <v xml:space="preserve"> </v>
      </c>
      <c r="J143" s="215"/>
      <c r="K143" s="215"/>
      <c r="L143" s="514" t="str">
        <f t="shared" si="47"/>
        <v xml:space="preserve"> </v>
      </c>
      <c r="M143" s="258" t="str">
        <f t="shared" si="48"/>
        <v xml:space="preserve"> </v>
      </c>
      <c r="N143" s="983" t="str">
        <f t="shared" si="49"/>
        <v xml:space="preserve"> </v>
      </c>
      <c r="O143" s="983" t="str">
        <f t="shared" si="50"/>
        <v xml:space="preserve"> </v>
      </c>
      <c r="P143" s="215"/>
      <c r="Q143" s="215"/>
      <c r="R143" s="253" t="str">
        <f ca="1">IF(ISNUMBER(Table2[[#This Row],[D401 Dining Meter Reading]]),(Table2[[#This Row],[D401 Dining Meter Reading]]-P142)+(Table2[[#This Row],[D404 Castle Meter Reading]]-Q142)," ")</f>
        <v xml:space="preserve"> </v>
      </c>
      <c r="S143" s="983" t="str">
        <f ca="1">IF(ISNUMBER(Table2[[#This Row],[D401&amp; D404  Consumption - kg]]),Table2[[#This Row],[D401&amp; D404  Consumption - kg]]/1.18," ")</f>
        <v xml:space="preserve"> </v>
      </c>
      <c r="T143" s="216" t="str">
        <f ca="1">IF(ISNUMBER(Table2[[#This Row],[  A + B
kWh]]),Table2[[#This Row],[  A + B
kWh]]+Table2[[#This Row],[192 Consumption
KWh]]+Table2[[#This Row],[D401&amp; D404  Consumption - kWh]]," ")</f>
        <v xml:space="preserve"> </v>
      </c>
    </row>
    <row r="144" spans="1:28" ht="14.45">
      <c r="A144" s="1199"/>
      <c r="B144" s="414"/>
      <c r="C144" s="216"/>
      <c r="D144" s="215"/>
      <c r="E144" s="216" t="str">
        <f t="shared" si="44"/>
        <v xml:space="preserve"> </v>
      </c>
      <c r="F144" s="215"/>
      <c r="G144" s="215"/>
      <c r="H144" s="514" t="str">
        <f t="shared" si="45"/>
        <v xml:space="preserve"> </v>
      </c>
      <c r="I144" s="258" t="str">
        <f t="shared" si="46"/>
        <v xml:space="preserve"> </v>
      </c>
      <c r="J144" s="215"/>
      <c r="K144" s="215"/>
      <c r="L144" s="514" t="str">
        <f t="shared" si="47"/>
        <v xml:space="preserve"> </v>
      </c>
      <c r="M144" s="258" t="str">
        <f t="shared" si="48"/>
        <v xml:space="preserve"> </v>
      </c>
      <c r="N144" s="983" t="str">
        <f t="shared" si="49"/>
        <v xml:space="preserve"> </v>
      </c>
      <c r="O144" s="983" t="str">
        <f t="shared" si="50"/>
        <v xml:space="preserve"> </v>
      </c>
      <c r="P144" s="215"/>
      <c r="Q144" s="215"/>
      <c r="R144" s="323" t="str">
        <f ca="1">IF(ISNUMBER(Table2[[#This Row],[D401 Dining Meter Reading]]),(Table2[[#This Row],[D401 Dining Meter Reading]]-P143)+(Table2[[#This Row],[D404 Castle Meter Reading]]-Q143)," ")</f>
        <v xml:space="preserve"> </v>
      </c>
      <c r="S144" s="983" t="str">
        <f ca="1">IF(ISNUMBER(Table2[[#This Row],[D401&amp; D404  Consumption - kg]]),Table2[[#This Row],[D401&amp; D404  Consumption - kg]]/1.18," ")</f>
        <v xml:space="preserve"> </v>
      </c>
      <c r="T144" s="216" t="str">
        <f ca="1">IF(ISNUMBER(Table2[[#This Row],[  A + B
kWh]]),Table2[[#This Row],[  A + B
kWh]]+Table2[[#This Row],[192 Consumption
KWh]]+Table2[[#This Row],[D401&amp; D404  Consumption - kWh]]," ")</f>
        <v xml:space="preserve"> </v>
      </c>
    </row>
    <row r="145" spans="1:20" ht="14.45">
      <c r="A145" s="1199"/>
      <c r="B145" s="414"/>
      <c r="C145" s="216"/>
      <c r="D145" s="215"/>
      <c r="E145" s="216" t="str">
        <f t="shared" si="44"/>
        <v xml:space="preserve"> </v>
      </c>
      <c r="F145" s="215"/>
      <c r="G145" s="215"/>
      <c r="H145" s="514" t="str">
        <f t="shared" si="45"/>
        <v xml:space="preserve"> </v>
      </c>
      <c r="I145" s="258" t="str">
        <f t="shared" si="46"/>
        <v xml:space="preserve"> </v>
      </c>
      <c r="J145" s="215"/>
      <c r="K145" s="215"/>
      <c r="L145" s="514" t="str">
        <f t="shared" si="47"/>
        <v xml:space="preserve"> </v>
      </c>
      <c r="M145" s="258" t="str">
        <f t="shared" si="48"/>
        <v xml:space="preserve"> </v>
      </c>
      <c r="N145" s="983" t="str">
        <f t="shared" si="49"/>
        <v xml:space="preserve"> </v>
      </c>
      <c r="O145" s="983" t="str">
        <f t="shared" si="50"/>
        <v xml:space="preserve"> </v>
      </c>
      <c r="P145" s="215"/>
      <c r="Q145" s="215"/>
      <c r="R145" s="253" t="str">
        <f ca="1">IF(ISNUMBER(Table2[[#This Row],[D401 Dining Meter Reading]]),(Table2[[#This Row],[D401 Dining Meter Reading]]-P144)+(Table2[[#This Row],[D404 Castle Meter Reading]]-Q144)," ")</f>
        <v xml:space="preserve"> </v>
      </c>
      <c r="S145" s="983" t="str">
        <f ca="1">IF(ISNUMBER(Table2[[#This Row],[D401&amp; D404  Consumption - kg]]),Table2[[#This Row],[D401&amp; D404  Consumption - kg]]/1.18," ")</f>
        <v xml:space="preserve"> </v>
      </c>
      <c r="T145" s="216" t="str">
        <f ca="1">IF(ISNUMBER(Table2[[#This Row],[  A + B
kWh]]),Table2[[#This Row],[  A + B
kWh]]+Table2[[#This Row],[192 Consumption
KWh]]+Table2[[#This Row],[D401&amp; D404  Consumption - kWh]]," ")</f>
        <v xml:space="preserve"> </v>
      </c>
    </row>
    <row r="146" spans="1:20" ht="14.45">
      <c r="A146" s="1199" t="s">
        <v>356</v>
      </c>
      <c r="B146" s="414">
        <v>2025</v>
      </c>
      <c r="C146" s="324"/>
      <c r="D146" s="215"/>
      <c r="E146" s="216" t="str">
        <f t="shared" si="44"/>
        <v xml:space="preserve"> </v>
      </c>
      <c r="F146" s="215"/>
      <c r="G146" s="215"/>
      <c r="H146" s="514" t="str">
        <f t="shared" si="45"/>
        <v xml:space="preserve"> </v>
      </c>
      <c r="I146" s="258" t="str">
        <f t="shared" si="46"/>
        <v xml:space="preserve"> </v>
      </c>
      <c r="J146" s="215"/>
      <c r="K146" s="215"/>
      <c r="L146" s="514" t="str">
        <f t="shared" si="47"/>
        <v xml:space="preserve"> </v>
      </c>
      <c r="M146" s="258" t="str">
        <f t="shared" si="48"/>
        <v xml:space="preserve"> </v>
      </c>
      <c r="N146" s="983" t="str">
        <f t="shared" si="49"/>
        <v xml:space="preserve"> </v>
      </c>
      <c r="O146" s="983" t="str">
        <f t="shared" si="50"/>
        <v xml:space="preserve"> </v>
      </c>
      <c r="P146" s="215"/>
      <c r="Q146" s="215"/>
      <c r="R146" s="323" t="str">
        <f ca="1">IF(ISNUMBER(Table2[[#This Row],[D401 Dining Meter Reading]]),(Table2[[#This Row],[D401 Dining Meter Reading]]-P145)+(Table2[[#This Row],[D404 Castle Meter Reading]]-Q145)," ")</f>
        <v xml:space="preserve"> </v>
      </c>
      <c r="S146" s="983" t="str">
        <f ca="1">IF(ISNUMBER(Table2[[#This Row],[D401&amp; D404  Consumption - kg]]),Table2[[#This Row],[D401&amp; D404  Consumption - kg]]/1.18," ")</f>
        <v xml:space="preserve"> </v>
      </c>
      <c r="T146" s="216" t="str">
        <f ca="1">IF(ISNUMBER(Table2[[#This Row],[  A + B
kWh]]),Table2[[#This Row],[  A + B
kWh]]+Table2[[#This Row],[192 Consumption
KWh]]+Table2[[#This Row],[D401&amp; D404  Consumption - kWh]]," ")</f>
        <v xml:space="preserve"> </v>
      </c>
    </row>
    <row r="147" spans="1:20" ht="14.45">
      <c r="A147" s="1199"/>
      <c r="B147" s="414"/>
      <c r="C147" s="216"/>
      <c r="D147" s="215"/>
      <c r="E147" s="216" t="str">
        <f t="shared" si="44"/>
        <v xml:space="preserve"> </v>
      </c>
      <c r="F147" s="215"/>
      <c r="G147" s="325"/>
      <c r="H147" s="514" t="str">
        <f t="shared" si="45"/>
        <v xml:space="preserve"> </v>
      </c>
      <c r="I147" s="258" t="str">
        <f t="shared" si="46"/>
        <v xml:space="preserve"> </v>
      </c>
      <c r="J147" s="215"/>
      <c r="K147" s="325"/>
      <c r="L147" s="514" t="str">
        <f t="shared" si="47"/>
        <v xml:space="preserve"> </v>
      </c>
      <c r="M147" s="258" t="str">
        <f t="shared" si="48"/>
        <v xml:space="preserve"> </v>
      </c>
      <c r="N147" s="983" t="str">
        <f t="shared" si="49"/>
        <v xml:space="preserve"> </v>
      </c>
      <c r="O147" s="983" t="str">
        <f t="shared" si="50"/>
        <v xml:space="preserve"> </v>
      </c>
      <c r="P147" s="215"/>
      <c r="Q147" s="215"/>
      <c r="R147" s="253" t="str">
        <f ca="1">IF(ISNUMBER(Table2[[#This Row],[D401 Dining Meter Reading]]),(Table2[[#This Row],[D401 Dining Meter Reading]]-P146)+(Table2[[#This Row],[D404 Castle Meter Reading]]-Q146)," ")</f>
        <v xml:space="preserve"> </v>
      </c>
      <c r="S147" s="983" t="str">
        <f ca="1">IF(ISNUMBER(Table2[[#This Row],[D401&amp; D404  Consumption - kg]]),Table2[[#This Row],[D401&amp; D404  Consumption - kg]]/1.18," ")</f>
        <v xml:space="preserve"> </v>
      </c>
      <c r="T147" s="216" t="str">
        <f ca="1">IF(ISNUMBER(Table2[[#This Row],[  A + B
kWh]]),Table2[[#This Row],[  A + B
kWh]]+Table2[[#This Row],[192 Consumption
KWh]]+Table2[[#This Row],[D401&amp; D404  Consumption - kWh]]," ")</f>
        <v xml:space="preserve"> </v>
      </c>
    </row>
    <row r="148" spans="1:20" ht="14.45">
      <c r="A148" s="1199"/>
      <c r="B148" s="414"/>
      <c r="C148" s="324"/>
      <c r="D148" s="215"/>
      <c r="E148" s="216" t="str">
        <f t="shared" si="44"/>
        <v xml:space="preserve"> </v>
      </c>
      <c r="F148" s="215"/>
      <c r="G148" s="325"/>
      <c r="H148" s="514" t="str">
        <f t="shared" si="45"/>
        <v xml:space="preserve"> </v>
      </c>
      <c r="I148" s="258" t="str">
        <f t="shared" si="46"/>
        <v xml:space="preserve"> </v>
      </c>
      <c r="J148" s="215"/>
      <c r="K148" s="325"/>
      <c r="L148" s="514" t="str">
        <f t="shared" si="47"/>
        <v xml:space="preserve"> </v>
      </c>
      <c r="M148" s="258" t="str">
        <f t="shared" si="48"/>
        <v xml:space="preserve"> </v>
      </c>
      <c r="N148" s="983" t="str">
        <f t="shared" si="49"/>
        <v xml:space="preserve"> </v>
      </c>
      <c r="O148" s="983" t="str">
        <f t="shared" si="50"/>
        <v xml:space="preserve"> </v>
      </c>
      <c r="P148" s="215"/>
      <c r="Q148" s="215"/>
      <c r="R148" s="323" t="str">
        <f ca="1">IF(ISNUMBER(Table2[[#This Row],[D401 Dining Meter Reading]]),(Table2[[#This Row],[D401 Dining Meter Reading]]-P147)+(Table2[[#This Row],[D404 Castle Meter Reading]]-Q147)," ")</f>
        <v xml:space="preserve"> </v>
      </c>
      <c r="S148" s="983" t="str">
        <f ca="1">IF(ISNUMBER(Table2[[#This Row],[D401&amp; D404  Consumption - kg]]),Table2[[#This Row],[D401&amp; D404  Consumption - kg]]/1.18," ")</f>
        <v xml:space="preserve"> </v>
      </c>
      <c r="T148" s="216" t="str">
        <f ca="1">IF(ISNUMBER(Table2[[#This Row],[  A + B
kWh]]),Table2[[#This Row],[  A + B
kWh]]+Table2[[#This Row],[192 Consumption
KWh]]+Table2[[#This Row],[D401&amp; D404  Consumption - kWh]]," ")</f>
        <v xml:space="preserve"> </v>
      </c>
    </row>
    <row r="149" spans="1:20" ht="14.45">
      <c r="A149" s="1199"/>
      <c r="C149" s="324"/>
      <c r="D149" s="215"/>
      <c r="E149" s="216" t="str">
        <f t="shared" si="44"/>
        <v xml:space="preserve"> </v>
      </c>
      <c r="F149" s="215"/>
      <c r="G149" s="325"/>
      <c r="H149" s="514" t="str">
        <f t="shared" si="45"/>
        <v xml:space="preserve"> </v>
      </c>
      <c r="I149" s="258" t="str">
        <f t="shared" si="46"/>
        <v xml:space="preserve"> </v>
      </c>
      <c r="J149" s="215"/>
      <c r="K149" s="325"/>
      <c r="L149" s="514" t="str">
        <f t="shared" si="47"/>
        <v xml:space="preserve"> </v>
      </c>
      <c r="M149" s="258" t="str">
        <f t="shared" si="48"/>
        <v xml:space="preserve"> </v>
      </c>
      <c r="N149" s="983" t="str">
        <f t="shared" si="49"/>
        <v xml:space="preserve"> </v>
      </c>
      <c r="O149" s="983" t="str">
        <f t="shared" si="50"/>
        <v xml:space="preserve"> </v>
      </c>
      <c r="P149" s="215"/>
      <c r="Q149" s="215"/>
      <c r="R149" s="253" t="str">
        <f ca="1">IF(ISNUMBER(Table2[[#This Row],[D401 Dining Meter Reading]]),(Table2[[#This Row],[D401 Dining Meter Reading]]-P148)+(Table2[[#This Row],[D404 Castle Meter Reading]]-Q148)," ")</f>
        <v xml:space="preserve"> </v>
      </c>
      <c r="S149" s="983" t="str">
        <f ca="1">IF(ISNUMBER(Table2[[#This Row],[D401&amp; D404  Consumption - kg]]),Table2[[#This Row],[D401&amp; D404  Consumption - kg]]/1.18," ")</f>
        <v xml:space="preserve"> </v>
      </c>
      <c r="T149" s="216" t="str">
        <f ca="1">IF(ISNUMBER(Table2[[#This Row],[  A + B
kWh]]),Table2[[#This Row],[  A + B
kWh]]+Table2[[#This Row],[192 Consumption
KWh]]+Table2[[#This Row],[D401&amp; D404  Consumption - kWh]]," ")</f>
        <v xml:space="preserve"> </v>
      </c>
    </row>
    <row r="150" spans="1:20" ht="14.45">
      <c r="A150" s="1199"/>
      <c r="C150" s="324"/>
      <c r="D150" s="215"/>
      <c r="E150" s="216" t="str">
        <f t="shared" si="44"/>
        <v xml:space="preserve"> </v>
      </c>
      <c r="F150" s="215"/>
      <c r="G150" s="325"/>
      <c r="H150" s="514" t="str">
        <f t="shared" si="45"/>
        <v xml:space="preserve"> </v>
      </c>
      <c r="I150" s="258" t="str">
        <f t="shared" si="46"/>
        <v xml:space="preserve"> </v>
      </c>
      <c r="J150" s="215"/>
      <c r="K150" s="325"/>
      <c r="L150" s="514" t="str">
        <f t="shared" si="47"/>
        <v xml:space="preserve"> </v>
      </c>
      <c r="M150" s="258" t="str">
        <f t="shared" si="48"/>
        <v xml:space="preserve"> </v>
      </c>
      <c r="N150" s="983" t="str">
        <f t="shared" si="49"/>
        <v xml:space="preserve"> </v>
      </c>
      <c r="O150" s="983" t="str">
        <f t="shared" si="50"/>
        <v xml:space="preserve"> </v>
      </c>
      <c r="P150" s="215"/>
      <c r="Q150" s="215"/>
      <c r="R150" s="323" t="str">
        <f ca="1">IF(ISNUMBER(Table2[[#This Row],[D401 Dining Meter Reading]]),(Table2[[#This Row],[D401 Dining Meter Reading]]-P149)+(Table2[[#This Row],[D404 Castle Meter Reading]]-Q149)," ")</f>
        <v xml:space="preserve"> </v>
      </c>
      <c r="S150" s="983" t="str">
        <f ca="1">IF(ISNUMBER(Table2[[#This Row],[D401&amp; D404  Consumption - kg]]),Table2[[#This Row],[D401&amp; D404  Consumption - kg]]/1.18," ")</f>
        <v xml:space="preserve"> </v>
      </c>
      <c r="T150" s="216" t="str">
        <f ca="1">IF(ISNUMBER(Table2[[#This Row],[  A + B
kWh]]),Table2[[#This Row],[  A + B
kWh]]+Table2[[#This Row],[192 Consumption
KWh]]+Table2[[#This Row],[D401&amp; D404  Consumption - kWh]]," ")</f>
        <v xml:space="preserve"> </v>
      </c>
    </row>
    <row r="151" spans="1:20" ht="14.45">
      <c r="A151" s="1200"/>
      <c r="B151" s="295"/>
      <c r="C151" s="480"/>
      <c r="D151" s="1071"/>
      <c r="E151" s="277" t="str">
        <f t="shared" si="44"/>
        <v xml:space="preserve"> </v>
      </c>
      <c r="F151" s="1071"/>
      <c r="G151" s="478"/>
      <c r="H151" s="1201" t="str">
        <f t="shared" si="45"/>
        <v xml:space="preserve"> </v>
      </c>
      <c r="I151" s="282" t="str">
        <f t="shared" si="46"/>
        <v xml:space="preserve"> </v>
      </c>
      <c r="J151" s="1071"/>
      <c r="K151" s="478"/>
      <c r="L151" s="1201" t="str">
        <f t="shared" si="47"/>
        <v xml:space="preserve"> </v>
      </c>
      <c r="M151" s="282" t="str">
        <f t="shared" si="48"/>
        <v xml:space="preserve"> </v>
      </c>
      <c r="N151" s="982" t="str">
        <f t="shared" si="49"/>
        <v xml:space="preserve"> </v>
      </c>
      <c r="O151" s="982" t="str">
        <f t="shared" si="50"/>
        <v xml:space="preserve"> </v>
      </c>
      <c r="P151" s="1071"/>
      <c r="Q151" s="1071"/>
      <c r="R151" s="253" t="str">
        <f ca="1">IF(ISNUMBER(Table2[[#This Row],[D401 Dining Meter Reading]]),(Table2[[#This Row],[D401 Dining Meter Reading]]-P150)+(Table2[[#This Row],[D404 Castle Meter Reading]]-Q150)," ")</f>
        <v xml:space="preserve"> </v>
      </c>
      <c r="S151" s="982" t="str">
        <f ca="1">IF(ISNUMBER(Table2[[#This Row],[D401&amp; D404  Consumption - kg]]),Table2[[#This Row],[D401&amp; D404  Consumption - kg]]/1.18," ")</f>
        <v xml:space="preserve"> </v>
      </c>
      <c r="T151" s="277" t="str">
        <f ca="1">IF(ISNUMBER(Table2[[#This Row],[  A + B
kWh]]),Table2[[#This Row],[  A + B
kWh]]+Table2[[#This Row],[192 Consumption
KWh]]+Table2[[#This Row],[D401&amp; D404  Consumption - kWh]]," ")</f>
        <v xml:space="preserve"> </v>
      </c>
    </row>
    <row r="152" spans="1:20" ht="14.45">
      <c r="A152" s="1196" t="s">
        <v>228</v>
      </c>
      <c r="B152" s="1197"/>
      <c r="C152" s="322"/>
      <c r="D152" s="607"/>
      <c r="E152" s="322" t="str">
        <f t="shared" ref="E152:E163" si="51">IF(ISNUMBER(D152),D152-D151," ")</f>
        <v xml:space="preserve"> </v>
      </c>
      <c r="F152" s="607"/>
      <c r="G152" s="607"/>
      <c r="H152" s="512" t="str">
        <f t="shared" ref="H152:H163" si="52">IF(ISNUMBER(F152),F152-F151," ")</f>
        <v xml:space="preserve"> </v>
      </c>
      <c r="I152" s="513" t="str">
        <f t="shared" ref="I152:I163" si="53">IF(ISNUMBER(G152),G152-G151," ")</f>
        <v xml:space="preserve"> </v>
      </c>
      <c r="J152" s="607"/>
      <c r="K152" s="607"/>
      <c r="L152" s="512" t="str">
        <f t="shared" ref="L152:L163" si="54">IF(ISNUMBER(J152),J152-J151," ")</f>
        <v xml:space="preserve"> </v>
      </c>
      <c r="M152" s="513" t="str">
        <f t="shared" ref="M152:M163" si="55">IF(ISNUMBER(K152),K152-K151," ")</f>
        <v xml:space="preserve"> </v>
      </c>
      <c r="N152" s="1198" t="str">
        <f t="shared" ref="N152:N163" si="56">IF(ISNUMBER(H152),H152+L152," ")</f>
        <v xml:space="preserve"> </v>
      </c>
      <c r="O152" s="1198" t="str">
        <f t="shared" ref="O152:O163" si="57">IF(ISNUMBER(I152),I152+M152," ")</f>
        <v xml:space="preserve"> </v>
      </c>
      <c r="P152" s="607"/>
      <c r="Q152" s="607"/>
      <c r="R152" s="326" t="str">
        <f ca="1">IF(ISNUMBER(Table2[[#This Row],[D401 Dining Meter Reading]]),(Table2[[#This Row],[D401 Dining Meter Reading]]-P151)+(Table2[[#This Row],[D404 Castle Meter Reading]]-Q151)," ")</f>
        <v xml:space="preserve"> </v>
      </c>
      <c r="S152" s="1198" t="str">
        <f ca="1">IF(ISNUMBER(Table2[[#This Row],[D401&amp; D404  Consumption - kg]]),Table2[[#This Row],[D401&amp; D404  Consumption - kg]]/1.18," ")</f>
        <v xml:space="preserve"> </v>
      </c>
      <c r="T152" s="322" t="str">
        <f ca="1">IF(ISNUMBER(Table2[[#This Row],[  A + B
kWh]]),Table2[[#This Row],[  A + B
kWh]]+Table2[[#This Row],[192 Consumption
KWh]]+Table2[[#This Row],[D401&amp; D404  Consumption - kWh]]," ")</f>
        <v xml:space="preserve"> </v>
      </c>
    </row>
    <row r="153" spans="1:20" ht="14.45">
      <c r="A153" s="1199"/>
      <c r="B153" s="414"/>
      <c r="C153" s="216"/>
      <c r="D153" s="215"/>
      <c r="E153" s="216" t="str">
        <f t="shared" si="51"/>
        <v xml:space="preserve"> </v>
      </c>
      <c r="F153" s="215"/>
      <c r="G153" s="215"/>
      <c r="H153" s="514" t="str">
        <f t="shared" si="52"/>
        <v xml:space="preserve"> </v>
      </c>
      <c r="I153" s="258" t="str">
        <f t="shared" si="53"/>
        <v xml:space="preserve"> </v>
      </c>
      <c r="J153" s="215"/>
      <c r="K153" s="215"/>
      <c r="L153" s="514" t="str">
        <f t="shared" si="54"/>
        <v xml:space="preserve"> </v>
      </c>
      <c r="M153" s="258" t="str">
        <f t="shared" si="55"/>
        <v xml:space="preserve"> </v>
      </c>
      <c r="N153" s="983" t="str">
        <f t="shared" si="56"/>
        <v xml:space="preserve"> </v>
      </c>
      <c r="O153" s="983" t="str">
        <f t="shared" si="57"/>
        <v xml:space="preserve"> </v>
      </c>
      <c r="P153" s="215"/>
      <c r="Q153" s="215"/>
      <c r="R153" s="253" t="str">
        <f ca="1">IF(ISNUMBER(Table2[[#This Row],[D401 Dining Meter Reading]]),(Table2[[#This Row],[D401 Dining Meter Reading]]-P152)+(Table2[[#This Row],[D404 Castle Meter Reading]]-Q152)," ")</f>
        <v xml:space="preserve"> </v>
      </c>
      <c r="S153" s="983" t="str">
        <f ca="1">IF(ISNUMBER(Table2[[#This Row],[D401&amp; D404  Consumption - kg]]),Table2[[#This Row],[D401&amp; D404  Consumption - kg]]/1.18," ")</f>
        <v xml:space="preserve"> </v>
      </c>
      <c r="T153" s="216" t="str">
        <f ca="1">IF(ISNUMBER(Table2[[#This Row],[  A + B
kWh]]),Table2[[#This Row],[  A + B
kWh]]+Table2[[#This Row],[192 Consumption
KWh]]+Table2[[#This Row],[D401&amp; D404  Consumption - kWh]]," ")</f>
        <v xml:space="preserve"> </v>
      </c>
    </row>
    <row r="154" spans="1:20" ht="14.45">
      <c r="A154" s="1199"/>
      <c r="B154" s="414"/>
      <c r="C154" s="216"/>
      <c r="D154" s="215"/>
      <c r="E154" s="216" t="str">
        <f t="shared" si="51"/>
        <v xml:space="preserve"> </v>
      </c>
      <c r="F154" s="215"/>
      <c r="G154" s="215"/>
      <c r="H154" s="514" t="str">
        <f t="shared" si="52"/>
        <v xml:space="preserve"> </v>
      </c>
      <c r="I154" s="258" t="str">
        <f t="shared" si="53"/>
        <v xml:space="preserve"> </v>
      </c>
      <c r="J154" s="215"/>
      <c r="K154" s="215"/>
      <c r="L154" s="514" t="str">
        <f t="shared" si="54"/>
        <v xml:space="preserve"> </v>
      </c>
      <c r="M154" s="258" t="str">
        <f t="shared" si="55"/>
        <v xml:space="preserve"> </v>
      </c>
      <c r="N154" s="983" t="str">
        <f t="shared" si="56"/>
        <v xml:space="preserve"> </v>
      </c>
      <c r="O154" s="983" t="str">
        <f t="shared" si="57"/>
        <v xml:space="preserve"> </v>
      </c>
      <c r="P154" s="215"/>
      <c r="Q154" s="215"/>
      <c r="R154" s="323" t="str">
        <f ca="1">IF(ISNUMBER(Table2[[#This Row],[D401 Dining Meter Reading]]),(Table2[[#This Row],[D401 Dining Meter Reading]]-P153)+(Table2[[#This Row],[D404 Castle Meter Reading]]-Q153)," ")</f>
        <v xml:space="preserve"> </v>
      </c>
      <c r="S154" s="983" t="str">
        <f ca="1">IF(ISNUMBER(Table2[[#This Row],[D401&amp; D404  Consumption - kg]]),Table2[[#This Row],[D401&amp; D404  Consumption - kg]]/1.18," ")</f>
        <v xml:space="preserve"> </v>
      </c>
      <c r="T154" s="216" t="str">
        <f ca="1">IF(ISNUMBER(Table2[[#This Row],[  A + B
kWh]]),Table2[[#This Row],[  A + B
kWh]]+Table2[[#This Row],[192 Consumption
KWh]]+Table2[[#This Row],[D401&amp; D404  Consumption - kWh]]," ")</f>
        <v xml:space="preserve"> </v>
      </c>
    </row>
    <row r="155" spans="1:20" ht="14.45">
      <c r="A155" s="1199"/>
      <c r="B155" s="414"/>
      <c r="C155" s="216"/>
      <c r="D155" s="215"/>
      <c r="E155" s="216" t="str">
        <f t="shared" si="51"/>
        <v xml:space="preserve"> </v>
      </c>
      <c r="F155" s="215"/>
      <c r="G155" s="215"/>
      <c r="H155" s="514" t="str">
        <f t="shared" si="52"/>
        <v xml:space="preserve"> </v>
      </c>
      <c r="I155" s="258" t="str">
        <f t="shared" si="53"/>
        <v xml:space="preserve"> </v>
      </c>
      <c r="J155" s="215"/>
      <c r="K155" s="215"/>
      <c r="L155" s="514" t="str">
        <f t="shared" si="54"/>
        <v xml:space="preserve"> </v>
      </c>
      <c r="M155" s="258" t="str">
        <f t="shared" si="55"/>
        <v xml:space="preserve"> </v>
      </c>
      <c r="N155" s="983" t="str">
        <f t="shared" si="56"/>
        <v xml:space="preserve"> </v>
      </c>
      <c r="O155" s="983" t="str">
        <f t="shared" si="57"/>
        <v xml:space="preserve"> </v>
      </c>
      <c r="P155" s="215"/>
      <c r="Q155" s="215"/>
      <c r="R155" s="253" t="str">
        <f ca="1">IF(ISNUMBER(Table2[[#This Row],[D401 Dining Meter Reading]]),(Table2[[#This Row],[D401 Dining Meter Reading]]-P154)+(Table2[[#This Row],[D404 Castle Meter Reading]]-Q154)," ")</f>
        <v xml:space="preserve"> </v>
      </c>
      <c r="S155" s="983" t="str">
        <f ca="1">IF(ISNUMBER(Table2[[#This Row],[D401&amp; D404  Consumption - kg]]),Table2[[#This Row],[D401&amp; D404  Consumption - kg]]/1.18," ")</f>
        <v xml:space="preserve"> </v>
      </c>
      <c r="T155" s="216" t="str">
        <f ca="1">IF(ISNUMBER(Table2[[#This Row],[  A + B
kWh]]),Table2[[#This Row],[  A + B
kWh]]+Table2[[#This Row],[192 Consumption
KWh]]+Table2[[#This Row],[D401&amp; D404  Consumption - kWh]]," ")</f>
        <v xml:space="preserve"> </v>
      </c>
    </row>
    <row r="156" spans="1:20" ht="14.45">
      <c r="A156" s="1199"/>
      <c r="B156" s="414"/>
      <c r="C156" s="216"/>
      <c r="D156" s="215"/>
      <c r="E156" s="216" t="str">
        <f t="shared" si="51"/>
        <v xml:space="preserve"> </v>
      </c>
      <c r="F156" s="215"/>
      <c r="G156" s="215"/>
      <c r="H156" s="514" t="str">
        <f t="shared" si="52"/>
        <v xml:space="preserve"> </v>
      </c>
      <c r="I156" s="258" t="str">
        <f t="shared" si="53"/>
        <v xml:space="preserve"> </v>
      </c>
      <c r="J156" s="215"/>
      <c r="K156" s="215"/>
      <c r="L156" s="514" t="str">
        <f t="shared" si="54"/>
        <v xml:space="preserve"> </v>
      </c>
      <c r="M156" s="258" t="str">
        <f t="shared" si="55"/>
        <v xml:space="preserve"> </v>
      </c>
      <c r="N156" s="983" t="str">
        <f t="shared" si="56"/>
        <v xml:space="preserve"> </v>
      </c>
      <c r="O156" s="983" t="str">
        <f t="shared" si="57"/>
        <v xml:space="preserve"> </v>
      </c>
      <c r="P156" s="215"/>
      <c r="Q156" s="215"/>
      <c r="R156" s="323" t="str">
        <f ca="1">IF(ISNUMBER(Table2[[#This Row],[D401 Dining Meter Reading]]),(Table2[[#This Row],[D401 Dining Meter Reading]]-P155)+(Table2[[#This Row],[D404 Castle Meter Reading]]-Q155)," ")</f>
        <v xml:space="preserve"> </v>
      </c>
      <c r="S156" s="983" t="str">
        <f ca="1">IF(ISNUMBER(Table2[[#This Row],[D401&amp; D404  Consumption - kg]]),Table2[[#This Row],[D401&amp; D404  Consumption - kg]]/1.18," ")</f>
        <v xml:space="preserve"> </v>
      </c>
      <c r="T156" s="216" t="str">
        <f ca="1">IF(ISNUMBER(Table2[[#This Row],[  A + B
kWh]]),Table2[[#This Row],[  A + B
kWh]]+Table2[[#This Row],[192 Consumption
KWh]]+Table2[[#This Row],[D401&amp; D404  Consumption - kWh]]," ")</f>
        <v xml:space="preserve"> </v>
      </c>
    </row>
    <row r="157" spans="1:20" ht="14.45">
      <c r="A157" s="1199"/>
      <c r="B157" s="414"/>
      <c r="C157" s="216"/>
      <c r="D157" s="215"/>
      <c r="E157" s="216" t="str">
        <f t="shared" si="51"/>
        <v xml:space="preserve"> </v>
      </c>
      <c r="F157" s="215"/>
      <c r="G157" s="215"/>
      <c r="H157" s="514" t="str">
        <f t="shared" si="52"/>
        <v xml:space="preserve"> </v>
      </c>
      <c r="I157" s="258" t="str">
        <f t="shared" si="53"/>
        <v xml:space="preserve"> </v>
      </c>
      <c r="J157" s="215"/>
      <c r="K157" s="215"/>
      <c r="L157" s="514" t="str">
        <f t="shared" si="54"/>
        <v xml:space="preserve"> </v>
      </c>
      <c r="M157" s="258" t="str">
        <f t="shared" si="55"/>
        <v xml:space="preserve"> </v>
      </c>
      <c r="N157" s="983" t="str">
        <f t="shared" si="56"/>
        <v xml:space="preserve"> </v>
      </c>
      <c r="O157" s="983" t="str">
        <f t="shared" si="57"/>
        <v xml:space="preserve"> </v>
      </c>
      <c r="P157" s="215"/>
      <c r="Q157" s="215"/>
      <c r="R157" s="253" t="str">
        <f ca="1">IF(ISNUMBER(Table2[[#This Row],[D401 Dining Meter Reading]]),(Table2[[#This Row],[D401 Dining Meter Reading]]-P156)+(Table2[[#This Row],[D404 Castle Meter Reading]]-Q156)," ")</f>
        <v xml:space="preserve"> </v>
      </c>
      <c r="S157" s="983" t="str">
        <f ca="1">IF(ISNUMBER(Table2[[#This Row],[D401&amp; D404  Consumption - kg]]),Table2[[#This Row],[D401&amp; D404  Consumption - kg]]/1.18," ")</f>
        <v xml:space="preserve"> </v>
      </c>
      <c r="T157" s="216" t="str">
        <f ca="1">IF(ISNUMBER(Table2[[#This Row],[  A + B
kWh]]),Table2[[#This Row],[  A + B
kWh]]+Table2[[#This Row],[192 Consumption
KWh]]+Table2[[#This Row],[D401&amp; D404  Consumption - kWh]]," ")</f>
        <v xml:space="preserve"> </v>
      </c>
    </row>
    <row r="158" spans="1:20" ht="14.45">
      <c r="A158" s="1199" t="s">
        <v>356</v>
      </c>
      <c r="B158" s="414">
        <v>2026</v>
      </c>
      <c r="C158" s="324"/>
      <c r="D158" s="215"/>
      <c r="E158" s="216" t="str">
        <f t="shared" si="51"/>
        <v xml:space="preserve"> </v>
      </c>
      <c r="F158" s="215"/>
      <c r="G158" s="215"/>
      <c r="H158" s="514" t="str">
        <f t="shared" si="52"/>
        <v xml:space="preserve"> </v>
      </c>
      <c r="I158" s="258" t="str">
        <f t="shared" si="53"/>
        <v xml:space="preserve"> </v>
      </c>
      <c r="J158" s="215"/>
      <c r="K158" s="215"/>
      <c r="L158" s="514" t="str">
        <f t="shared" si="54"/>
        <v xml:space="preserve"> </v>
      </c>
      <c r="M158" s="258" t="str">
        <f t="shared" si="55"/>
        <v xml:space="preserve"> </v>
      </c>
      <c r="N158" s="983" t="str">
        <f t="shared" si="56"/>
        <v xml:space="preserve"> </v>
      </c>
      <c r="O158" s="983" t="str">
        <f t="shared" si="57"/>
        <v xml:space="preserve"> </v>
      </c>
      <c r="P158" s="215"/>
      <c r="Q158" s="215"/>
      <c r="R158" s="323" t="str">
        <f ca="1">IF(ISNUMBER(Table2[[#This Row],[D401 Dining Meter Reading]]),(Table2[[#This Row],[D401 Dining Meter Reading]]-P157)+(Table2[[#This Row],[D404 Castle Meter Reading]]-Q157)," ")</f>
        <v xml:space="preserve"> </v>
      </c>
      <c r="S158" s="983" t="str">
        <f ca="1">IF(ISNUMBER(Table2[[#This Row],[D401&amp; D404  Consumption - kg]]),Table2[[#This Row],[D401&amp; D404  Consumption - kg]]/1.18," ")</f>
        <v xml:space="preserve"> </v>
      </c>
      <c r="T158" s="216" t="str">
        <f ca="1">IF(ISNUMBER(Table2[[#This Row],[  A + B
kWh]]),Table2[[#This Row],[  A + B
kWh]]+Table2[[#This Row],[192 Consumption
KWh]]+Table2[[#This Row],[D401&amp; D404  Consumption - kWh]]," ")</f>
        <v xml:space="preserve"> </v>
      </c>
    </row>
    <row r="159" spans="1:20" ht="14.45">
      <c r="A159" s="1199"/>
      <c r="B159" s="414"/>
      <c r="C159" s="216"/>
      <c r="D159" s="215"/>
      <c r="E159" s="216" t="str">
        <f t="shared" si="51"/>
        <v xml:space="preserve"> </v>
      </c>
      <c r="F159" s="215"/>
      <c r="G159" s="325"/>
      <c r="H159" s="514" t="str">
        <f t="shared" si="52"/>
        <v xml:space="preserve"> </v>
      </c>
      <c r="I159" s="258" t="str">
        <f t="shared" si="53"/>
        <v xml:space="preserve"> </v>
      </c>
      <c r="J159" s="215"/>
      <c r="K159" s="325"/>
      <c r="L159" s="514" t="str">
        <f t="shared" si="54"/>
        <v xml:space="preserve"> </v>
      </c>
      <c r="M159" s="258" t="str">
        <f t="shared" si="55"/>
        <v xml:space="preserve"> </v>
      </c>
      <c r="N159" s="983" t="str">
        <f t="shared" si="56"/>
        <v xml:space="preserve"> </v>
      </c>
      <c r="O159" s="983" t="str">
        <f t="shared" si="57"/>
        <v xml:space="preserve"> </v>
      </c>
      <c r="P159" s="215"/>
      <c r="Q159" s="215"/>
      <c r="R159" s="253" t="str">
        <f ca="1">IF(ISNUMBER(Table2[[#This Row],[D401 Dining Meter Reading]]),(Table2[[#This Row],[D401 Dining Meter Reading]]-P158)+(Table2[[#This Row],[D404 Castle Meter Reading]]-Q158)," ")</f>
        <v xml:space="preserve"> </v>
      </c>
      <c r="S159" s="983" t="str">
        <f ca="1">IF(ISNUMBER(Table2[[#This Row],[D401&amp; D404  Consumption - kg]]),Table2[[#This Row],[D401&amp; D404  Consumption - kg]]/1.18," ")</f>
        <v xml:space="preserve"> </v>
      </c>
      <c r="T159" s="216" t="str">
        <f ca="1">IF(ISNUMBER(Table2[[#This Row],[  A + B
kWh]]),Table2[[#This Row],[  A + B
kWh]]+Table2[[#This Row],[192 Consumption
KWh]]+Table2[[#This Row],[D401&amp; D404  Consumption - kWh]]," ")</f>
        <v xml:space="preserve"> </v>
      </c>
    </row>
    <row r="160" spans="1:20" ht="14.45">
      <c r="A160" s="1199"/>
      <c r="B160" s="414"/>
      <c r="C160" s="324"/>
      <c r="D160" s="215"/>
      <c r="E160" s="216" t="str">
        <f t="shared" si="51"/>
        <v xml:space="preserve"> </v>
      </c>
      <c r="F160" s="215"/>
      <c r="G160" s="325"/>
      <c r="H160" s="514" t="str">
        <f t="shared" si="52"/>
        <v xml:space="preserve"> </v>
      </c>
      <c r="I160" s="258" t="str">
        <f t="shared" si="53"/>
        <v xml:space="preserve"> </v>
      </c>
      <c r="J160" s="215"/>
      <c r="K160" s="325"/>
      <c r="L160" s="514" t="str">
        <f t="shared" si="54"/>
        <v xml:space="preserve"> </v>
      </c>
      <c r="M160" s="258" t="str">
        <f t="shared" si="55"/>
        <v xml:space="preserve"> </v>
      </c>
      <c r="N160" s="983" t="str">
        <f t="shared" si="56"/>
        <v xml:space="preserve"> </v>
      </c>
      <c r="O160" s="983" t="str">
        <f t="shared" si="57"/>
        <v xml:space="preserve"> </v>
      </c>
      <c r="P160" s="215"/>
      <c r="Q160" s="215"/>
      <c r="R160" s="323" t="str">
        <f ca="1">IF(ISNUMBER(Table2[[#This Row],[D401 Dining Meter Reading]]),(Table2[[#This Row],[D401 Dining Meter Reading]]-P159)+(Table2[[#This Row],[D404 Castle Meter Reading]]-Q159)," ")</f>
        <v xml:space="preserve"> </v>
      </c>
      <c r="S160" s="983" t="str">
        <f ca="1">IF(ISNUMBER(Table2[[#This Row],[D401&amp; D404  Consumption - kg]]),Table2[[#This Row],[D401&amp; D404  Consumption - kg]]/1.18," ")</f>
        <v xml:space="preserve"> </v>
      </c>
      <c r="T160" s="216" t="str">
        <f ca="1">IF(ISNUMBER(Table2[[#This Row],[  A + B
kWh]]),Table2[[#This Row],[  A + B
kWh]]+Table2[[#This Row],[192 Consumption
KWh]]+Table2[[#This Row],[D401&amp; D404  Consumption - kWh]]," ")</f>
        <v xml:space="preserve"> </v>
      </c>
    </row>
    <row r="161" spans="1:20" ht="14.45">
      <c r="A161" s="1199"/>
      <c r="C161" s="324"/>
      <c r="D161" s="215"/>
      <c r="E161" s="216" t="str">
        <f t="shared" si="51"/>
        <v xml:space="preserve"> </v>
      </c>
      <c r="F161" s="215"/>
      <c r="G161" s="325"/>
      <c r="H161" s="514" t="str">
        <f t="shared" si="52"/>
        <v xml:space="preserve"> </v>
      </c>
      <c r="I161" s="258" t="str">
        <f t="shared" si="53"/>
        <v xml:space="preserve"> </v>
      </c>
      <c r="J161" s="215"/>
      <c r="K161" s="325"/>
      <c r="L161" s="514" t="str">
        <f t="shared" si="54"/>
        <v xml:space="preserve"> </v>
      </c>
      <c r="M161" s="258" t="str">
        <f t="shared" si="55"/>
        <v xml:space="preserve"> </v>
      </c>
      <c r="N161" s="983" t="str">
        <f t="shared" si="56"/>
        <v xml:space="preserve"> </v>
      </c>
      <c r="O161" s="983" t="str">
        <f t="shared" si="57"/>
        <v xml:space="preserve"> </v>
      </c>
      <c r="P161" s="215"/>
      <c r="Q161" s="215"/>
      <c r="R161" s="253" t="str">
        <f ca="1">IF(ISNUMBER(Table2[[#This Row],[D401 Dining Meter Reading]]),(Table2[[#This Row],[D401 Dining Meter Reading]]-P160)+(Table2[[#This Row],[D404 Castle Meter Reading]]-Q160)," ")</f>
        <v xml:space="preserve"> </v>
      </c>
      <c r="S161" s="983" t="str">
        <f ca="1">IF(ISNUMBER(Table2[[#This Row],[D401&amp; D404  Consumption - kg]]),Table2[[#This Row],[D401&amp; D404  Consumption - kg]]/1.18," ")</f>
        <v xml:space="preserve"> </v>
      </c>
      <c r="T161" s="216" t="str">
        <f ca="1">IF(ISNUMBER(Table2[[#This Row],[  A + B
kWh]]),Table2[[#This Row],[  A + B
kWh]]+Table2[[#This Row],[192 Consumption
KWh]]+Table2[[#This Row],[D401&amp; D404  Consumption - kWh]]," ")</f>
        <v xml:space="preserve"> </v>
      </c>
    </row>
    <row r="162" spans="1:20" ht="14.45">
      <c r="A162" s="1199"/>
      <c r="C162" s="324"/>
      <c r="D162" s="215"/>
      <c r="E162" s="216" t="str">
        <f t="shared" si="51"/>
        <v xml:space="preserve"> </v>
      </c>
      <c r="F162" s="215"/>
      <c r="G162" s="325"/>
      <c r="H162" s="514" t="str">
        <f t="shared" si="52"/>
        <v xml:space="preserve"> </v>
      </c>
      <c r="I162" s="258" t="str">
        <f>IF(ISNUMBER(G162),G162-G161," ")</f>
        <v xml:space="preserve"> </v>
      </c>
      <c r="J162" s="215"/>
      <c r="K162" s="325"/>
      <c r="L162" s="514" t="str">
        <f t="shared" si="54"/>
        <v xml:space="preserve"> </v>
      </c>
      <c r="M162" s="258" t="str">
        <f t="shared" si="55"/>
        <v xml:space="preserve"> </v>
      </c>
      <c r="N162" s="983" t="str">
        <f t="shared" si="56"/>
        <v xml:space="preserve"> </v>
      </c>
      <c r="O162" s="983" t="str">
        <f t="shared" si="57"/>
        <v xml:space="preserve"> </v>
      </c>
      <c r="P162" s="215"/>
      <c r="Q162" s="215"/>
      <c r="R162" s="323" t="str">
        <f ca="1">IF(ISNUMBER(Table2[[#This Row],[D401 Dining Meter Reading]]),(Table2[[#This Row],[D401 Dining Meter Reading]]-P161)+(Table2[[#This Row],[D404 Castle Meter Reading]]-Q161)," ")</f>
        <v xml:space="preserve"> </v>
      </c>
      <c r="S162" s="983" t="str">
        <f ca="1">IF(ISNUMBER(Table2[[#This Row],[D401&amp; D404  Consumption - kg]]),Table2[[#This Row],[D401&amp; D404  Consumption - kg]]/1.18," ")</f>
        <v xml:space="preserve"> </v>
      </c>
      <c r="T162" s="216" t="str">
        <f ca="1">IF(ISNUMBER(Table2[[#This Row],[  A + B
kWh]]),Table2[[#This Row],[  A + B
kWh]]+Table2[[#This Row],[192 Consumption
KWh]]+Table2[[#This Row],[D401&amp; D404  Consumption - kWh]]," ")</f>
        <v xml:space="preserve"> </v>
      </c>
    </row>
    <row r="163" spans="1:20" ht="14.45">
      <c r="A163" s="1200"/>
      <c r="B163" s="295"/>
      <c r="C163" s="480"/>
      <c r="D163" s="1071"/>
      <c r="E163" s="277" t="str">
        <f t="shared" si="51"/>
        <v xml:space="preserve"> </v>
      </c>
      <c r="F163" s="1071"/>
      <c r="G163" s="478"/>
      <c r="H163" s="1201" t="str">
        <f t="shared" si="52"/>
        <v xml:space="preserve"> </v>
      </c>
      <c r="I163" s="282" t="str">
        <f t="shared" si="53"/>
        <v xml:space="preserve"> </v>
      </c>
      <c r="J163" s="1071"/>
      <c r="K163" s="478"/>
      <c r="L163" s="1201" t="str">
        <f t="shared" si="54"/>
        <v xml:space="preserve"> </v>
      </c>
      <c r="M163" s="282" t="str">
        <f t="shared" si="55"/>
        <v xml:space="preserve"> </v>
      </c>
      <c r="N163" s="982" t="str">
        <f t="shared" si="56"/>
        <v xml:space="preserve"> </v>
      </c>
      <c r="O163" s="982" t="str">
        <f t="shared" si="57"/>
        <v xml:space="preserve"> </v>
      </c>
      <c r="P163" s="1071"/>
      <c r="Q163" s="1071"/>
      <c r="R163" s="285" t="str">
        <f ca="1">IF(ISNUMBER(Table2[[#This Row],[D401 Dining Meter Reading]]),(Table2[[#This Row],[D401 Dining Meter Reading]]-P162)+(Table2[[#This Row],[D404 Castle Meter Reading]]-Q162)," ")</f>
        <v xml:space="preserve"> </v>
      </c>
      <c r="S163" s="982" t="str">
        <f ca="1">IF(ISNUMBER(Table2[[#This Row],[D401&amp; D404  Consumption - kg]]),Table2[[#This Row],[D401&amp; D404  Consumption - kg]]/1.18," ")</f>
        <v xml:space="preserve"> </v>
      </c>
      <c r="T163" s="277" t="str">
        <f ca="1">IF(ISNUMBER(Table2[[#This Row],[  A + B
kWh]]),Table2[[#This Row],[  A + B
kWh]]+Table2[[#This Row],[192 Consumption
KWh]]+Table2[[#This Row],[D401&amp; D404  Consumption - kWh]]," ")</f>
        <v xml:space="preserve"> </v>
      </c>
    </row>
    <row r="164" spans="1:20" ht="14.45">
      <c r="A164" s="1194"/>
      <c r="B164" s="414"/>
      <c r="C164" s="983"/>
      <c r="D164" s="1195"/>
      <c r="E164" s="983"/>
      <c r="F164" s="215"/>
      <c r="G164" s="215"/>
      <c r="H164" s="215"/>
      <c r="I164" s="215"/>
      <c r="J164" s="215"/>
      <c r="K164" s="215"/>
      <c r="L164" s="1201"/>
      <c r="M164" s="282"/>
      <c r="N164" s="983"/>
      <c r="O164" s="983"/>
      <c r="P164" s="215"/>
      <c r="Q164" s="215"/>
      <c r="R164" s="215"/>
      <c r="S164" s="215"/>
    </row>
  </sheetData>
  <customSheetViews>
    <customSheetView guid="{673E8A68-6A24-44BE-9F14-EEC413B6644E}" showPageBreaks="1" hiddenRows="1">
      <pane ySplit="2" topLeftCell="A65" activePane="bottomLeft" state="frozen"/>
      <selection pane="bottomLeft" activeCell="N92" sqref="N92"/>
      <pageMargins left="0" right="0" top="0" bottom="0" header="0" footer="0"/>
      <pageSetup paperSize="9" orientation="portrait" r:id="rId1"/>
    </customSheetView>
    <customSheetView guid="{D9BD3B37-9C0B-48A1-8A97-047766FF7485}" hiddenRows="1" topLeftCell="A60">
      <selection activeCell="L88" sqref="L88"/>
      <pageMargins left="0" right="0" top="0" bottom="0" header="0" footer="0"/>
      <pageSetup paperSize="9" orientation="portrait" verticalDpi="0" r:id="rId2"/>
    </customSheetView>
    <customSheetView guid="{26BC36A8-DEE7-49C3-82FB-804A3B368D65}" showPageBreaks="1" hiddenRows="1">
      <selection activeCell="C79" sqref="C79"/>
      <pageMargins left="0" right="0" top="0" bottom="0" header="0" footer="0"/>
      <pageSetup paperSize="9" orientation="portrait" r:id="rId3"/>
    </customSheetView>
    <customSheetView guid="{90A42C2A-6CDA-4EAF-9471-F44CF19471E9}">
      <pane ySplit="3" topLeftCell="A88" activePane="bottomLeft" state="frozen"/>
      <selection pane="bottomLeft" activeCell="I101" sqref="I101"/>
      <pageMargins left="0" right="0" top="0" bottom="0" header="0" footer="0"/>
      <pageSetup paperSize="9" orientation="portrait" r:id="rId4"/>
    </customSheetView>
  </customSheetViews>
  <mergeCells count="6">
    <mergeCell ref="N2:O2"/>
    <mergeCell ref="F1:M1"/>
    <mergeCell ref="F2:G2"/>
    <mergeCell ref="H2:I2"/>
    <mergeCell ref="J2:K2"/>
    <mergeCell ref="L2:M2"/>
  </mergeCells>
  <phoneticPr fontId="79" type="noConversion"/>
  <conditionalFormatting sqref="C5:C113 C115">
    <cfRule type="dataBar" priority="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{DBD29C30-5D7B-4D8D-A946-FD3E69E91C85}</x14:id>
        </ext>
      </extLst>
    </cfRule>
  </conditionalFormatting>
  <conditionalFormatting sqref="C5:C127">
    <cfRule type="dataBar" priority="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{F51B63A1-996B-46B7-ACDA-A994548A9B7D}</x14:id>
        </ext>
      </extLst>
    </cfRule>
  </conditionalFormatting>
  <conditionalFormatting sqref="C5:C163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{A7452445-4F39-4C32-B796-0637A6CD61BB}</x14:id>
        </ext>
      </extLst>
    </cfRule>
  </conditionalFormatting>
  <conditionalFormatting sqref="C114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{E1CDA03A-1900-4FD4-8E66-6D6C3829AFC5}</x14:id>
        </ext>
      </extLst>
    </cfRule>
  </conditionalFormatting>
  <conditionalFormatting sqref="C116:C127">
    <cfRule type="dataBar" priority="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{C89C916B-B177-47A8-9446-263EC5C8063C}</x14:id>
        </ext>
      </extLst>
    </cfRule>
  </conditionalFormatting>
  <conditionalFormatting sqref="C128:C151 C164">
    <cfRule type="dataBar" priority="1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{450B398A-472F-4865-BCBC-AA0EFF98EE69}</x14:id>
        </ext>
      </extLst>
    </cfRule>
  </conditionalFormatting>
  <conditionalFormatting sqref="C152:C163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{881E9650-5300-402A-9658-EB8C2FA58BA3}</x14:id>
        </ext>
      </extLst>
    </cfRule>
  </conditionalFormatting>
  <conditionalFormatting sqref="E5:E113 E115">
    <cfRule type="dataBar" priority="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{6671A2D5-F3E1-4433-B5D5-185787EC1A73}</x14:id>
        </ext>
      </extLst>
    </cfRule>
  </conditionalFormatting>
  <conditionalFormatting sqref="E39:E127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{792746B7-6E3F-40A5-AB13-B6E630558E0B}</x14:id>
        </ext>
      </extLst>
    </cfRule>
  </conditionalFormatting>
  <conditionalFormatting sqref="E39:E164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{5A57932B-A3EB-424F-A24C-7D5FAFB2520A}</x14:id>
        </ext>
      </extLst>
    </cfRule>
  </conditionalFormatting>
  <conditionalFormatting sqref="E114">
    <cfRule type="dataBar" priority="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{7BAD857F-548D-439A-A585-9E0E558BEEDA}</x14:id>
        </ext>
      </extLst>
    </cfRule>
  </conditionalFormatting>
  <conditionalFormatting sqref="E116:E127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{0DD4E046-15DE-4116-8E4B-131D796E3365}</x14:id>
        </ext>
      </extLst>
    </cfRule>
  </conditionalFormatting>
  <conditionalFormatting sqref="E128:E151 E164">
    <cfRule type="dataBar" priority="1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{6B2071C2-3EF6-42FD-BFD5-101319274150}</x14:id>
        </ext>
      </extLst>
    </cfRule>
  </conditionalFormatting>
  <conditionalFormatting sqref="E152:E163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{94028988-A63F-465E-BB21-665E64C91100}</x14:id>
        </ext>
      </extLst>
    </cfRule>
  </conditionalFormatting>
  <conditionalFormatting sqref="N5:N127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{FB56846B-440C-41AF-B404-D8B298AE31BE}</x14:id>
        </ext>
      </extLst>
    </cfRule>
  </conditionalFormatting>
  <conditionalFormatting sqref="N5:N16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{44957882-56E0-4389-BDFA-79DF8DF94FB6}</x14:id>
        </ext>
      </extLst>
    </cfRule>
  </conditionalFormatting>
  <conditionalFormatting sqref="N128:N151 N164">
    <cfRule type="dataBar" priority="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{3E0F82E3-870D-4D2D-8EA8-35A7A3278920}</x14:id>
        </ext>
      </extLst>
    </cfRule>
  </conditionalFormatting>
  <conditionalFormatting sqref="N152:N163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{A61D503C-716C-4962-8D21-C5D7EF2B103C}</x14:id>
        </ext>
      </extLst>
    </cfRule>
  </conditionalFormatting>
  <conditionalFormatting sqref="O5:O113 O115">
    <cfRule type="dataBar" priority="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{410FA763-9C5B-4C1C-8CB3-F2314274B8D8}</x14:id>
        </ext>
      </extLst>
    </cfRule>
  </conditionalFormatting>
  <conditionalFormatting sqref="O5:O127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{2992A164-ADCB-4186-8E0F-CC20EC8639DF}</x14:id>
        </ext>
      </extLst>
    </cfRule>
  </conditionalFormatting>
  <conditionalFormatting sqref="O5:O163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{39E53406-18BC-4328-BE1E-C603CC7BCDA1}</x14:id>
        </ext>
      </extLst>
    </cfRule>
  </conditionalFormatting>
  <conditionalFormatting sqref="O114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{051D5A9C-557E-4FE8-8246-912DA314A608}</x14:id>
        </ext>
      </extLst>
    </cfRule>
  </conditionalFormatting>
  <conditionalFormatting sqref="O116:O127">
    <cfRule type="dataBar" priority="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{0ED1FE55-076A-4B1E-9C0E-2DF53CD4323D}</x14:id>
        </ext>
      </extLst>
    </cfRule>
  </conditionalFormatting>
  <conditionalFormatting sqref="O128:O151 O164">
    <cfRule type="dataBar" priority="1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{8C5AC08C-9A61-4678-B2AA-C48D4036CE59}</x14:id>
        </ext>
      </extLst>
    </cfRule>
  </conditionalFormatting>
  <conditionalFormatting sqref="O152:O163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{058DBFB3-2245-4870-A89B-9D0B0253A269}</x14:id>
        </ext>
      </extLst>
    </cfRule>
  </conditionalFormatting>
  <conditionalFormatting sqref="R34:R38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{D617129E-FACB-49F9-9381-58BB9D4B021E}</x14:id>
        </ext>
      </extLst>
    </cfRule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{7DB36364-0547-4E1A-BAD7-3495F74F5DEC}</x14:id>
        </ext>
      </extLst>
    </cfRule>
  </conditionalFormatting>
  <conditionalFormatting sqref="R39:R163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{3E67E8B7-8415-47B9-806A-1AAA052210BF}</x14:id>
        </ext>
      </extLst>
    </cfRule>
  </conditionalFormatting>
  <conditionalFormatting sqref="R103:R16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{C2841773-B47B-4D51-86C9-4328FBCA4E0C}</x14:id>
        </ext>
      </extLst>
    </cfRule>
  </conditionalFormatting>
  <conditionalFormatting sqref="R152:R163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{AFB52614-F6B9-44F9-8B64-E478F2DD86CB}</x14:id>
        </ext>
      </extLst>
    </cfRule>
  </conditionalFormatting>
  <conditionalFormatting sqref="S34:S40 S52:S58 S70:S76 S88:S94 S106:S112 S124:S130 S140:S14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{CF5A7E41-7A26-402F-B68F-48AA7F7A3A8B}</x14:id>
        </ext>
      </extLst>
    </cfRule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{4F871B14-CDF0-489E-A74A-0AAF3A950FF6}</x14:id>
        </ext>
      </extLst>
    </cfRule>
  </conditionalFormatting>
  <conditionalFormatting sqref="S41:S51 S59:S69 S77:S87 S95:S105 S113:S123 S131:S139 S143:S151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{EDD1F633-6BCA-4EA3-BF83-AB52799706B3}</x14:id>
        </ext>
      </extLst>
    </cfRule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{7D82B57F-50A0-4447-B43B-FA81AF0BE667}</x14:id>
        </ext>
      </extLst>
    </cfRule>
  </conditionalFormatting>
  <conditionalFormatting sqref="S103:S16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{EA4590D2-A7DC-4711-919D-8FE83CF21AAA}</x14:id>
        </ext>
      </extLst>
    </cfRule>
  </conditionalFormatting>
  <conditionalFormatting sqref="S152:S154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{D8D7138F-0ECF-4742-BC62-0CF6C5097B06}</x14:id>
        </ext>
      </extLst>
    </cfRule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{2E7825FD-6284-4C8D-88C2-26034392848A}</x14:id>
        </ext>
      </extLst>
    </cfRule>
  </conditionalFormatting>
  <conditionalFormatting sqref="S155:S163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{C1A4BA35-4BE3-4D45-8B07-FFA4F7857793}</x14:id>
        </ext>
      </extLst>
    </cfRule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{C1158319-4A07-4BA1-A13B-BBE7457EB47C}</x14:id>
        </ext>
      </extLst>
    </cfRule>
  </conditionalFormatting>
  <conditionalFormatting sqref="T39:T163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{432D67D8-163C-4816-961D-D07E55DD2EE0}</x14:id>
        </ext>
      </extLst>
    </cfRule>
  </conditionalFormatting>
  <conditionalFormatting sqref="T41:T51 T59:T69 T77:T87 T95:T126 T143:T151 T131:T139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{3E380E06-33E9-4EB2-BE5F-F38199E24575}</x14:id>
        </ext>
      </extLst>
    </cfRule>
  </conditionalFormatting>
  <conditionalFormatting sqref="T52:T58 T34:T40 T70:T76 T88:T94 T127:T130 T140:T142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{284258F0-BA25-4032-B039-1444DD1D14FD}</x14:id>
        </ext>
      </extLst>
    </cfRule>
  </conditionalFormatting>
  <conditionalFormatting sqref="T52:T58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{AFDBFA7B-31BF-4B4A-A84B-B9771376F922}</x14:id>
        </ext>
      </extLst>
    </cfRule>
  </conditionalFormatting>
  <conditionalFormatting sqref="T152:T154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{65EF7A13-E7AD-4610-BB30-DE7D2F7584A7}</x14:id>
        </ext>
      </extLst>
    </cfRule>
  </conditionalFormatting>
  <conditionalFormatting sqref="T155:T163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{96966776-AB1D-4CA2-A576-575ECA8BAF76}</x14:id>
        </ext>
      </extLst>
    </cfRule>
  </conditionalFormatting>
  <pageMargins left="0.7" right="0.7" top="0.75" bottom="0.75" header="0.3" footer="0.3"/>
  <pageSetup paperSize="9" orientation="portrait" r:id="rId5"/>
  <drawing r:id="rId6"/>
  <tableParts count="1">
    <tablePart r:id="rId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D29C30-5D7B-4D8D-A946-FD3E69E91C8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C5:C113 C115</xm:sqref>
        </x14:conditionalFormatting>
        <x14:conditionalFormatting xmlns:xm="http://schemas.microsoft.com/office/excel/2006/main">
          <x14:cfRule type="dataBar" id="{F51B63A1-996B-46B7-ACDA-A994548A9B7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C5:C127</xm:sqref>
        </x14:conditionalFormatting>
        <x14:conditionalFormatting xmlns:xm="http://schemas.microsoft.com/office/excel/2006/main">
          <x14:cfRule type="dataBar" id="{A7452445-4F39-4C32-B796-0637A6CD61B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C5:C163</xm:sqref>
        </x14:conditionalFormatting>
        <x14:conditionalFormatting xmlns:xm="http://schemas.microsoft.com/office/excel/2006/main">
          <x14:cfRule type="dataBar" id="{E1CDA03A-1900-4FD4-8E66-6D6C3829AFC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C114</xm:sqref>
        </x14:conditionalFormatting>
        <x14:conditionalFormatting xmlns:xm="http://schemas.microsoft.com/office/excel/2006/main">
          <x14:cfRule type="dataBar" id="{C89C916B-B177-47A8-9446-263EC5C806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C116:C127</xm:sqref>
        </x14:conditionalFormatting>
        <x14:conditionalFormatting xmlns:xm="http://schemas.microsoft.com/office/excel/2006/main">
          <x14:cfRule type="dataBar" id="{450B398A-472F-4865-BCBC-AA0EFF98EE6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C128:C151 C164</xm:sqref>
        </x14:conditionalFormatting>
        <x14:conditionalFormatting xmlns:xm="http://schemas.microsoft.com/office/excel/2006/main">
          <x14:cfRule type="dataBar" id="{881E9650-5300-402A-9658-EB8C2FA58BA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C152:C163</xm:sqref>
        </x14:conditionalFormatting>
        <x14:conditionalFormatting xmlns:xm="http://schemas.microsoft.com/office/excel/2006/main">
          <x14:cfRule type="dataBar" id="{6671A2D5-F3E1-4433-B5D5-185787EC1A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E5:E113 E115</xm:sqref>
        </x14:conditionalFormatting>
        <x14:conditionalFormatting xmlns:xm="http://schemas.microsoft.com/office/excel/2006/main">
          <x14:cfRule type="dataBar" id="{792746B7-6E3F-40A5-AB13-B6E630558E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E39:E127</xm:sqref>
        </x14:conditionalFormatting>
        <x14:conditionalFormatting xmlns:xm="http://schemas.microsoft.com/office/excel/2006/main">
          <x14:cfRule type="dataBar" id="{5A57932B-A3EB-424F-A24C-7D5FAFB252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E39:E164</xm:sqref>
        </x14:conditionalFormatting>
        <x14:conditionalFormatting xmlns:xm="http://schemas.microsoft.com/office/excel/2006/main">
          <x14:cfRule type="dataBar" id="{7BAD857F-548D-439A-A585-9E0E558BEE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E114</xm:sqref>
        </x14:conditionalFormatting>
        <x14:conditionalFormatting xmlns:xm="http://schemas.microsoft.com/office/excel/2006/main">
          <x14:cfRule type="dataBar" id="{0DD4E046-15DE-4116-8E4B-131D796E336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E116:E127</xm:sqref>
        </x14:conditionalFormatting>
        <x14:conditionalFormatting xmlns:xm="http://schemas.microsoft.com/office/excel/2006/main">
          <x14:cfRule type="dataBar" id="{6B2071C2-3EF6-42FD-BFD5-1013192741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E128:E151 E164</xm:sqref>
        </x14:conditionalFormatting>
        <x14:conditionalFormatting xmlns:xm="http://schemas.microsoft.com/office/excel/2006/main">
          <x14:cfRule type="dataBar" id="{94028988-A63F-465E-BB21-665E64C9110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E152:E163</xm:sqref>
        </x14:conditionalFormatting>
        <x14:conditionalFormatting xmlns:xm="http://schemas.microsoft.com/office/excel/2006/main">
          <x14:cfRule type="dataBar" id="{FB56846B-440C-41AF-B404-D8B298AE31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N5:N127</xm:sqref>
        </x14:conditionalFormatting>
        <x14:conditionalFormatting xmlns:xm="http://schemas.microsoft.com/office/excel/2006/main">
          <x14:cfRule type="dataBar" id="{44957882-56E0-4389-BDFA-79DF8DF94F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N5:N163</xm:sqref>
        </x14:conditionalFormatting>
        <x14:conditionalFormatting xmlns:xm="http://schemas.microsoft.com/office/excel/2006/main">
          <x14:cfRule type="dataBar" id="{3E0F82E3-870D-4D2D-8EA8-35A7A32789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N128:N151 N164</xm:sqref>
        </x14:conditionalFormatting>
        <x14:conditionalFormatting xmlns:xm="http://schemas.microsoft.com/office/excel/2006/main">
          <x14:cfRule type="dataBar" id="{A61D503C-716C-4962-8D21-C5D7EF2B10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N152:N163</xm:sqref>
        </x14:conditionalFormatting>
        <x14:conditionalFormatting xmlns:xm="http://schemas.microsoft.com/office/excel/2006/main">
          <x14:cfRule type="dataBar" id="{410FA763-9C5B-4C1C-8CB3-F2314274B8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O5:O113 O115</xm:sqref>
        </x14:conditionalFormatting>
        <x14:conditionalFormatting xmlns:xm="http://schemas.microsoft.com/office/excel/2006/main">
          <x14:cfRule type="dataBar" id="{2992A164-ADCB-4186-8E0F-CC20EC8639D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O5:O127</xm:sqref>
        </x14:conditionalFormatting>
        <x14:conditionalFormatting xmlns:xm="http://schemas.microsoft.com/office/excel/2006/main">
          <x14:cfRule type="dataBar" id="{39E53406-18BC-4328-BE1E-C603CC7BCDA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O5:O163</xm:sqref>
        </x14:conditionalFormatting>
        <x14:conditionalFormatting xmlns:xm="http://schemas.microsoft.com/office/excel/2006/main">
          <x14:cfRule type="dataBar" id="{051D5A9C-557E-4FE8-8246-912DA314A6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O114</xm:sqref>
        </x14:conditionalFormatting>
        <x14:conditionalFormatting xmlns:xm="http://schemas.microsoft.com/office/excel/2006/main">
          <x14:cfRule type="dataBar" id="{0ED1FE55-076A-4B1E-9C0E-2DF53CD432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O116:O127</xm:sqref>
        </x14:conditionalFormatting>
        <x14:conditionalFormatting xmlns:xm="http://schemas.microsoft.com/office/excel/2006/main">
          <x14:cfRule type="dataBar" id="{8C5AC08C-9A61-4678-B2AA-C48D4036CE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O128:O151 O164</xm:sqref>
        </x14:conditionalFormatting>
        <x14:conditionalFormatting xmlns:xm="http://schemas.microsoft.com/office/excel/2006/main">
          <x14:cfRule type="dataBar" id="{058DBFB3-2245-4870-A89B-9D0B0253A26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O152:O163</xm:sqref>
        </x14:conditionalFormatting>
        <x14:conditionalFormatting xmlns:xm="http://schemas.microsoft.com/office/excel/2006/main">
          <x14:cfRule type="dataBar" id="{D617129E-FACB-49F9-9381-58BB9D4B02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14:cfRule type="dataBar" id="{7DB36364-0547-4E1A-BAD7-3495F74F5D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R34:R38</xm:sqref>
        </x14:conditionalFormatting>
        <x14:conditionalFormatting xmlns:xm="http://schemas.microsoft.com/office/excel/2006/main">
          <x14:cfRule type="dataBar" id="{3E67E8B7-8415-47B9-806A-1AAA052210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R39:R163</xm:sqref>
        </x14:conditionalFormatting>
        <x14:conditionalFormatting xmlns:xm="http://schemas.microsoft.com/office/excel/2006/main">
          <x14:cfRule type="dataBar" id="{C2841773-B47B-4D51-86C9-4328FBCA4E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R103:R163</xm:sqref>
        </x14:conditionalFormatting>
        <x14:conditionalFormatting xmlns:xm="http://schemas.microsoft.com/office/excel/2006/main">
          <x14:cfRule type="dataBar" id="{AFB52614-F6B9-44F9-8B64-E478F2DD86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R152:R163</xm:sqref>
        </x14:conditionalFormatting>
        <x14:conditionalFormatting xmlns:xm="http://schemas.microsoft.com/office/excel/2006/main">
          <x14:cfRule type="dataBar" id="{CF5A7E41-7A26-402F-B68F-48AA7F7A3A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14:cfRule type="dataBar" id="{4F871B14-CDF0-489E-A74A-0AAF3A950FF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S34:S40 S52:S58 S70:S76 S88:S94 S106:S112 S124:S130 S140:S142</xm:sqref>
        </x14:conditionalFormatting>
        <x14:conditionalFormatting xmlns:xm="http://schemas.microsoft.com/office/excel/2006/main">
          <x14:cfRule type="dataBar" id="{EDD1F633-6BCA-4EA3-BF83-AB52799706B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14:cfRule type="dataBar" id="{7D82B57F-50A0-4447-B43B-FA81AF0BE66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S41:S51 S59:S69 S77:S87 S95:S105 S113:S123 S131:S139 S143:S151</xm:sqref>
        </x14:conditionalFormatting>
        <x14:conditionalFormatting xmlns:xm="http://schemas.microsoft.com/office/excel/2006/main">
          <x14:cfRule type="dataBar" id="{EA4590D2-A7DC-4711-919D-8FE83CF21A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S103:S163</xm:sqref>
        </x14:conditionalFormatting>
        <x14:conditionalFormatting xmlns:xm="http://schemas.microsoft.com/office/excel/2006/main">
          <x14:cfRule type="dataBar" id="{D8D7138F-0ECF-4742-BC62-0CF6C5097B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14:cfRule type="dataBar" id="{2E7825FD-6284-4C8D-88C2-2603439284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S152:S154</xm:sqref>
        </x14:conditionalFormatting>
        <x14:conditionalFormatting xmlns:xm="http://schemas.microsoft.com/office/excel/2006/main">
          <x14:cfRule type="dataBar" id="{C1A4BA35-4BE3-4D45-8B07-FFA4F78577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14:cfRule type="dataBar" id="{C1158319-4A07-4BA1-A13B-BBE7457EB47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S155:S163</xm:sqref>
        </x14:conditionalFormatting>
        <x14:conditionalFormatting xmlns:xm="http://schemas.microsoft.com/office/excel/2006/main">
          <x14:cfRule type="dataBar" id="{432D67D8-163C-4816-961D-D07E55DD2EE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T39:T163</xm:sqref>
        </x14:conditionalFormatting>
        <x14:conditionalFormatting xmlns:xm="http://schemas.microsoft.com/office/excel/2006/main">
          <x14:cfRule type="dataBar" id="{3E380E06-33E9-4EB2-BE5F-F38199E2457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T41:T51 T59:T69 T77:T87 T95:T126 T143:T151 T131:T139</xm:sqref>
        </x14:conditionalFormatting>
        <x14:conditionalFormatting xmlns:xm="http://schemas.microsoft.com/office/excel/2006/main">
          <x14:cfRule type="dataBar" id="{284258F0-BA25-4032-B039-1444DD1D14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T52:T58 T34:T40 T70:T76 T88:T94 T127:T130 T140:T142</xm:sqref>
        </x14:conditionalFormatting>
        <x14:conditionalFormatting xmlns:xm="http://schemas.microsoft.com/office/excel/2006/main">
          <x14:cfRule type="dataBar" id="{AFDBFA7B-31BF-4B4A-A84B-B9771376F92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T52:T58</xm:sqref>
        </x14:conditionalFormatting>
        <x14:conditionalFormatting xmlns:xm="http://schemas.microsoft.com/office/excel/2006/main">
          <x14:cfRule type="dataBar" id="{65EF7A13-E7AD-4610-BB30-DE7D2F7584A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T152:T154</xm:sqref>
        </x14:conditionalFormatting>
        <x14:conditionalFormatting xmlns:xm="http://schemas.microsoft.com/office/excel/2006/main">
          <x14:cfRule type="dataBar" id="{96966776-AB1D-4CA2-A576-575ECA8BAF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T155:T163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109"/>
  <sheetViews>
    <sheetView topLeftCell="A27" zoomScale="80" zoomScaleNormal="80" workbookViewId="0" xr3:uid="{51F8DEE0-4D01-5F28-A812-FC0BD7CAC4A5}">
      <pane xSplit="5" topLeftCell="AP23" activePane="topRight" state="frozen"/>
      <selection pane="topRight" activeCell="AR40" sqref="AR40"/>
    </sheetView>
  </sheetViews>
  <sheetFormatPr defaultColWidth="15.140625" defaultRowHeight="15" customHeight="1"/>
  <cols>
    <col min="1" max="1" width="71.42578125" style="80" customWidth="1"/>
    <col min="2" max="2" width="27" style="80" bestFit="1" customWidth="1"/>
    <col min="3" max="3" width="9" style="80" bestFit="1" customWidth="1"/>
    <col min="4" max="4" width="6.5703125" style="80" customWidth="1"/>
    <col min="5" max="5" width="16.85546875" style="80" customWidth="1"/>
    <col min="6" max="6" width="5.7109375" style="80" customWidth="1"/>
    <col min="7" max="7" width="12.5703125" style="80" bestFit="1" customWidth="1"/>
    <col min="8" max="8" width="8.85546875" style="80" customWidth="1"/>
    <col min="9" max="9" width="10.5703125" style="80" customWidth="1"/>
    <col min="10" max="12" width="10.85546875" style="80" customWidth="1"/>
    <col min="13" max="13" width="14.42578125" style="80" customWidth="1"/>
    <col min="14" max="19" width="10.85546875" style="80" customWidth="1"/>
    <col min="20" max="20" width="11.28515625" style="80" customWidth="1"/>
    <col min="21" max="33" width="11" style="80" customWidth="1"/>
    <col min="34" max="34" width="14.28515625" style="80" customWidth="1"/>
    <col min="35" max="35" width="14.7109375" style="80" customWidth="1"/>
    <col min="36" max="36" width="15.28515625" style="80" bestFit="1" customWidth="1"/>
    <col min="37" max="37" width="13.7109375" style="80" customWidth="1"/>
    <col min="38" max="38" width="13.85546875" style="80" customWidth="1"/>
    <col min="39" max="45" width="13.42578125" style="80" customWidth="1"/>
    <col min="46" max="46" width="22.5703125" style="80" bestFit="1" customWidth="1"/>
    <col min="47" max="47" width="10" style="80" bestFit="1" customWidth="1"/>
    <col min="48" max="48" width="12.7109375" style="80" bestFit="1" customWidth="1"/>
    <col min="49" max="49" width="11.5703125" style="80" bestFit="1" customWidth="1"/>
    <col min="50" max="50" width="20.28515625" style="80" customWidth="1"/>
    <col min="51" max="51" width="15.85546875" style="80" bestFit="1" customWidth="1"/>
    <col min="52" max="52" width="12.5703125" style="80" bestFit="1" customWidth="1"/>
    <col min="53" max="53" width="14.7109375" style="80" bestFit="1" customWidth="1"/>
    <col min="54" max="54" width="12.5703125" style="80" bestFit="1" customWidth="1"/>
    <col min="55" max="55" width="40.5703125" style="80" bestFit="1" customWidth="1"/>
    <col min="56" max="56" width="23.28515625" style="80" bestFit="1" customWidth="1"/>
    <col min="57" max="57" width="12.85546875" style="80" customWidth="1"/>
    <col min="58" max="58" width="12.5703125" style="80" bestFit="1" customWidth="1"/>
    <col min="59" max="63" width="7.5703125" style="80" customWidth="1"/>
    <col min="64" max="16384" width="15.140625" style="80"/>
  </cols>
  <sheetData>
    <row r="1" spans="1:63" ht="45.75" customHeight="1">
      <c r="A1" s="138"/>
      <c r="B1" s="138"/>
      <c r="C1" s="138"/>
      <c r="D1" s="138"/>
      <c r="E1" s="138"/>
      <c r="F1" s="138"/>
      <c r="G1" s="139" t="s">
        <v>382</v>
      </c>
      <c r="H1" s="139" t="s">
        <v>383</v>
      </c>
      <c r="I1" s="139" t="s">
        <v>384</v>
      </c>
      <c r="J1" s="139" t="s">
        <v>385</v>
      </c>
      <c r="K1" s="138"/>
      <c r="L1" s="139" t="s">
        <v>386</v>
      </c>
      <c r="N1" s="139" t="s">
        <v>387</v>
      </c>
      <c r="O1" s="138" t="s">
        <v>388</v>
      </c>
      <c r="P1" s="138"/>
      <c r="Q1" s="138" t="s">
        <v>389</v>
      </c>
      <c r="R1" s="138"/>
      <c r="S1" s="138"/>
      <c r="T1" s="139" t="s">
        <v>390</v>
      </c>
      <c r="AH1" s="139" t="s">
        <v>391</v>
      </c>
      <c r="AI1" s="138" t="s">
        <v>392</v>
      </c>
      <c r="AJ1" s="138" t="s">
        <v>393</v>
      </c>
      <c r="AK1" s="138" t="s">
        <v>394</v>
      </c>
    </row>
    <row r="2" spans="1:63" ht="15.75" customHeight="1">
      <c r="A2" s="738" t="s">
        <v>395</v>
      </c>
      <c r="B2" s="757" t="s">
        <v>396</v>
      </c>
      <c r="C2" s="739"/>
      <c r="D2" s="739"/>
      <c r="E2" s="739"/>
      <c r="F2" s="739"/>
      <c r="G2" s="707" t="s">
        <v>397</v>
      </c>
      <c r="H2" s="707"/>
      <c r="I2" s="707"/>
      <c r="J2" s="715"/>
      <c r="K2" s="707"/>
      <c r="L2" s="707"/>
      <c r="M2" s="707"/>
      <c r="N2" s="707"/>
      <c r="O2" s="716">
        <v>2631050</v>
      </c>
      <c r="P2" s="708" t="s">
        <v>74</v>
      </c>
      <c r="Q2" s="717">
        <v>1</v>
      </c>
      <c r="R2" s="718">
        <f>O2*Q2</f>
        <v>2631050</v>
      </c>
      <c r="S2" s="708" t="s">
        <v>74</v>
      </c>
      <c r="T2" s="719">
        <v>8.8330000000000006E-2</v>
      </c>
      <c r="U2" s="708" t="s">
        <v>398</v>
      </c>
      <c r="V2" s="708"/>
      <c r="W2" s="708"/>
      <c r="X2" s="708"/>
      <c r="Y2" s="708"/>
      <c r="Z2" s="708"/>
      <c r="AA2" s="708"/>
      <c r="AB2" s="708"/>
      <c r="AC2" s="708"/>
      <c r="AD2" s="708"/>
      <c r="AE2" s="708"/>
      <c r="AF2" s="708"/>
      <c r="AG2" s="708"/>
      <c r="AH2" s="758">
        <f>T2*O2</f>
        <v>232400.6465</v>
      </c>
      <c r="AI2" s="740">
        <v>6944.44</v>
      </c>
      <c r="AJ2" s="759">
        <f>AH2+AI2</f>
        <v>239345.0865</v>
      </c>
      <c r="AK2" s="743" t="s">
        <v>399</v>
      </c>
      <c r="BH2" s="150"/>
    </row>
    <row r="3" spans="1:63" ht="28.9">
      <c r="A3" s="305" t="s">
        <v>397</v>
      </c>
      <c r="B3" s="773" t="s">
        <v>400</v>
      </c>
      <c r="C3" s="462"/>
      <c r="D3" s="462"/>
      <c r="E3" s="306" t="s">
        <v>401</v>
      </c>
      <c r="F3" s="462"/>
      <c r="G3" s="462"/>
      <c r="H3" s="723" t="s">
        <v>402</v>
      </c>
      <c r="I3" s="720" t="s">
        <v>403</v>
      </c>
      <c r="J3" s="339" t="s">
        <v>404</v>
      </c>
      <c r="K3" s="339" t="s">
        <v>405</v>
      </c>
      <c r="L3" s="721" t="s">
        <v>406</v>
      </c>
      <c r="M3" s="721" t="s">
        <v>407</v>
      </c>
      <c r="N3" s="721" t="s">
        <v>408</v>
      </c>
      <c r="O3" s="721" t="s">
        <v>409</v>
      </c>
      <c r="P3" s="721" t="s">
        <v>410</v>
      </c>
      <c r="Q3" s="721" t="s">
        <v>411</v>
      </c>
      <c r="R3" s="721" t="s">
        <v>412</v>
      </c>
      <c r="S3" s="721" t="s">
        <v>413</v>
      </c>
      <c r="T3" s="722" t="s">
        <v>414</v>
      </c>
      <c r="U3" s="722" t="s">
        <v>415</v>
      </c>
      <c r="V3" s="766"/>
      <c r="W3" s="766"/>
      <c r="X3" s="766"/>
      <c r="Y3" s="766"/>
      <c r="Z3" s="766"/>
      <c r="AA3" s="766"/>
      <c r="AB3" s="766"/>
      <c r="AC3" s="766"/>
      <c r="AD3" s="766"/>
      <c r="AE3" s="766"/>
      <c r="AF3" s="766"/>
      <c r="AG3" s="462"/>
      <c r="AH3" s="746" t="s">
        <v>386</v>
      </c>
      <c r="AI3" s="746" t="s">
        <v>387</v>
      </c>
      <c r="AJ3" s="745" t="s">
        <v>389</v>
      </c>
      <c r="AK3" s="746" t="s">
        <v>390</v>
      </c>
      <c r="AL3" s="745" t="s">
        <v>392</v>
      </c>
      <c r="AM3" s="747" t="s">
        <v>391</v>
      </c>
      <c r="AN3" s="139"/>
      <c r="AO3" s="139"/>
      <c r="AP3" s="139"/>
      <c r="AQ3" s="139"/>
      <c r="AR3" s="139"/>
      <c r="AS3" s="139"/>
      <c r="AT3" s="800"/>
    </row>
    <row r="4" spans="1:63" ht="15.75" customHeight="1">
      <c r="A4" s="463" t="s">
        <v>388</v>
      </c>
      <c r="B4" s="774">
        <f ca="1">OFFSET(G4,0,COUNT(H4:U4),)</f>
        <v>806188</v>
      </c>
      <c r="C4" s="761" t="s">
        <v>74</v>
      </c>
      <c r="D4" s="750">
        <f ca="1">((OFFSET(H4,0,COUNT(I4:U4)))/(OFFSET(H4,0,COUNT(I4:U4))-1))-1</f>
        <v>1.2404070024452096E-6</v>
      </c>
      <c r="E4" s="775">
        <f ca="1">AM4+AL4</f>
        <v>78155.026040000012</v>
      </c>
      <c r="F4" s="468"/>
      <c r="G4" s="468"/>
      <c r="H4" s="762">
        <f>'Steam and MTHW'!C103*$AJ$4</f>
        <v>939370</v>
      </c>
      <c r="I4" s="763">
        <f>'Steam and MTHW'!C104*$AJ$4</f>
        <v>882860</v>
      </c>
      <c r="J4" s="751">
        <f>'Steam and MTHW'!C105*$AJ$4</f>
        <v>886950</v>
      </c>
      <c r="K4" s="751">
        <f>'Steam and MTHW'!C106*$AJ$4</f>
        <v>1057320</v>
      </c>
      <c r="L4" s="751">
        <f>'Steam and MTHW'!C107*$AJ$4</f>
        <v>1390460</v>
      </c>
      <c r="M4" s="751">
        <f>'Steam and MTHW'!C108*$AJ$4</f>
        <v>1902630</v>
      </c>
      <c r="N4" s="751">
        <f>'Steam and MTHW'!C109*$AJ$4</f>
        <v>2352150</v>
      </c>
      <c r="O4" s="751">
        <f>'Steam and MTHW'!C110*$AJ$4</f>
        <v>2631050</v>
      </c>
      <c r="P4" s="751">
        <f>'Steam and MTHW'!C111*$AJ$4</f>
        <v>2193547</v>
      </c>
      <c r="Q4" s="751">
        <f>'Steam and MTHW'!C112*$AJ$4</f>
        <v>2084430</v>
      </c>
      <c r="R4" s="751">
        <f>'Steam and MTHW'!C113*$AJ$4</f>
        <v>2046890</v>
      </c>
      <c r="S4" s="751">
        <f>IF(ISNUMBER('Steam and MTHW'!C114),('Steam and MTHW'!C114*$AJ$4)," ")</f>
        <v>1236867</v>
      </c>
      <c r="T4" s="751">
        <f>IF(ISNUMBER('Steam and MTHW'!C115),('Steam and MTHW'!C115*$AJ$4)," ")</f>
        <v>536240</v>
      </c>
      <c r="U4" s="751">
        <f>IF(ISNUMBER('Steam and MTHW'!C116),('Steam and MTHW'!C116*$AJ$4)," ")</f>
        <v>806188</v>
      </c>
      <c r="V4" s="751"/>
      <c r="W4" s="751"/>
      <c r="X4" s="751"/>
      <c r="Y4" s="751"/>
      <c r="Z4" s="751"/>
      <c r="AA4" s="751"/>
      <c r="AB4" s="751"/>
      <c r="AC4" s="751"/>
      <c r="AD4" s="751"/>
      <c r="AE4" s="751"/>
      <c r="AF4" s="751"/>
      <c r="AG4" s="468"/>
      <c r="AH4" s="468"/>
      <c r="AI4" s="468"/>
      <c r="AJ4" s="764">
        <v>1</v>
      </c>
      <c r="AK4" s="765">
        <v>8.8330000000000006E-2</v>
      </c>
      <c r="AL4" s="714">
        <v>6944.44</v>
      </c>
      <c r="AM4" s="756">
        <f ca="1">B4*AK4</f>
        <v>71210.586040000009</v>
      </c>
      <c r="AN4" s="1288"/>
      <c r="AO4" s="1288"/>
      <c r="AP4" s="1288"/>
      <c r="AQ4" s="1288"/>
      <c r="AR4" s="1288"/>
      <c r="AS4" s="1288"/>
      <c r="AT4" s="800"/>
    </row>
    <row r="5" spans="1:63" ht="15.75" customHeight="1">
      <c r="A5" s="132"/>
      <c r="B5" s="776"/>
      <c r="C5" s="132"/>
      <c r="D5" s="132"/>
      <c r="E5" s="777"/>
      <c r="F5" s="132"/>
      <c r="G5" s="132"/>
      <c r="H5" s="132"/>
      <c r="I5" s="132"/>
      <c r="J5" s="182"/>
      <c r="K5" s="132"/>
      <c r="L5" s="132"/>
      <c r="M5" s="132"/>
      <c r="N5" s="132"/>
      <c r="O5" s="132"/>
      <c r="P5" s="135"/>
      <c r="Q5" s="132"/>
      <c r="R5" s="132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4"/>
      <c r="AI5" s="134"/>
      <c r="AJ5" s="134"/>
      <c r="AK5" s="132"/>
      <c r="AM5" s="760"/>
      <c r="AN5" s="730"/>
      <c r="AO5" s="730"/>
      <c r="AP5" s="730"/>
      <c r="AQ5" s="730"/>
      <c r="AR5" s="730"/>
      <c r="AS5" s="730"/>
      <c r="AT5" s="298"/>
    </row>
    <row r="6" spans="1:63" ht="15.75" customHeight="1">
      <c r="A6" s="768" t="s">
        <v>416</v>
      </c>
      <c r="B6" s="778">
        <f ca="1">R6</f>
        <v>390653.77481279999</v>
      </c>
      <c r="C6" s="739"/>
      <c r="D6" s="739"/>
      <c r="E6" s="779">
        <f ca="1">AJ6</f>
        <v>59059.965971712001</v>
      </c>
      <c r="F6" s="739"/>
      <c r="G6" s="707" t="s">
        <v>417</v>
      </c>
      <c r="H6" s="706">
        <f ca="1">OFFSET('(Not in Use) Gas Meter Data'!J8,0,COUNT('(Not in Use) Gas Meter Data'!K8:X8)-1)</f>
        <v>2063753</v>
      </c>
      <c r="I6" s="706">
        <f ca="1">OFFSET('(Not in Use) Gas Meter Data'!J8,0,COUNT('(Not in Use) Gas Meter Data'!K8:X8))</f>
        <v>2072497</v>
      </c>
      <c r="J6" s="707">
        <f ca="1">I6-H6</f>
        <v>8744</v>
      </c>
      <c r="K6" s="708" t="s">
        <v>418</v>
      </c>
      <c r="L6" s="709">
        <f>'(Not in Use) Gas Meter Data'!J8</f>
        <v>28.962</v>
      </c>
      <c r="M6" s="708" t="s">
        <v>419</v>
      </c>
      <c r="N6" s="710">
        <f>'(Not in Use) Gas Meter Data'!I8</f>
        <v>1.714</v>
      </c>
      <c r="O6" s="711">
        <f ca="1">J6*L6*N6</f>
        <v>434059.74979199999</v>
      </c>
      <c r="P6" s="708" t="s">
        <v>74</v>
      </c>
      <c r="Q6" s="712">
        <v>0.9</v>
      </c>
      <c r="R6" s="711">
        <f ca="1">O6*Q6</f>
        <v>390653.77481279999</v>
      </c>
      <c r="S6" s="708" t="s">
        <v>74</v>
      </c>
      <c r="T6" s="713">
        <v>0.13600000000000001</v>
      </c>
      <c r="U6" s="708" t="s">
        <v>398</v>
      </c>
      <c r="V6" s="708"/>
      <c r="W6" s="708"/>
      <c r="X6" s="708"/>
      <c r="Y6" s="708"/>
      <c r="Z6" s="708"/>
      <c r="AA6" s="708"/>
      <c r="AB6" s="708"/>
      <c r="AC6" s="708"/>
      <c r="AD6" s="708"/>
      <c r="AE6" s="708"/>
      <c r="AF6" s="708"/>
      <c r="AG6" s="708"/>
      <c r="AH6" s="740">
        <f ca="1">O6*T6</f>
        <v>59032.125971712005</v>
      </c>
      <c r="AI6" s="741">
        <v>27.84</v>
      </c>
      <c r="AJ6" s="742">
        <f ca="1">AH6+AI6</f>
        <v>59059.965971712001</v>
      </c>
      <c r="AK6" s="743" t="s">
        <v>399</v>
      </c>
      <c r="AM6" s="744"/>
      <c r="AN6" s="1289"/>
      <c r="AO6" s="1289"/>
      <c r="AP6" s="1289"/>
      <c r="AQ6" s="1289"/>
      <c r="AR6" s="1289"/>
      <c r="AS6" s="1289"/>
      <c r="AT6" s="801"/>
    </row>
    <row r="7" spans="1:63" ht="28.9">
      <c r="A7" s="305" t="s">
        <v>417</v>
      </c>
      <c r="B7" s="773" t="s">
        <v>400</v>
      </c>
      <c r="C7" s="745"/>
      <c r="D7" s="745"/>
      <c r="E7" s="780" t="s">
        <v>401</v>
      </c>
      <c r="F7" s="462"/>
      <c r="G7" s="462"/>
      <c r="H7" s="723" t="s">
        <v>402</v>
      </c>
      <c r="I7" s="720" t="s">
        <v>403</v>
      </c>
      <c r="J7" s="339" t="s">
        <v>404</v>
      </c>
      <c r="K7" s="339" t="s">
        <v>405</v>
      </c>
      <c r="L7" s="721" t="s">
        <v>406</v>
      </c>
      <c r="M7" s="721" t="s">
        <v>407</v>
      </c>
      <c r="N7" s="721" t="s">
        <v>408</v>
      </c>
      <c r="O7" s="721" t="s">
        <v>409</v>
      </c>
      <c r="P7" s="721" t="s">
        <v>410</v>
      </c>
      <c r="Q7" s="721" t="s">
        <v>411</v>
      </c>
      <c r="R7" s="721" t="s">
        <v>412</v>
      </c>
      <c r="S7" s="721" t="s">
        <v>413</v>
      </c>
      <c r="T7" s="722" t="s">
        <v>414</v>
      </c>
      <c r="U7" s="722" t="s">
        <v>415</v>
      </c>
      <c r="V7" s="766" t="s">
        <v>49</v>
      </c>
      <c r="W7" s="766" t="s">
        <v>50</v>
      </c>
      <c r="X7" s="766" t="s">
        <v>51</v>
      </c>
      <c r="Y7" s="766" t="s">
        <v>420</v>
      </c>
      <c r="Z7" s="766" t="s">
        <v>53</v>
      </c>
      <c r="AA7" s="766" t="s">
        <v>54</v>
      </c>
      <c r="AB7" s="766" t="s">
        <v>55</v>
      </c>
      <c r="AC7" s="766" t="s">
        <v>56</v>
      </c>
      <c r="AD7" s="766" t="s">
        <v>57</v>
      </c>
      <c r="AE7" s="766" t="s">
        <v>58</v>
      </c>
      <c r="AF7" s="766" t="s">
        <v>59</v>
      </c>
      <c r="AG7" s="462"/>
      <c r="AH7" s="746" t="s">
        <v>386</v>
      </c>
      <c r="AI7" s="746" t="s">
        <v>387</v>
      </c>
      <c r="AJ7" s="745" t="s">
        <v>389</v>
      </c>
      <c r="AK7" s="746" t="s">
        <v>390</v>
      </c>
      <c r="AL7" s="745" t="s">
        <v>392</v>
      </c>
      <c r="AM7" s="747" t="s">
        <v>391</v>
      </c>
      <c r="AN7" s="139"/>
      <c r="AO7" s="139"/>
      <c r="AP7" s="139"/>
      <c r="AQ7" s="139"/>
      <c r="AR7" s="139"/>
      <c r="AS7" s="139"/>
      <c r="AT7" s="800"/>
    </row>
    <row r="8" spans="1:63" s="152" customFormat="1" ht="15.75" customHeight="1">
      <c r="A8" s="748" t="s">
        <v>421</v>
      </c>
      <c r="B8" s="774" t="e">
        <f ca="1">OFFSET(H8,0,COUNT(I8:U8)," ")</f>
        <v>#VALUE!</v>
      </c>
      <c r="C8" s="749" t="s">
        <v>74</v>
      </c>
      <c r="D8" s="750" t="e">
        <f ca="1">((OFFSET(H8,0,COUNT(I8:U8)))/(OFFSET(H8,0,COUNT(I8:U8))-1))-1</f>
        <v>#VALUE!</v>
      </c>
      <c r="E8" s="775" t="e">
        <f ca="1">AM8+AL8</f>
        <v>#VALUE!</v>
      </c>
      <c r="F8" s="749"/>
      <c r="G8" s="751"/>
      <c r="H8" s="752" t="str">
        <f>IF(ISNUMBER(#REF!),(#REF!-#REF!)*$AH$8*$AI$8*$AJ$8," ")</f>
        <v xml:space="preserve"> </v>
      </c>
      <c r="I8" s="752" t="str">
        <f>IF(ISNUMBER(#REF!),(#REF!-#REF!)*$AH$8*$AI$8*$AJ$8," ")</f>
        <v xml:space="preserve"> </v>
      </c>
      <c r="J8" s="752" t="str">
        <f>IF(ISNUMBER(#REF!),(#REF!-#REF!)*$AH$8*$AI$8*$AJ$8," ")</f>
        <v xml:space="preserve"> </v>
      </c>
      <c r="K8" s="752" t="str">
        <f>IF(ISNUMBER(#REF!),(#REF!-#REF!)*$AH$8*$AI$8*$AJ$8," ")</f>
        <v xml:space="preserve"> </v>
      </c>
      <c r="L8" s="752" t="str">
        <f>IF(ISNUMBER(#REF!),(#REF!-#REF!)*$AH$8*$AI$8*$AJ$8," ")</f>
        <v xml:space="preserve"> </v>
      </c>
      <c r="M8" s="752" t="str">
        <f>IF(ISNUMBER(#REF!),(#REF!-#REF!)*$AH$8*$AI$8*$AJ$8," ")</f>
        <v xml:space="preserve"> </v>
      </c>
      <c r="N8" s="752" t="str">
        <f>IF(ISNUMBER(#REF!),(#REF!-#REF!)*$AH$8*$AI$8*$AJ$8," ")</f>
        <v xml:space="preserve"> </v>
      </c>
      <c r="O8" s="752" t="str">
        <f>IF(ISNUMBER(#REF!),(#REF!-#REF!)*$AH$8*$AI$8*$AJ$8," ")</f>
        <v xml:space="preserve"> </v>
      </c>
      <c r="P8" s="752" t="str">
        <f>IF(ISNUMBER(#REF!),(#REF!-#REF!)*$AH$8*$AI$8*$AJ$8," ")</f>
        <v xml:space="preserve"> </v>
      </c>
      <c r="Q8" s="752" t="str">
        <f>IF(ISNUMBER(#REF!),(#REF!-#REF!)*$AH$8*$AI$8*$AJ$8," ")</f>
        <v xml:space="preserve"> </v>
      </c>
      <c r="R8" s="752" t="str">
        <f>IF(ISNUMBER(#REF!),(#REF!-#REF!)*$AH$8*$AI$8*$AJ$8," ")</f>
        <v xml:space="preserve"> </v>
      </c>
      <c r="S8" s="752" t="str">
        <f>IF(ISNUMBER(#REF!),(#REF!-#REF!)*$AH$8*$AI$8*$AJ$8," ")</f>
        <v xml:space="preserve"> </v>
      </c>
      <c r="T8" s="752" t="str">
        <f>IF(ISNUMBER(#REF!),(#REF!-#REF!)*$AH$8*$AI$8*$AJ$8," ")</f>
        <v xml:space="preserve"> </v>
      </c>
      <c r="U8" s="752" t="str">
        <f>IF(ISNUMBER(#REF!),(#REF!-#REF!)*$AH$8*$AI$8*$AJ$8," ")</f>
        <v xml:space="preserve"> </v>
      </c>
      <c r="V8" s="751"/>
      <c r="W8" s="751"/>
      <c r="X8" s="751"/>
      <c r="Y8" s="751"/>
      <c r="Z8" s="751"/>
      <c r="AA8" s="751"/>
      <c r="AB8" s="751"/>
      <c r="AC8" s="751"/>
      <c r="AD8" s="751"/>
      <c r="AE8" s="751"/>
      <c r="AF8" s="751"/>
      <c r="AG8" s="751"/>
      <c r="AH8" s="753" t="str">
        <f>IF(ISNUMBER(#REF!),(#REF!), " ")</f>
        <v xml:space="preserve"> </v>
      </c>
      <c r="AI8" s="754" t="str">
        <f>IF(ISNUMBER(#REF!),(#REF!), " ")</f>
        <v xml:space="preserve"> </v>
      </c>
      <c r="AJ8" s="755">
        <v>0.9</v>
      </c>
      <c r="AK8" s="468">
        <v>0.13600000000000001</v>
      </c>
      <c r="AL8" s="714">
        <v>27.84</v>
      </c>
      <c r="AM8" s="756" t="e">
        <f ca="1">B8*AK8/$AJ$8</f>
        <v>#VALUE!</v>
      </c>
      <c r="AN8" s="1288"/>
      <c r="AO8" s="1288"/>
      <c r="AP8" s="1288"/>
      <c r="AQ8" s="1288"/>
      <c r="AR8" s="1288"/>
      <c r="AS8" s="1288"/>
      <c r="AT8" s="802"/>
    </row>
    <row r="9" spans="1:63" ht="15.75" customHeight="1">
      <c r="A9" s="132"/>
      <c r="B9" s="776"/>
      <c r="C9" s="132"/>
      <c r="D9" s="132"/>
      <c r="E9" s="777"/>
      <c r="F9" s="132"/>
      <c r="G9" s="132"/>
      <c r="H9" s="132"/>
      <c r="I9" s="132"/>
      <c r="J9" s="132"/>
      <c r="K9" s="135"/>
      <c r="L9" s="132"/>
      <c r="M9" s="135"/>
      <c r="N9" s="135"/>
      <c r="O9" s="132"/>
      <c r="P9" s="135"/>
      <c r="Q9" s="132"/>
      <c r="R9" s="132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4"/>
      <c r="AI9" s="134"/>
      <c r="AJ9" s="134"/>
      <c r="AK9" s="132"/>
      <c r="AL9" s="133"/>
      <c r="AM9" s="797"/>
      <c r="AN9" s="132"/>
      <c r="AO9" s="132"/>
      <c r="AP9" s="132"/>
      <c r="AQ9" s="132"/>
      <c r="AR9" s="132"/>
      <c r="AS9" s="132"/>
      <c r="AT9" s="803"/>
      <c r="BG9" s="132"/>
      <c r="BH9" s="132"/>
      <c r="BI9" s="132"/>
      <c r="BJ9" s="132"/>
      <c r="BK9" s="132"/>
    </row>
    <row r="10" spans="1:63" ht="14.45">
      <c r="A10" s="769" t="s">
        <v>422</v>
      </c>
      <c r="B10" s="781"/>
      <c r="C10" s="726"/>
      <c r="D10" s="726"/>
      <c r="E10" s="782"/>
      <c r="F10" s="726"/>
      <c r="G10" s="129" t="s">
        <v>417</v>
      </c>
      <c r="H10" s="223">
        <f ca="1">OFFSET('(Not in Use) Gas Meter Data'!J74,0,COUNT('(Not in Use) Gas Meter Data'!K71:X71)-1)</f>
        <v>10369</v>
      </c>
      <c r="I10" s="223">
        <f ca="1">OFFSET('(Not in Use) Gas Meter Data'!J74,0,COUNT('(Not in Use) Gas Meter Data'!K71:X71))</f>
        <v>11385</v>
      </c>
      <c r="J10" s="101">
        <f ca="1">I10-H10</f>
        <v>1016</v>
      </c>
      <c r="K10" s="127" t="s">
        <v>418</v>
      </c>
      <c r="L10" s="130">
        <f>'(Not in Use) Gas Meter Data'!J74</f>
        <v>28.961099999999998</v>
      </c>
      <c r="M10" s="127" t="s">
        <v>419</v>
      </c>
      <c r="N10" s="209">
        <f>'(Not in Use) Gas Meter Data'!I74</f>
        <v>1.0603</v>
      </c>
      <c r="O10" s="210">
        <f ca="1">J10*L10*N10</f>
        <v>31198.773599279997</v>
      </c>
      <c r="P10" s="127" t="s">
        <v>74</v>
      </c>
      <c r="Q10" s="129"/>
      <c r="R10" s="129"/>
      <c r="S10" s="127" t="s">
        <v>74</v>
      </c>
      <c r="T10" s="128">
        <v>0.13600000000000001</v>
      </c>
      <c r="U10" s="127" t="s">
        <v>398</v>
      </c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5">
        <f ca="1">O10*T10</f>
        <v>4243.0332095020804</v>
      </c>
      <c r="AI10" s="126">
        <v>28.8</v>
      </c>
      <c r="AJ10" s="125">
        <f ca="1">AH10+AI10</f>
        <v>4271.8332095020805</v>
      </c>
      <c r="AK10" s="124" t="s">
        <v>399</v>
      </c>
    </row>
    <row r="11" spans="1:63" ht="14.45">
      <c r="A11" s="770" t="s">
        <v>423</v>
      </c>
      <c r="B11" s="783"/>
      <c r="C11" s="727"/>
      <c r="D11" s="727"/>
      <c r="E11" s="784"/>
      <c r="F11" s="727"/>
      <c r="G11" s="123" t="s">
        <v>417</v>
      </c>
      <c r="H11" s="222" t="s">
        <v>424</v>
      </c>
      <c r="I11" s="222"/>
      <c r="J11" s="397">
        <f ca="1">AU33</f>
        <v>138.39999999999964</v>
      </c>
      <c r="K11" s="122" t="s">
        <v>418</v>
      </c>
      <c r="L11" s="123">
        <f>L10</f>
        <v>28.961099999999998</v>
      </c>
      <c r="M11" s="122" t="s">
        <v>419</v>
      </c>
      <c r="N11" s="122">
        <f>N10</f>
        <v>1.0603</v>
      </c>
      <c r="O11" s="175">
        <f ca="1">J11*L11*N11</f>
        <v>4249.9116792719888</v>
      </c>
      <c r="P11" s="122" t="s">
        <v>74</v>
      </c>
      <c r="Q11" s="123"/>
      <c r="R11" s="123"/>
      <c r="S11" s="122" t="s">
        <v>74</v>
      </c>
      <c r="T11" s="122">
        <f>T10</f>
        <v>0.13600000000000001</v>
      </c>
      <c r="U11" s="122" t="s">
        <v>398</v>
      </c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22"/>
      <c r="AG11" s="122"/>
      <c r="AH11" s="121">
        <f ca="1">O11*T11</f>
        <v>577.98798838099049</v>
      </c>
      <c r="AI11" s="121"/>
      <c r="AJ11" s="131">
        <f ca="1">AH11</f>
        <v>577.98798838099049</v>
      </c>
      <c r="AK11" s="120" t="s">
        <v>425</v>
      </c>
      <c r="AL11" s="80" t="s">
        <v>426</v>
      </c>
    </row>
    <row r="12" spans="1:63" ht="15.75" customHeight="1">
      <c r="A12" s="771" t="s">
        <v>427</v>
      </c>
      <c r="B12" s="785">
        <f ca="1">R12</f>
        <v>24253.975728007208</v>
      </c>
      <c r="C12" s="767"/>
      <c r="D12" s="767"/>
      <c r="E12" s="786">
        <f ca="1">AJ12</f>
        <v>3693.8452211210897</v>
      </c>
      <c r="F12" s="728"/>
      <c r="G12" s="119" t="s">
        <v>417</v>
      </c>
      <c r="H12" s="119"/>
      <c r="I12" s="119" t="s">
        <v>75</v>
      </c>
      <c r="J12" s="119">
        <f ca="1">J10-J11</f>
        <v>877.60000000000036</v>
      </c>
      <c r="K12" s="118" t="s">
        <v>418</v>
      </c>
      <c r="L12" s="119">
        <f>L10</f>
        <v>28.961099999999998</v>
      </c>
      <c r="M12" s="118" t="s">
        <v>419</v>
      </c>
      <c r="N12" s="118">
        <f>N10</f>
        <v>1.0603</v>
      </c>
      <c r="O12" s="391">
        <f ca="1">J12*L12*N12</f>
        <v>26948.86192000801</v>
      </c>
      <c r="P12" s="118" t="s">
        <v>74</v>
      </c>
      <c r="Q12" s="199">
        <v>0.9</v>
      </c>
      <c r="R12" s="176">
        <f ca="1">O12*Q12</f>
        <v>24253.975728007208</v>
      </c>
      <c r="S12" s="118" t="s">
        <v>74</v>
      </c>
      <c r="T12" s="118">
        <f>T10</f>
        <v>0.13600000000000001</v>
      </c>
      <c r="U12" s="118" t="s">
        <v>398</v>
      </c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7">
        <f ca="1">O12*T12</f>
        <v>3665.0452211210895</v>
      </c>
      <c r="AI12" s="117">
        <f>AI10</f>
        <v>28.8</v>
      </c>
      <c r="AJ12" s="116">
        <f ca="1">AH12+AI12</f>
        <v>3693.8452211210897</v>
      </c>
      <c r="AK12" s="115" t="s">
        <v>428</v>
      </c>
      <c r="AM12" s="152"/>
      <c r="AN12" s="152"/>
      <c r="AO12" s="152"/>
      <c r="AP12" s="152"/>
      <c r="AQ12" s="152"/>
      <c r="AR12" s="152"/>
      <c r="AS12" s="152"/>
      <c r="AT12" s="87"/>
    </row>
    <row r="13" spans="1:63" ht="15.75" customHeight="1">
      <c r="B13" s="787"/>
      <c r="E13" s="788"/>
      <c r="K13" s="86"/>
      <c r="M13" s="86"/>
      <c r="N13" s="86"/>
      <c r="P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7"/>
      <c r="AI13" s="87"/>
      <c r="AJ13" s="87"/>
      <c r="AM13" s="152"/>
      <c r="AN13" s="152"/>
      <c r="AO13" s="152"/>
      <c r="AP13" s="152"/>
      <c r="AQ13" s="152"/>
      <c r="AR13" s="152"/>
      <c r="AS13" s="152"/>
      <c r="AT13" s="87"/>
    </row>
    <row r="14" spans="1:63" ht="14.45">
      <c r="A14" s="772" t="s">
        <v>429</v>
      </c>
      <c r="B14" s="789">
        <f>R14</f>
        <v>0</v>
      </c>
      <c r="C14" s="736"/>
      <c r="D14" s="736"/>
      <c r="E14" s="790">
        <f ca="1">AJ14</f>
        <v>3820.6138499841604</v>
      </c>
      <c r="F14" s="203"/>
      <c r="G14" s="101" t="s">
        <v>417</v>
      </c>
      <c r="H14" s="223">
        <f ca="1">OFFSET('(Not in Use) Gas Meter Data'!J62,0,COUNT('(Not in Use) Gas Meter Data'!K62:X62)-1)</f>
        <v>5513</v>
      </c>
      <c r="I14" s="223">
        <f ca="1">OFFSET('(Not in Use) Gas Meter Data'!J62,0,COUNT('(Not in Use) Gas Meter Data'!K62:X62))</f>
        <v>6334</v>
      </c>
      <c r="J14" s="101">
        <f ca="1">I14-H14</f>
        <v>821</v>
      </c>
      <c r="K14" s="99" t="s">
        <v>418</v>
      </c>
      <c r="L14" s="100">
        <f>'(Not in Use) Gas Meter Data'!J62</f>
        <v>28.961099999999998</v>
      </c>
      <c r="M14" s="99" t="s">
        <v>419</v>
      </c>
      <c r="N14" s="392">
        <f>'(Not in Use) Gas Meter Data'!I62</f>
        <v>1.1726000000000001</v>
      </c>
      <c r="O14" s="210">
        <f ca="1">J14*L14*N14</f>
        <v>27880.984191060001</v>
      </c>
      <c r="P14" s="99" t="s">
        <v>74</v>
      </c>
      <c r="Q14" s="101"/>
      <c r="R14" s="101"/>
      <c r="S14" s="99" t="s">
        <v>74</v>
      </c>
      <c r="T14" s="137">
        <v>0.13600000000000001</v>
      </c>
      <c r="U14" s="99" t="s">
        <v>398</v>
      </c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8">
        <f ca="1">O14*T14</f>
        <v>3791.8138499841602</v>
      </c>
      <c r="AI14" s="136">
        <v>28.8</v>
      </c>
      <c r="AJ14" s="98">
        <f ca="1">AH14+AI14</f>
        <v>3820.6138499841604</v>
      </c>
      <c r="AK14" s="96" t="s">
        <v>430</v>
      </c>
      <c r="AT14" s="150"/>
    </row>
    <row r="15" spans="1:63" ht="14.45">
      <c r="A15" s="205"/>
      <c r="B15" s="791"/>
      <c r="C15" s="203"/>
      <c r="D15" s="203"/>
      <c r="E15" s="792"/>
      <c r="F15" s="203"/>
      <c r="G15" s="101"/>
      <c r="H15" s="204"/>
      <c r="I15" s="204"/>
      <c r="J15" s="101"/>
      <c r="K15" s="99"/>
      <c r="L15" s="101"/>
      <c r="M15" s="99"/>
      <c r="N15" s="205"/>
      <c r="O15" s="198"/>
      <c r="P15" s="99"/>
      <c r="Q15" s="101"/>
      <c r="R15" s="101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206"/>
      <c r="AI15" s="206"/>
      <c r="AJ15" s="207"/>
      <c r="AK15" s="208"/>
    </row>
    <row r="16" spans="1:63" ht="14.45">
      <c r="A16" s="769" t="s">
        <v>431</v>
      </c>
      <c r="B16" s="781"/>
      <c r="C16" s="726"/>
      <c r="D16" s="726"/>
      <c r="E16" s="782"/>
      <c r="F16" s="726"/>
      <c r="G16" s="114" t="s">
        <v>432</v>
      </c>
      <c r="H16" s="114"/>
      <c r="I16" s="114"/>
      <c r="J16" s="114"/>
      <c r="K16" s="113"/>
      <c r="L16" s="114"/>
      <c r="M16" s="113"/>
      <c r="N16" s="113"/>
      <c r="O16" s="114"/>
      <c r="P16" s="113"/>
      <c r="Q16" s="114"/>
      <c r="R16" s="114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2"/>
      <c r="AI16" s="112"/>
      <c r="AJ16" s="112"/>
      <c r="AK16" s="111"/>
    </row>
    <row r="17" spans="1:61" ht="14.45">
      <c r="A17" s="770" t="s">
        <v>433</v>
      </c>
      <c r="B17" s="783"/>
      <c r="C17" s="727"/>
      <c r="D17" s="727"/>
      <c r="E17" s="784"/>
      <c r="F17" s="727"/>
      <c r="G17" s="110" t="s">
        <v>432</v>
      </c>
      <c r="H17" s="110"/>
      <c r="I17" s="110"/>
      <c r="J17" s="110"/>
      <c r="K17" s="109"/>
      <c r="L17" s="110"/>
      <c r="M17" s="109"/>
      <c r="N17" s="109"/>
      <c r="O17" s="110"/>
      <c r="P17" s="109"/>
      <c r="Q17" s="110"/>
      <c r="R17" s="110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8"/>
      <c r="AI17" s="107"/>
      <c r="AJ17" s="107"/>
      <c r="AK17" s="106"/>
    </row>
    <row r="18" spans="1:61" ht="15.75" customHeight="1">
      <c r="A18" s="771" t="s">
        <v>434</v>
      </c>
      <c r="B18" s="793"/>
      <c r="C18" s="728"/>
      <c r="D18" s="728"/>
      <c r="E18" s="794"/>
      <c r="F18" s="728"/>
      <c r="G18" s="105" t="s">
        <v>432</v>
      </c>
      <c r="H18" s="105"/>
      <c r="I18" s="105"/>
      <c r="J18" s="105"/>
      <c r="K18" s="104"/>
      <c r="L18" s="105"/>
      <c r="M18" s="104"/>
      <c r="N18" s="104"/>
      <c r="O18" s="105"/>
      <c r="P18" s="104"/>
      <c r="Q18" s="105"/>
      <c r="R18" s="105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3"/>
      <c r="AI18" s="103"/>
      <c r="AJ18" s="103"/>
      <c r="AK18" s="102"/>
      <c r="AT18" s="87"/>
    </row>
    <row r="19" spans="1:61" ht="15.75" customHeight="1">
      <c r="B19" s="787"/>
      <c r="E19" s="788"/>
      <c r="K19" s="86"/>
      <c r="M19" s="86"/>
      <c r="N19" s="86"/>
      <c r="P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7"/>
      <c r="AI19" s="87"/>
      <c r="AJ19" s="87"/>
    </row>
    <row r="20" spans="1:61" ht="15.75" customHeight="1">
      <c r="A20" s="772" t="s">
        <v>435</v>
      </c>
      <c r="B20" s="791"/>
      <c r="C20" s="203"/>
      <c r="D20" s="203"/>
      <c r="E20" s="790">
        <f ca="1">AJ20</f>
        <v>1271.3159999999998</v>
      </c>
      <c r="F20" s="203"/>
      <c r="G20" s="101" t="s">
        <v>436</v>
      </c>
      <c r="H20" s="101"/>
      <c r="I20" s="101"/>
      <c r="J20" s="101"/>
      <c r="K20" s="101"/>
      <c r="L20" s="101"/>
      <c r="M20" s="101"/>
      <c r="N20" s="101"/>
      <c r="O20" s="100">
        <f ca="1">OFFSET('Janitza data '!B226,0,COUNT('Janitza data '!C226:AQ226))</f>
        <v>10594.3</v>
      </c>
      <c r="P20" s="99" t="s">
        <v>74</v>
      </c>
      <c r="Q20" s="151"/>
      <c r="R20" s="151"/>
      <c r="S20" s="99"/>
      <c r="T20" s="99">
        <v>0.12</v>
      </c>
      <c r="U20" s="99" t="s">
        <v>398</v>
      </c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8">
        <f ca="1">O20*T20</f>
        <v>1271.3159999999998</v>
      </c>
      <c r="AI20" s="98"/>
      <c r="AJ20" s="97">
        <f ca="1">AH20</f>
        <v>1271.3159999999998</v>
      </c>
      <c r="AK20" s="96" t="s">
        <v>437</v>
      </c>
      <c r="AT20" s="87"/>
    </row>
    <row r="21" spans="1:61" ht="15.75" customHeight="1">
      <c r="A21" s="772" t="s">
        <v>438</v>
      </c>
      <c r="B21" s="791"/>
      <c r="C21" s="203"/>
      <c r="D21" s="203"/>
      <c r="E21" s="790">
        <f ca="1">AJ21</f>
        <v>464.11799999999999</v>
      </c>
      <c r="F21" s="203"/>
      <c r="G21" s="101" t="s">
        <v>436</v>
      </c>
      <c r="H21" s="101"/>
      <c r="I21" s="101"/>
      <c r="J21" s="101"/>
      <c r="K21" s="101"/>
      <c r="L21" s="101"/>
      <c r="M21" s="101"/>
      <c r="N21" s="101"/>
      <c r="O21" s="244">
        <f ca="1">(OFFSET('Janitza data '!B391,0,COUNT('Janitza data '!C391:AQ391)))-(OFFSET('Janitza data '!B384,0,COUNT('Janitza data '!C384:AQ384)))</f>
        <v>3867.65</v>
      </c>
      <c r="P21" s="99" t="s">
        <v>74</v>
      </c>
      <c r="Q21" s="151"/>
      <c r="R21" s="151"/>
      <c r="S21" s="99"/>
      <c r="T21" s="99">
        <v>0.12</v>
      </c>
      <c r="U21" s="99" t="s">
        <v>398</v>
      </c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8">
        <f ca="1">O21*T21</f>
        <v>464.11799999999999</v>
      </c>
      <c r="AI21" s="98"/>
      <c r="AJ21" s="97">
        <f ca="1">AH21</f>
        <v>464.11799999999999</v>
      </c>
      <c r="AK21" s="96" t="s">
        <v>437</v>
      </c>
      <c r="AT21" s="87"/>
    </row>
    <row r="22" spans="1:61" ht="15.75" customHeight="1">
      <c r="A22" s="393" t="s">
        <v>439</v>
      </c>
      <c r="B22" s="795"/>
      <c r="C22" s="393"/>
      <c r="D22" s="393"/>
      <c r="E22" s="796"/>
      <c r="F22" s="393"/>
      <c r="G22" s="393"/>
      <c r="H22" s="393"/>
      <c r="I22" s="393">
        <v>5284</v>
      </c>
      <c r="N22" s="86"/>
      <c r="O22" s="86"/>
      <c r="P22" s="197"/>
      <c r="Q22" s="197"/>
      <c r="R22" s="86"/>
      <c r="S22" s="86"/>
      <c r="T22" s="86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87"/>
      <c r="AI22" s="87"/>
      <c r="AT22" s="87"/>
    </row>
    <row r="23" spans="1:61" ht="14.45">
      <c r="B23" s="787"/>
      <c r="E23" s="788"/>
      <c r="K23" s="86"/>
      <c r="M23" s="86"/>
      <c r="O23" s="86"/>
      <c r="S23" s="86"/>
      <c r="T23" s="86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</row>
    <row r="24" spans="1:61" ht="14.45">
      <c r="A24" s="80" t="s">
        <v>440</v>
      </c>
      <c r="B24" s="787"/>
      <c r="E24" s="211" t="s">
        <v>441</v>
      </c>
      <c r="G24" s="179">
        <f ca="1">B25</f>
        <v>414907.7505408072</v>
      </c>
      <c r="H24" s="140" t="s">
        <v>74</v>
      </c>
      <c r="S24" s="86"/>
      <c r="T24" s="86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T24" s="138"/>
    </row>
    <row r="25" spans="1:61" ht="14.45">
      <c r="A25" s="80" t="s">
        <v>442</v>
      </c>
      <c r="B25" s="737">
        <f ca="1">SUM(B12:B24)+B6</f>
        <v>414907.7505408072</v>
      </c>
      <c r="C25" s="468"/>
      <c r="D25" s="468"/>
      <c r="E25" s="95">
        <f ca="1">E4+E6+E12+E20+E14+E21</f>
        <v>146464.88508281726</v>
      </c>
      <c r="G25" s="141">
        <f ca="1">E25</f>
        <v>146464.88508281726</v>
      </c>
      <c r="H25" s="83"/>
      <c r="O25" s="86"/>
      <c r="S25" s="86"/>
      <c r="T25" s="86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M25" s="798"/>
      <c r="AN25" s="798"/>
      <c r="AO25" s="798"/>
      <c r="AP25" s="798"/>
      <c r="AQ25" s="798"/>
      <c r="AR25" s="798"/>
      <c r="AS25" s="798"/>
      <c r="AT25" s="799"/>
    </row>
    <row r="26" spans="1:61" ht="14.45">
      <c r="A26" s="80" t="s">
        <v>443</v>
      </c>
      <c r="G26" s="1164">
        <f ca="1">G25/G24</f>
        <v>0.35300590285891048</v>
      </c>
      <c r="H26" s="83"/>
      <c r="I26" s="305" t="s">
        <v>444</v>
      </c>
      <c r="J26" s="306"/>
      <c r="Y26" s="80">
        <f>V34-U34</f>
        <v>30.199999999999818</v>
      </c>
      <c r="Z26" s="80">
        <f>U34-T34</f>
        <v>36</v>
      </c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7"/>
      <c r="AV26" s="87"/>
      <c r="AZ26" s="87"/>
      <c r="BA26" s="87"/>
    </row>
    <row r="27" spans="1:61" ht="14.45">
      <c r="A27" s="80" t="s">
        <v>445</v>
      </c>
      <c r="G27" s="219">
        <v>0.22</v>
      </c>
      <c r="H27" s="83"/>
      <c r="I27" s="307">
        <f ca="1">G24*G27</f>
        <v>91279.705118977581</v>
      </c>
      <c r="J27" s="308" t="s">
        <v>74</v>
      </c>
      <c r="K27" s="224"/>
      <c r="L27" s="224"/>
      <c r="M27" s="224"/>
      <c r="O27" s="224"/>
      <c r="P27" s="224"/>
      <c r="Q27" s="224"/>
      <c r="R27" s="224"/>
      <c r="S27" s="224"/>
      <c r="T27" s="224"/>
      <c r="U27" s="224"/>
      <c r="V27" s="224"/>
      <c r="W27" s="224"/>
      <c r="X27" s="224"/>
      <c r="Y27" s="80">
        <f>V36-U36</f>
        <v>50.5</v>
      </c>
      <c r="Z27" s="80">
        <f>U36-T36</f>
        <v>40</v>
      </c>
      <c r="AA27" s="224"/>
      <c r="AB27" s="224"/>
      <c r="AC27" s="224"/>
      <c r="AD27" s="224"/>
      <c r="AE27" s="224"/>
      <c r="AF27" s="224"/>
      <c r="AG27" s="224"/>
      <c r="AH27" s="80" t="s">
        <v>446</v>
      </c>
      <c r="AJ27" s="152"/>
      <c r="AM27" s="149"/>
      <c r="AN27" s="149"/>
      <c r="AO27" s="149"/>
      <c r="AP27" s="149"/>
      <c r="AQ27" s="149"/>
      <c r="AR27" s="149"/>
      <c r="AS27" s="149"/>
      <c r="AT27" s="86"/>
      <c r="AU27" s="86"/>
      <c r="AV27" s="86"/>
      <c r="AW27" s="87"/>
      <c r="AX27" s="150"/>
      <c r="BC27" s="87"/>
      <c r="BD27" s="87"/>
    </row>
    <row r="28" spans="1:61" ht="14.45">
      <c r="A28" s="80" t="s">
        <v>447</v>
      </c>
      <c r="G28" s="142">
        <v>7.0000000000000007E-2</v>
      </c>
      <c r="H28" s="83"/>
      <c r="AM28" s="86"/>
      <c r="AN28" s="86"/>
      <c r="AO28" s="86"/>
      <c r="AP28" s="86"/>
      <c r="AQ28" s="86"/>
      <c r="AR28" s="86"/>
      <c r="AS28" s="86"/>
      <c r="AT28" s="86"/>
      <c r="AU28" s="86"/>
      <c r="AV28" s="86"/>
      <c r="AW28" s="87"/>
      <c r="AX28" s="150"/>
      <c r="BA28" s="178"/>
    </row>
    <row r="29" spans="1:61" ht="14.45">
      <c r="A29" s="80" t="s">
        <v>448</v>
      </c>
      <c r="G29" s="82">
        <f ca="1">G26*(1+G27+G28)</f>
        <v>0.45537761468799454</v>
      </c>
      <c r="H29" s="143"/>
      <c r="I29" s="88"/>
      <c r="J29" s="88"/>
      <c r="K29" s="88"/>
      <c r="L29" s="88"/>
      <c r="M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7"/>
      <c r="AX29" s="150"/>
      <c r="BA29" s="178"/>
    </row>
    <row r="30" spans="1:61" ht="14.45"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K30" s="88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7"/>
      <c r="AX30" s="150"/>
      <c r="AY30" s="87"/>
    </row>
    <row r="31" spans="1:61" ht="43.15">
      <c r="A31" s="469"/>
      <c r="B31" s="471" t="s">
        <v>449</v>
      </c>
      <c r="C31" s="472" t="s">
        <v>450</v>
      </c>
      <c r="D31" s="472"/>
      <c r="E31" s="472"/>
      <c r="F31" s="472"/>
      <c r="G31" s="470" t="s">
        <v>451</v>
      </c>
      <c r="H31" s="723" t="s">
        <v>452</v>
      </c>
      <c r="I31" s="723" t="s">
        <v>402</v>
      </c>
      <c r="J31" s="720" t="s">
        <v>403</v>
      </c>
      <c r="K31" s="339" t="s">
        <v>404</v>
      </c>
      <c r="L31" s="339" t="s">
        <v>405</v>
      </c>
      <c r="M31" s="721" t="s">
        <v>406</v>
      </c>
      <c r="N31" s="721" t="s">
        <v>407</v>
      </c>
      <c r="O31" s="721" t="s">
        <v>408</v>
      </c>
      <c r="P31" s="721" t="s">
        <v>409</v>
      </c>
      <c r="Q31" s="721" t="s">
        <v>410</v>
      </c>
      <c r="R31" s="721" t="s">
        <v>411</v>
      </c>
      <c r="S31" s="721" t="s">
        <v>412</v>
      </c>
      <c r="T31" s="721" t="s">
        <v>413</v>
      </c>
      <c r="U31" s="1152" t="s">
        <v>414</v>
      </c>
      <c r="V31" s="1157" t="s">
        <v>415</v>
      </c>
      <c r="W31" s="766" t="s">
        <v>49</v>
      </c>
      <c r="X31" s="766" t="s">
        <v>50</v>
      </c>
      <c r="Y31" s="766" t="s">
        <v>51</v>
      </c>
      <c r="Z31" s="766" t="s">
        <v>420</v>
      </c>
      <c r="AA31" s="766" t="s">
        <v>53</v>
      </c>
      <c r="AB31" s="766" t="s">
        <v>54</v>
      </c>
      <c r="AC31" s="766" t="s">
        <v>55</v>
      </c>
      <c r="AD31" s="766" t="s">
        <v>56</v>
      </c>
      <c r="AE31" s="766" t="s">
        <v>57</v>
      </c>
      <c r="AF31" s="766" t="s">
        <v>58</v>
      </c>
      <c r="AG31" s="722" t="s">
        <v>453</v>
      </c>
      <c r="AH31" s="722" t="s">
        <v>454</v>
      </c>
      <c r="AI31" s="766" t="s">
        <v>61</v>
      </c>
      <c r="AJ31" s="766" t="s">
        <v>62</v>
      </c>
      <c r="AK31" s="766" t="s">
        <v>63</v>
      </c>
      <c r="AL31" s="766" t="s">
        <v>64</v>
      </c>
      <c r="AM31" s="766" t="s">
        <v>65</v>
      </c>
      <c r="AN31" s="766" t="s">
        <v>66</v>
      </c>
      <c r="AO31" s="766" t="s">
        <v>67</v>
      </c>
      <c r="AP31" s="766" t="s">
        <v>68</v>
      </c>
      <c r="AQ31" s="766" t="s">
        <v>69</v>
      </c>
      <c r="AR31" s="766" t="s">
        <v>455</v>
      </c>
      <c r="AS31" s="766" t="s">
        <v>71</v>
      </c>
      <c r="AT31" s="474" t="s">
        <v>456</v>
      </c>
      <c r="AU31" s="470" t="s">
        <v>457</v>
      </c>
      <c r="AX31" s="470" t="s">
        <v>458</v>
      </c>
      <c r="AY31" s="702" t="s">
        <v>459</v>
      </c>
      <c r="AZ31" s="153" t="s">
        <v>460</v>
      </c>
      <c r="BB31" s="150"/>
    </row>
    <row r="32" spans="1:61" ht="14.45">
      <c r="A32" s="458" t="s">
        <v>461</v>
      </c>
      <c r="B32" s="461"/>
      <c r="C32" s="462"/>
      <c r="D32" s="462"/>
      <c r="E32" s="462"/>
      <c r="F32" s="462"/>
      <c r="G32" s="459">
        <v>1</v>
      </c>
      <c r="H32" s="460">
        <v>6218</v>
      </c>
      <c r="I32" s="460">
        <f>6218+53</f>
        <v>6271</v>
      </c>
      <c r="J32" s="566">
        <f>I32+(K32-I32)/2</f>
        <v>6324</v>
      </c>
      <c r="K32" s="565">
        <v>6377</v>
      </c>
      <c r="L32" s="460">
        <v>6522</v>
      </c>
      <c r="M32" s="460">
        <v>6620</v>
      </c>
      <c r="N32" s="603">
        <f>M32+100</f>
        <v>6720</v>
      </c>
      <c r="O32" s="603">
        <f>6850</f>
        <v>6850</v>
      </c>
      <c r="P32" s="460">
        <v>7013</v>
      </c>
      <c r="Q32" s="460">
        <v>7124</v>
      </c>
      <c r="R32" s="460">
        <v>7261</v>
      </c>
      <c r="S32" s="460">
        <v>7370</v>
      </c>
      <c r="T32" s="460">
        <v>7457</v>
      </c>
      <c r="U32" s="1165">
        <f>T32+45</f>
        <v>7502</v>
      </c>
      <c r="V32" s="1180">
        <v>7554.6</v>
      </c>
      <c r="W32" s="603">
        <f>V32+70</f>
        <v>7624.6</v>
      </c>
      <c r="X32" s="603">
        <f>W32+120</f>
        <v>7744.6</v>
      </c>
      <c r="Y32" s="603">
        <v>7883</v>
      </c>
      <c r="Z32" s="460"/>
      <c r="AA32" s="460"/>
      <c r="AB32" s="460"/>
      <c r="AC32" s="460"/>
      <c r="AD32" s="460"/>
      <c r="AE32" s="460"/>
      <c r="AF32" s="460"/>
      <c r="AG32" s="1181"/>
      <c r="AH32" s="1173"/>
      <c r="AI32" s="460"/>
      <c r="AJ32" s="460"/>
      <c r="AK32" s="460"/>
      <c r="AL32" s="460"/>
      <c r="AM32" s="460"/>
      <c r="AN32" s="460"/>
      <c r="AO32" s="460"/>
      <c r="AP32" s="460"/>
      <c r="AQ32" s="460"/>
      <c r="AR32" s="460"/>
      <c r="AS32" s="460"/>
      <c r="AT32" s="475"/>
      <c r="AU32" s="456"/>
      <c r="AX32" s="459"/>
      <c r="AY32" s="703"/>
      <c r="AZ32" s="153"/>
      <c r="BA32" s="86"/>
      <c r="BB32" s="86"/>
      <c r="BC32" s="87"/>
      <c r="BD32" s="87"/>
      <c r="BE32" s="87"/>
      <c r="BI32" s="150"/>
    </row>
    <row r="33" spans="1:65" ht="14.45">
      <c r="A33" s="463" t="s">
        <v>462</v>
      </c>
      <c r="B33" s="467"/>
      <c r="C33" s="468"/>
      <c r="D33" s="468"/>
      <c r="E33" s="468"/>
      <c r="F33" s="468"/>
      <c r="G33" s="464"/>
      <c r="H33" s="465"/>
      <c r="I33" s="465">
        <f>IF(ISNUMBER(I32),(I32-H32)," ")</f>
        <v>53</v>
      </c>
      <c r="J33" s="465">
        <f t="shared" ref="J33:V33" si="0">IF(ISNUMBER(J32),(J32-I32)," ")</f>
        <v>53</v>
      </c>
      <c r="K33" s="465">
        <f t="shared" si="0"/>
        <v>53</v>
      </c>
      <c r="L33" s="465">
        <f t="shared" si="0"/>
        <v>145</v>
      </c>
      <c r="M33" s="465">
        <f t="shared" si="0"/>
        <v>98</v>
      </c>
      <c r="N33" s="465">
        <f t="shared" si="0"/>
        <v>100</v>
      </c>
      <c r="O33" s="465">
        <f t="shared" si="0"/>
        <v>130</v>
      </c>
      <c r="P33" s="465">
        <f t="shared" si="0"/>
        <v>163</v>
      </c>
      <c r="Q33" s="465">
        <f t="shared" si="0"/>
        <v>111</v>
      </c>
      <c r="R33" s="465">
        <f t="shared" si="0"/>
        <v>137</v>
      </c>
      <c r="S33" s="465">
        <f t="shared" si="0"/>
        <v>109</v>
      </c>
      <c r="T33" s="465">
        <f t="shared" si="0"/>
        <v>87</v>
      </c>
      <c r="U33" s="1166">
        <f t="shared" si="0"/>
        <v>45</v>
      </c>
      <c r="V33" s="1182">
        <f t="shared" si="0"/>
        <v>52.600000000000364</v>
      </c>
      <c r="W33" s="465">
        <f t="shared" ref="W33" si="1">IF(ISNUMBER(W32),(W32-V32)," ")</f>
        <v>70</v>
      </c>
      <c r="X33" s="465">
        <f t="shared" ref="X33" si="2">IF(ISNUMBER(X32),(X32-W32)," ")</f>
        <v>120</v>
      </c>
      <c r="Y33" s="465">
        <f t="shared" ref="Y33" si="3">IF(ISNUMBER(Y32),(Y32-X32)," ")</f>
        <v>138.39999999999964</v>
      </c>
      <c r="Z33" s="465" t="str">
        <f t="shared" ref="Z33" si="4">IF(ISNUMBER(Z32),(Z32-Y32)," ")</f>
        <v xml:space="preserve"> </v>
      </c>
      <c r="AA33" s="465" t="str">
        <f t="shared" ref="AA33" si="5">IF(ISNUMBER(AA32),(AA32-Z32)," ")</f>
        <v xml:space="preserve"> </v>
      </c>
      <c r="AB33" s="465" t="str">
        <f t="shared" ref="AB33" si="6">IF(ISNUMBER(AB32),(AB32-AA32)," ")</f>
        <v xml:space="preserve"> </v>
      </c>
      <c r="AC33" s="465" t="str">
        <f t="shared" ref="AC33" si="7">IF(ISNUMBER(AC32),(AC32-AB32)," ")</f>
        <v xml:space="preserve"> </v>
      </c>
      <c r="AD33" s="465" t="str">
        <f t="shared" ref="AD33" si="8">IF(ISNUMBER(AD32),(AD32-AC32)," ")</f>
        <v xml:space="preserve"> </v>
      </c>
      <c r="AE33" s="465" t="str">
        <f t="shared" ref="AE33" si="9">IF(ISNUMBER(AE32),(AE32-AD32)," ")</f>
        <v xml:space="preserve"> </v>
      </c>
      <c r="AF33" s="465"/>
      <c r="AG33" s="1183"/>
      <c r="AH33" s="1174"/>
      <c r="AI33" s="465"/>
      <c r="AJ33" s="465"/>
      <c r="AK33" s="465"/>
      <c r="AL33" s="465"/>
      <c r="AM33" s="465" t="str">
        <f>IF(ISNUMBER(AM32),(AM32-AE32)," ")</f>
        <v xml:space="preserve"> </v>
      </c>
      <c r="AN33" s="465" t="str">
        <f>IF(ISNUMBER(AN32),(AN32-AF32)," ")</f>
        <v xml:space="preserve"> </v>
      </c>
      <c r="AO33" s="465" t="str">
        <f>IF(ISNUMBER(AO32),(AO32-AG32)," ")</f>
        <v xml:space="preserve"> </v>
      </c>
      <c r="AP33" s="465" t="str">
        <f t="shared" ref="AP33:AR33" si="10">IF(ISNUMBER(AP32),(AP32-AH32)," ")</f>
        <v xml:space="preserve"> </v>
      </c>
      <c r="AQ33" s="465" t="str">
        <f t="shared" si="10"/>
        <v xml:space="preserve"> </v>
      </c>
      <c r="AR33" s="465" t="str">
        <f t="shared" si="10"/>
        <v xml:space="preserve"> </v>
      </c>
      <c r="AS33" s="465" t="str">
        <f>IF(ISNUMBER(AS32),(AS32-AK32)," ")</f>
        <v xml:space="preserve"> </v>
      </c>
      <c r="AT33" s="476"/>
      <c r="AU33" s="466">
        <f ca="1">OFFSET(H33,0,COUNT(I33:AM33))</f>
        <v>138.39999999999964</v>
      </c>
      <c r="AX33" s="464"/>
      <c r="AY33" s="703"/>
      <c r="AZ33" s="153"/>
      <c r="BA33" s="86"/>
      <c r="BB33" s="86"/>
      <c r="BC33" s="87"/>
      <c r="BD33" s="87"/>
      <c r="BE33" s="87"/>
      <c r="BI33" s="150"/>
    </row>
    <row r="34" spans="1:65" ht="14.45">
      <c r="A34" s="1107" t="s">
        <v>463</v>
      </c>
      <c r="B34" s="195">
        <f ca="1">AU34*(1+G$27)</f>
        <v>101504.00000000089</v>
      </c>
      <c r="C34" s="146" t="s">
        <v>74</v>
      </c>
      <c r="D34" s="729"/>
      <c r="E34" s="729"/>
      <c r="F34" s="729"/>
      <c r="G34" s="296">
        <v>1000</v>
      </c>
      <c r="H34" s="454">
        <v>6729</v>
      </c>
      <c r="I34" s="517">
        <f>H34+(H34-6684)</f>
        <v>6774</v>
      </c>
      <c r="J34" s="419">
        <f>I34+(K34-I34)/2</f>
        <v>6821</v>
      </c>
      <c r="K34" s="455">
        <v>6868</v>
      </c>
      <c r="L34" s="454">
        <v>6957</v>
      </c>
      <c r="M34" s="454">
        <v>7045</v>
      </c>
      <c r="N34" s="604">
        <f>M34-L34+M34</f>
        <v>7133</v>
      </c>
      <c r="O34" s="604">
        <v>7240</v>
      </c>
      <c r="P34" s="454">
        <v>7463</v>
      </c>
      <c r="Q34" s="454">
        <v>7581</v>
      </c>
      <c r="R34" s="488">
        <v>7714</v>
      </c>
      <c r="S34" s="454">
        <v>7805</v>
      </c>
      <c r="T34" s="454">
        <v>7852</v>
      </c>
      <c r="U34" s="1167">
        <v>7888</v>
      </c>
      <c r="V34" s="1184">
        <v>7918.2</v>
      </c>
      <c r="W34" s="454">
        <v>7954.96</v>
      </c>
      <c r="X34" s="454">
        <v>8025</v>
      </c>
      <c r="Y34" s="454">
        <v>8109</v>
      </c>
      <c r="Z34" s="454">
        <v>8215</v>
      </c>
      <c r="AA34" s="454">
        <v>8325</v>
      </c>
      <c r="AB34" s="454">
        <v>8456</v>
      </c>
      <c r="AC34" s="454">
        <v>8591</v>
      </c>
      <c r="AD34" s="454">
        <v>8702</v>
      </c>
      <c r="AE34" s="454">
        <v>8798</v>
      </c>
      <c r="AF34" s="454">
        <v>8814</v>
      </c>
      <c r="AG34" s="1185">
        <v>8814</v>
      </c>
      <c r="AH34" s="1175">
        <v>8814</v>
      </c>
      <c r="AI34" s="454">
        <v>8833</v>
      </c>
      <c r="AJ34" s="454">
        <v>8902.18</v>
      </c>
      <c r="AK34" s="454">
        <v>8985</v>
      </c>
      <c r="AL34" s="454">
        <v>9108</v>
      </c>
      <c r="AM34" s="454">
        <v>9191.2000000000007</v>
      </c>
      <c r="AN34" s="454">
        <v>9303</v>
      </c>
      <c r="AO34" s="1290">
        <v>9423</v>
      </c>
      <c r="AP34" s="1290">
        <v>9531</v>
      </c>
      <c r="AQ34" s="1290">
        <v>9624.65</v>
      </c>
      <c r="AR34" s="1290">
        <v>9692</v>
      </c>
      <c r="AS34" s="1290"/>
      <c r="AT34" s="477">
        <f ca="1">(OFFSET(F34,0,COUNT(G34:AM34)-1)-OFFSET(F34,0,COUNT(G34:AM34)-2))*G34</f>
        <v>123000</v>
      </c>
      <c r="AU34" s="456">
        <f ca="1">(MAX(I34:AM34)-OFFSET(G34,0,COUNT(H34:AM34)-1))*G34</f>
        <v>83200.000000000728</v>
      </c>
      <c r="AX34" s="808">
        <f ca="1">AU34*G$26</f>
        <v>29370.091117861608</v>
      </c>
      <c r="AY34" s="704">
        <f ca="1">AU34/AT34</f>
        <v>0.67642276422764824</v>
      </c>
      <c r="AZ34" s="193"/>
      <c r="BB34" s="86"/>
      <c r="BC34" s="87"/>
      <c r="BD34" s="87"/>
      <c r="BE34" s="87"/>
    </row>
    <row r="35" spans="1:65" s="1116" customFormat="1" ht="14.45">
      <c r="A35" s="1108" t="s">
        <v>464</v>
      </c>
      <c r="B35" s="1109"/>
      <c r="C35" s="1109"/>
      <c r="D35" s="1110"/>
      <c r="E35" s="1110"/>
      <c r="F35" s="1110"/>
      <c r="G35" s="1111"/>
      <c r="H35" s="1112"/>
      <c r="I35" s="1113">
        <f t="shared" ref="I35:Z35" si="11">(I34-H34)*1000</f>
        <v>45000</v>
      </c>
      <c r="J35" s="1113">
        <f t="shared" si="11"/>
        <v>47000</v>
      </c>
      <c r="K35" s="1113">
        <f t="shared" si="11"/>
        <v>47000</v>
      </c>
      <c r="L35" s="1113">
        <f t="shared" si="11"/>
        <v>89000</v>
      </c>
      <c r="M35" s="1113">
        <f t="shared" si="11"/>
        <v>88000</v>
      </c>
      <c r="N35" s="1113">
        <f t="shared" si="11"/>
        <v>88000</v>
      </c>
      <c r="O35" s="1113">
        <f t="shared" si="11"/>
        <v>107000</v>
      </c>
      <c r="P35" s="1113">
        <f t="shared" si="11"/>
        <v>223000</v>
      </c>
      <c r="Q35" s="1113">
        <f t="shared" si="11"/>
        <v>118000</v>
      </c>
      <c r="R35" s="1113">
        <f t="shared" si="11"/>
        <v>133000</v>
      </c>
      <c r="S35" s="1113">
        <f t="shared" si="11"/>
        <v>91000</v>
      </c>
      <c r="T35" s="1113">
        <f t="shared" si="11"/>
        <v>47000</v>
      </c>
      <c r="U35" s="1153">
        <f t="shared" si="11"/>
        <v>36000</v>
      </c>
      <c r="V35" s="1158">
        <f t="shared" si="11"/>
        <v>30199.999999999818</v>
      </c>
      <c r="W35" s="1113">
        <f t="shared" si="11"/>
        <v>36760.000000000218</v>
      </c>
      <c r="X35" s="1113">
        <f t="shared" si="11"/>
        <v>70039.999999999971</v>
      </c>
      <c r="Y35" s="1113">
        <f t="shared" si="11"/>
        <v>84000</v>
      </c>
      <c r="Z35" s="1113">
        <f t="shared" si="11"/>
        <v>106000</v>
      </c>
      <c r="AA35" s="1113">
        <f>(AA34-Z34)*1000</f>
        <v>110000</v>
      </c>
      <c r="AB35" s="1113">
        <f t="shared" ref="AB35" si="12">(AB34-AA34)*1000</f>
        <v>131000</v>
      </c>
      <c r="AC35" s="1113">
        <f t="shared" ref="AC35" si="13">(AC34-AB34)*1000</f>
        <v>135000</v>
      </c>
      <c r="AD35" s="1113">
        <f t="shared" ref="AD35" si="14">(AD34-AC34)*1000</f>
        <v>111000</v>
      </c>
      <c r="AE35" s="1113">
        <f t="shared" ref="AE35" si="15">(AE34-AD34)*1000</f>
        <v>96000</v>
      </c>
      <c r="AF35" s="1113">
        <f t="shared" ref="AF35" si="16">(AF34-AE34)*1000</f>
        <v>16000</v>
      </c>
      <c r="AG35" s="1113">
        <f t="shared" ref="AG35" si="17">(AG34-AF34)*1000</f>
        <v>0</v>
      </c>
      <c r="AH35" s="1113">
        <f t="shared" ref="AH35" si="18">(AH34-AG34)*1000</f>
        <v>0</v>
      </c>
      <c r="AI35" s="1113">
        <f t="shared" ref="AI35" si="19">(AI34-AH34)*1000</f>
        <v>19000</v>
      </c>
      <c r="AJ35" s="1113">
        <f t="shared" ref="AJ35" si="20">(AJ34-AI34)*1000</f>
        <v>69180.000000000291</v>
      </c>
      <c r="AK35" s="1113">
        <f t="shared" ref="AK35" si="21">(AK34-AJ34)*1000</f>
        <v>82819.999999999709</v>
      </c>
      <c r="AL35" s="1113">
        <f t="shared" ref="AL35" si="22">(AL34-AK34)*1000</f>
        <v>123000</v>
      </c>
      <c r="AM35" s="1113">
        <f t="shared" ref="AM35" si="23">(AM34-AL34)*1000</f>
        <v>83200.000000000728</v>
      </c>
      <c r="AN35" s="1113">
        <f t="shared" ref="AN35" si="24">(AN34-AM34)*1000</f>
        <v>111799.99999999927</v>
      </c>
      <c r="AO35" s="1113">
        <f t="shared" ref="AO35" si="25">(AO34-AN34)*1000</f>
        <v>120000</v>
      </c>
      <c r="AP35" s="1113">
        <f t="shared" ref="AP35" si="26">(AP34-AO34)*1000</f>
        <v>108000</v>
      </c>
      <c r="AQ35" s="1113">
        <f t="shared" ref="AQ35" si="27">(AQ34-AP34)*1000</f>
        <v>93649.999999999636</v>
      </c>
      <c r="AR35" s="1113">
        <f t="shared" ref="AR35" si="28">(AR34-AQ34)*1000</f>
        <v>67350.000000000364</v>
      </c>
      <c r="AS35" s="1113">
        <f t="shared" ref="AS35" si="29">(AS34-AR34)*1000</f>
        <v>-9692000</v>
      </c>
      <c r="AT35" s="1114"/>
      <c r="AU35" s="1115"/>
      <c r="AX35" s="1117"/>
      <c r="AY35" s="1118"/>
      <c r="AZ35" s="1119"/>
      <c r="BB35" s="1120"/>
      <c r="BC35" s="1121"/>
      <c r="BD35" s="1121"/>
      <c r="BE35" s="1121"/>
    </row>
    <row r="36" spans="1:65" ht="14.45">
      <c r="A36" s="85" t="s">
        <v>465</v>
      </c>
      <c r="B36" s="195">
        <f ca="1">AU36*(1+G$27)</f>
        <v>151280</v>
      </c>
      <c r="C36" s="154" t="s">
        <v>74</v>
      </c>
      <c r="D36" s="730"/>
      <c r="E36" s="730"/>
      <c r="F36" s="730"/>
      <c r="G36" s="297">
        <v>1000</v>
      </c>
      <c r="H36" s="419">
        <v>8676</v>
      </c>
      <c r="I36" s="517">
        <f>H36+(H36-8627)</f>
        <v>8725</v>
      </c>
      <c r="J36" s="419">
        <f>I36+(K36-I36)/2</f>
        <v>8774</v>
      </c>
      <c r="K36" s="419">
        <v>8823</v>
      </c>
      <c r="L36" s="419">
        <v>8913</v>
      </c>
      <c r="M36" s="419">
        <v>9004</v>
      </c>
      <c r="N36" s="604">
        <f>M36-L36+M36</f>
        <v>9095</v>
      </c>
      <c r="O36" s="604">
        <v>9250</v>
      </c>
      <c r="P36" s="419">
        <v>9438</v>
      </c>
      <c r="Q36" s="419">
        <v>9559</v>
      </c>
      <c r="R36" s="487">
        <v>9695</v>
      </c>
      <c r="S36" s="419">
        <v>9708</v>
      </c>
      <c r="T36" s="419">
        <v>9849</v>
      </c>
      <c r="U36" s="1168">
        <f>T36+40</f>
        <v>9889</v>
      </c>
      <c r="V36" s="1186">
        <v>9939.5</v>
      </c>
      <c r="W36" s="419">
        <v>9979.58</v>
      </c>
      <c r="X36" s="419">
        <v>10055</v>
      </c>
      <c r="Y36" s="419">
        <v>10145</v>
      </c>
      <c r="Z36" s="419">
        <v>10258</v>
      </c>
      <c r="AA36" s="419">
        <v>10375</v>
      </c>
      <c r="AB36" s="419">
        <v>10510</v>
      </c>
      <c r="AC36" s="419">
        <v>10649</v>
      </c>
      <c r="AD36" s="419">
        <v>10766</v>
      </c>
      <c r="AE36" s="419">
        <v>10865</v>
      </c>
      <c r="AF36" s="419">
        <v>10886</v>
      </c>
      <c r="AG36" s="1187">
        <v>10897</v>
      </c>
      <c r="AH36" s="1176">
        <v>10912</v>
      </c>
      <c r="AI36" s="419">
        <v>10945</v>
      </c>
      <c r="AJ36" s="419">
        <v>11016.97</v>
      </c>
      <c r="AK36" s="419">
        <v>11106</v>
      </c>
      <c r="AL36" s="419">
        <v>11239</v>
      </c>
      <c r="AM36" s="419">
        <v>11363</v>
      </c>
      <c r="AN36" s="419">
        <v>11492</v>
      </c>
      <c r="AO36" s="301">
        <v>11628</v>
      </c>
      <c r="AP36" s="301">
        <v>11750</v>
      </c>
      <c r="AQ36" s="301">
        <v>11861.48</v>
      </c>
      <c r="AR36" s="301">
        <v>11934</v>
      </c>
      <c r="AS36" s="301"/>
      <c r="AT36" s="477">
        <f ca="1">(OFFSET(F36,0,COUNT(G36:AM36)-1)-OFFSET(F36,0,COUNT(G36:AM36)-2))*G36</f>
        <v>133000</v>
      </c>
      <c r="AU36" s="456">
        <f ca="1">(MAX(I36:AM36)-OFFSET(G36,0,COUNT(H36:AM36)-1))*G36</f>
        <v>124000</v>
      </c>
      <c r="AX36" s="699">
        <f ca="1">B36*G$26</f>
        <v>53402.732984495975</v>
      </c>
      <c r="AY36" s="704">
        <f t="shared" ref="AY36:AY63" ca="1" si="30">AU36/AT36</f>
        <v>0.93233082706766912</v>
      </c>
      <c r="AZ36" s="701">
        <f ca="1">AX36*(1+G28)</f>
        <v>57140.924293410695</v>
      </c>
      <c r="BB36" s="181"/>
      <c r="BC36" s="177"/>
      <c r="BF36" s="86"/>
    </row>
    <row r="37" spans="1:65" ht="14.45">
      <c r="A37" s="85"/>
      <c r="B37" s="195"/>
      <c r="C37" s="154"/>
      <c r="D37" s="730"/>
      <c r="E37" s="730"/>
      <c r="F37" s="730"/>
      <c r="G37" s="297"/>
      <c r="H37" s="419"/>
      <c r="I37" s="517"/>
      <c r="J37" s="419"/>
      <c r="K37" s="419"/>
      <c r="L37" s="419"/>
      <c r="M37" s="419"/>
      <c r="N37" s="1092"/>
      <c r="O37" s="1092"/>
      <c r="P37" s="419"/>
      <c r="Q37" s="419"/>
      <c r="R37" s="487"/>
      <c r="S37" s="1093">
        <f t="shared" ref="S37:X37" si="31">S36-R36</f>
        <v>13</v>
      </c>
      <c r="T37" s="1093">
        <f t="shared" si="31"/>
        <v>141</v>
      </c>
      <c r="U37" s="1169">
        <f t="shared" si="31"/>
        <v>40</v>
      </c>
      <c r="V37" s="1188">
        <f t="shared" si="31"/>
        <v>50.5</v>
      </c>
      <c r="W37" s="1093">
        <f t="shared" si="31"/>
        <v>40.079999999999927</v>
      </c>
      <c r="X37" s="1093">
        <f t="shared" si="31"/>
        <v>75.420000000000073</v>
      </c>
      <c r="Y37" s="1093">
        <f>Y36-X36</f>
        <v>90</v>
      </c>
      <c r="Z37" s="1093">
        <f>Z36-Y36</f>
        <v>113</v>
      </c>
      <c r="AA37" s="1093">
        <f>AA36-Z36</f>
        <v>117</v>
      </c>
      <c r="AB37" s="1093">
        <f t="shared" ref="AB37" si="32">AB36-AA36</f>
        <v>135</v>
      </c>
      <c r="AC37" s="1093">
        <f>IF(ISNUMBER(AC36),AC36-AB36," ")</f>
        <v>139</v>
      </c>
      <c r="AD37" s="1093">
        <f t="shared" ref="AD37:AE37" si="33">IF(ISNUMBER(AD36),AD36-AC36," ")</f>
        <v>117</v>
      </c>
      <c r="AE37" s="1093">
        <f t="shared" si="33"/>
        <v>99</v>
      </c>
      <c r="AF37" s="1093">
        <f t="shared" ref="AF37" si="34">IF(ISNUMBER(AF36),AF36-AE36," ")</f>
        <v>21</v>
      </c>
      <c r="AG37" s="1093">
        <f t="shared" ref="AG37" si="35">IF(ISNUMBER(AG36),AG36-AF36," ")</f>
        <v>11</v>
      </c>
      <c r="AH37" s="1093">
        <f t="shared" ref="AH37" si="36">IF(ISNUMBER(AH36),AH36-AG36," ")</f>
        <v>15</v>
      </c>
      <c r="AI37" s="1093">
        <f t="shared" ref="AI37" si="37">IF(ISNUMBER(AI36),AI36-AH36," ")</f>
        <v>33</v>
      </c>
      <c r="AJ37" s="1093">
        <f t="shared" ref="AJ37" si="38">IF(ISNUMBER(AJ36),AJ36-AI36," ")</f>
        <v>71.969999999999345</v>
      </c>
      <c r="AK37" s="1093">
        <f t="shared" ref="AK37" si="39">IF(ISNUMBER(AK36),AK36-AJ36," ")</f>
        <v>89.030000000000655</v>
      </c>
      <c r="AL37" s="1093">
        <f t="shared" ref="AL37" si="40">IF(ISNUMBER(AL36),AL36-AK36," ")</f>
        <v>133</v>
      </c>
      <c r="AM37" s="1093">
        <f t="shared" ref="AM37" si="41">IF(ISNUMBER(AM36),AM36-AL36," ")</f>
        <v>124</v>
      </c>
      <c r="AN37" s="1093">
        <f t="shared" ref="AN37:AQ37" si="42">IF(ISNUMBER(AN36),AN36-AM36," ")</f>
        <v>129</v>
      </c>
      <c r="AO37" s="1093">
        <f t="shared" si="42"/>
        <v>136</v>
      </c>
      <c r="AP37" s="1093">
        <f t="shared" si="42"/>
        <v>122</v>
      </c>
      <c r="AQ37" s="1093">
        <f t="shared" si="42"/>
        <v>111.47999999999956</v>
      </c>
      <c r="AR37" s="301"/>
      <c r="AS37" s="301"/>
      <c r="AT37" s="477"/>
      <c r="AU37" s="456"/>
      <c r="AX37" s="699"/>
      <c r="AY37" s="704"/>
      <c r="AZ37" s="150"/>
      <c r="BB37" s="181"/>
      <c r="BC37" s="177"/>
      <c r="BF37" s="86"/>
    </row>
    <row r="38" spans="1:65" ht="14.45">
      <c r="A38" s="85" t="s">
        <v>466</v>
      </c>
      <c r="B38" s="195">
        <f t="shared" ref="B38:B44" ca="1" si="43">AU38*(1+G$27)</f>
        <v>385650.54</v>
      </c>
      <c r="C38" s="147" t="s">
        <v>74</v>
      </c>
      <c r="D38" s="731"/>
      <c r="E38" s="731"/>
      <c r="F38" s="731"/>
      <c r="G38" s="298">
        <v>1</v>
      </c>
      <c r="H38" s="301">
        <v>13135398</v>
      </c>
      <c r="I38" s="301">
        <v>13166901</v>
      </c>
      <c r="J38" s="301">
        <v>13191039</v>
      </c>
      <c r="K38" s="301">
        <v>13276565</v>
      </c>
      <c r="L38" s="301">
        <v>13438743</v>
      </c>
      <c r="M38" s="301">
        <v>13648413</v>
      </c>
      <c r="N38" s="301">
        <v>13924751</v>
      </c>
      <c r="O38" s="301">
        <v>14254027</v>
      </c>
      <c r="P38" s="301">
        <v>14627045</v>
      </c>
      <c r="Q38" s="301">
        <v>14957388</v>
      </c>
      <c r="R38" s="301">
        <v>15280011</v>
      </c>
      <c r="S38" s="301">
        <v>15592614</v>
      </c>
      <c r="T38" s="301">
        <v>15722562</v>
      </c>
      <c r="U38" s="1154">
        <v>15744838</v>
      </c>
      <c r="V38" s="1160">
        <v>15764754</v>
      </c>
      <c r="W38" s="301">
        <v>15839751</v>
      </c>
      <c r="X38" s="301">
        <v>15994773</v>
      </c>
      <c r="Y38" s="301">
        <v>16218091</v>
      </c>
      <c r="Z38" s="301">
        <v>16489147</v>
      </c>
      <c r="AA38" s="301">
        <v>16805254</v>
      </c>
      <c r="AB38" s="301">
        <v>17160762</v>
      </c>
      <c r="AC38" s="301">
        <v>17541194</v>
      </c>
      <c r="AD38" s="301">
        <v>17840518</v>
      </c>
      <c r="AE38" s="301">
        <v>18090390</v>
      </c>
      <c r="AF38" s="301">
        <v>18168264</v>
      </c>
      <c r="AG38" s="1161">
        <v>18201924</v>
      </c>
      <c r="AH38" s="1156">
        <v>18241038</v>
      </c>
      <c r="AI38" s="301">
        <v>18320340</v>
      </c>
      <c r="AJ38" s="301">
        <v>18505998</v>
      </c>
      <c r="AK38" s="301">
        <v>18723652</v>
      </c>
      <c r="AL38" s="301">
        <v>19075168</v>
      </c>
      <c r="AM38" s="1287">
        <f>AL38+316107</f>
        <v>19391275</v>
      </c>
      <c r="AN38" s="301">
        <v>19702234</v>
      </c>
      <c r="AO38" s="301">
        <v>20041424</v>
      </c>
      <c r="AP38" s="301">
        <v>20315210</v>
      </c>
      <c r="AQ38" s="301">
        <v>20596514</v>
      </c>
      <c r="AR38" s="301">
        <v>20727490</v>
      </c>
      <c r="AS38" s="301"/>
      <c r="AT38" s="477">
        <f ca="1">(OFFSET(F38,0,COUNT(G38:AM38)-1)-OFFSET(F38,0,COUNT(G38:AM38)-2))*G38</f>
        <v>351516</v>
      </c>
      <c r="AU38" s="456">
        <f ca="1">(MAX(I38:AM38)-OFFSET(G38,0,COUNT(H38:AM38)-1))*G38</f>
        <v>316107</v>
      </c>
      <c r="AX38" s="699">
        <f ca="1">AU38*G$26</f>
        <v>111587.63693502161</v>
      </c>
      <c r="AY38" s="704">
        <f t="shared" ca="1" si="30"/>
        <v>0.89926774314682689</v>
      </c>
      <c r="AZ38" s="80" t="s">
        <v>467</v>
      </c>
      <c r="BB38" s="181"/>
      <c r="BE38" s="87"/>
    </row>
    <row r="39" spans="1:65" ht="14.45">
      <c r="A39" s="85" t="s">
        <v>468</v>
      </c>
      <c r="B39" s="195">
        <f t="shared" ca="1" si="43"/>
        <v>67624.599999999249</v>
      </c>
      <c r="C39" s="147" t="s">
        <v>74</v>
      </c>
      <c r="D39" s="731"/>
      <c r="E39" s="731"/>
      <c r="F39" s="731"/>
      <c r="G39" s="298">
        <v>1000</v>
      </c>
      <c r="H39" s="303">
        <v>5054</v>
      </c>
      <c r="I39" s="303">
        <v>5088</v>
      </c>
      <c r="J39" s="303">
        <v>5123.79</v>
      </c>
      <c r="K39" s="303">
        <v>5160</v>
      </c>
      <c r="L39" s="303">
        <v>5204.63</v>
      </c>
      <c r="M39" s="303">
        <v>5257.47</v>
      </c>
      <c r="N39" s="303">
        <v>5326.25</v>
      </c>
      <c r="O39" s="303">
        <v>5407.89</v>
      </c>
      <c r="P39" s="303">
        <v>5499.42</v>
      </c>
      <c r="Q39" s="303">
        <v>5579</v>
      </c>
      <c r="R39" s="303">
        <v>5653.16</v>
      </c>
      <c r="S39" s="303">
        <v>5723.66</v>
      </c>
      <c r="T39" s="303">
        <v>5766.75</v>
      </c>
      <c r="U39" s="1170">
        <v>5805.41</v>
      </c>
      <c r="V39" s="1189">
        <v>5839.17</v>
      </c>
      <c r="W39" s="303">
        <v>5875.09</v>
      </c>
      <c r="X39" s="303">
        <v>5932.02</v>
      </c>
      <c r="Y39" s="303">
        <v>5997</v>
      </c>
      <c r="Z39" s="303">
        <v>6075.49</v>
      </c>
      <c r="AA39" s="303">
        <v>6158</v>
      </c>
      <c r="AB39" s="303">
        <v>6252</v>
      </c>
      <c r="AC39" s="303">
        <v>6352</v>
      </c>
      <c r="AD39" s="303">
        <v>6436.69</v>
      </c>
      <c r="AE39" s="303">
        <v>6504.6</v>
      </c>
      <c r="AF39" s="303">
        <v>6551</v>
      </c>
      <c r="AG39" s="1190">
        <v>6583</v>
      </c>
      <c r="AH39" s="1177">
        <v>6617.4</v>
      </c>
      <c r="AI39" s="303">
        <v>6657</v>
      </c>
      <c r="AJ39" s="303">
        <v>6712.17</v>
      </c>
      <c r="AK39" s="303">
        <v>6769.36</v>
      </c>
      <c r="AL39" s="303">
        <v>6843.76</v>
      </c>
      <c r="AM39" s="301">
        <v>6899.19</v>
      </c>
      <c r="AN39" s="301">
        <v>6956.66</v>
      </c>
      <c r="AO39" s="612">
        <v>7025</v>
      </c>
      <c r="AP39" s="301">
        <v>7107</v>
      </c>
      <c r="AQ39" s="301">
        <v>7178.53</v>
      </c>
      <c r="AR39" s="301">
        <v>7221</v>
      </c>
      <c r="AS39" s="301"/>
      <c r="AT39" s="477">
        <f ca="1">(OFFSET(F39,0,COUNT(G39:AM39)-1)-OFFSET(F39,0,COUNT(G39:AM39)-2))*G39</f>
        <v>74400.000000000553</v>
      </c>
      <c r="AU39" s="456">
        <f ca="1">(MAX(I39:AM39)-OFFSET(G39,0,COUNT(H39:AM39)-1))*G39</f>
        <v>55429.999999999382</v>
      </c>
      <c r="AX39" s="700">
        <f t="shared" ref="AX39:AX44" ca="1" si="44">B39*G$26</f>
        <v>23871.882978472411</v>
      </c>
      <c r="AY39" s="704">
        <f ca="1">AU39/AT39</f>
        <v>0.74502688172041631</v>
      </c>
      <c r="BB39" s="88"/>
      <c r="BC39" s="86"/>
      <c r="BM39" s="86"/>
    </row>
    <row r="40" spans="1:65" ht="14.45">
      <c r="A40" s="85" t="s">
        <v>469</v>
      </c>
      <c r="B40" s="195">
        <f t="shared" ca="1" si="43"/>
        <v>224235.92545800007</v>
      </c>
      <c r="C40" s="147" t="s">
        <v>470</v>
      </c>
      <c r="D40" s="731"/>
      <c r="E40" s="731"/>
      <c r="F40" s="731"/>
      <c r="G40" s="298">
        <v>1</v>
      </c>
      <c r="H40" s="303">
        <v>1</v>
      </c>
      <c r="I40" s="303">
        <v>1</v>
      </c>
      <c r="J40" s="303">
        <v>1</v>
      </c>
      <c r="K40" s="303">
        <v>1</v>
      </c>
      <c r="L40" s="303">
        <v>1</v>
      </c>
      <c r="M40" s="303">
        <v>1</v>
      </c>
      <c r="N40" s="303">
        <v>1</v>
      </c>
      <c r="O40" s="303">
        <v>1</v>
      </c>
      <c r="P40" s="303">
        <v>1</v>
      </c>
      <c r="Q40" s="303">
        <v>1</v>
      </c>
      <c r="R40" s="303">
        <v>1</v>
      </c>
      <c r="S40" s="303">
        <v>1</v>
      </c>
      <c r="T40" s="303">
        <v>1</v>
      </c>
      <c r="U40" s="1170">
        <v>1</v>
      </c>
      <c r="V40" s="1189">
        <v>1</v>
      </c>
      <c r="W40" s="303">
        <v>1</v>
      </c>
      <c r="X40" s="303">
        <v>1</v>
      </c>
      <c r="Y40" s="303">
        <v>1</v>
      </c>
      <c r="Z40" s="303">
        <v>1</v>
      </c>
      <c r="AA40" s="303">
        <v>1</v>
      </c>
      <c r="AB40" s="303">
        <v>1</v>
      </c>
      <c r="AC40" s="303">
        <f>'LTHW Data'!Z69+'LTHW Data'!Z70+'LTHW Data'!Z71</f>
        <v>211700</v>
      </c>
      <c r="AD40" s="303">
        <f>'LTHW Data'!AA69+'LTHW Data'!AA70+'LTHW Data'!AA71</f>
        <v>155300</v>
      </c>
      <c r="AE40" s="303">
        <f>'LTHW Data'!AB69+'LTHW Data'!AB70+'LTHW Data'!AB71</f>
        <v>151599.99999999994</v>
      </c>
      <c r="AF40" s="303">
        <f>'LTHW Data'!AC69+'LTHW Data'!AC70+'LTHW Data'!AC71</f>
        <v>66800.000000000058</v>
      </c>
      <c r="AG40" s="303">
        <f>IF(ISNUMBER('LTHW Data'!AD69),'LTHW Data'!AD69+'LTHW Data'!AD70+'LTHW Data'!AD71," ")</f>
        <v>48199.999999999964</v>
      </c>
      <c r="AH40" s="303">
        <f>IF(ISNUMBER('LTHW Data'!AE69),'LTHW Data'!AE69+'LTHW Data'!AE70+'LTHW Data'!AE71," ")</f>
        <v>47220.000000000044</v>
      </c>
      <c r="AI40" s="303">
        <f>IF(ISNUMBER('LTHW Data'!AF69),'LTHW Data'!AF69+'LTHW Data'!AF70+'LTHW Data'!AF71," ")</f>
        <v>74909.988130000012</v>
      </c>
      <c r="AJ40" s="303">
        <f>IF(ISNUMBER('LTHW Data'!AG69),'LTHW Data'!AG69+'LTHW Data'!AG70+'LTHW Data'!AG71," ")</f>
        <v>101619.98746999999</v>
      </c>
      <c r="AK40" s="303">
        <f>IF(ISNUMBER('LTHW Data'!AH69),'LTHW Data'!AH69+'LTHW Data'!AH70+'LTHW Data'!AH71," ")</f>
        <v>133590.01149999996</v>
      </c>
      <c r="AL40" s="303">
        <f>IF(ISNUMBER('LTHW Data'!AI69),'LTHW Data'!AI69+'LTHW Data'!AI70+'LTHW Data'!AI71," ")</f>
        <v>197260.01289999997</v>
      </c>
      <c r="AM40" s="303">
        <f>IF(ISNUMBER('LTHW Data'!AJ69),'LTHW Data'!AJ69+'LTHW Data'!AJ70+'LTHW Data'!AJ71," ")</f>
        <v>183799.93890000007</v>
      </c>
      <c r="AN40" s="303">
        <f>IF(ISNUMBER('LTHW Data'!AK69),'LTHW Data'!AK69+'LTHW Data'!AK70+'LTHW Data'!AK71," ")</f>
        <v>181369.99510000006</v>
      </c>
      <c r="AO40" s="303">
        <f>IF(ISNUMBER('LTHW Data'!AL69),'LTHW Data'!AL69+'LTHW Data'!AL70+'LTHW Data'!AL71," ")</f>
        <v>201440.033</v>
      </c>
      <c r="AP40" s="303">
        <f>IF(ISNUMBER('LTHW Data'!AM69),'LTHW Data'!AM69+'LTHW Data'!AM70+'LTHW Data'!AM71," ")</f>
        <v>156639.9841</v>
      </c>
      <c r="AQ40" s="301"/>
      <c r="AR40" s="301"/>
      <c r="AS40" s="301"/>
      <c r="AT40" s="477">
        <f ca="1">(OFFSET(F40,0,COUNT(G40:AM40)-1))*G40</f>
        <v>197260.01289999997</v>
      </c>
      <c r="AU40" s="456">
        <f ca="1">(OFFSET(G40,0,COUNT(H40:AM40)))*G40</f>
        <v>183799.93890000007</v>
      </c>
      <c r="AX40" s="700">
        <f t="shared" ca="1" si="44"/>
        <v>79156.605319704671</v>
      </c>
      <c r="AY40" s="704"/>
      <c r="BB40" s="88"/>
      <c r="BC40" s="86"/>
      <c r="BM40" s="86"/>
    </row>
    <row r="41" spans="1:65" ht="14.45">
      <c r="A41" s="85" t="s">
        <v>471</v>
      </c>
      <c r="B41" s="195">
        <f t="shared" ca="1" si="43"/>
        <v>0</v>
      </c>
      <c r="C41" s="147" t="s">
        <v>74</v>
      </c>
      <c r="D41" s="731"/>
      <c r="E41" s="731"/>
      <c r="F41" s="731"/>
      <c r="G41" s="298"/>
      <c r="H41" s="301"/>
      <c r="I41" s="301"/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1154"/>
      <c r="V41" s="1160"/>
      <c r="W41" s="301"/>
      <c r="X41" s="301"/>
      <c r="Y41" s="301"/>
      <c r="Z41" s="301"/>
      <c r="AA41" s="301"/>
      <c r="AB41" s="301"/>
      <c r="AC41" s="301"/>
      <c r="AD41" s="301"/>
      <c r="AE41" s="301"/>
      <c r="AF41" s="301"/>
      <c r="AG41" s="1161"/>
      <c r="AH41" s="1156"/>
      <c r="AI41" s="301"/>
      <c r="AJ41" s="301"/>
      <c r="AK41" s="301"/>
      <c r="AL41" s="301"/>
      <c r="AM41" s="301"/>
      <c r="AN41" s="301">
        <v>113.2</v>
      </c>
      <c r="AO41" s="1311">
        <v>175</v>
      </c>
      <c r="AP41" s="301">
        <v>229.9</v>
      </c>
      <c r="AQ41" s="301"/>
      <c r="AR41" s="301"/>
      <c r="AS41" s="301"/>
      <c r="AT41" s="477"/>
      <c r="AU41" s="456">
        <f ca="1">(MAX(I41:AM41)-OFFSET(G41,0,COUNT(H41:AM41)-1))*G41</f>
        <v>0</v>
      </c>
      <c r="AX41" s="700">
        <f t="shared" ca="1" si="44"/>
        <v>0</v>
      </c>
      <c r="AY41" s="704"/>
      <c r="BB41" s="213"/>
    </row>
    <row r="42" spans="1:65" ht="14.45">
      <c r="A42" s="85" t="s">
        <v>472</v>
      </c>
      <c r="B42" s="195">
        <f t="shared" ca="1" si="43"/>
        <v>279087.2</v>
      </c>
      <c r="C42" s="147" t="s">
        <v>74</v>
      </c>
      <c r="D42" s="732"/>
      <c r="E42" s="732"/>
      <c r="F42" s="732"/>
      <c r="G42" s="299"/>
      <c r="H42" s="301"/>
      <c r="I42" s="301"/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1154"/>
      <c r="V42" s="1160"/>
      <c r="W42" s="301"/>
      <c r="X42" s="301"/>
      <c r="Y42" s="301"/>
      <c r="Z42" s="301"/>
      <c r="AA42" s="301"/>
      <c r="AB42" s="301"/>
      <c r="AC42" s="301"/>
      <c r="AD42" s="301"/>
      <c r="AE42" s="301"/>
      <c r="AF42" s="301"/>
      <c r="AG42" s="1161"/>
      <c r="AH42" s="1156"/>
      <c r="AI42" s="301"/>
      <c r="AJ42" s="301"/>
      <c r="AK42" s="301"/>
      <c r="AL42" s="301"/>
      <c r="AM42" s="301"/>
      <c r="AN42" s="301"/>
      <c r="AO42" s="301"/>
      <c r="AP42" s="301"/>
      <c r="AQ42" s="301"/>
      <c r="AR42" s="301"/>
      <c r="AS42" s="301"/>
      <c r="AT42" s="477">
        <f ca="1">AT45+AT46</f>
        <v>225300</v>
      </c>
      <c r="AU42" s="456">
        <f ca="1">AU45+AU46</f>
        <v>228760</v>
      </c>
      <c r="AX42" s="700">
        <f t="shared" ca="1" si="44"/>
        <v>98519.429012365319</v>
      </c>
      <c r="AY42" s="704">
        <f ca="1">AU42/AT42</f>
        <v>1.0153573013759432</v>
      </c>
      <c r="BC42" s="86"/>
      <c r="BM42" s="86"/>
    </row>
    <row r="43" spans="1:65" ht="14.45">
      <c r="A43" s="85" t="s">
        <v>473</v>
      </c>
      <c r="B43" s="195">
        <f t="shared" ca="1" si="43"/>
        <v>164956.19999999998</v>
      </c>
      <c r="C43" s="147" t="s">
        <v>74</v>
      </c>
      <c r="D43" s="731"/>
      <c r="E43" s="731"/>
      <c r="F43" s="731"/>
      <c r="G43" s="298">
        <v>1</v>
      </c>
      <c r="H43" s="301">
        <v>13049250</v>
      </c>
      <c r="I43" s="301">
        <v>13061900</v>
      </c>
      <c r="J43" s="301">
        <v>13075020</v>
      </c>
      <c r="K43" s="301">
        <v>13088370</v>
      </c>
      <c r="L43" s="301">
        <v>13130120</v>
      </c>
      <c r="M43" s="301">
        <v>13180620</v>
      </c>
      <c r="N43" s="592">
        <v>13256990</v>
      </c>
      <c r="O43" s="301">
        <v>13355270</v>
      </c>
      <c r="P43" s="301">
        <v>13462440</v>
      </c>
      <c r="Q43" s="301">
        <v>13553480</v>
      </c>
      <c r="R43" s="301">
        <v>13632990</v>
      </c>
      <c r="S43" s="301">
        <v>13704700</v>
      </c>
      <c r="T43" s="301">
        <v>13749820</v>
      </c>
      <c r="U43" s="1154">
        <v>13767590</v>
      </c>
      <c r="V43" s="1160">
        <v>13767590</v>
      </c>
      <c r="W43" s="301">
        <v>13771020</v>
      </c>
      <c r="X43" s="301">
        <v>13809320</v>
      </c>
      <c r="Y43" s="301">
        <v>13855760</v>
      </c>
      <c r="Z43" s="301">
        <v>13909630</v>
      </c>
      <c r="AA43" s="301">
        <v>13996620</v>
      </c>
      <c r="AB43" s="301">
        <v>14093360</v>
      </c>
      <c r="AC43" s="301">
        <v>14193230</v>
      </c>
      <c r="AD43" s="301">
        <v>14271210</v>
      </c>
      <c r="AE43" s="301">
        <v>14331520</v>
      </c>
      <c r="AF43" s="301">
        <v>14380890</v>
      </c>
      <c r="AG43" s="1161">
        <v>14409010</v>
      </c>
      <c r="AH43" s="1156">
        <v>14431640</v>
      </c>
      <c r="AI43" s="301">
        <v>14461630</v>
      </c>
      <c r="AJ43" s="301">
        <v>14506620</v>
      </c>
      <c r="AK43" s="301">
        <v>14554770</v>
      </c>
      <c r="AL43" s="301">
        <v>14668940</v>
      </c>
      <c r="AM43" s="301">
        <v>14804150</v>
      </c>
      <c r="AN43" s="301">
        <v>14946660</v>
      </c>
      <c r="AO43" s="301">
        <v>15080370</v>
      </c>
      <c r="AP43" s="301">
        <v>15185370</v>
      </c>
      <c r="AQ43" s="301">
        <v>15285360</v>
      </c>
      <c r="AR43" s="301"/>
      <c r="AS43" s="301"/>
      <c r="AT43" s="477">
        <f t="shared" ref="AT43:AT63" ca="1" si="45">(OFFSET(F43,0,COUNT(G43:AM43)-1)-OFFSET(F43,0,COUNT(G43:AM43)-2))*G43</f>
        <v>114170</v>
      </c>
      <c r="AU43" s="456">
        <f t="shared" ref="AU43:AU63" ca="1" si="46">(OFFSET(F43,0,COUNT(G43:AM43))-OFFSET(F43,0,COUNT(G43:AM43)-1))*G43</f>
        <v>135210</v>
      </c>
      <c r="AX43" s="700">
        <f t="shared" ca="1" si="44"/>
        <v>58230.512313175001</v>
      </c>
      <c r="AY43" s="704">
        <f t="shared" ca="1" si="30"/>
        <v>1.1842865901725497</v>
      </c>
      <c r="BA43" s="229"/>
      <c r="BC43" s="229"/>
      <c r="BM43" s="86"/>
    </row>
    <row r="44" spans="1:65" ht="14.45">
      <c r="A44" s="85" t="s">
        <v>474</v>
      </c>
      <c r="B44" s="195">
        <f t="shared" ca="1" si="43"/>
        <v>23912</v>
      </c>
      <c r="C44" s="147" t="s">
        <v>74</v>
      </c>
      <c r="D44" s="732"/>
      <c r="E44" s="732"/>
      <c r="F44" s="732"/>
      <c r="G44" s="299">
        <v>1</v>
      </c>
      <c r="H44" s="301">
        <v>1281200</v>
      </c>
      <c r="I44" s="301">
        <v>1284800</v>
      </c>
      <c r="J44" s="301">
        <v>1287800</v>
      </c>
      <c r="K44" s="301">
        <v>1290900</v>
      </c>
      <c r="L44" s="301">
        <v>1297100</v>
      </c>
      <c r="M44" s="301">
        <v>1304900</v>
      </c>
      <c r="N44" s="301">
        <v>1323400</v>
      </c>
      <c r="O44" s="301">
        <v>1337600</v>
      </c>
      <c r="P44" s="301">
        <v>1361500</v>
      </c>
      <c r="Q44" s="301">
        <v>1387100</v>
      </c>
      <c r="R44" s="301">
        <v>1416600</v>
      </c>
      <c r="S44" s="301">
        <v>1441700</v>
      </c>
      <c r="T44" s="301">
        <v>1454000</v>
      </c>
      <c r="U44" s="1154">
        <v>1462400</v>
      </c>
      <c r="V44" s="1160">
        <v>1467500</v>
      </c>
      <c r="W44" s="301">
        <v>1473100</v>
      </c>
      <c r="X44" s="301">
        <v>1486100</v>
      </c>
      <c r="Y44" s="301">
        <v>1499500</v>
      </c>
      <c r="Z44" s="301">
        <v>1522800</v>
      </c>
      <c r="AA44" s="301">
        <v>1542300</v>
      </c>
      <c r="AB44" s="301">
        <v>1573900</v>
      </c>
      <c r="AC44" s="301">
        <v>1613200</v>
      </c>
      <c r="AD44" s="301">
        <v>1638900</v>
      </c>
      <c r="AE44" s="301">
        <v>1655100</v>
      </c>
      <c r="AF44" s="301">
        <v>1667100</v>
      </c>
      <c r="AG44" s="1161">
        <v>1679300</v>
      </c>
      <c r="AH44" s="1156">
        <v>1685600</v>
      </c>
      <c r="AI44" s="301">
        <v>1701400</v>
      </c>
      <c r="AJ44" s="301">
        <v>1723100</v>
      </c>
      <c r="AK44" s="301">
        <v>1740000</v>
      </c>
      <c r="AL44" s="301">
        <v>1775600</v>
      </c>
      <c r="AM44" s="301">
        <v>1795200</v>
      </c>
      <c r="AN44" s="301">
        <v>1831500</v>
      </c>
      <c r="AO44" s="301">
        <v>1866400</v>
      </c>
      <c r="AP44" s="301">
        <v>1889000</v>
      </c>
      <c r="AQ44" s="301">
        <v>1908500</v>
      </c>
      <c r="AR44" s="301"/>
      <c r="AS44" s="301"/>
      <c r="AT44" s="477">
        <f t="shared" ca="1" si="45"/>
        <v>35600</v>
      </c>
      <c r="AU44" s="456">
        <f t="shared" ca="1" si="46"/>
        <v>19600</v>
      </c>
      <c r="AX44" s="700">
        <f t="shared" ca="1" si="44"/>
        <v>8441.0771491622672</v>
      </c>
      <c r="AY44" s="704">
        <f t="shared" ref="AY44:AY49" ca="1" si="47">AU44/AT44</f>
        <v>0.550561797752809</v>
      </c>
      <c r="BA44" s="229"/>
      <c r="BC44" s="86"/>
      <c r="BM44" s="86"/>
    </row>
    <row r="45" spans="1:65" ht="14.45">
      <c r="A45" s="85" t="s">
        <v>475</v>
      </c>
      <c r="B45" s="195"/>
      <c r="C45" s="147"/>
      <c r="D45" s="732"/>
      <c r="E45" s="732"/>
      <c r="F45" s="732"/>
      <c r="G45" s="299">
        <v>1</v>
      </c>
      <c r="H45" s="301">
        <v>7122100</v>
      </c>
      <c r="I45" s="301">
        <v>7204900</v>
      </c>
      <c r="J45" s="301">
        <v>7264300</v>
      </c>
      <c r="K45" s="301">
        <v>7311600</v>
      </c>
      <c r="L45" s="301">
        <v>7388400</v>
      </c>
      <c r="M45" s="301">
        <v>7481700</v>
      </c>
      <c r="N45" s="301">
        <v>7626300</v>
      </c>
      <c r="O45" s="301">
        <v>7817600</v>
      </c>
      <c r="P45" s="301">
        <v>8034100</v>
      </c>
      <c r="Q45" s="301">
        <v>8216500</v>
      </c>
      <c r="R45" s="301">
        <v>8394400</v>
      </c>
      <c r="S45" s="301">
        <v>8535900</v>
      </c>
      <c r="T45" s="301">
        <v>8613900</v>
      </c>
      <c r="U45" s="1154">
        <v>8680900</v>
      </c>
      <c r="V45" s="1160">
        <v>8727600</v>
      </c>
      <c r="W45" s="301">
        <v>8753300</v>
      </c>
      <c r="X45" s="301">
        <v>8820500</v>
      </c>
      <c r="Y45" s="301">
        <v>8936700</v>
      </c>
      <c r="Z45" s="301">
        <v>9075400</v>
      </c>
      <c r="AA45" s="301">
        <v>9240800</v>
      </c>
      <c r="AB45" s="301">
        <v>9433200</v>
      </c>
      <c r="AC45" s="301">
        <v>9614100</v>
      </c>
      <c r="AD45" s="301">
        <v>9743900</v>
      </c>
      <c r="AE45" s="301">
        <v>9856400</v>
      </c>
      <c r="AF45" s="301">
        <v>9948700</v>
      </c>
      <c r="AG45" s="1161">
        <v>10010900</v>
      </c>
      <c r="AH45" s="1156">
        <v>10064100</v>
      </c>
      <c r="AI45" s="301">
        <v>10123500</v>
      </c>
      <c r="AJ45" s="301">
        <v>10231400</v>
      </c>
      <c r="AK45" s="301">
        <v>10329300</v>
      </c>
      <c r="AL45" s="301">
        <v>10505200</v>
      </c>
      <c r="AM45" s="301">
        <v>10687900</v>
      </c>
      <c r="AN45" s="301">
        <v>10887100</v>
      </c>
      <c r="AO45" s="301">
        <v>11075300</v>
      </c>
      <c r="AP45" s="301">
        <v>11233200</v>
      </c>
      <c r="AQ45" s="301">
        <v>11359600</v>
      </c>
      <c r="AR45" s="301"/>
      <c r="AS45" s="301"/>
      <c r="AT45" s="477">
        <f t="shared" ca="1" si="45"/>
        <v>175900</v>
      </c>
      <c r="AU45" s="456">
        <f t="shared" ca="1" si="46"/>
        <v>182700</v>
      </c>
      <c r="AX45" s="700"/>
      <c r="AY45" s="704">
        <f t="shared" ca="1" si="47"/>
        <v>1.0386583285957931</v>
      </c>
      <c r="BC45" s="86"/>
      <c r="BM45" s="86"/>
    </row>
    <row r="46" spans="1:65" ht="14.45">
      <c r="A46" s="85" t="s">
        <v>476</v>
      </c>
      <c r="B46" s="195">
        <f ca="1">AU46*(1+G$27)</f>
        <v>56193.2</v>
      </c>
      <c r="C46" s="147"/>
      <c r="D46" s="732"/>
      <c r="E46" s="732"/>
      <c r="F46" s="732"/>
      <c r="G46" s="299">
        <v>1</v>
      </c>
      <c r="H46" s="301">
        <v>1740480</v>
      </c>
      <c r="I46" s="301">
        <v>1751620</v>
      </c>
      <c r="J46" s="301">
        <v>1762620</v>
      </c>
      <c r="K46" s="301">
        <v>1772900</v>
      </c>
      <c r="L46" s="301">
        <v>1787280</v>
      </c>
      <c r="M46" s="301">
        <v>1807200</v>
      </c>
      <c r="N46" s="301">
        <v>1841500</v>
      </c>
      <c r="O46" s="301">
        <v>1894590</v>
      </c>
      <c r="P46" s="301">
        <v>1955570</v>
      </c>
      <c r="Q46" s="301">
        <v>2003720</v>
      </c>
      <c r="R46" s="301">
        <v>2051220</v>
      </c>
      <c r="S46" s="301">
        <v>2090890</v>
      </c>
      <c r="T46" s="301">
        <v>2108950</v>
      </c>
      <c r="U46" s="1154">
        <v>2123650</v>
      </c>
      <c r="V46" s="1160">
        <v>2131270</v>
      </c>
      <c r="W46" s="301">
        <v>2138880</v>
      </c>
      <c r="X46" s="301">
        <v>2151940</v>
      </c>
      <c r="Y46" s="301">
        <v>2180120</v>
      </c>
      <c r="Z46" s="301">
        <v>2217330</v>
      </c>
      <c r="AA46" s="301">
        <v>2267900</v>
      </c>
      <c r="AB46" s="301">
        <v>2323920</v>
      </c>
      <c r="AC46" s="301">
        <v>2378180</v>
      </c>
      <c r="AD46" s="301">
        <v>2411470</v>
      </c>
      <c r="AE46" s="301">
        <v>2439590</v>
      </c>
      <c r="AF46" s="301">
        <v>2463290</v>
      </c>
      <c r="AG46" s="1161">
        <v>2475360</v>
      </c>
      <c r="AH46" s="1156">
        <v>2483820</v>
      </c>
      <c r="AI46" s="301">
        <v>2495360</v>
      </c>
      <c r="AJ46" s="301">
        <v>2518910</v>
      </c>
      <c r="AK46" s="301">
        <v>2544920</v>
      </c>
      <c r="AL46" s="301">
        <v>2594320</v>
      </c>
      <c r="AM46" s="301">
        <v>2640380</v>
      </c>
      <c r="AN46" s="301">
        <v>2692190</v>
      </c>
      <c r="AO46" s="301">
        <v>2737500</v>
      </c>
      <c r="AP46" s="301">
        <v>2771420</v>
      </c>
      <c r="AQ46" s="301">
        <v>2799670</v>
      </c>
      <c r="AR46" s="301"/>
      <c r="AS46" s="301"/>
      <c r="AT46" s="477">
        <f t="shared" ca="1" si="45"/>
        <v>49400</v>
      </c>
      <c r="AU46" s="456">
        <f t="shared" ca="1" si="46"/>
        <v>46060</v>
      </c>
      <c r="AX46" s="700">
        <f ca="1">B46*G$26</f>
        <v>19836.531300531329</v>
      </c>
      <c r="AY46" s="704">
        <f t="shared" ca="1" si="47"/>
        <v>0.93238866396761133</v>
      </c>
      <c r="BA46" s="229"/>
      <c r="BC46" s="86"/>
      <c r="BM46" s="86"/>
    </row>
    <row r="47" spans="1:65" ht="14.45">
      <c r="A47" s="85" t="s">
        <v>477</v>
      </c>
      <c r="B47" s="195">
        <f ca="1">AU47*(1+G$27)</f>
        <v>83326</v>
      </c>
      <c r="C47" s="84" t="s">
        <v>74</v>
      </c>
      <c r="D47" s="298"/>
      <c r="E47" s="298"/>
      <c r="F47" s="298"/>
      <c r="G47" s="298">
        <v>1</v>
      </c>
      <c r="H47" s="301">
        <v>3547900</v>
      </c>
      <c r="I47" s="301">
        <v>3557700</v>
      </c>
      <c r="J47" s="301">
        <v>3574800</v>
      </c>
      <c r="K47" s="301">
        <v>3591400</v>
      </c>
      <c r="L47" s="301">
        <v>3619500</v>
      </c>
      <c r="M47" s="301">
        <v>3662500</v>
      </c>
      <c r="N47" s="301">
        <v>3730300</v>
      </c>
      <c r="O47" s="301">
        <v>3810700</v>
      </c>
      <c r="P47" s="301">
        <v>3914100</v>
      </c>
      <c r="Q47" s="301">
        <v>4004300</v>
      </c>
      <c r="R47" s="301">
        <v>4085300</v>
      </c>
      <c r="S47" s="301">
        <v>4154700</v>
      </c>
      <c r="T47" s="301">
        <v>4186100</v>
      </c>
      <c r="U47" s="1154">
        <v>4208200</v>
      </c>
      <c r="V47" s="1160">
        <v>4217700</v>
      </c>
      <c r="W47" s="301">
        <v>4224600</v>
      </c>
      <c r="X47" s="301">
        <v>4258100</v>
      </c>
      <c r="Y47" s="301">
        <v>4308900</v>
      </c>
      <c r="Z47" s="301">
        <v>4384200</v>
      </c>
      <c r="AA47" s="301">
        <v>4455500</v>
      </c>
      <c r="AB47" s="301">
        <v>4540900</v>
      </c>
      <c r="AC47" s="301">
        <v>4643100</v>
      </c>
      <c r="AD47" s="301">
        <v>4708000</v>
      </c>
      <c r="AE47" s="301">
        <v>4762600</v>
      </c>
      <c r="AF47" s="301">
        <v>4802000</v>
      </c>
      <c r="AG47" s="1161">
        <v>4821400</v>
      </c>
      <c r="AH47" s="1156">
        <v>4836400</v>
      </c>
      <c r="AI47" s="301">
        <v>4855100</v>
      </c>
      <c r="AJ47" s="301">
        <v>4895000</v>
      </c>
      <c r="AK47" s="301">
        <v>4950100</v>
      </c>
      <c r="AL47" s="301">
        <v>5039000</v>
      </c>
      <c r="AM47" s="301">
        <v>5107300</v>
      </c>
      <c r="AN47" s="301">
        <v>5185500</v>
      </c>
      <c r="AO47" s="301">
        <v>5265800</v>
      </c>
      <c r="AP47" s="301">
        <v>5317400</v>
      </c>
      <c r="AQ47" s="301">
        <v>5364500</v>
      </c>
      <c r="AR47" s="301"/>
      <c r="AS47" s="301"/>
      <c r="AT47" s="477">
        <f t="shared" ca="1" si="45"/>
        <v>88900</v>
      </c>
      <c r="AU47" s="456">
        <f t="shared" ca="1" si="46"/>
        <v>68300</v>
      </c>
      <c r="AX47" s="700">
        <f ca="1">B47*G$26</f>
        <v>29414.569861621574</v>
      </c>
      <c r="AY47" s="704">
        <f t="shared" ca="1" si="47"/>
        <v>0.76827896512935878</v>
      </c>
      <c r="BC47" s="86"/>
      <c r="BM47" s="86"/>
    </row>
    <row r="48" spans="1:65" ht="14.45">
      <c r="A48" s="85" t="s">
        <v>478</v>
      </c>
      <c r="B48" s="195">
        <f ca="1">AU48*(1+G$27)</f>
        <v>219111.51200000168</v>
      </c>
      <c r="C48" s="147" t="s">
        <v>74</v>
      </c>
      <c r="D48" s="731"/>
      <c r="E48" s="731"/>
      <c r="F48" s="731"/>
      <c r="G48" s="298">
        <v>1000</v>
      </c>
      <c r="H48" s="301">
        <v>7467.5</v>
      </c>
      <c r="I48" s="301">
        <v>7538.2</v>
      </c>
      <c r="J48" s="301">
        <v>7598.5</v>
      </c>
      <c r="K48" s="301">
        <v>7660</v>
      </c>
      <c r="L48" s="301">
        <v>7732.6</v>
      </c>
      <c r="M48" s="301">
        <v>7831.8</v>
      </c>
      <c r="N48" s="301">
        <v>7984.7</v>
      </c>
      <c r="O48" s="301">
        <v>8197.5</v>
      </c>
      <c r="P48" s="301">
        <v>8425.1</v>
      </c>
      <c r="Q48" s="301">
        <v>8612.1</v>
      </c>
      <c r="R48" s="301">
        <v>8787.7999999999993</v>
      </c>
      <c r="S48" s="301">
        <v>8939.9</v>
      </c>
      <c r="T48" s="301">
        <v>9027.5</v>
      </c>
      <c r="U48" s="1154">
        <v>9109.4</v>
      </c>
      <c r="V48" s="1160">
        <v>9159.5</v>
      </c>
      <c r="W48" s="301">
        <v>9211</v>
      </c>
      <c r="X48" s="301">
        <v>9297.2000000000007</v>
      </c>
      <c r="Y48" s="301">
        <v>9411.7999999999993</v>
      </c>
      <c r="Z48" s="301">
        <v>9557.1010000000006</v>
      </c>
      <c r="AA48" s="301">
        <v>9740.1010000000006</v>
      </c>
      <c r="AB48" s="301">
        <v>9949</v>
      </c>
      <c r="AC48" s="301">
        <v>10163.1</v>
      </c>
      <c r="AD48" s="301">
        <v>10304.6</v>
      </c>
      <c r="AE48" s="301">
        <v>10430.9</v>
      </c>
      <c r="AF48" s="301">
        <v>10537</v>
      </c>
      <c r="AG48" s="1161">
        <v>10610.3</v>
      </c>
      <c r="AH48" s="1156">
        <v>10668.2</v>
      </c>
      <c r="AI48" s="301">
        <v>10730.299800000001</v>
      </c>
      <c r="AJ48" s="301">
        <v>10831.400390000001</v>
      </c>
      <c r="AK48" s="301">
        <v>10948</v>
      </c>
      <c r="AL48" s="301">
        <v>11131.200199999999</v>
      </c>
      <c r="AM48" s="301">
        <v>11310.799800000001</v>
      </c>
      <c r="AN48" s="301">
        <v>11505.400390000001</v>
      </c>
      <c r="AO48" s="301">
        <v>11693.799800000001</v>
      </c>
      <c r="AP48" s="301">
        <v>11842.299800000001</v>
      </c>
      <c r="AQ48" s="301">
        <v>11970.60059</v>
      </c>
      <c r="AR48" s="301"/>
      <c r="AS48" s="301"/>
      <c r="AT48" s="477">
        <f t="shared" ca="1" si="45"/>
        <v>183200.19999999931</v>
      </c>
      <c r="AU48" s="456">
        <f t="shared" ca="1" si="46"/>
        <v>179599.60000000137</v>
      </c>
      <c r="AX48" s="700">
        <f ca="1">B48*G$26</f>
        <v>77347.657120341595</v>
      </c>
      <c r="AY48" s="704">
        <f t="shared" ca="1" si="47"/>
        <v>0.98034609132523898</v>
      </c>
      <c r="AZ48" s="181" t="s">
        <v>479</v>
      </c>
      <c r="BB48" s="86"/>
    </row>
    <row r="49" spans="1:65" ht="14.45">
      <c r="A49" s="85" t="s">
        <v>480</v>
      </c>
      <c r="B49" s="195">
        <f ca="1">AU49*(1+G$27)</f>
        <v>177143.03620000082</v>
      </c>
      <c r="C49" s="147" t="s">
        <v>74</v>
      </c>
      <c r="D49" s="731"/>
      <c r="E49" s="731"/>
      <c r="F49" s="731"/>
      <c r="G49" s="298">
        <v>1000</v>
      </c>
      <c r="H49" s="301">
        <v>7056.9</v>
      </c>
      <c r="I49" s="301">
        <v>7135.7</v>
      </c>
      <c r="J49" s="301">
        <v>7202.9</v>
      </c>
      <c r="K49" s="301">
        <v>7273</v>
      </c>
      <c r="L49" s="301">
        <v>7357.9</v>
      </c>
      <c r="M49" s="301">
        <v>7460.5</v>
      </c>
      <c r="N49" s="301">
        <v>7611.9</v>
      </c>
      <c r="O49" s="301">
        <v>7821.2</v>
      </c>
      <c r="P49" s="301">
        <v>8044.8</v>
      </c>
      <c r="Q49" s="301">
        <v>8229.9</v>
      </c>
      <c r="R49" s="301">
        <v>8404.7999999999993</v>
      </c>
      <c r="S49" s="301">
        <v>8557.2000000000007</v>
      </c>
      <c r="T49" s="301">
        <v>8647.4</v>
      </c>
      <c r="U49" s="1154">
        <v>8726.9</v>
      </c>
      <c r="V49" s="1160">
        <v>8776.2000000000007</v>
      </c>
      <c r="W49" s="301">
        <v>8826.2998046875</v>
      </c>
      <c r="X49" s="301">
        <v>8908.2000000000007</v>
      </c>
      <c r="Y49" s="301">
        <v>9017.1010000000006</v>
      </c>
      <c r="Z49" s="301">
        <v>9151.7999999999993</v>
      </c>
      <c r="AA49" s="301">
        <v>9318.4</v>
      </c>
      <c r="AB49" s="301">
        <v>9509.4</v>
      </c>
      <c r="AC49" s="301">
        <v>9703.6010000000006</v>
      </c>
      <c r="AD49" s="301">
        <v>9833.2999999999993</v>
      </c>
      <c r="AE49" s="301">
        <v>9949.5</v>
      </c>
      <c r="AF49" s="301">
        <v>10047.1005859375</v>
      </c>
      <c r="AG49" s="1161">
        <v>10115.799999999999</v>
      </c>
      <c r="AH49" s="1156">
        <v>10170.6</v>
      </c>
      <c r="AI49" s="301">
        <v>10227.799800000001</v>
      </c>
      <c r="AJ49" s="301">
        <v>10316.5</v>
      </c>
      <c r="AK49" s="301">
        <v>10416.10059</v>
      </c>
      <c r="AL49" s="301">
        <v>10565.10059</v>
      </c>
      <c r="AM49" s="301">
        <v>10710.299800000001</v>
      </c>
      <c r="AN49" s="301">
        <v>10863.700199999999</v>
      </c>
      <c r="AO49" s="301">
        <v>11007.200199999999</v>
      </c>
      <c r="AP49" s="301">
        <v>11118.799800000001</v>
      </c>
      <c r="AQ49" s="301">
        <v>11214.60059</v>
      </c>
      <c r="AR49" s="301"/>
      <c r="AS49" s="301"/>
      <c r="AT49" s="477">
        <f t="shared" ca="1" si="45"/>
        <v>149000</v>
      </c>
      <c r="AU49" s="456">
        <f t="shared" ca="1" si="46"/>
        <v>145199.21000000066</v>
      </c>
      <c r="AX49" s="700">
        <f ca="1">B49*G$26</f>
        <v>62532.537428949952</v>
      </c>
      <c r="AY49" s="704">
        <f t="shared" ca="1" si="47"/>
        <v>0.97449134228188361</v>
      </c>
      <c r="AZ49" s="181"/>
      <c r="BA49" s="181"/>
      <c r="BC49" s="86"/>
    </row>
    <row r="50" spans="1:65" ht="14.45">
      <c r="A50" s="85" t="s">
        <v>481</v>
      </c>
      <c r="B50" s="195">
        <f ca="1">AU50*(1+G$27)</f>
        <v>163406.79999999999</v>
      </c>
      <c r="C50" s="147" t="s">
        <v>74</v>
      </c>
      <c r="D50" s="731"/>
      <c r="E50" s="731"/>
      <c r="F50" s="731"/>
      <c r="G50" s="298">
        <v>1</v>
      </c>
      <c r="H50" s="303">
        <v>19059390</v>
      </c>
      <c r="I50" s="303">
        <v>19128490</v>
      </c>
      <c r="J50" s="303">
        <v>19178490</v>
      </c>
      <c r="K50" s="303">
        <v>19234270</v>
      </c>
      <c r="L50" s="303">
        <v>19310840</v>
      </c>
      <c r="M50" s="303">
        <v>19386470</v>
      </c>
      <c r="N50" s="303">
        <v>19490230</v>
      </c>
      <c r="O50" s="303">
        <v>19604080</v>
      </c>
      <c r="P50" s="303">
        <v>19793030</v>
      </c>
      <c r="Q50" s="303">
        <v>19935090</v>
      </c>
      <c r="R50" s="303">
        <v>20064390</v>
      </c>
      <c r="S50" s="303">
        <v>20186160</v>
      </c>
      <c r="T50" s="303">
        <v>20254960</v>
      </c>
      <c r="U50" s="1170">
        <v>20314890</v>
      </c>
      <c r="V50" s="1189">
        <v>20355680</v>
      </c>
      <c r="W50" s="303">
        <v>20403850</v>
      </c>
      <c r="X50" s="303">
        <v>20482460</v>
      </c>
      <c r="Y50" s="303">
        <v>20595470</v>
      </c>
      <c r="Z50" s="303">
        <v>20763450</v>
      </c>
      <c r="AA50" s="303">
        <v>20904210</v>
      </c>
      <c r="AB50" s="303">
        <v>21041990</v>
      </c>
      <c r="AC50" s="303">
        <v>21240130</v>
      </c>
      <c r="AD50" s="303">
        <v>21366380</v>
      </c>
      <c r="AE50" s="303">
        <v>21484800</v>
      </c>
      <c r="AF50" s="303">
        <v>21599340</v>
      </c>
      <c r="AG50" s="1190">
        <v>21681010</v>
      </c>
      <c r="AH50" s="1177">
        <v>21735540</v>
      </c>
      <c r="AI50" s="303">
        <v>21812110</v>
      </c>
      <c r="AJ50" s="301">
        <v>21907560</v>
      </c>
      <c r="AK50" s="303">
        <v>22009560</v>
      </c>
      <c r="AL50" s="303">
        <v>22153960</v>
      </c>
      <c r="AM50" s="303">
        <v>22287900</v>
      </c>
      <c r="AN50" s="301">
        <v>22442840</v>
      </c>
      <c r="AO50" s="301">
        <v>22584250</v>
      </c>
      <c r="AP50" s="301">
        <v>22702290</v>
      </c>
      <c r="AQ50" s="301">
        <v>22802910</v>
      </c>
      <c r="AR50" s="301"/>
      <c r="AS50" s="301"/>
      <c r="AT50" s="477">
        <f t="shared" ca="1" si="45"/>
        <v>144400</v>
      </c>
      <c r="AU50" s="456">
        <f t="shared" ca="1" si="46"/>
        <v>133940</v>
      </c>
      <c r="AX50" s="700">
        <f ca="1">B50*G$26</f>
        <v>57683.564967285412</v>
      </c>
      <c r="AY50" s="704">
        <f t="shared" ca="1" si="30"/>
        <v>0.92756232686980611</v>
      </c>
      <c r="BC50" s="86"/>
      <c r="BM50" s="86"/>
    </row>
    <row r="51" spans="1:65" ht="14.45">
      <c r="A51" s="85" t="s">
        <v>482</v>
      </c>
      <c r="B51" s="196"/>
      <c r="C51" s="147"/>
      <c r="D51" s="731"/>
      <c r="E51" s="731"/>
      <c r="F51" s="731"/>
      <c r="G51" s="298">
        <v>1</v>
      </c>
      <c r="H51" s="302">
        <v>9201380</v>
      </c>
      <c r="I51" s="302">
        <v>9229120</v>
      </c>
      <c r="J51" s="302">
        <v>9260040</v>
      </c>
      <c r="K51" s="302">
        <v>9265990</v>
      </c>
      <c r="L51" s="302">
        <v>9290890</v>
      </c>
      <c r="M51" s="302">
        <v>9320030</v>
      </c>
      <c r="N51" s="302">
        <v>9367510</v>
      </c>
      <c r="O51" s="302">
        <v>9431630</v>
      </c>
      <c r="P51" s="302">
        <v>9508800</v>
      </c>
      <c r="Q51" s="302">
        <v>9575340</v>
      </c>
      <c r="R51" s="302">
        <v>9643770</v>
      </c>
      <c r="S51" s="302">
        <v>9696210</v>
      </c>
      <c r="T51" s="302">
        <v>9717520</v>
      </c>
      <c r="U51" s="1171">
        <v>9737530</v>
      </c>
      <c r="V51" s="1191">
        <v>9748440</v>
      </c>
      <c r="W51" s="302">
        <v>9761260</v>
      </c>
      <c r="X51" s="302">
        <v>9786630</v>
      </c>
      <c r="Y51" s="302">
        <v>9824510</v>
      </c>
      <c r="Z51" s="302">
        <v>9871120</v>
      </c>
      <c r="AA51" s="302">
        <v>9925830</v>
      </c>
      <c r="AB51" s="302">
        <v>9984500</v>
      </c>
      <c r="AC51" s="302">
        <v>10045400</v>
      </c>
      <c r="AD51" s="302">
        <v>10097690</v>
      </c>
      <c r="AE51" s="302">
        <v>10145640</v>
      </c>
      <c r="AF51" s="302">
        <v>10187780</v>
      </c>
      <c r="AG51" s="1192">
        <v>10215360</v>
      </c>
      <c r="AH51" s="1178">
        <v>10235970</v>
      </c>
      <c r="AI51" s="302">
        <v>10260010</v>
      </c>
      <c r="AJ51" s="303">
        <v>10303860</v>
      </c>
      <c r="AK51" s="302">
        <v>10350600</v>
      </c>
      <c r="AL51" s="302">
        <v>10416340</v>
      </c>
      <c r="AM51" s="302">
        <v>10478390</v>
      </c>
      <c r="AN51" s="301">
        <v>10550520</v>
      </c>
      <c r="AO51" s="301">
        <v>10618550</v>
      </c>
      <c r="AP51" s="301">
        <v>10679850</v>
      </c>
      <c r="AQ51" s="301">
        <v>10728840</v>
      </c>
      <c r="AR51" s="301"/>
      <c r="AS51" s="301"/>
      <c r="AT51" s="477">
        <f t="shared" ca="1" si="45"/>
        <v>65740</v>
      </c>
      <c r="AU51" s="456">
        <f t="shared" ca="1" si="46"/>
        <v>62050</v>
      </c>
      <c r="AX51" s="700"/>
      <c r="AY51" s="704">
        <f ca="1">AU51/AT51</f>
        <v>0.94386979008214178</v>
      </c>
      <c r="BB51" s="213"/>
    </row>
    <row r="52" spans="1:65" ht="14.45">
      <c r="A52" s="85" t="s">
        <v>483</v>
      </c>
      <c r="B52" s="196"/>
      <c r="C52" s="147"/>
      <c r="D52" s="731"/>
      <c r="E52" s="731"/>
      <c r="F52" s="731"/>
      <c r="G52" s="298">
        <v>1</v>
      </c>
      <c r="H52" s="302">
        <v>22698070</v>
      </c>
      <c r="I52" s="302">
        <v>22752690</v>
      </c>
      <c r="J52" s="302">
        <v>22809620</v>
      </c>
      <c r="K52" s="302">
        <v>22871430</v>
      </c>
      <c r="L52" s="302">
        <v>22947810</v>
      </c>
      <c r="M52" s="302">
        <v>23025320</v>
      </c>
      <c r="N52" s="302">
        <v>23139700</v>
      </c>
      <c r="O52" s="302">
        <v>23279580</v>
      </c>
      <c r="P52" s="302">
        <v>23432560</v>
      </c>
      <c r="Q52" s="302">
        <v>23564490</v>
      </c>
      <c r="R52" s="302">
        <v>23704200</v>
      </c>
      <c r="S52" s="302">
        <v>23840990</v>
      </c>
      <c r="T52" s="302">
        <v>23931840</v>
      </c>
      <c r="U52" s="1171">
        <v>24009460</v>
      </c>
      <c r="V52" s="1191">
        <v>24072820</v>
      </c>
      <c r="W52" s="302">
        <v>24127860</v>
      </c>
      <c r="X52" s="302">
        <v>24191010</v>
      </c>
      <c r="Y52" s="302">
        <v>24272180</v>
      </c>
      <c r="Z52" s="302">
        <v>24389550</v>
      </c>
      <c r="AA52" s="302">
        <v>24517890</v>
      </c>
      <c r="AB52" s="302">
        <v>24658470</v>
      </c>
      <c r="AC52" s="302">
        <v>24796530</v>
      </c>
      <c r="AD52" s="302">
        <v>24917710</v>
      </c>
      <c r="AE52" s="302">
        <v>25029160</v>
      </c>
      <c r="AF52" s="302">
        <v>25123980</v>
      </c>
      <c r="AG52" s="1192">
        <v>25195160</v>
      </c>
      <c r="AH52" s="1178">
        <v>25263410</v>
      </c>
      <c r="AI52" s="302">
        <v>25335820</v>
      </c>
      <c r="AJ52" s="302">
        <v>25435990</v>
      </c>
      <c r="AK52" s="302">
        <v>25547480</v>
      </c>
      <c r="AL52" s="302">
        <v>25693550</v>
      </c>
      <c r="AM52" s="302">
        <v>25817920</v>
      </c>
      <c r="AN52" s="301">
        <v>25950270</v>
      </c>
      <c r="AO52" s="301">
        <v>26076310</v>
      </c>
      <c r="AP52" s="301">
        <v>26167880</v>
      </c>
      <c r="AQ52" s="301">
        <v>26253390</v>
      </c>
      <c r="AR52" s="301"/>
      <c r="AS52" s="301"/>
      <c r="AT52" s="477">
        <f t="shared" ca="1" si="45"/>
        <v>146070</v>
      </c>
      <c r="AU52" s="456">
        <f t="shared" ca="1" si="46"/>
        <v>124370</v>
      </c>
      <c r="AX52" s="700"/>
      <c r="AY52" s="704">
        <f ca="1">AU52/AT52</f>
        <v>0.85144108988840972</v>
      </c>
      <c r="AZ52" s="220" t="s">
        <v>484</v>
      </c>
      <c r="BB52" s="86"/>
    </row>
    <row r="53" spans="1:65" ht="14.45">
      <c r="A53" s="85" t="s">
        <v>485</v>
      </c>
      <c r="B53" s="196"/>
      <c r="C53" s="147"/>
      <c r="D53" s="731"/>
      <c r="E53" s="731"/>
      <c r="F53" s="731"/>
      <c r="G53" s="298">
        <v>1000</v>
      </c>
      <c r="H53" s="301">
        <v>1412.6</v>
      </c>
      <c r="I53" s="301">
        <v>1419.6</v>
      </c>
      <c r="J53" s="301">
        <v>1423.6</v>
      </c>
      <c r="K53" s="301">
        <v>1432.3</v>
      </c>
      <c r="L53" s="301">
        <v>1443.8</v>
      </c>
      <c r="M53" s="301">
        <v>1456.6</v>
      </c>
      <c r="N53" s="301">
        <v>1477.4</v>
      </c>
      <c r="O53" s="301">
        <v>1512.2</v>
      </c>
      <c r="P53" s="301">
        <v>1545.2</v>
      </c>
      <c r="Q53" s="301">
        <v>1575.9</v>
      </c>
      <c r="R53" s="301">
        <v>1605.2</v>
      </c>
      <c r="S53" s="301">
        <v>1632.4</v>
      </c>
      <c r="T53" s="301">
        <v>1652.5</v>
      </c>
      <c r="U53" s="1154">
        <v>1667.82</v>
      </c>
      <c r="V53" s="1160">
        <v>1676.91</v>
      </c>
      <c r="W53" s="301">
        <v>1685.85998535156</v>
      </c>
      <c r="X53" s="612">
        <v>1695</v>
      </c>
      <c r="Y53" s="612">
        <v>1708</v>
      </c>
      <c r="Z53" s="592">
        <v>1723</v>
      </c>
      <c r="AA53" s="301">
        <v>1742</v>
      </c>
      <c r="AB53" s="612">
        <v>1758</v>
      </c>
      <c r="AC53" s="612">
        <v>1777</v>
      </c>
      <c r="AD53" s="301">
        <v>1796</v>
      </c>
      <c r="AE53" s="612">
        <f>AD53+19</f>
        <v>1815</v>
      </c>
      <c r="AF53" s="612">
        <v>1817</v>
      </c>
      <c r="AG53" s="1216">
        <v>1818.7</v>
      </c>
      <c r="AH53" s="1251">
        <v>1821.4</v>
      </c>
      <c r="AI53" s="301">
        <v>1824</v>
      </c>
      <c r="AJ53" s="301">
        <v>1830.559937</v>
      </c>
      <c r="AK53" s="612">
        <v>1838.849976</v>
      </c>
      <c r="AL53" s="612">
        <v>1853.9799800000001</v>
      </c>
      <c r="AM53" s="301">
        <v>1871.4399410000001</v>
      </c>
      <c r="AN53" s="301">
        <v>1888.5299070000001</v>
      </c>
      <c r="AO53" s="301">
        <v>1905.799927</v>
      </c>
      <c r="AP53" s="301">
        <v>1922.5699460000001</v>
      </c>
      <c r="AQ53" s="301">
        <v>1936.0699460000001</v>
      </c>
      <c r="AR53" s="301"/>
      <c r="AS53" s="301"/>
      <c r="AT53" s="477">
        <f t="shared" ca="1" si="45"/>
        <v>15130.004000000099</v>
      </c>
      <c r="AU53" s="456">
        <f t="shared" ca="1" si="46"/>
        <v>17459.961000000021</v>
      </c>
      <c r="AX53" s="700"/>
      <c r="AY53" s="704">
        <f ca="1">AU53/AT53</f>
        <v>1.1539957953745357</v>
      </c>
      <c r="AZ53" s="181" t="s">
        <v>486</v>
      </c>
      <c r="BB53" s="213"/>
    </row>
    <row r="54" spans="1:65" ht="14.45">
      <c r="A54" s="85" t="s">
        <v>487</v>
      </c>
      <c r="B54" s="195">
        <f t="shared" ref="B54:B63" ca="1" si="48">AU54*(1+G$27)</f>
        <v>11394.8</v>
      </c>
      <c r="C54" s="147" t="s">
        <v>74</v>
      </c>
      <c r="D54" s="731"/>
      <c r="E54" s="731"/>
      <c r="F54" s="731"/>
      <c r="G54" s="298">
        <v>1</v>
      </c>
      <c r="H54" s="301">
        <v>244990</v>
      </c>
      <c r="I54" s="301">
        <v>246060</v>
      </c>
      <c r="J54" s="301">
        <v>247170</v>
      </c>
      <c r="K54" s="301">
        <v>248260</v>
      </c>
      <c r="L54" s="301">
        <v>251060</v>
      </c>
      <c r="M54" s="301">
        <v>255030</v>
      </c>
      <c r="N54" s="301">
        <v>261800</v>
      </c>
      <c r="O54" s="301">
        <v>272050</v>
      </c>
      <c r="P54" s="301">
        <v>282680</v>
      </c>
      <c r="Q54" s="301">
        <v>291080</v>
      </c>
      <c r="R54" s="301">
        <v>298450</v>
      </c>
      <c r="S54" s="301">
        <v>304230</v>
      </c>
      <c r="T54" s="301">
        <v>306380</v>
      </c>
      <c r="U54" s="1154">
        <v>307670</v>
      </c>
      <c r="V54" s="1160">
        <v>307930</v>
      </c>
      <c r="W54" s="301">
        <v>308470</v>
      </c>
      <c r="X54" s="301">
        <v>310190</v>
      </c>
      <c r="Y54" s="301">
        <v>312810</v>
      </c>
      <c r="Z54" s="301">
        <v>318710</v>
      </c>
      <c r="AA54" s="301">
        <v>325300</v>
      </c>
      <c r="AB54" s="301">
        <v>330960</v>
      </c>
      <c r="AC54" s="301">
        <v>337980</v>
      </c>
      <c r="AD54" s="301">
        <v>341860</v>
      </c>
      <c r="AE54" s="301">
        <v>346260</v>
      </c>
      <c r="AF54" s="301">
        <v>350340</v>
      </c>
      <c r="AG54" s="1161">
        <v>352520</v>
      </c>
      <c r="AH54" s="1156">
        <v>354680</v>
      </c>
      <c r="AI54" s="612">
        <v>356470</v>
      </c>
      <c r="AJ54" s="301">
        <v>361310</v>
      </c>
      <c r="AK54" s="301">
        <v>366870</v>
      </c>
      <c r="AL54" s="301">
        <v>377560</v>
      </c>
      <c r="AM54" s="301">
        <v>386900</v>
      </c>
      <c r="AN54" s="301">
        <v>399040</v>
      </c>
      <c r="AO54" s="301">
        <v>409040</v>
      </c>
      <c r="AP54" s="301">
        <v>416830</v>
      </c>
      <c r="AQ54" s="301">
        <v>424150</v>
      </c>
      <c r="AR54" s="301"/>
      <c r="AS54" s="301"/>
      <c r="AT54" s="477">
        <f t="shared" ca="1" si="45"/>
        <v>10690</v>
      </c>
      <c r="AU54" s="456">
        <f t="shared" ca="1" si="46"/>
        <v>9340</v>
      </c>
      <c r="AX54" s="700">
        <f t="shared" ref="AX54:AX60" ca="1" si="49">B54*G$26</f>
        <v>4022.4316618967127</v>
      </c>
      <c r="AY54" s="704">
        <f t="shared" ca="1" si="30"/>
        <v>0.87371375116931715</v>
      </c>
      <c r="BC54" s="86"/>
      <c r="BM54" s="86"/>
    </row>
    <row r="55" spans="1:65" ht="14.45">
      <c r="A55" s="85" t="s">
        <v>488</v>
      </c>
      <c r="B55" s="195">
        <f t="shared" ca="1" si="48"/>
        <v>0</v>
      </c>
      <c r="C55" s="147" t="s">
        <v>74</v>
      </c>
      <c r="D55" s="731"/>
      <c r="E55" s="731"/>
      <c r="F55" s="731"/>
      <c r="G55" s="298">
        <v>1</v>
      </c>
      <c r="H55" s="301">
        <v>356780</v>
      </c>
      <c r="I55" s="301">
        <v>356780</v>
      </c>
      <c r="J55" s="301">
        <v>356780</v>
      </c>
      <c r="K55" s="301">
        <v>356780</v>
      </c>
      <c r="L55" s="418">
        <v>356780</v>
      </c>
      <c r="M55" s="418">
        <v>356780</v>
      </c>
      <c r="N55" s="418">
        <v>356780</v>
      </c>
      <c r="O55" s="418">
        <v>356780</v>
      </c>
      <c r="P55" s="301">
        <f>O55</f>
        <v>356780</v>
      </c>
      <c r="Q55" s="301">
        <f t="shared" ref="Q55:Z56" si="50">P55</f>
        <v>356780</v>
      </c>
      <c r="R55" s="301">
        <f t="shared" si="50"/>
        <v>356780</v>
      </c>
      <c r="S55" s="301">
        <f t="shared" si="50"/>
        <v>356780</v>
      </c>
      <c r="T55" s="301">
        <f t="shared" si="50"/>
        <v>356780</v>
      </c>
      <c r="U55" s="1154">
        <f t="shared" si="50"/>
        <v>356780</v>
      </c>
      <c r="V55" s="1160">
        <f t="shared" si="50"/>
        <v>356780</v>
      </c>
      <c r="W55" s="301">
        <f t="shared" si="50"/>
        <v>356780</v>
      </c>
      <c r="X55" s="301">
        <f t="shared" si="50"/>
        <v>356780</v>
      </c>
      <c r="Y55" s="301">
        <f t="shared" si="50"/>
        <v>356780</v>
      </c>
      <c r="Z55" s="301">
        <f t="shared" si="50"/>
        <v>356780</v>
      </c>
      <c r="AA55" s="301">
        <f t="shared" ref="AA55:AA56" si="51">Z55</f>
        <v>356780</v>
      </c>
      <c r="AB55" s="301">
        <f t="shared" ref="AB55:AB56" si="52">AA55</f>
        <v>356780</v>
      </c>
      <c r="AC55" s="301">
        <f t="shared" ref="AC55:AC56" si="53">AB55</f>
        <v>356780</v>
      </c>
      <c r="AD55" s="301">
        <f t="shared" ref="AD55:AD56" si="54">AC55</f>
        <v>356780</v>
      </c>
      <c r="AE55" s="301">
        <f t="shared" ref="AE55:AE56" si="55">AD55</f>
        <v>356780</v>
      </c>
      <c r="AF55" s="301">
        <f t="shared" ref="AF55:AF56" si="56">X55</f>
        <v>356780</v>
      </c>
      <c r="AG55" s="1161">
        <f t="shared" ref="AG55:AG56" si="57">Y55</f>
        <v>356780</v>
      </c>
      <c r="AH55" s="1156">
        <f t="shared" ref="AH55:AH56" si="58">Z55</f>
        <v>356780</v>
      </c>
      <c r="AI55" s="301">
        <f t="shared" ref="AI55:AI56" si="59">AA55</f>
        <v>356780</v>
      </c>
      <c r="AJ55" s="301">
        <f t="shared" ref="AJ55:AL56" si="60">AB55</f>
        <v>356780</v>
      </c>
      <c r="AK55" s="301">
        <f t="shared" si="60"/>
        <v>356780</v>
      </c>
      <c r="AL55" s="301">
        <f t="shared" si="60"/>
        <v>356780</v>
      </c>
      <c r="AM55" s="301">
        <f>AE55</f>
        <v>356780</v>
      </c>
      <c r="AN55" s="301">
        <f t="shared" ref="AN55:AN56" si="61">AF55</f>
        <v>356780</v>
      </c>
      <c r="AO55" s="301">
        <f t="shared" ref="AO55:AO56" si="62">AG55</f>
        <v>356780</v>
      </c>
      <c r="AP55" s="301">
        <f t="shared" ref="AP55:AP56" si="63">AH55</f>
        <v>356780</v>
      </c>
      <c r="AQ55" s="301">
        <f t="shared" ref="AQ55:AQ56" si="64">AI55</f>
        <v>356780</v>
      </c>
      <c r="AR55" s="301">
        <f t="shared" ref="AR55:AR56" si="65">AJ55</f>
        <v>356780</v>
      </c>
      <c r="AS55" s="301">
        <f>AK55</f>
        <v>356780</v>
      </c>
      <c r="AT55" s="477">
        <f t="shared" ca="1" si="45"/>
        <v>0</v>
      </c>
      <c r="AU55" s="456">
        <f t="shared" ca="1" si="46"/>
        <v>0</v>
      </c>
      <c r="AX55" s="700">
        <f t="shared" ca="1" si="49"/>
        <v>0</v>
      </c>
      <c r="AY55" s="704"/>
      <c r="BC55" s="86"/>
      <c r="BH55" s="80" t="s">
        <v>489</v>
      </c>
      <c r="BM55" s="86"/>
    </row>
    <row r="56" spans="1:65" ht="14.45">
      <c r="A56" s="183" t="s">
        <v>490</v>
      </c>
      <c r="B56" s="195">
        <f t="shared" ca="1" si="48"/>
        <v>0</v>
      </c>
      <c r="C56" s="147" t="s">
        <v>74</v>
      </c>
      <c r="D56" s="731"/>
      <c r="E56" s="731"/>
      <c r="F56" s="731"/>
      <c r="G56" s="298">
        <v>1</v>
      </c>
      <c r="H56" s="301">
        <v>303160</v>
      </c>
      <c r="I56" s="301">
        <v>303160</v>
      </c>
      <c r="J56" s="301">
        <v>303160</v>
      </c>
      <c r="K56" s="301">
        <v>303160</v>
      </c>
      <c r="L56" s="418">
        <v>303160</v>
      </c>
      <c r="M56" s="418">
        <v>303160</v>
      </c>
      <c r="N56" s="418">
        <v>303160</v>
      </c>
      <c r="O56" s="418">
        <v>303160</v>
      </c>
      <c r="P56" s="301">
        <f>O56</f>
        <v>303160</v>
      </c>
      <c r="Q56" s="301">
        <f t="shared" ref="Q56:S56" si="66">P56</f>
        <v>303160</v>
      </c>
      <c r="R56" s="301">
        <f t="shared" si="66"/>
        <v>303160</v>
      </c>
      <c r="S56" s="301">
        <f t="shared" si="66"/>
        <v>303160</v>
      </c>
      <c r="T56" s="301">
        <f t="shared" si="50"/>
        <v>303160</v>
      </c>
      <c r="U56" s="1154">
        <f t="shared" si="50"/>
        <v>303160</v>
      </c>
      <c r="V56" s="1160">
        <f t="shared" si="50"/>
        <v>303160</v>
      </c>
      <c r="W56" s="301">
        <f t="shared" si="50"/>
        <v>303160</v>
      </c>
      <c r="X56" s="301">
        <f t="shared" si="50"/>
        <v>303160</v>
      </c>
      <c r="Y56" s="301">
        <f t="shared" si="50"/>
        <v>303160</v>
      </c>
      <c r="Z56" s="301">
        <f t="shared" si="50"/>
        <v>303160</v>
      </c>
      <c r="AA56" s="301">
        <f t="shared" si="51"/>
        <v>303160</v>
      </c>
      <c r="AB56" s="301">
        <f t="shared" si="52"/>
        <v>303160</v>
      </c>
      <c r="AC56" s="301">
        <f t="shared" si="53"/>
        <v>303160</v>
      </c>
      <c r="AD56" s="301">
        <f t="shared" si="54"/>
        <v>303160</v>
      </c>
      <c r="AE56" s="301">
        <f t="shared" si="55"/>
        <v>303160</v>
      </c>
      <c r="AF56" s="301">
        <f t="shared" si="56"/>
        <v>303160</v>
      </c>
      <c r="AG56" s="1161">
        <f t="shared" si="57"/>
        <v>303160</v>
      </c>
      <c r="AH56" s="1156">
        <f t="shared" si="58"/>
        <v>303160</v>
      </c>
      <c r="AI56" s="301">
        <f t="shared" si="59"/>
        <v>303160</v>
      </c>
      <c r="AJ56" s="301">
        <f t="shared" si="60"/>
        <v>303160</v>
      </c>
      <c r="AK56" s="301">
        <f t="shared" si="60"/>
        <v>303160</v>
      </c>
      <c r="AL56" s="301">
        <f t="shared" si="60"/>
        <v>303160</v>
      </c>
      <c r="AM56" s="301">
        <f>AE56</f>
        <v>303160</v>
      </c>
      <c r="AN56" s="301">
        <f t="shared" si="61"/>
        <v>303160</v>
      </c>
      <c r="AO56" s="301">
        <f t="shared" si="62"/>
        <v>303160</v>
      </c>
      <c r="AP56" s="301">
        <f t="shared" si="63"/>
        <v>303160</v>
      </c>
      <c r="AQ56" s="301">
        <f t="shared" si="64"/>
        <v>303160</v>
      </c>
      <c r="AR56" s="301">
        <f t="shared" si="65"/>
        <v>303160</v>
      </c>
      <c r="AS56" s="301">
        <f>AK56</f>
        <v>303160</v>
      </c>
      <c r="AT56" s="477">
        <f t="shared" ca="1" si="45"/>
        <v>0</v>
      </c>
      <c r="AU56" s="456">
        <f t="shared" ca="1" si="46"/>
        <v>0</v>
      </c>
      <c r="AX56" s="700">
        <f t="shared" ca="1" si="49"/>
        <v>0</v>
      </c>
      <c r="AY56" s="704"/>
      <c r="BC56" s="86"/>
      <c r="BM56" s="86"/>
    </row>
    <row r="57" spans="1:65" ht="14.45">
      <c r="A57" s="1284" t="s">
        <v>491</v>
      </c>
      <c r="B57" s="195">
        <f t="shared" ca="1" si="48"/>
        <v>206180</v>
      </c>
      <c r="C57" s="147" t="s">
        <v>74</v>
      </c>
      <c r="D57" s="732"/>
      <c r="E57" s="732"/>
      <c r="F57" s="732"/>
      <c r="G57" s="299">
        <v>1</v>
      </c>
      <c r="H57" s="301">
        <v>6507300</v>
      </c>
      <c r="I57" s="301">
        <v>6573900</v>
      </c>
      <c r="J57" s="301">
        <v>6650200</v>
      </c>
      <c r="K57" s="301">
        <v>6723400</v>
      </c>
      <c r="L57" s="301">
        <v>6800700</v>
      </c>
      <c r="M57" s="301">
        <v>6892100</v>
      </c>
      <c r="N57" s="301">
        <v>7053600</v>
      </c>
      <c r="O57" s="301">
        <v>7281100</v>
      </c>
      <c r="P57" s="301">
        <v>7540100</v>
      </c>
      <c r="Q57" s="301">
        <v>7722000</v>
      </c>
      <c r="R57" s="301">
        <v>7919000</v>
      </c>
      <c r="S57" s="301">
        <v>8101200</v>
      </c>
      <c r="T57" s="301">
        <v>8185700</v>
      </c>
      <c r="U57" s="1154">
        <v>8260000</v>
      </c>
      <c r="V57" s="1160">
        <v>8299800</v>
      </c>
      <c r="W57" s="301">
        <v>8332700</v>
      </c>
      <c r="X57" s="301">
        <v>8384900</v>
      </c>
      <c r="Y57" s="301">
        <v>8476900</v>
      </c>
      <c r="Z57" s="301">
        <v>8584200</v>
      </c>
      <c r="AA57" s="301">
        <v>8742200</v>
      </c>
      <c r="AB57" s="301">
        <v>8926300</v>
      </c>
      <c r="AC57" s="301">
        <v>9103900</v>
      </c>
      <c r="AD57" s="301">
        <v>9236100</v>
      </c>
      <c r="AE57" s="301">
        <v>9355900</v>
      </c>
      <c r="AF57" s="301">
        <v>9459700</v>
      </c>
      <c r="AG57" s="1161">
        <v>9548600</v>
      </c>
      <c r="AH57" s="1156">
        <v>9632900</v>
      </c>
      <c r="AI57" s="301">
        <v>9729300</v>
      </c>
      <c r="AJ57" s="301">
        <v>9825400</v>
      </c>
      <c r="AK57" s="301">
        <v>9924100</v>
      </c>
      <c r="AL57" s="1274">
        <v>10087700</v>
      </c>
      <c r="AM57" s="1274">
        <v>10256700</v>
      </c>
      <c r="AN57" s="301">
        <v>10441100</v>
      </c>
      <c r="AO57" s="301">
        <v>10625600</v>
      </c>
      <c r="AP57" s="301">
        <v>10771600</v>
      </c>
      <c r="AQ57" s="301">
        <v>10910000</v>
      </c>
      <c r="AR57" s="301"/>
      <c r="AS57" s="301"/>
      <c r="AT57" s="477">
        <f t="shared" ca="1" si="45"/>
        <v>163600</v>
      </c>
      <c r="AU57" s="456">
        <f t="shared" ca="1" si="46"/>
        <v>169000</v>
      </c>
      <c r="AX57" s="700">
        <f t="shared" ca="1" si="49"/>
        <v>72782.757051450157</v>
      </c>
      <c r="AY57" s="704">
        <f t="shared" ca="1" si="30"/>
        <v>1.0330073349633251</v>
      </c>
      <c r="BC57" s="86"/>
      <c r="BM57" s="86"/>
    </row>
    <row r="58" spans="1:65" ht="14.45">
      <c r="A58" s="1284" t="s">
        <v>492</v>
      </c>
      <c r="B58" s="195">
        <f t="shared" ca="1" si="48"/>
        <v>39528</v>
      </c>
      <c r="C58" s="147" t="s">
        <v>74</v>
      </c>
      <c r="D58" s="732"/>
      <c r="E58" s="732"/>
      <c r="F58" s="732"/>
      <c r="G58" s="299">
        <v>1</v>
      </c>
      <c r="H58" s="301">
        <v>1171900</v>
      </c>
      <c r="I58" s="301">
        <v>1180800</v>
      </c>
      <c r="J58" s="301">
        <v>1187000</v>
      </c>
      <c r="K58" s="301">
        <v>1195900</v>
      </c>
      <c r="L58" s="301">
        <v>1206500</v>
      </c>
      <c r="M58" s="301">
        <v>1225400</v>
      </c>
      <c r="N58" s="301">
        <v>1260100</v>
      </c>
      <c r="O58" s="301">
        <v>1310800</v>
      </c>
      <c r="P58" s="301">
        <v>1384000</v>
      </c>
      <c r="Q58" s="301">
        <v>1415200</v>
      </c>
      <c r="R58" s="301">
        <v>1449100</v>
      </c>
      <c r="S58" s="301">
        <v>1478900</v>
      </c>
      <c r="T58" s="301">
        <v>1488400</v>
      </c>
      <c r="U58" s="1154">
        <v>1497800</v>
      </c>
      <c r="V58" s="1160">
        <v>1500800</v>
      </c>
      <c r="W58" s="301">
        <v>150560</v>
      </c>
      <c r="X58" s="301">
        <v>1516900</v>
      </c>
      <c r="Y58" s="301">
        <v>1534600</v>
      </c>
      <c r="Z58" s="301">
        <v>1563200</v>
      </c>
      <c r="AA58" s="301">
        <v>1600500</v>
      </c>
      <c r="AB58" s="301">
        <v>1649100</v>
      </c>
      <c r="AC58" s="301">
        <v>1693300</v>
      </c>
      <c r="AD58" s="301">
        <v>1723400</v>
      </c>
      <c r="AE58" s="301">
        <v>1726300</v>
      </c>
      <c r="AF58" s="301">
        <v>1727200</v>
      </c>
      <c r="AG58" s="1161">
        <v>1727200</v>
      </c>
      <c r="AH58" s="1156">
        <v>1727300</v>
      </c>
      <c r="AI58" s="301">
        <v>1727300</v>
      </c>
      <c r="AJ58" s="612">
        <v>1727300</v>
      </c>
      <c r="AK58" s="301">
        <v>1750400</v>
      </c>
      <c r="AL58" s="1274">
        <v>1796400</v>
      </c>
      <c r="AM58" s="1274">
        <v>1828800</v>
      </c>
      <c r="AN58" s="301">
        <v>1876000</v>
      </c>
      <c r="AO58" s="301">
        <v>1917200</v>
      </c>
      <c r="AP58" s="301">
        <v>1941700</v>
      </c>
      <c r="AQ58" s="301">
        <v>1962900</v>
      </c>
      <c r="AR58" s="301"/>
      <c r="AS58" s="301"/>
      <c r="AT58" s="477">
        <f t="shared" ca="1" si="45"/>
        <v>46000</v>
      </c>
      <c r="AU58" s="456">
        <f t="shared" ca="1" si="46"/>
        <v>32400</v>
      </c>
      <c r="AX58" s="700">
        <f t="shared" ca="1" si="49"/>
        <v>13953.617328207014</v>
      </c>
      <c r="AY58" s="704">
        <f t="shared" ca="1" si="30"/>
        <v>0.70434782608695656</v>
      </c>
      <c r="AZ58" s="149"/>
      <c r="BM58" s="86"/>
    </row>
    <row r="59" spans="1:65" ht="14.45">
      <c r="A59" s="1285" t="s">
        <v>493</v>
      </c>
      <c r="B59" s="195">
        <f t="shared" ca="1" si="48"/>
        <v>37820</v>
      </c>
      <c r="C59" s="147" t="s">
        <v>74</v>
      </c>
      <c r="D59" s="732"/>
      <c r="E59" s="732"/>
      <c r="F59" s="732"/>
      <c r="G59" s="299">
        <v>1000</v>
      </c>
      <c r="H59" s="301">
        <v>1182.8900000000001</v>
      </c>
      <c r="I59" s="301">
        <v>1199.05</v>
      </c>
      <c r="J59" s="301">
        <v>1213</v>
      </c>
      <c r="K59" s="301">
        <v>1226</v>
      </c>
      <c r="L59" s="301">
        <v>1244.6500000000001</v>
      </c>
      <c r="M59" s="301">
        <v>1264.67</v>
      </c>
      <c r="N59" s="301">
        <v>1293.7</v>
      </c>
      <c r="O59" s="301">
        <v>1333.8</v>
      </c>
      <c r="P59" s="612">
        <f>O59+35</f>
        <v>1368.8</v>
      </c>
      <c r="Q59" s="301">
        <v>1412.9</v>
      </c>
      <c r="R59" s="301">
        <v>1450.3</v>
      </c>
      <c r="S59" s="301">
        <v>1481.9</v>
      </c>
      <c r="T59" s="301">
        <v>1500.8</v>
      </c>
      <c r="U59" s="1154">
        <v>1519.1</v>
      </c>
      <c r="V59" s="1160">
        <v>1527</v>
      </c>
      <c r="W59" s="301">
        <v>1535.5</v>
      </c>
      <c r="X59" s="301">
        <v>1555</v>
      </c>
      <c r="Y59" s="301">
        <v>1577</v>
      </c>
      <c r="Z59" s="301">
        <v>1608.3</v>
      </c>
      <c r="AA59" s="301">
        <v>1649</v>
      </c>
      <c r="AB59" s="301">
        <v>1695.6</v>
      </c>
      <c r="AC59" s="592">
        <v>1744</v>
      </c>
      <c r="AD59" s="301">
        <v>1777</v>
      </c>
      <c r="AE59" s="301">
        <v>1805</v>
      </c>
      <c r="AF59" s="301">
        <v>1827</v>
      </c>
      <c r="AG59" s="1161">
        <v>1852</v>
      </c>
      <c r="AH59" s="1255">
        <v>1870</v>
      </c>
      <c r="AI59" s="301">
        <v>1881</v>
      </c>
      <c r="AJ59" s="301">
        <v>1906.5</v>
      </c>
      <c r="AK59" s="612">
        <f>AJ59+30</f>
        <v>1936.5</v>
      </c>
      <c r="AL59" s="1287">
        <f>AK59+31</f>
        <v>1967.5</v>
      </c>
      <c r="AM59" s="1287">
        <f>AL59+31</f>
        <v>1998.5</v>
      </c>
      <c r="AN59" s="301">
        <v>2064</v>
      </c>
      <c r="AO59" s="301">
        <v>2100</v>
      </c>
      <c r="AP59" s="301">
        <v>2135</v>
      </c>
      <c r="AQ59" s="301">
        <v>2162</v>
      </c>
      <c r="AR59" s="301"/>
      <c r="AS59" s="301"/>
      <c r="AT59" s="477">
        <f t="shared" ca="1" si="45"/>
        <v>31000</v>
      </c>
      <c r="AU59" s="456">
        <f t="shared" ca="1" si="46"/>
        <v>31000</v>
      </c>
      <c r="AX59" s="700">
        <f t="shared" ca="1" si="49"/>
        <v>13350.683246123994</v>
      </c>
      <c r="AY59" s="704">
        <f t="shared" ca="1" si="30"/>
        <v>1</v>
      </c>
      <c r="BA59" s="86"/>
      <c r="BJ59" s="80">
        <v>3430.950292</v>
      </c>
      <c r="BM59" s="86"/>
    </row>
    <row r="60" spans="1:65" ht="14.45">
      <c r="A60" s="85" t="s">
        <v>494</v>
      </c>
      <c r="B60" s="195">
        <f t="shared" ca="1" si="48"/>
        <v>146400</v>
      </c>
      <c r="C60" s="147" t="s">
        <v>74</v>
      </c>
      <c r="D60" s="731"/>
      <c r="E60" s="731"/>
      <c r="F60" s="731"/>
      <c r="G60" s="298">
        <v>1000</v>
      </c>
      <c r="H60" s="303">
        <v>19035</v>
      </c>
      <c r="I60" s="303">
        <v>19094</v>
      </c>
      <c r="J60" s="303">
        <v>19117</v>
      </c>
      <c r="K60" s="303">
        <v>19151</v>
      </c>
      <c r="L60" s="303">
        <v>19171</v>
      </c>
      <c r="M60" s="303">
        <v>19219</v>
      </c>
      <c r="N60" s="303">
        <v>19287</v>
      </c>
      <c r="O60" s="303">
        <v>19397</v>
      </c>
      <c r="P60" s="303">
        <v>19572</v>
      </c>
      <c r="Q60" s="303">
        <v>19680</v>
      </c>
      <c r="R60" s="303">
        <v>19763</v>
      </c>
      <c r="S60" s="303">
        <v>19845</v>
      </c>
      <c r="T60" s="303">
        <v>19897</v>
      </c>
      <c r="U60" s="1170">
        <v>19932</v>
      </c>
      <c r="V60" s="1189">
        <v>19951.8</v>
      </c>
      <c r="W60" s="303">
        <v>19977</v>
      </c>
      <c r="X60" s="303">
        <v>20035.16</v>
      </c>
      <c r="Y60" s="303">
        <v>20116</v>
      </c>
      <c r="Z60" s="303">
        <v>20237</v>
      </c>
      <c r="AA60" s="1097">
        <v>20355</v>
      </c>
      <c r="AB60" s="303">
        <v>20498</v>
      </c>
      <c r="AC60" s="303">
        <v>20637</v>
      </c>
      <c r="AD60" s="1148">
        <f>AC60+135</f>
        <v>20772</v>
      </c>
      <c r="AE60" s="303">
        <v>20833.54</v>
      </c>
      <c r="AF60" s="303">
        <v>20896</v>
      </c>
      <c r="AG60" s="1190">
        <v>20947</v>
      </c>
      <c r="AH60" s="1177">
        <v>20974</v>
      </c>
      <c r="AI60" s="303">
        <v>21010</v>
      </c>
      <c r="AJ60" s="303">
        <v>21120</v>
      </c>
      <c r="AK60" s="303">
        <v>21221.34</v>
      </c>
      <c r="AL60" s="1277">
        <v>21367</v>
      </c>
      <c r="AM60" s="1286">
        <f>AL60+120</f>
        <v>21487</v>
      </c>
      <c r="AN60" s="301">
        <v>21664</v>
      </c>
      <c r="AO60" s="301">
        <v>21794</v>
      </c>
      <c r="AP60" s="301">
        <v>21934</v>
      </c>
      <c r="AQ60" s="301">
        <v>22046</v>
      </c>
      <c r="AR60" s="301"/>
      <c r="AS60" s="301"/>
      <c r="AT60" s="477">
        <f t="shared" ca="1" si="45"/>
        <v>145659.99999999985</v>
      </c>
      <c r="AU60" s="456">
        <f t="shared" ca="1" si="46"/>
        <v>120000</v>
      </c>
      <c r="AX60" s="700">
        <f t="shared" ca="1" si="49"/>
        <v>51680.064178544497</v>
      </c>
      <c r="AY60" s="704">
        <f ca="1">AU60/AT60</f>
        <v>0.82383633118220601</v>
      </c>
      <c r="AZ60" s="181"/>
      <c r="BC60" s="86"/>
      <c r="BM60" s="86"/>
    </row>
    <row r="61" spans="1:65" ht="14.45">
      <c r="A61" s="183" t="s">
        <v>495</v>
      </c>
      <c r="B61" s="195">
        <f t="shared" ca="1" si="48"/>
        <v>7656720</v>
      </c>
      <c r="C61" s="147" t="s">
        <v>496</v>
      </c>
      <c r="D61" s="732"/>
      <c r="E61" s="732"/>
      <c r="F61" s="732"/>
      <c r="G61" s="299">
        <v>1000</v>
      </c>
      <c r="H61" s="301">
        <v>0</v>
      </c>
      <c r="I61" s="301">
        <v>0</v>
      </c>
      <c r="J61" s="490">
        <v>276514</v>
      </c>
      <c r="K61" s="590">
        <v>289197</v>
      </c>
      <c r="L61" s="490">
        <v>301248</v>
      </c>
      <c r="M61" s="490">
        <v>313701</v>
      </c>
      <c r="N61" s="490">
        <v>326874</v>
      </c>
      <c r="O61" s="490">
        <v>339516</v>
      </c>
      <c r="P61" s="490">
        <v>352680</v>
      </c>
      <c r="Q61" s="490">
        <v>365379</v>
      </c>
      <c r="R61" s="490">
        <v>378150</v>
      </c>
      <c r="S61" s="301">
        <v>390835</v>
      </c>
      <c r="T61" s="612">
        <v>402411</v>
      </c>
      <c r="U61" s="1154">
        <v>416206</v>
      </c>
      <c r="V61" s="1160">
        <v>428805</v>
      </c>
      <c r="W61" s="612">
        <v>436927</v>
      </c>
      <c r="X61" s="301">
        <v>443898</v>
      </c>
      <c r="Y61" s="301">
        <v>451535</v>
      </c>
      <c r="Z61" s="592">
        <v>469686</v>
      </c>
      <c r="AA61" s="301">
        <v>487520</v>
      </c>
      <c r="AB61" s="301">
        <v>498718</v>
      </c>
      <c r="AC61" s="592">
        <v>513949</v>
      </c>
      <c r="AD61" s="301">
        <v>528705</v>
      </c>
      <c r="AE61" s="301">
        <v>546129</v>
      </c>
      <c r="AF61" s="301">
        <v>564031</v>
      </c>
      <c r="AG61" s="1161">
        <v>580197</v>
      </c>
      <c r="AH61" s="1156">
        <v>589898</v>
      </c>
      <c r="AI61" s="301">
        <v>596884</v>
      </c>
      <c r="AJ61" s="301">
        <v>603768</v>
      </c>
      <c r="AK61" s="301">
        <v>618229</v>
      </c>
      <c r="AL61" s="1274">
        <v>625996</v>
      </c>
      <c r="AM61" s="301">
        <v>632272</v>
      </c>
      <c r="AN61" s="301">
        <v>638665</v>
      </c>
      <c r="AO61" s="301">
        <v>649221</v>
      </c>
      <c r="AP61" s="301">
        <v>656308</v>
      </c>
      <c r="AQ61" s="301">
        <v>661040</v>
      </c>
      <c r="AR61" s="301"/>
      <c r="AS61" s="301"/>
      <c r="AT61" s="477">
        <f t="shared" ca="1" si="45"/>
        <v>7767000</v>
      </c>
      <c r="AU61" s="456">
        <f ca="1">(OFFSET(F61,0,COUNT(G61:AM61))-OFFSET(F61,0,COUNT(G61:AM61)-1))*G61</f>
        <v>6276000</v>
      </c>
      <c r="AX61" s="700"/>
      <c r="AY61" s="704"/>
      <c r="BA61" s="86"/>
      <c r="BM61" s="86"/>
    </row>
    <row r="62" spans="1:65" ht="14.45">
      <c r="A62" s="183" t="s">
        <v>497</v>
      </c>
      <c r="B62" s="195">
        <f t="shared" ca="1" si="48"/>
        <v>78033.64</v>
      </c>
      <c r="C62" s="147" t="s">
        <v>74</v>
      </c>
      <c r="D62" s="732"/>
      <c r="E62" s="732"/>
      <c r="F62" s="732"/>
      <c r="G62" s="299">
        <v>1</v>
      </c>
      <c r="H62" s="301">
        <v>3457022</v>
      </c>
      <c r="I62" s="301">
        <v>3503900</v>
      </c>
      <c r="J62" s="490">
        <v>3529101</v>
      </c>
      <c r="K62" s="590">
        <f>(J62-I62)+J62</f>
        <v>3554302</v>
      </c>
      <c r="L62" s="490">
        <v>3607689</v>
      </c>
      <c r="M62" s="490">
        <v>3648991</v>
      </c>
      <c r="N62" s="490">
        <v>3713892</v>
      </c>
      <c r="O62" s="490">
        <v>3788858</v>
      </c>
      <c r="P62" s="490">
        <v>3881483</v>
      </c>
      <c r="Q62" s="490">
        <v>3935494</v>
      </c>
      <c r="R62" s="490">
        <v>3999351</v>
      </c>
      <c r="S62" s="301">
        <v>4058760</v>
      </c>
      <c r="T62" s="612">
        <f>4088253</f>
        <v>4088253</v>
      </c>
      <c r="U62" s="1154">
        <f>((W62-T62)/3)+T62</f>
        <v>4125587.3333333335</v>
      </c>
      <c r="V62" s="1160">
        <f>((W62-T62)*2/3)+T62</f>
        <v>4162921.6666666665</v>
      </c>
      <c r="W62" s="612">
        <v>4200256</v>
      </c>
      <c r="X62" s="301">
        <v>4254779</v>
      </c>
      <c r="Y62" s="301">
        <v>4309430</v>
      </c>
      <c r="Z62" s="592">
        <v>4374573</v>
      </c>
      <c r="AA62" s="301">
        <v>4455241</v>
      </c>
      <c r="AB62" s="301">
        <v>4552702</v>
      </c>
      <c r="AC62" s="592">
        <v>4646066</v>
      </c>
      <c r="AD62" s="301">
        <v>4715741</v>
      </c>
      <c r="AE62" s="301">
        <v>4754033</v>
      </c>
      <c r="AF62" s="301">
        <v>4800064</v>
      </c>
      <c r="AG62" s="1161">
        <v>4829189</v>
      </c>
      <c r="AH62" s="1156">
        <v>4855844</v>
      </c>
      <c r="AI62" s="301">
        <v>4875939</v>
      </c>
      <c r="AJ62" s="301">
        <v>4920923</v>
      </c>
      <c r="AK62" s="301">
        <v>4982806</v>
      </c>
      <c r="AL62" s="1274">
        <v>5068096</v>
      </c>
      <c r="AM62" s="301">
        <v>5132058</v>
      </c>
      <c r="AN62" s="301">
        <v>5170911</v>
      </c>
      <c r="AO62" s="301">
        <v>5267653</v>
      </c>
      <c r="AP62" s="301">
        <v>5327424</v>
      </c>
      <c r="AQ62" s="301">
        <v>5379003</v>
      </c>
      <c r="AR62" s="301"/>
      <c r="AS62" s="301"/>
      <c r="AT62" s="477">
        <f t="shared" ca="1" si="45"/>
        <v>85290</v>
      </c>
      <c r="AU62" s="456">
        <f t="shared" ca="1" si="46"/>
        <v>63962</v>
      </c>
      <c r="AX62" s="700">
        <f ca="1">B62*G$26</f>
        <v>27546.33554156719</v>
      </c>
      <c r="AY62" s="704">
        <f t="shared" ca="1" si="30"/>
        <v>0.74993551412826831</v>
      </c>
      <c r="BA62" s="86"/>
      <c r="BJ62" s="80">
        <v>4134.8278579999997</v>
      </c>
      <c r="BM62" s="86"/>
    </row>
    <row r="63" spans="1:65" ht="14.45">
      <c r="A63" s="183" t="s">
        <v>498</v>
      </c>
      <c r="B63" s="195">
        <f t="shared" ca="1" si="48"/>
        <v>0</v>
      </c>
      <c r="C63" s="147" t="s">
        <v>74</v>
      </c>
      <c r="D63" s="732"/>
      <c r="E63" s="732"/>
      <c r="F63" s="732"/>
      <c r="G63" s="300">
        <v>1</v>
      </c>
      <c r="H63" s="457">
        <v>1087539</v>
      </c>
      <c r="I63" s="457">
        <v>1137735</v>
      </c>
      <c r="J63" s="490">
        <v>1164706</v>
      </c>
      <c r="K63" s="590">
        <f>(J63-I63)+J63</f>
        <v>1191677</v>
      </c>
      <c r="L63" s="490">
        <v>1241657</v>
      </c>
      <c r="M63" s="490">
        <v>1281419</v>
      </c>
      <c r="N63" s="490">
        <v>1342004</v>
      </c>
      <c r="O63" s="490">
        <v>1398974</v>
      </c>
      <c r="P63" s="490">
        <v>1483751</v>
      </c>
      <c r="Q63" s="490">
        <v>1521271</v>
      </c>
      <c r="R63" s="490">
        <v>1544286</v>
      </c>
      <c r="S63" s="457">
        <v>1544645</v>
      </c>
      <c r="T63" s="1061">
        <f>1544645+150</f>
        <v>1544795</v>
      </c>
      <c r="U63" s="1172">
        <f>T63+10000</f>
        <v>1554795</v>
      </c>
      <c r="V63" s="1193">
        <f>U63+10000</f>
        <v>1564795</v>
      </c>
      <c r="W63" s="807">
        <v>1585000</v>
      </c>
      <c r="X63" s="1063">
        <v>12855</v>
      </c>
      <c r="Y63" s="807">
        <v>20543</v>
      </c>
      <c r="Z63" s="1063">
        <v>20630</v>
      </c>
      <c r="AA63" s="457">
        <v>20996</v>
      </c>
      <c r="AB63" s="457">
        <v>21860</v>
      </c>
      <c r="AC63" s="1142">
        <v>21867</v>
      </c>
      <c r="AD63" s="457">
        <v>21867</v>
      </c>
      <c r="AE63" s="457">
        <v>22521</v>
      </c>
      <c r="AF63" s="457">
        <v>22521</v>
      </c>
      <c r="AG63" s="1163">
        <v>22521</v>
      </c>
      <c r="AH63" s="1179">
        <v>22764</v>
      </c>
      <c r="AI63" s="457">
        <v>22764</v>
      </c>
      <c r="AJ63" s="457">
        <v>23350</v>
      </c>
      <c r="AK63" s="457">
        <v>23354</v>
      </c>
      <c r="AL63" s="1275">
        <v>23605</v>
      </c>
      <c r="AM63" s="301">
        <v>23605</v>
      </c>
      <c r="AN63" s="301">
        <v>23605</v>
      </c>
      <c r="AO63" s="301">
        <v>23605</v>
      </c>
      <c r="AP63" s="301">
        <v>50152</v>
      </c>
      <c r="AQ63" s="301">
        <v>218155</v>
      </c>
      <c r="AR63" s="301"/>
      <c r="AS63" s="301"/>
      <c r="AT63" s="477">
        <f t="shared" ca="1" si="45"/>
        <v>251</v>
      </c>
      <c r="AU63" s="456">
        <f t="shared" ca="1" si="46"/>
        <v>0</v>
      </c>
      <c r="AX63" s="700">
        <f ca="1">B63*G$26</f>
        <v>0</v>
      </c>
      <c r="AY63" s="705">
        <f t="shared" ca="1" si="30"/>
        <v>0</v>
      </c>
      <c r="BA63" s="184" t="s">
        <v>499</v>
      </c>
      <c r="BB63" s="93"/>
      <c r="BC63" s="93"/>
      <c r="BD63" s="93"/>
      <c r="BE63" s="93"/>
      <c r="BF63" s="245" t="s">
        <v>500</v>
      </c>
      <c r="BJ63" s="80">
        <f>SUM(BJ59:BJ62)</f>
        <v>7565.7781500000001</v>
      </c>
      <c r="BM63" s="86"/>
    </row>
    <row r="64" spans="1:65" ht="43.15">
      <c r="W64" s="80">
        <v>0</v>
      </c>
      <c r="AI64" s="139"/>
      <c r="AJ64" s="152">
        <f ca="1">SUM(B36:B63)</f>
        <v>10172003.453658003</v>
      </c>
      <c r="AK64" s="139" t="s">
        <v>501</v>
      </c>
      <c r="AL64" s="150">
        <f ca="1">SUM(AX36:AX63)</f>
        <v>863360.62637891667</v>
      </c>
      <c r="AT64" s="85"/>
      <c r="AU64" s="84"/>
      <c r="AV64" s="84" t="s">
        <v>502</v>
      </c>
      <c r="AW64" s="84"/>
      <c r="AX64" s="185" t="s">
        <v>503</v>
      </c>
      <c r="AY64" s="186"/>
      <c r="BF64" s="86"/>
    </row>
    <row r="65" spans="1:58" ht="14.45"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T65" s="85" t="s">
        <v>397</v>
      </c>
      <c r="AU65" s="84"/>
      <c r="AV65" s="145">
        <f ca="1">AU36</f>
        <v>124000</v>
      </c>
      <c r="AW65" s="84" t="s">
        <v>74</v>
      </c>
      <c r="AX65" s="187">
        <f ca="1">AZ36</f>
        <v>57140.924293410695</v>
      </c>
      <c r="AY65" s="188">
        <f ca="1">AX65/AV65</f>
        <v>0.46081390559202173</v>
      </c>
      <c r="BF65" s="86"/>
    </row>
    <row r="66" spans="1:58" ht="14.45">
      <c r="A66" s="94" t="s">
        <v>504</v>
      </c>
      <c r="B66" s="733"/>
      <c r="C66" s="733"/>
      <c r="D66" s="733"/>
      <c r="E66" s="733"/>
      <c r="F66" s="733"/>
      <c r="G66" s="180">
        <f ca="1">G24-SUM(B36:B59)</f>
        <v>-1875942.0631171947</v>
      </c>
      <c r="H66" s="93" t="s">
        <v>74</v>
      </c>
      <c r="I66" s="92"/>
      <c r="J66" s="92"/>
      <c r="K66" s="92"/>
      <c r="L66" s="309"/>
      <c r="M66" s="91"/>
      <c r="N66" s="181" t="s">
        <v>505</v>
      </c>
      <c r="P66" s="88"/>
      <c r="Q66" s="88"/>
      <c r="R66" s="88"/>
      <c r="S66" s="88"/>
      <c r="T66" s="88"/>
      <c r="AT66" s="85" t="s">
        <v>506</v>
      </c>
      <c r="AU66" s="84"/>
      <c r="AV66" s="145">
        <f ca="1">O11</f>
        <v>4249.9116792719888</v>
      </c>
      <c r="AW66" s="84" t="s">
        <v>74</v>
      </c>
      <c r="AX66" s="189">
        <f ca="1">AH11</f>
        <v>577.98798838099049</v>
      </c>
      <c r="AY66" s="188"/>
      <c r="BF66" s="86"/>
    </row>
    <row r="67" spans="1:58" ht="14.45">
      <c r="A67" s="85" t="s">
        <v>507</v>
      </c>
      <c r="G67" s="150">
        <f ca="1">G25-AL64</f>
        <v>-716895.74129609938</v>
      </c>
      <c r="H67" s="90"/>
      <c r="I67" s="84"/>
      <c r="J67" s="90"/>
      <c r="K67" s="90"/>
      <c r="L67" s="310"/>
      <c r="M67" s="89"/>
      <c r="P67" s="88"/>
      <c r="Q67" s="88"/>
      <c r="R67" s="88"/>
      <c r="S67" s="1029"/>
      <c r="AT67" s="85" t="s">
        <v>436</v>
      </c>
      <c r="AU67" s="84"/>
      <c r="AV67" s="145">
        <f ca="1">'(Not in Use) TOU electricity'!F24</f>
        <v>36616.730000000003</v>
      </c>
      <c r="AW67" s="84" t="s">
        <v>74</v>
      </c>
      <c r="AX67" s="189">
        <f ca="1">AV67*0.185</f>
        <v>6774.0950500000008</v>
      </c>
      <c r="AY67" s="83"/>
      <c r="BF67" s="86"/>
    </row>
    <row r="68" spans="1:58" ht="14.45">
      <c r="A68" s="85"/>
      <c r="G68" s="150" t="s">
        <v>508</v>
      </c>
      <c r="H68" s="90"/>
      <c r="I68" s="84"/>
      <c r="J68" s="90"/>
      <c r="K68" s="90"/>
      <c r="L68" s="310"/>
      <c r="M68" s="89"/>
      <c r="P68" s="88"/>
      <c r="Q68" s="88"/>
      <c r="R68" s="88"/>
      <c r="S68" s="1030"/>
      <c r="T68" s="152"/>
      <c r="U68" s="152"/>
      <c r="AT68" s="82" t="s">
        <v>15</v>
      </c>
      <c r="AU68" s="81"/>
      <c r="AV68" s="81"/>
      <c r="AW68" s="81"/>
      <c r="AX68" s="337">
        <f ca="1">AX65+AX66+AX67</f>
        <v>64493.00733179169</v>
      </c>
      <c r="AY68" s="190"/>
      <c r="BF68" s="86"/>
    </row>
    <row r="69" spans="1:58" ht="14.45">
      <c r="A69" s="85" t="s">
        <v>509</v>
      </c>
      <c r="B69" s="734"/>
      <c r="C69" s="734"/>
      <c r="D69" s="734"/>
      <c r="E69" s="734"/>
      <c r="F69" s="734"/>
      <c r="G69" s="84">
        <v>1240</v>
      </c>
      <c r="H69" s="84" t="s">
        <v>510</v>
      </c>
      <c r="I69" s="84"/>
      <c r="J69" s="212">
        <f ca="1">G69/(G69+G71)*G66</f>
        <v>-310238.4846979623</v>
      </c>
      <c r="K69" s="84" t="s">
        <v>74</v>
      </c>
      <c r="L69" s="298"/>
      <c r="M69" s="144">
        <f ca="1">J69*G$26</f>
        <v>-109516.01639238447</v>
      </c>
      <c r="N69" s="181" t="s">
        <v>511</v>
      </c>
      <c r="AT69" s="86"/>
      <c r="BF69" s="86"/>
    </row>
    <row r="70" spans="1:58" ht="14.45">
      <c r="G70" s="84"/>
      <c r="H70" s="84"/>
      <c r="I70" s="84"/>
      <c r="J70" s="145"/>
      <c r="K70" s="84"/>
      <c r="L70" s="298"/>
      <c r="M70" s="211"/>
      <c r="AT70" s="86"/>
      <c r="BF70" s="86"/>
    </row>
    <row r="71" spans="1:58" ht="14.45">
      <c r="A71" s="85" t="s">
        <v>512</v>
      </c>
      <c r="B71" s="734"/>
      <c r="C71" s="734"/>
      <c r="D71" s="734"/>
      <c r="E71" s="734"/>
      <c r="F71" s="734"/>
      <c r="G71" s="84">
        <v>6258</v>
      </c>
      <c r="H71" s="84" t="s">
        <v>510</v>
      </c>
      <c r="I71" s="84"/>
      <c r="J71" s="212">
        <f ca="1">G71/(G69+G71)*G66</f>
        <v>-1565703.5784192323</v>
      </c>
      <c r="K71" s="84" t="s">
        <v>74</v>
      </c>
      <c r="L71" s="298"/>
      <c r="M71" s="144">
        <f ca="1">J71*G$26</f>
        <v>-552702.60530930804</v>
      </c>
      <c r="N71" s="181" t="s">
        <v>513</v>
      </c>
      <c r="AT71" s="138"/>
      <c r="AY71" s="594"/>
      <c r="BF71" s="86"/>
    </row>
    <row r="72" spans="1:58" ht="15" customHeight="1">
      <c r="A72" s="85"/>
      <c r="B72" s="734"/>
      <c r="C72" s="734"/>
      <c r="D72" s="734"/>
      <c r="E72" s="734"/>
      <c r="F72" s="734"/>
      <c r="G72" s="84"/>
      <c r="H72" s="84"/>
      <c r="I72" s="84"/>
      <c r="J72" s="145"/>
      <c r="K72" s="84"/>
      <c r="L72" s="298"/>
      <c r="M72" s="144"/>
      <c r="AX72" s="153"/>
      <c r="AY72" s="153"/>
    </row>
    <row r="73" spans="1:58" ht="14.45">
      <c r="A73" s="82" t="s">
        <v>514</v>
      </c>
      <c r="B73" s="735"/>
      <c r="C73" s="735"/>
      <c r="D73" s="735"/>
      <c r="E73" s="735"/>
      <c r="F73" s="735"/>
      <c r="G73" s="81">
        <f>SUM(G69:G71)</f>
        <v>7498</v>
      </c>
      <c r="H73" s="81" t="s">
        <v>510</v>
      </c>
      <c r="I73" s="81"/>
      <c r="J73" s="167">
        <f ca="1">SUM(J69:J71)</f>
        <v>-1875942.0631171945</v>
      </c>
      <c r="K73" s="81" t="s">
        <v>74</v>
      </c>
      <c r="L73" s="300"/>
      <c r="M73" s="166">
        <f ca="1">SUM(M69:M71)</f>
        <v>-662218.62170169246</v>
      </c>
      <c r="AV73" s="152"/>
      <c r="AX73" s="150"/>
      <c r="AY73" s="150"/>
    </row>
    <row r="74" spans="1:58" ht="15" customHeight="1">
      <c r="AV74" s="152"/>
      <c r="AX74" s="87"/>
      <c r="AY74" s="150"/>
    </row>
    <row r="75" spans="1:58" ht="28.9">
      <c r="G75" s="470" t="s">
        <v>451</v>
      </c>
      <c r="H75" s="723" t="s">
        <v>452</v>
      </c>
      <c r="I75" s="723" t="s">
        <v>402</v>
      </c>
      <c r="J75" s="720" t="s">
        <v>403</v>
      </c>
      <c r="K75" s="339" t="s">
        <v>404</v>
      </c>
      <c r="L75" s="339" t="s">
        <v>405</v>
      </c>
      <c r="M75" s="721" t="s">
        <v>406</v>
      </c>
      <c r="N75" s="721" t="s">
        <v>407</v>
      </c>
      <c r="O75" s="721" t="s">
        <v>408</v>
      </c>
      <c r="P75" s="721" t="s">
        <v>409</v>
      </c>
      <c r="Q75" s="721" t="s">
        <v>410</v>
      </c>
      <c r="R75" s="721" t="s">
        <v>411</v>
      </c>
      <c r="S75" s="721" t="s">
        <v>412</v>
      </c>
      <c r="T75" s="721" t="s">
        <v>413</v>
      </c>
      <c r="U75" s="722" t="s">
        <v>414</v>
      </c>
      <c r="V75" s="722" t="s">
        <v>415</v>
      </c>
      <c r="W75" s="766" t="s">
        <v>49</v>
      </c>
      <c r="X75" s="766" t="s">
        <v>50</v>
      </c>
      <c r="Y75" s="766" t="s">
        <v>51</v>
      </c>
      <c r="Z75" s="766" t="s">
        <v>420</v>
      </c>
      <c r="AA75" s="766" t="s">
        <v>53</v>
      </c>
      <c r="AB75" s="766" t="s">
        <v>54</v>
      </c>
      <c r="AC75" s="766" t="s">
        <v>55</v>
      </c>
      <c r="AD75" s="766" t="s">
        <v>56</v>
      </c>
      <c r="AE75" s="766" t="s">
        <v>57</v>
      </c>
      <c r="AF75" s="766" t="s">
        <v>58</v>
      </c>
      <c r="AG75" s="1152" t="s">
        <v>453</v>
      </c>
      <c r="AH75" s="1157" t="s">
        <v>454</v>
      </c>
      <c r="AI75" s="766" t="s">
        <v>61</v>
      </c>
      <c r="AJ75" s="766" t="s">
        <v>62</v>
      </c>
      <c r="AK75" s="766" t="s">
        <v>63</v>
      </c>
      <c r="AL75" s="766" t="s">
        <v>64</v>
      </c>
      <c r="AM75" s="766" t="s">
        <v>65</v>
      </c>
      <c r="AN75" s="766" t="s">
        <v>66</v>
      </c>
      <c r="AO75" s="766" t="s">
        <v>67</v>
      </c>
      <c r="AP75" s="766" t="s">
        <v>68</v>
      </c>
      <c r="AQ75" s="766" t="s">
        <v>69</v>
      </c>
      <c r="AR75" s="766" t="s">
        <v>70</v>
      </c>
      <c r="AS75" s="722" t="s">
        <v>515</v>
      </c>
      <c r="AT75" s="722" t="s">
        <v>516</v>
      </c>
    </row>
    <row r="76" spans="1:58" ht="14.45">
      <c r="A76" s="1108" t="s">
        <v>517</v>
      </c>
      <c r="B76" s="805"/>
      <c r="C76" s="805"/>
      <c r="D76" s="805"/>
      <c r="G76" s="1111">
        <v>1000</v>
      </c>
      <c r="H76" s="1112"/>
      <c r="I76" s="1113">
        <f t="shared" ref="I76:AE76" si="67">IF(ISNUMBER(I34),$G76*(I34-H34)," ")</f>
        <v>45000</v>
      </c>
      <c r="J76" s="1113">
        <f t="shared" si="67"/>
        <v>47000</v>
      </c>
      <c r="K76" s="1113">
        <f t="shared" si="67"/>
        <v>47000</v>
      </c>
      <c r="L76" s="1113">
        <f t="shared" si="67"/>
        <v>89000</v>
      </c>
      <c r="M76" s="1113">
        <f t="shared" si="67"/>
        <v>88000</v>
      </c>
      <c r="N76" s="1113">
        <f t="shared" si="67"/>
        <v>88000</v>
      </c>
      <c r="O76" s="1113">
        <f t="shared" si="67"/>
        <v>107000</v>
      </c>
      <c r="P76" s="1113">
        <f t="shared" si="67"/>
        <v>223000</v>
      </c>
      <c r="Q76" s="1113">
        <f t="shared" si="67"/>
        <v>118000</v>
      </c>
      <c r="R76" s="1113">
        <f t="shared" si="67"/>
        <v>133000</v>
      </c>
      <c r="S76" s="1113">
        <f t="shared" si="67"/>
        <v>91000</v>
      </c>
      <c r="T76" s="1113">
        <f t="shared" si="67"/>
        <v>47000</v>
      </c>
      <c r="U76" s="1113">
        <f t="shared" si="67"/>
        <v>36000</v>
      </c>
      <c r="V76" s="1113">
        <f t="shared" si="67"/>
        <v>30199.999999999818</v>
      </c>
      <c r="W76" s="1113">
        <f t="shared" si="67"/>
        <v>36760.000000000218</v>
      </c>
      <c r="X76" s="1113">
        <f t="shared" si="67"/>
        <v>70039.999999999971</v>
      </c>
      <c r="Y76" s="1113">
        <f t="shared" si="67"/>
        <v>84000</v>
      </c>
      <c r="Z76" s="1113">
        <f t="shared" si="67"/>
        <v>106000</v>
      </c>
      <c r="AA76" s="1113">
        <f t="shared" si="67"/>
        <v>110000</v>
      </c>
      <c r="AB76" s="1113">
        <f t="shared" si="67"/>
        <v>131000</v>
      </c>
      <c r="AC76" s="1113">
        <f t="shared" si="67"/>
        <v>135000</v>
      </c>
      <c r="AD76" s="1113">
        <f t="shared" si="67"/>
        <v>111000</v>
      </c>
      <c r="AE76" s="1113">
        <f t="shared" si="67"/>
        <v>96000</v>
      </c>
      <c r="AF76" s="1113">
        <f t="shared" ref="AF76" si="68">IF(ISNUMBER(AF34),$G76*(AF34-AE34)," ")</f>
        <v>16000</v>
      </c>
      <c r="AG76" s="1153">
        <f>IF(ISNUMBER(AG34),$G76*(AG34-AF34)," ")</f>
        <v>0</v>
      </c>
      <c r="AH76" s="1158">
        <f t="shared" ref="AH76" si="69">IF(ISNUMBER(AH34),$G76*(AH34-AG34)," ")</f>
        <v>0</v>
      </c>
      <c r="AI76" s="1113">
        <f t="shared" ref="AI76" si="70">IF(ISNUMBER(AI34),$G76*(AI34-AH34)," ")</f>
        <v>19000</v>
      </c>
      <c r="AJ76" s="1113">
        <f t="shared" ref="AJ76" si="71">IF(ISNUMBER(AJ34),$G76*(AJ34-AI34)," ")</f>
        <v>69180.000000000291</v>
      </c>
      <c r="AK76" s="1113">
        <f t="shared" ref="AK76" si="72">IF(ISNUMBER(AK34),$G76*(AK34-AJ34)," ")</f>
        <v>82819.999999999709</v>
      </c>
      <c r="AL76" s="1113">
        <f t="shared" ref="AL76:AM76" si="73">IF(ISNUMBER(AL34),$G76*(AL34-AK34)," ")</f>
        <v>123000</v>
      </c>
      <c r="AM76" s="1113">
        <f t="shared" si="73"/>
        <v>83200.000000000728</v>
      </c>
      <c r="AN76" s="1113">
        <f t="shared" ref="AN76" si="74">IF(ISNUMBER(AN34),$G76*(AN34-AM34)," ")</f>
        <v>111799.99999999927</v>
      </c>
      <c r="AO76" s="1113">
        <f t="shared" ref="AO76" si="75">IF(ISNUMBER(AO34),$G76*(AO34-AN34)," ")</f>
        <v>120000</v>
      </c>
      <c r="AP76" s="1113">
        <f t="shared" ref="AP76:AQ76" si="76">IF(ISNUMBER(AP34),$G76*(AP34-AO34)," ")</f>
        <v>108000</v>
      </c>
      <c r="AQ76" s="1113">
        <f t="shared" si="76"/>
        <v>93649.999999999636</v>
      </c>
      <c r="AR76" s="1113" t="str">
        <f>IF(ISNUMBER(BE34),$G76*(BE34-BD34)," ")</f>
        <v xml:space="preserve"> </v>
      </c>
      <c r="AS76" s="1159" t="str">
        <f>IF(ISNUMBER(BF34),$G76*(BF34-BE34)," ")</f>
        <v xml:space="preserve"> </v>
      </c>
      <c r="AT76" s="1155" t="str">
        <f>IF(ISNUMBER(BG34),$G76*(BG34-BF34)," ")</f>
        <v xml:space="preserve"> </v>
      </c>
    </row>
    <row r="77" spans="1:58" ht="15" customHeight="1">
      <c r="A77" s="85" t="s">
        <v>518</v>
      </c>
      <c r="B77" s="805"/>
      <c r="C77" s="805"/>
      <c r="D77" s="805"/>
      <c r="G77" s="298">
        <v>1</v>
      </c>
      <c r="H77" s="301"/>
      <c r="I77" s="301">
        <f t="shared" ref="I77:AE77" si="77">IF(ISNUMBER(I38),$G77*(I38-H38)," ")</f>
        <v>31503</v>
      </c>
      <c r="J77" s="301">
        <f t="shared" si="77"/>
        <v>24138</v>
      </c>
      <c r="K77" s="301">
        <f t="shared" si="77"/>
        <v>85526</v>
      </c>
      <c r="L77" s="301">
        <f t="shared" si="77"/>
        <v>162178</v>
      </c>
      <c r="M77" s="301">
        <f t="shared" si="77"/>
        <v>209670</v>
      </c>
      <c r="N77" s="301">
        <f t="shared" si="77"/>
        <v>276338</v>
      </c>
      <c r="O77" s="301">
        <f t="shared" si="77"/>
        <v>329276</v>
      </c>
      <c r="P77" s="301">
        <f t="shared" si="77"/>
        <v>373018</v>
      </c>
      <c r="Q77" s="301">
        <f t="shared" si="77"/>
        <v>330343</v>
      </c>
      <c r="R77" s="301">
        <f t="shared" si="77"/>
        <v>322623</v>
      </c>
      <c r="S77" s="301">
        <f t="shared" si="77"/>
        <v>312603</v>
      </c>
      <c r="T77" s="301">
        <f t="shared" si="77"/>
        <v>129948</v>
      </c>
      <c r="U77" s="301">
        <f t="shared" si="77"/>
        <v>22276</v>
      </c>
      <c r="V77" s="301">
        <f t="shared" si="77"/>
        <v>19916</v>
      </c>
      <c r="W77" s="301">
        <f t="shared" si="77"/>
        <v>74997</v>
      </c>
      <c r="X77" s="301">
        <f t="shared" si="77"/>
        <v>155022</v>
      </c>
      <c r="Y77" s="301">
        <f t="shared" si="77"/>
        <v>223318</v>
      </c>
      <c r="Z77" s="301">
        <f t="shared" si="77"/>
        <v>271056</v>
      </c>
      <c r="AA77" s="301">
        <f t="shared" si="77"/>
        <v>316107</v>
      </c>
      <c r="AB77" s="301">
        <f t="shared" si="77"/>
        <v>355508</v>
      </c>
      <c r="AC77" s="301">
        <f t="shared" si="77"/>
        <v>380432</v>
      </c>
      <c r="AD77" s="301">
        <f t="shared" si="77"/>
        <v>299324</v>
      </c>
      <c r="AE77" s="301">
        <f t="shared" si="77"/>
        <v>249872</v>
      </c>
      <c r="AF77" s="301">
        <f t="shared" ref="AF77:AM78" si="78">IF(ISNUMBER(AF38),$G77*(AF38-AE38)," ")</f>
        <v>77874</v>
      </c>
      <c r="AG77" s="1154">
        <f t="shared" si="78"/>
        <v>33660</v>
      </c>
      <c r="AH77" s="1160">
        <f t="shared" si="78"/>
        <v>39114</v>
      </c>
      <c r="AI77" s="301">
        <f t="shared" si="78"/>
        <v>79302</v>
      </c>
      <c r="AJ77" s="301">
        <f t="shared" si="78"/>
        <v>185658</v>
      </c>
      <c r="AK77" s="301">
        <f t="shared" si="78"/>
        <v>217654</v>
      </c>
      <c r="AL77" s="301">
        <f t="shared" si="78"/>
        <v>351516</v>
      </c>
      <c r="AM77" s="301">
        <f t="shared" si="78"/>
        <v>316107</v>
      </c>
      <c r="AN77" s="301">
        <f t="shared" ref="AN77:AN78" si="79">IF(ISNUMBER(AN38),$G77*(AN38-AM38)," ")</f>
        <v>310959</v>
      </c>
      <c r="AO77" s="301">
        <f t="shared" ref="AO77:AO78" si="80">IF(ISNUMBER(AO38),$G77*(AO38-AN38)," ")</f>
        <v>339190</v>
      </c>
      <c r="AP77" s="301">
        <f t="shared" ref="AP77:AQ78" si="81">IF(ISNUMBER(AP38),$G77*(AP38-AO38)," ")</f>
        <v>273786</v>
      </c>
      <c r="AQ77" s="301">
        <f t="shared" si="81"/>
        <v>281304</v>
      </c>
      <c r="AR77" s="301" t="str">
        <f>IF(ISNUMBER(BE38),$G77*(BE38-BD38)," ")</f>
        <v xml:space="preserve"> </v>
      </c>
      <c r="AS77" s="1161" t="str">
        <f>IF(ISNUMBER(BF38),$G77*(BF38-BE38)," ")</f>
        <v xml:space="preserve"> </v>
      </c>
      <c r="AT77" s="1156" t="str">
        <f t="shared" ref="AT77:AT78" si="82">IF(ISNUMBER(BG38),$G77*(BG38-BF38)," ")</f>
        <v xml:space="preserve"> </v>
      </c>
    </row>
    <row r="78" spans="1:58" ht="15" customHeight="1">
      <c r="A78" s="85" t="s">
        <v>519</v>
      </c>
      <c r="B78" s="805"/>
      <c r="C78" s="805"/>
      <c r="D78" s="805"/>
      <c r="G78" s="298">
        <v>1000</v>
      </c>
      <c r="H78" s="303"/>
      <c r="I78" s="301">
        <f t="shared" ref="I78:AE78" si="83">IF(ISNUMBER(I39),$G78*(I39-H39)," ")</f>
        <v>34000</v>
      </c>
      <c r="J78" s="301">
        <f t="shared" si="83"/>
        <v>35789.999999999964</v>
      </c>
      <c r="K78" s="301">
        <f t="shared" si="83"/>
        <v>36210.000000000036</v>
      </c>
      <c r="L78" s="301">
        <f t="shared" si="83"/>
        <v>44630.000000000109</v>
      </c>
      <c r="M78" s="301">
        <f t="shared" si="83"/>
        <v>52840.000000000146</v>
      </c>
      <c r="N78" s="301">
        <f t="shared" si="83"/>
        <v>68779.999999999738</v>
      </c>
      <c r="O78" s="301">
        <f t="shared" si="83"/>
        <v>81640.00000000032</v>
      </c>
      <c r="P78" s="301">
        <f t="shared" si="83"/>
        <v>91529.999999999738</v>
      </c>
      <c r="Q78" s="301">
        <f t="shared" si="83"/>
        <v>79579.999999999927</v>
      </c>
      <c r="R78" s="301">
        <f t="shared" si="83"/>
        <v>74159.999999999854</v>
      </c>
      <c r="S78" s="301">
        <f t="shared" si="83"/>
        <v>70500</v>
      </c>
      <c r="T78" s="301">
        <f t="shared" si="83"/>
        <v>43090.000000000146</v>
      </c>
      <c r="U78" s="301">
        <f t="shared" si="83"/>
        <v>38659.999999999854</v>
      </c>
      <c r="V78" s="301">
        <f t="shared" si="83"/>
        <v>33760.000000000218</v>
      </c>
      <c r="W78" s="301">
        <f t="shared" si="83"/>
        <v>35920.000000000073</v>
      </c>
      <c r="X78" s="301">
        <f t="shared" si="83"/>
        <v>56930.000000000291</v>
      </c>
      <c r="Y78" s="301">
        <f t="shared" si="83"/>
        <v>64979.999999999563</v>
      </c>
      <c r="Z78" s="301">
        <f t="shared" si="83"/>
        <v>78489.999999999782</v>
      </c>
      <c r="AA78" s="301">
        <f t="shared" si="83"/>
        <v>82510.000000000218</v>
      </c>
      <c r="AB78" s="301">
        <f t="shared" si="83"/>
        <v>94000</v>
      </c>
      <c r="AC78" s="301">
        <f t="shared" si="83"/>
        <v>100000</v>
      </c>
      <c r="AD78" s="301">
        <f t="shared" si="83"/>
        <v>84689.999999999593</v>
      </c>
      <c r="AE78" s="301">
        <f t="shared" si="83"/>
        <v>67910.000000000757</v>
      </c>
      <c r="AF78" s="301">
        <f t="shared" si="78"/>
        <v>46399.999999999636</v>
      </c>
      <c r="AG78" s="1154">
        <f t="shared" si="78"/>
        <v>32000</v>
      </c>
      <c r="AH78" s="1160">
        <f t="shared" si="78"/>
        <v>34399.999999999636</v>
      </c>
      <c r="AI78" s="301">
        <f t="shared" si="78"/>
        <v>39600.000000000364</v>
      </c>
      <c r="AJ78" s="301">
        <f t="shared" si="78"/>
        <v>55170.000000000073</v>
      </c>
      <c r="AK78" s="301">
        <f t="shared" si="78"/>
        <v>57189.9999999996</v>
      </c>
      <c r="AL78" s="301">
        <f t="shared" si="78"/>
        <v>74400.000000000553</v>
      </c>
      <c r="AM78" s="301">
        <f t="shared" si="78"/>
        <v>55429.999999999382</v>
      </c>
      <c r="AN78" s="301">
        <f t="shared" si="79"/>
        <v>57470.000000000255</v>
      </c>
      <c r="AO78" s="301">
        <f t="shared" si="80"/>
        <v>68340.000000000146</v>
      </c>
      <c r="AP78" s="301">
        <f t="shared" si="81"/>
        <v>82000</v>
      </c>
      <c r="AQ78" s="301">
        <f t="shared" si="81"/>
        <v>71529.999999999738</v>
      </c>
      <c r="AR78" s="301" t="str">
        <f>IF(ISNUMBER(BE39),$G78*(BE39-BD39)," ")</f>
        <v xml:space="preserve"> </v>
      </c>
      <c r="AS78" s="1161" t="str">
        <f>IF(ISNUMBER(BF39),$G78*(BF39-BE39)," ")</f>
        <v xml:space="preserve"> </v>
      </c>
      <c r="AT78" s="1156" t="str">
        <f t="shared" si="82"/>
        <v xml:space="preserve"> </v>
      </c>
    </row>
    <row r="79" spans="1:58" ht="15" customHeight="1">
      <c r="A79" s="85" t="s">
        <v>520</v>
      </c>
      <c r="B79" s="805"/>
      <c r="C79" s="805"/>
      <c r="D79" s="805"/>
      <c r="G79" s="298"/>
      <c r="H79" s="303"/>
      <c r="I79" s="301">
        <v>0</v>
      </c>
      <c r="J79" s="301">
        <v>0</v>
      </c>
      <c r="K79" s="301">
        <v>0</v>
      </c>
      <c r="L79" s="301">
        <v>0</v>
      </c>
      <c r="M79" s="301">
        <v>0</v>
      </c>
      <c r="N79" s="301">
        <v>0</v>
      </c>
      <c r="O79" s="301">
        <v>0</v>
      </c>
      <c r="P79" s="301">
        <v>0</v>
      </c>
      <c r="Q79" s="301">
        <v>0</v>
      </c>
      <c r="R79" s="301">
        <v>0</v>
      </c>
      <c r="S79" s="301">
        <v>0</v>
      </c>
      <c r="T79" s="301">
        <v>0</v>
      </c>
      <c r="U79" s="301">
        <v>0</v>
      </c>
      <c r="V79" s="301">
        <v>0</v>
      </c>
      <c r="W79" s="301">
        <v>0</v>
      </c>
      <c r="X79" s="301">
        <v>0</v>
      </c>
      <c r="Y79" s="301">
        <v>0</v>
      </c>
      <c r="Z79" s="301">
        <v>0</v>
      </c>
      <c r="AA79" s="301">
        <v>0</v>
      </c>
      <c r="AB79" s="301">
        <v>0</v>
      </c>
      <c r="AC79" s="303">
        <f>AC40</f>
        <v>211700</v>
      </c>
      <c r="AD79" s="303">
        <f t="shared" ref="AD79:AL79" si="84">AD40</f>
        <v>155300</v>
      </c>
      <c r="AE79" s="303">
        <f t="shared" si="84"/>
        <v>151599.99999999994</v>
      </c>
      <c r="AF79" s="303">
        <f t="shared" si="84"/>
        <v>66800.000000000058</v>
      </c>
      <c r="AG79" s="303">
        <f t="shared" si="84"/>
        <v>48199.999999999964</v>
      </c>
      <c r="AH79" s="303">
        <f t="shared" si="84"/>
        <v>47220.000000000044</v>
      </c>
      <c r="AI79" s="303">
        <f t="shared" si="84"/>
        <v>74909.988130000012</v>
      </c>
      <c r="AJ79" s="303">
        <f t="shared" si="84"/>
        <v>101619.98746999999</v>
      </c>
      <c r="AK79" s="303">
        <f t="shared" si="84"/>
        <v>133590.01149999996</v>
      </c>
      <c r="AL79" s="303">
        <f t="shared" si="84"/>
        <v>197260.01289999997</v>
      </c>
      <c r="AM79" s="303">
        <f t="shared" ref="AM79:AP79" si="85">AM40</f>
        <v>183799.93890000007</v>
      </c>
      <c r="AN79" s="303">
        <f t="shared" si="85"/>
        <v>181369.99510000006</v>
      </c>
      <c r="AO79" s="303">
        <f t="shared" si="85"/>
        <v>201440.033</v>
      </c>
      <c r="AP79" s="303">
        <f t="shared" si="85"/>
        <v>156639.9841</v>
      </c>
      <c r="AQ79" s="303">
        <f t="shared" ref="AQ79" si="86">AQ40</f>
        <v>0</v>
      </c>
      <c r="AR79" s="303"/>
      <c r="AS79" s="303"/>
      <c r="AT79" s="303"/>
    </row>
    <row r="80" spans="1:58" ht="15" customHeight="1">
      <c r="A80" s="85" t="s">
        <v>521</v>
      </c>
      <c r="B80" s="805"/>
      <c r="C80" s="805"/>
      <c r="D80" s="805"/>
      <c r="G80" s="298">
        <v>1</v>
      </c>
      <c r="H80" s="301"/>
      <c r="I80" s="301">
        <f t="shared" ref="I80:AK80" si="87">IF(ISNUMBER(I43),$G80*(I43-H43)," ")</f>
        <v>12650</v>
      </c>
      <c r="J80" s="301">
        <f t="shared" si="87"/>
        <v>13120</v>
      </c>
      <c r="K80" s="301">
        <f t="shared" si="87"/>
        <v>13350</v>
      </c>
      <c r="L80" s="301">
        <f t="shared" si="87"/>
        <v>41750</v>
      </c>
      <c r="M80" s="301">
        <f t="shared" si="87"/>
        <v>50500</v>
      </c>
      <c r="N80" s="301">
        <f t="shared" si="87"/>
        <v>76370</v>
      </c>
      <c r="O80" s="301">
        <f t="shared" si="87"/>
        <v>98280</v>
      </c>
      <c r="P80" s="301">
        <f t="shared" si="87"/>
        <v>107170</v>
      </c>
      <c r="Q80" s="301">
        <f t="shared" si="87"/>
        <v>91040</v>
      </c>
      <c r="R80" s="301">
        <f t="shared" si="87"/>
        <v>79510</v>
      </c>
      <c r="S80" s="301">
        <f t="shared" si="87"/>
        <v>71710</v>
      </c>
      <c r="T80" s="301">
        <f t="shared" si="87"/>
        <v>45120</v>
      </c>
      <c r="U80" s="301">
        <f t="shared" si="87"/>
        <v>17770</v>
      </c>
      <c r="V80" s="301">
        <f t="shared" si="87"/>
        <v>0</v>
      </c>
      <c r="W80" s="301">
        <f t="shared" si="87"/>
        <v>3430</v>
      </c>
      <c r="X80" s="301">
        <f t="shared" si="87"/>
        <v>38300</v>
      </c>
      <c r="Y80" s="301">
        <f t="shared" si="87"/>
        <v>46440</v>
      </c>
      <c r="Z80" s="301">
        <f t="shared" si="87"/>
        <v>53870</v>
      </c>
      <c r="AA80" s="301">
        <f t="shared" si="87"/>
        <v>86990</v>
      </c>
      <c r="AB80" s="301">
        <f t="shared" si="87"/>
        <v>96740</v>
      </c>
      <c r="AC80" s="301">
        <f t="shared" si="87"/>
        <v>99870</v>
      </c>
      <c r="AD80" s="301">
        <f t="shared" si="87"/>
        <v>77980</v>
      </c>
      <c r="AE80" s="301">
        <f t="shared" si="87"/>
        <v>60310</v>
      </c>
      <c r="AF80" s="301">
        <f t="shared" si="87"/>
        <v>49370</v>
      </c>
      <c r="AG80" s="1154">
        <f t="shared" si="87"/>
        <v>28120</v>
      </c>
      <c r="AH80" s="1160">
        <f t="shared" si="87"/>
        <v>22630</v>
      </c>
      <c r="AI80" s="301">
        <f t="shared" si="87"/>
        <v>29990</v>
      </c>
      <c r="AJ80" s="301">
        <f t="shared" si="87"/>
        <v>44990</v>
      </c>
      <c r="AK80" s="301">
        <f t="shared" si="87"/>
        <v>48150</v>
      </c>
      <c r="AL80" s="301">
        <f>IF(ISNUMBER(AL43),$G80*(AL43-AK43)," ")</f>
        <v>114170</v>
      </c>
      <c r="AM80" s="301">
        <f>IF(ISNUMBER(AM43),$G80*(AM43-AL43)," ")</f>
        <v>135210</v>
      </c>
      <c r="AN80" s="301">
        <f t="shared" ref="AN80:AQ83" si="88">IF(ISNUMBER(AN43),$G80*(AN43-AM43)," ")</f>
        <v>142510</v>
      </c>
      <c r="AO80" s="301">
        <f t="shared" si="88"/>
        <v>133710</v>
      </c>
      <c r="AP80" s="301">
        <f t="shared" si="88"/>
        <v>105000</v>
      </c>
      <c r="AQ80" s="301">
        <f t="shared" si="88"/>
        <v>99990</v>
      </c>
      <c r="AR80" s="301" t="str">
        <f t="shared" ref="AR80:AS83" si="89">IF(ISNUMBER(BE43),$G80*(BE43-BD43)," ")</f>
        <v xml:space="preserve"> </v>
      </c>
      <c r="AS80" s="1161" t="str">
        <f t="shared" si="89"/>
        <v xml:space="preserve"> </v>
      </c>
      <c r="AT80" s="1156" t="str">
        <f t="shared" ref="AT80:AT83" si="90">IF(ISNUMBER(BG43),$G80*(BG43-BF43)," ")</f>
        <v xml:space="preserve"> </v>
      </c>
    </row>
    <row r="81" spans="1:46" ht="15" customHeight="1">
      <c r="A81" s="85" t="s">
        <v>522</v>
      </c>
      <c r="B81" s="805"/>
      <c r="C81" s="805"/>
      <c r="D81" s="805"/>
      <c r="G81" s="299">
        <v>1</v>
      </c>
      <c r="H81" s="301"/>
      <c r="I81" s="301">
        <f t="shared" ref="I81:AM81" si="91">IF(ISNUMBER(I44),$G81*(I44-H44)," ")</f>
        <v>3600</v>
      </c>
      <c r="J81" s="301">
        <f t="shared" si="91"/>
        <v>3000</v>
      </c>
      <c r="K81" s="301">
        <f t="shared" si="91"/>
        <v>3100</v>
      </c>
      <c r="L81" s="301">
        <f t="shared" si="91"/>
        <v>6200</v>
      </c>
      <c r="M81" s="301">
        <f t="shared" si="91"/>
        <v>7800</v>
      </c>
      <c r="N81" s="301">
        <f t="shared" si="91"/>
        <v>18500</v>
      </c>
      <c r="O81" s="301">
        <f t="shared" si="91"/>
        <v>14200</v>
      </c>
      <c r="P81" s="301">
        <f t="shared" si="91"/>
        <v>23900</v>
      </c>
      <c r="Q81" s="301">
        <f t="shared" si="91"/>
        <v>25600</v>
      </c>
      <c r="R81" s="301">
        <f t="shared" si="91"/>
        <v>29500</v>
      </c>
      <c r="S81" s="301">
        <f t="shared" si="91"/>
        <v>25100</v>
      </c>
      <c r="T81" s="301">
        <f t="shared" si="91"/>
        <v>12300</v>
      </c>
      <c r="U81" s="301">
        <f t="shared" si="91"/>
        <v>8400</v>
      </c>
      <c r="V81" s="301">
        <f t="shared" si="91"/>
        <v>5100</v>
      </c>
      <c r="W81" s="301">
        <f t="shared" si="91"/>
        <v>5600</v>
      </c>
      <c r="X81" s="301">
        <f t="shared" si="91"/>
        <v>13000</v>
      </c>
      <c r="Y81" s="301">
        <f t="shared" si="91"/>
        <v>13400</v>
      </c>
      <c r="Z81" s="301">
        <f t="shared" si="91"/>
        <v>23300</v>
      </c>
      <c r="AA81" s="301">
        <f t="shared" si="91"/>
        <v>19500</v>
      </c>
      <c r="AB81" s="301">
        <f t="shared" si="91"/>
        <v>31600</v>
      </c>
      <c r="AC81" s="301">
        <f t="shared" si="91"/>
        <v>39300</v>
      </c>
      <c r="AD81" s="301">
        <f t="shared" si="91"/>
        <v>25700</v>
      </c>
      <c r="AE81" s="301">
        <f t="shared" si="91"/>
        <v>16200</v>
      </c>
      <c r="AF81" s="301">
        <f t="shared" si="91"/>
        <v>12000</v>
      </c>
      <c r="AG81" s="1154">
        <f t="shared" si="91"/>
        <v>12200</v>
      </c>
      <c r="AH81" s="1160">
        <f t="shared" si="91"/>
        <v>6300</v>
      </c>
      <c r="AI81" s="301">
        <f t="shared" si="91"/>
        <v>15800</v>
      </c>
      <c r="AJ81" s="301">
        <f t="shared" si="91"/>
        <v>21700</v>
      </c>
      <c r="AK81" s="301">
        <f t="shared" si="91"/>
        <v>16900</v>
      </c>
      <c r="AL81" s="301">
        <f t="shared" si="91"/>
        <v>35600</v>
      </c>
      <c r="AM81" s="301">
        <f t="shared" si="91"/>
        <v>19600</v>
      </c>
      <c r="AN81" s="301">
        <f t="shared" si="88"/>
        <v>36300</v>
      </c>
      <c r="AO81" s="301">
        <f t="shared" si="88"/>
        <v>34900</v>
      </c>
      <c r="AP81" s="301">
        <f t="shared" si="88"/>
        <v>22600</v>
      </c>
      <c r="AQ81" s="301">
        <f t="shared" si="88"/>
        <v>19500</v>
      </c>
      <c r="AR81" s="301" t="str">
        <f t="shared" si="89"/>
        <v xml:space="preserve"> </v>
      </c>
      <c r="AS81" s="1161" t="str">
        <f t="shared" si="89"/>
        <v xml:space="preserve"> </v>
      </c>
      <c r="AT81" s="1156" t="str">
        <f t="shared" si="90"/>
        <v xml:space="preserve"> </v>
      </c>
    </row>
    <row r="82" spans="1:46" ht="15" customHeight="1">
      <c r="A82" s="85" t="s">
        <v>523</v>
      </c>
      <c r="G82" s="299">
        <v>1</v>
      </c>
      <c r="H82" s="301"/>
      <c r="I82" s="301">
        <f t="shared" ref="I82:AM82" si="92">IF(ISNUMBER(I45),$G82*(I45-H45)," ")</f>
        <v>82800</v>
      </c>
      <c r="J82" s="301">
        <f t="shared" si="92"/>
        <v>59400</v>
      </c>
      <c r="K82" s="301">
        <f t="shared" si="92"/>
        <v>47300</v>
      </c>
      <c r="L82" s="301">
        <f t="shared" si="92"/>
        <v>76800</v>
      </c>
      <c r="M82" s="301">
        <f t="shared" si="92"/>
        <v>93300</v>
      </c>
      <c r="N82" s="301">
        <f t="shared" si="92"/>
        <v>144600</v>
      </c>
      <c r="O82" s="301">
        <f t="shared" si="92"/>
        <v>191300</v>
      </c>
      <c r="P82" s="301">
        <f t="shared" si="92"/>
        <v>216500</v>
      </c>
      <c r="Q82" s="301">
        <f t="shared" si="92"/>
        <v>182400</v>
      </c>
      <c r="R82" s="301">
        <f t="shared" si="92"/>
        <v>177900</v>
      </c>
      <c r="S82" s="301">
        <f t="shared" si="92"/>
        <v>141500</v>
      </c>
      <c r="T82" s="301">
        <f t="shared" si="92"/>
        <v>78000</v>
      </c>
      <c r="U82" s="301">
        <f t="shared" si="92"/>
        <v>67000</v>
      </c>
      <c r="V82" s="301">
        <f t="shared" si="92"/>
        <v>46700</v>
      </c>
      <c r="W82" s="301">
        <f t="shared" si="92"/>
        <v>25700</v>
      </c>
      <c r="X82" s="301">
        <f t="shared" si="92"/>
        <v>67200</v>
      </c>
      <c r="Y82" s="301">
        <f t="shared" si="92"/>
        <v>116200</v>
      </c>
      <c r="Z82" s="301">
        <f t="shared" si="92"/>
        <v>138700</v>
      </c>
      <c r="AA82" s="301">
        <f t="shared" si="92"/>
        <v>165400</v>
      </c>
      <c r="AB82" s="301">
        <f t="shared" si="92"/>
        <v>192400</v>
      </c>
      <c r="AC82" s="301">
        <f t="shared" si="92"/>
        <v>180900</v>
      </c>
      <c r="AD82" s="301">
        <f t="shared" si="92"/>
        <v>129800</v>
      </c>
      <c r="AE82" s="301">
        <f t="shared" si="92"/>
        <v>112500</v>
      </c>
      <c r="AF82" s="301">
        <f t="shared" si="92"/>
        <v>92300</v>
      </c>
      <c r="AG82" s="1154">
        <f t="shared" si="92"/>
        <v>62200</v>
      </c>
      <c r="AH82" s="1160">
        <f t="shared" si="92"/>
        <v>53200</v>
      </c>
      <c r="AI82" s="301">
        <f t="shared" si="92"/>
        <v>59400</v>
      </c>
      <c r="AJ82" s="301">
        <f t="shared" si="92"/>
        <v>107900</v>
      </c>
      <c r="AK82" s="301">
        <f t="shared" si="92"/>
        <v>97900</v>
      </c>
      <c r="AL82" s="301">
        <f t="shared" si="92"/>
        <v>175900</v>
      </c>
      <c r="AM82" s="301">
        <f t="shared" si="92"/>
        <v>182700</v>
      </c>
      <c r="AN82" s="301">
        <f t="shared" si="88"/>
        <v>199200</v>
      </c>
      <c r="AO82" s="301">
        <f t="shared" si="88"/>
        <v>188200</v>
      </c>
      <c r="AP82" s="301">
        <f t="shared" si="88"/>
        <v>157900</v>
      </c>
      <c r="AQ82" s="301">
        <f t="shared" si="88"/>
        <v>126400</v>
      </c>
      <c r="AR82" s="301" t="str">
        <f t="shared" si="89"/>
        <v xml:space="preserve"> </v>
      </c>
      <c r="AS82" s="1161" t="str">
        <f t="shared" si="89"/>
        <v xml:space="preserve"> </v>
      </c>
      <c r="AT82" s="1156" t="str">
        <f t="shared" si="90"/>
        <v xml:space="preserve"> </v>
      </c>
    </row>
    <row r="83" spans="1:46" ht="15" customHeight="1">
      <c r="A83" s="85" t="s">
        <v>476</v>
      </c>
      <c r="G83" s="299">
        <v>1</v>
      </c>
      <c r="H83" s="301"/>
      <c r="I83" s="301">
        <f t="shared" ref="I83:AM83" si="93">IF(ISNUMBER(I46),$G83*(I46-H46)," ")</f>
        <v>11140</v>
      </c>
      <c r="J83" s="301">
        <f t="shared" si="93"/>
        <v>11000</v>
      </c>
      <c r="K83" s="301">
        <f t="shared" si="93"/>
        <v>10280</v>
      </c>
      <c r="L83" s="301">
        <f t="shared" si="93"/>
        <v>14380</v>
      </c>
      <c r="M83" s="301">
        <f t="shared" si="93"/>
        <v>19920</v>
      </c>
      <c r="N83" s="301">
        <f t="shared" si="93"/>
        <v>34300</v>
      </c>
      <c r="O83" s="301">
        <f t="shared" si="93"/>
        <v>53090</v>
      </c>
      <c r="P83" s="301">
        <f t="shared" si="93"/>
        <v>60980</v>
      </c>
      <c r="Q83" s="301">
        <f t="shared" si="93"/>
        <v>48150</v>
      </c>
      <c r="R83" s="301">
        <f t="shared" si="93"/>
        <v>47500</v>
      </c>
      <c r="S83" s="301">
        <f t="shared" si="93"/>
        <v>39670</v>
      </c>
      <c r="T83" s="301">
        <f t="shared" si="93"/>
        <v>18060</v>
      </c>
      <c r="U83" s="301">
        <f t="shared" si="93"/>
        <v>14700</v>
      </c>
      <c r="V83" s="301">
        <f t="shared" si="93"/>
        <v>7620</v>
      </c>
      <c r="W83" s="301">
        <f t="shared" si="93"/>
        <v>7610</v>
      </c>
      <c r="X83" s="301">
        <f t="shared" si="93"/>
        <v>13060</v>
      </c>
      <c r="Y83" s="301">
        <f t="shared" si="93"/>
        <v>28180</v>
      </c>
      <c r="Z83" s="301">
        <f t="shared" si="93"/>
        <v>37210</v>
      </c>
      <c r="AA83" s="301">
        <f t="shared" si="93"/>
        <v>50570</v>
      </c>
      <c r="AB83" s="301">
        <f t="shared" si="93"/>
        <v>56020</v>
      </c>
      <c r="AC83" s="301">
        <f t="shared" si="93"/>
        <v>54260</v>
      </c>
      <c r="AD83" s="301">
        <f t="shared" si="93"/>
        <v>33290</v>
      </c>
      <c r="AE83" s="301">
        <f t="shared" si="93"/>
        <v>28120</v>
      </c>
      <c r="AF83" s="301">
        <f t="shared" si="93"/>
        <v>23700</v>
      </c>
      <c r="AG83" s="1154">
        <f t="shared" si="93"/>
        <v>12070</v>
      </c>
      <c r="AH83" s="1160">
        <f t="shared" si="93"/>
        <v>8460</v>
      </c>
      <c r="AI83" s="301">
        <f t="shared" si="93"/>
        <v>11540</v>
      </c>
      <c r="AJ83" s="301">
        <f t="shared" si="93"/>
        <v>23550</v>
      </c>
      <c r="AK83" s="301">
        <f t="shared" si="93"/>
        <v>26010</v>
      </c>
      <c r="AL83" s="301">
        <f t="shared" si="93"/>
        <v>49400</v>
      </c>
      <c r="AM83" s="301">
        <f t="shared" si="93"/>
        <v>46060</v>
      </c>
      <c r="AN83" s="301">
        <f t="shared" si="88"/>
        <v>51810</v>
      </c>
      <c r="AO83" s="301">
        <f t="shared" si="88"/>
        <v>45310</v>
      </c>
      <c r="AP83" s="301">
        <f t="shared" si="88"/>
        <v>33920</v>
      </c>
      <c r="AQ83" s="301">
        <f t="shared" si="88"/>
        <v>28250</v>
      </c>
      <c r="AR83" s="301" t="str">
        <f t="shared" si="89"/>
        <v xml:space="preserve"> </v>
      </c>
      <c r="AS83" s="1161" t="str">
        <f t="shared" si="89"/>
        <v xml:space="preserve"> </v>
      </c>
      <c r="AT83" s="1156" t="str">
        <f t="shared" si="90"/>
        <v xml:space="preserve"> </v>
      </c>
    </row>
    <row r="84" spans="1:46" ht="15" customHeight="1">
      <c r="A84" s="1147" t="s">
        <v>524</v>
      </c>
      <c r="B84" s="805"/>
      <c r="C84" s="805"/>
      <c r="D84" s="805"/>
      <c r="G84" s="299"/>
      <c r="H84" s="301"/>
      <c r="I84" s="301">
        <f t="shared" ref="I84:AE84" si="94">IF(ISNUMBER(I82),I82+I83," ")</f>
        <v>93940</v>
      </c>
      <c r="J84" s="301">
        <f t="shared" si="94"/>
        <v>70400</v>
      </c>
      <c r="K84" s="301">
        <f t="shared" si="94"/>
        <v>57580</v>
      </c>
      <c r="L84" s="301">
        <f t="shared" si="94"/>
        <v>91180</v>
      </c>
      <c r="M84" s="301">
        <f t="shared" si="94"/>
        <v>113220</v>
      </c>
      <c r="N84" s="301">
        <f t="shared" si="94"/>
        <v>178900</v>
      </c>
      <c r="O84" s="301">
        <f t="shared" si="94"/>
        <v>244390</v>
      </c>
      <c r="P84" s="301">
        <f t="shared" si="94"/>
        <v>277480</v>
      </c>
      <c r="Q84" s="301">
        <f t="shared" si="94"/>
        <v>230550</v>
      </c>
      <c r="R84" s="301">
        <f t="shared" si="94"/>
        <v>225400</v>
      </c>
      <c r="S84" s="301">
        <f t="shared" si="94"/>
        <v>181170</v>
      </c>
      <c r="T84" s="301">
        <f t="shared" si="94"/>
        <v>96060</v>
      </c>
      <c r="U84" s="301">
        <f t="shared" si="94"/>
        <v>81700</v>
      </c>
      <c r="V84" s="301">
        <f t="shared" si="94"/>
        <v>54320</v>
      </c>
      <c r="W84" s="301">
        <f t="shared" si="94"/>
        <v>33310</v>
      </c>
      <c r="X84" s="301">
        <f t="shared" si="94"/>
        <v>80260</v>
      </c>
      <c r="Y84" s="301">
        <f t="shared" si="94"/>
        <v>144380</v>
      </c>
      <c r="Z84" s="301">
        <f t="shared" si="94"/>
        <v>175910</v>
      </c>
      <c r="AA84" s="301">
        <f t="shared" si="94"/>
        <v>215970</v>
      </c>
      <c r="AB84" s="301">
        <f t="shared" si="94"/>
        <v>248420</v>
      </c>
      <c r="AC84" s="301">
        <f t="shared" si="94"/>
        <v>235160</v>
      </c>
      <c r="AD84" s="301">
        <f t="shared" si="94"/>
        <v>163090</v>
      </c>
      <c r="AE84" s="301">
        <f t="shared" si="94"/>
        <v>140620</v>
      </c>
      <c r="AF84" s="301">
        <f t="shared" ref="AF84:AL84" si="95">IF(ISNUMBER(AF82),AF82+AF83," ")</f>
        <v>116000</v>
      </c>
      <c r="AG84" s="1154">
        <f t="shared" si="95"/>
        <v>74270</v>
      </c>
      <c r="AH84" s="1160">
        <f t="shared" si="95"/>
        <v>61660</v>
      </c>
      <c r="AI84" s="301">
        <f t="shared" si="95"/>
        <v>70940</v>
      </c>
      <c r="AJ84" s="301">
        <f t="shared" si="95"/>
        <v>131450</v>
      </c>
      <c r="AK84" s="301">
        <f t="shared" si="95"/>
        <v>123910</v>
      </c>
      <c r="AL84" s="301">
        <f t="shared" si="95"/>
        <v>225300</v>
      </c>
      <c r="AM84" s="301">
        <f t="shared" ref="AM84:AP84" si="96">IF(ISNUMBER(AM82),AM82+AM83," ")</f>
        <v>228760</v>
      </c>
      <c r="AN84" s="301">
        <f t="shared" si="96"/>
        <v>251010</v>
      </c>
      <c r="AO84" s="301">
        <f t="shared" si="96"/>
        <v>233510</v>
      </c>
      <c r="AP84" s="301">
        <f t="shared" si="96"/>
        <v>191820</v>
      </c>
      <c r="AQ84" s="301">
        <f t="shared" ref="AQ84" si="97">IF(ISNUMBER(AQ82),AQ82+AQ83," ")</f>
        <v>154650</v>
      </c>
      <c r="AR84" s="301" t="str">
        <f t="shared" ref="AR84:AT84" si="98">IF(ISNUMBER(AR82),AR82+AR83," ")</f>
        <v xml:space="preserve"> </v>
      </c>
      <c r="AS84" s="1161" t="str">
        <f>IF(ISNUMBER(AS82),AS82+AS83," ")</f>
        <v xml:space="preserve"> </v>
      </c>
      <c r="AT84" s="1156" t="str">
        <f t="shared" si="98"/>
        <v xml:space="preserve"> </v>
      </c>
    </row>
    <row r="85" spans="1:46" ht="15" customHeight="1">
      <c r="A85" s="85" t="s">
        <v>525</v>
      </c>
      <c r="G85" s="298">
        <v>1</v>
      </c>
      <c r="H85" s="301"/>
      <c r="I85" s="301">
        <f t="shared" ref="I85:AM85" si="99">IF(ISNUMBER(I47),$G85*(I47-H47)," ")</f>
        <v>9800</v>
      </c>
      <c r="J85" s="301">
        <f t="shared" si="99"/>
        <v>17100</v>
      </c>
      <c r="K85" s="301">
        <f t="shared" si="99"/>
        <v>16600</v>
      </c>
      <c r="L85" s="301">
        <f t="shared" si="99"/>
        <v>28100</v>
      </c>
      <c r="M85" s="301">
        <f t="shared" si="99"/>
        <v>43000</v>
      </c>
      <c r="N85" s="301">
        <f t="shared" si="99"/>
        <v>67800</v>
      </c>
      <c r="O85" s="301">
        <f t="shared" si="99"/>
        <v>80400</v>
      </c>
      <c r="P85" s="301">
        <f t="shared" si="99"/>
        <v>103400</v>
      </c>
      <c r="Q85" s="301">
        <f t="shared" si="99"/>
        <v>90200</v>
      </c>
      <c r="R85" s="301">
        <f t="shared" si="99"/>
        <v>81000</v>
      </c>
      <c r="S85" s="301">
        <f t="shared" si="99"/>
        <v>69400</v>
      </c>
      <c r="T85" s="301">
        <f t="shared" si="99"/>
        <v>31400</v>
      </c>
      <c r="U85" s="301">
        <f t="shared" si="99"/>
        <v>22100</v>
      </c>
      <c r="V85" s="301">
        <f t="shared" si="99"/>
        <v>9500</v>
      </c>
      <c r="W85" s="301">
        <f t="shared" si="99"/>
        <v>6900</v>
      </c>
      <c r="X85" s="301">
        <f t="shared" si="99"/>
        <v>33500</v>
      </c>
      <c r="Y85" s="301">
        <f t="shared" si="99"/>
        <v>50800</v>
      </c>
      <c r="Z85" s="301">
        <f t="shared" si="99"/>
        <v>75300</v>
      </c>
      <c r="AA85" s="301">
        <f t="shared" si="99"/>
        <v>71300</v>
      </c>
      <c r="AB85" s="301">
        <f t="shared" si="99"/>
        <v>85400</v>
      </c>
      <c r="AC85" s="301">
        <f t="shared" si="99"/>
        <v>102200</v>
      </c>
      <c r="AD85" s="301">
        <f t="shared" si="99"/>
        <v>64900</v>
      </c>
      <c r="AE85" s="301">
        <f t="shared" si="99"/>
        <v>54600</v>
      </c>
      <c r="AF85" s="301">
        <f t="shared" si="99"/>
        <v>39400</v>
      </c>
      <c r="AG85" s="1154">
        <f t="shared" si="99"/>
        <v>19400</v>
      </c>
      <c r="AH85" s="1160">
        <f t="shared" si="99"/>
        <v>15000</v>
      </c>
      <c r="AI85" s="301">
        <f t="shared" si="99"/>
        <v>18700</v>
      </c>
      <c r="AJ85" s="301">
        <f t="shared" si="99"/>
        <v>39900</v>
      </c>
      <c r="AK85" s="301">
        <f t="shared" si="99"/>
        <v>55100</v>
      </c>
      <c r="AL85" s="301">
        <f t="shared" si="99"/>
        <v>88900</v>
      </c>
      <c r="AM85" s="301">
        <f t="shared" si="99"/>
        <v>68300</v>
      </c>
      <c r="AN85" s="301">
        <f t="shared" ref="AN85:AN87" si="100">IF(ISNUMBER(AN47),$G85*(AN47-AM47)," ")</f>
        <v>78200</v>
      </c>
      <c r="AO85" s="301">
        <f t="shared" ref="AO85:AO87" si="101">IF(ISNUMBER(AO47),$G85*(AO47-AN47)," ")</f>
        <v>80300</v>
      </c>
      <c r="AP85" s="301">
        <f t="shared" ref="AP85:AQ87" si="102">IF(ISNUMBER(AP47),$G85*(AP47-AO47)," ")</f>
        <v>51600</v>
      </c>
      <c r="AQ85" s="301">
        <f t="shared" si="102"/>
        <v>47100</v>
      </c>
      <c r="AR85" s="301" t="str">
        <f t="shared" ref="AR85:AS87" si="103">IF(ISNUMBER(BE47),$G85*(BE47-BD47)," ")</f>
        <v xml:space="preserve"> </v>
      </c>
      <c r="AS85" s="1161" t="str">
        <f t="shared" si="103"/>
        <v xml:space="preserve"> </v>
      </c>
      <c r="AT85" s="1156" t="str">
        <f t="shared" ref="AT85:AT87" si="104">IF(ISNUMBER(BG47),$G85*(BG47-BF47)," ")</f>
        <v xml:space="preserve"> </v>
      </c>
    </row>
    <row r="86" spans="1:46" ht="15" customHeight="1">
      <c r="A86" s="85" t="s">
        <v>478</v>
      </c>
      <c r="G86" s="298">
        <v>1000</v>
      </c>
      <c r="H86" s="301"/>
      <c r="I86" s="301">
        <f t="shared" ref="I86:AM86" si="105">IF(ISNUMBER(I48),$G86*(I48-H48)," ")</f>
        <v>70699.999999999825</v>
      </c>
      <c r="J86" s="301">
        <f t="shared" si="105"/>
        <v>60300.000000000182</v>
      </c>
      <c r="K86" s="301">
        <f t="shared" si="105"/>
        <v>61500</v>
      </c>
      <c r="L86" s="301">
        <f t="shared" si="105"/>
        <v>72600.000000000364</v>
      </c>
      <c r="M86" s="301">
        <f t="shared" si="105"/>
        <v>99199.999999999825</v>
      </c>
      <c r="N86" s="301">
        <f t="shared" si="105"/>
        <v>152899.99999999965</v>
      </c>
      <c r="O86" s="301">
        <f t="shared" si="105"/>
        <v>212800.00000000017</v>
      </c>
      <c r="P86" s="301">
        <f t="shared" si="105"/>
        <v>227600.00000000035</v>
      </c>
      <c r="Q86" s="301">
        <f t="shared" si="105"/>
        <v>187000</v>
      </c>
      <c r="R86" s="301">
        <f t="shared" si="105"/>
        <v>175699.99999999889</v>
      </c>
      <c r="S86" s="301">
        <f t="shared" si="105"/>
        <v>152100.00000000035</v>
      </c>
      <c r="T86" s="301">
        <f t="shared" si="105"/>
        <v>87600.000000000364</v>
      </c>
      <c r="U86" s="301">
        <f t="shared" si="105"/>
        <v>81899.999999999636</v>
      </c>
      <c r="V86" s="301">
        <f t="shared" si="105"/>
        <v>50100.000000000364</v>
      </c>
      <c r="W86" s="301">
        <f t="shared" si="105"/>
        <v>51500</v>
      </c>
      <c r="X86" s="301">
        <f t="shared" si="105"/>
        <v>86200.000000000728</v>
      </c>
      <c r="Y86" s="301">
        <f t="shared" si="105"/>
        <v>114599.99999999854</v>
      </c>
      <c r="Z86" s="301">
        <f t="shared" si="105"/>
        <v>145301.00000000128</v>
      </c>
      <c r="AA86" s="301">
        <f t="shared" si="105"/>
        <v>183000</v>
      </c>
      <c r="AB86" s="301">
        <f t="shared" si="105"/>
        <v>208898.99999999942</v>
      </c>
      <c r="AC86" s="301">
        <f t="shared" si="105"/>
        <v>214100.00000000035</v>
      </c>
      <c r="AD86" s="301">
        <f t="shared" si="105"/>
        <v>141500</v>
      </c>
      <c r="AE86" s="301">
        <f t="shared" si="105"/>
        <v>126299.99999999927</v>
      </c>
      <c r="AF86" s="301">
        <f t="shared" si="105"/>
        <v>106100.00000000036</v>
      </c>
      <c r="AG86" s="1154">
        <f t="shared" si="105"/>
        <v>73299.999999999272</v>
      </c>
      <c r="AH86" s="1160">
        <f t="shared" si="105"/>
        <v>57900.000000001455</v>
      </c>
      <c r="AI86" s="301">
        <f t="shared" si="105"/>
        <v>62099.799999999959</v>
      </c>
      <c r="AJ86" s="301">
        <f t="shared" si="105"/>
        <v>101100.59000000001</v>
      </c>
      <c r="AK86" s="301">
        <f t="shared" si="105"/>
        <v>116599.6099999993</v>
      </c>
      <c r="AL86" s="301">
        <f t="shared" si="105"/>
        <v>183200.19999999931</v>
      </c>
      <c r="AM86" s="301">
        <f t="shared" si="105"/>
        <v>179599.60000000137</v>
      </c>
      <c r="AN86" s="301">
        <f t="shared" si="100"/>
        <v>194600.59000000003</v>
      </c>
      <c r="AO86" s="301">
        <f t="shared" si="101"/>
        <v>188399.40999999997</v>
      </c>
      <c r="AP86" s="301">
        <f t="shared" si="102"/>
        <v>148500</v>
      </c>
      <c r="AQ86" s="301">
        <f t="shared" si="102"/>
        <v>128300.78999999932</v>
      </c>
      <c r="AR86" s="301" t="str">
        <f t="shared" si="103"/>
        <v xml:space="preserve"> </v>
      </c>
      <c r="AS86" s="1161" t="str">
        <f t="shared" si="103"/>
        <v xml:space="preserve"> </v>
      </c>
      <c r="AT86" s="1156" t="str">
        <f t="shared" si="104"/>
        <v xml:space="preserve"> </v>
      </c>
    </row>
    <row r="87" spans="1:46" ht="15" customHeight="1">
      <c r="A87" s="85" t="s">
        <v>480</v>
      </c>
      <c r="G87" s="298">
        <v>1000</v>
      </c>
      <c r="H87" s="301"/>
      <c r="I87" s="301">
        <f t="shared" ref="I87:AM87" si="106">IF(ISNUMBER(I49),$G87*(I49-H49)," ")</f>
        <v>78800.000000000175</v>
      </c>
      <c r="J87" s="301">
        <f t="shared" si="106"/>
        <v>67199.999999999825</v>
      </c>
      <c r="K87" s="301">
        <f t="shared" si="106"/>
        <v>70100.000000000364</v>
      </c>
      <c r="L87" s="301">
        <f t="shared" si="106"/>
        <v>84899.999999999636</v>
      </c>
      <c r="M87" s="301">
        <f t="shared" si="106"/>
        <v>102600.00000000036</v>
      </c>
      <c r="N87" s="301">
        <f t="shared" si="106"/>
        <v>151399.99999999965</v>
      </c>
      <c r="O87" s="301">
        <f t="shared" si="106"/>
        <v>209300.00000000017</v>
      </c>
      <c r="P87" s="301">
        <f t="shared" si="106"/>
        <v>223600.00000000035</v>
      </c>
      <c r="Q87" s="301">
        <f t="shared" si="106"/>
        <v>185099.99999999945</v>
      </c>
      <c r="R87" s="301">
        <f t="shared" si="106"/>
        <v>174899.99999999965</v>
      </c>
      <c r="S87" s="301">
        <f t="shared" si="106"/>
        <v>152400.00000000146</v>
      </c>
      <c r="T87" s="301">
        <f t="shared" si="106"/>
        <v>90199.999999998909</v>
      </c>
      <c r="U87" s="301">
        <f t="shared" si="106"/>
        <v>79500</v>
      </c>
      <c r="V87" s="301">
        <f t="shared" si="106"/>
        <v>49300.000000001091</v>
      </c>
      <c r="W87" s="301">
        <f t="shared" si="106"/>
        <v>50099.804687499272</v>
      </c>
      <c r="X87" s="301">
        <f t="shared" si="106"/>
        <v>81900.195312500728</v>
      </c>
      <c r="Y87" s="301">
        <f t="shared" si="106"/>
        <v>108900.99999999984</v>
      </c>
      <c r="Z87" s="301">
        <f t="shared" si="106"/>
        <v>134698.99999999872</v>
      </c>
      <c r="AA87" s="301">
        <f t="shared" si="106"/>
        <v>166600.00000000035</v>
      </c>
      <c r="AB87" s="301">
        <f t="shared" si="106"/>
        <v>191000</v>
      </c>
      <c r="AC87" s="301">
        <f t="shared" si="106"/>
        <v>194201.00000000093</v>
      </c>
      <c r="AD87" s="301">
        <f t="shared" si="106"/>
        <v>129698.9999999987</v>
      </c>
      <c r="AE87" s="301">
        <f t="shared" si="106"/>
        <v>116200.00000000073</v>
      </c>
      <c r="AF87" s="301">
        <f t="shared" si="106"/>
        <v>97600.5859375</v>
      </c>
      <c r="AG87" s="1154">
        <f t="shared" si="106"/>
        <v>68699.414062499272</v>
      </c>
      <c r="AH87" s="1160">
        <f t="shared" si="106"/>
        <v>54800.000000001091</v>
      </c>
      <c r="AI87" s="301">
        <f t="shared" si="106"/>
        <v>57199.800000000323</v>
      </c>
      <c r="AJ87" s="301">
        <f t="shared" si="106"/>
        <v>88700.199999999313</v>
      </c>
      <c r="AK87" s="301">
        <f t="shared" si="106"/>
        <v>99600.590000000011</v>
      </c>
      <c r="AL87" s="301">
        <f t="shared" si="106"/>
        <v>149000</v>
      </c>
      <c r="AM87" s="301">
        <f t="shared" si="106"/>
        <v>145199.21000000066</v>
      </c>
      <c r="AN87" s="301">
        <f t="shared" si="100"/>
        <v>153400.39999999863</v>
      </c>
      <c r="AO87" s="301">
        <f t="shared" si="101"/>
        <v>143500</v>
      </c>
      <c r="AP87" s="301">
        <f t="shared" si="102"/>
        <v>111599.60000000137</v>
      </c>
      <c r="AQ87" s="301">
        <f t="shared" si="102"/>
        <v>95800.789999999324</v>
      </c>
      <c r="AR87" s="301" t="str">
        <f t="shared" si="103"/>
        <v xml:space="preserve"> </v>
      </c>
      <c r="AS87" s="1161" t="str">
        <f t="shared" si="103"/>
        <v xml:space="preserve"> </v>
      </c>
      <c r="AT87" s="1156" t="str">
        <f t="shared" si="104"/>
        <v xml:space="preserve"> </v>
      </c>
    </row>
    <row r="88" spans="1:46" ht="15" customHeight="1">
      <c r="A88" s="1147" t="s">
        <v>526</v>
      </c>
      <c r="B88" s="80">
        <v>6096</v>
      </c>
      <c r="C88" s="80" t="s">
        <v>527</v>
      </c>
      <c r="G88" s="298"/>
      <c r="H88" s="301"/>
      <c r="I88" s="301">
        <f>IF(ISNUMBER(I86),I86+I87," ")</f>
        <v>149500</v>
      </c>
      <c r="J88" s="301">
        <f t="shared" ref="J88:AE88" si="107">IF(ISNUMBER(J86),J86+J87," ")</f>
        <v>127500</v>
      </c>
      <c r="K88" s="301">
        <f t="shared" si="107"/>
        <v>131600.00000000035</v>
      </c>
      <c r="L88" s="301">
        <f t="shared" si="107"/>
        <v>157500</v>
      </c>
      <c r="M88" s="301">
        <f t="shared" si="107"/>
        <v>201800.00000000017</v>
      </c>
      <c r="N88" s="301">
        <f t="shared" si="107"/>
        <v>304299.9999999993</v>
      </c>
      <c r="O88" s="301">
        <f t="shared" si="107"/>
        <v>422100.00000000035</v>
      </c>
      <c r="P88" s="301">
        <f t="shared" si="107"/>
        <v>451200.0000000007</v>
      </c>
      <c r="Q88" s="301">
        <f t="shared" si="107"/>
        <v>372099.99999999942</v>
      </c>
      <c r="R88" s="301">
        <f t="shared" si="107"/>
        <v>350599.99999999854</v>
      </c>
      <c r="S88" s="301">
        <f t="shared" si="107"/>
        <v>304500.0000000018</v>
      </c>
      <c r="T88" s="301">
        <f t="shared" si="107"/>
        <v>177799.99999999927</v>
      </c>
      <c r="U88" s="301">
        <f t="shared" si="107"/>
        <v>161399.99999999965</v>
      </c>
      <c r="V88" s="301">
        <f t="shared" si="107"/>
        <v>99400.000000001455</v>
      </c>
      <c r="W88" s="301">
        <f t="shared" si="107"/>
        <v>101599.80468749927</v>
      </c>
      <c r="X88" s="301">
        <f t="shared" si="107"/>
        <v>168100.19531250146</v>
      </c>
      <c r="Y88" s="301">
        <f t="shared" si="107"/>
        <v>223500.99999999837</v>
      </c>
      <c r="Z88" s="301">
        <f t="shared" si="107"/>
        <v>280000</v>
      </c>
      <c r="AA88" s="301">
        <f t="shared" si="107"/>
        <v>349600.00000000035</v>
      </c>
      <c r="AB88" s="301">
        <f t="shared" si="107"/>
        <v>399898.99999999942</v>
      </c>
      <c r="AC88" s="301">
        <f t="shared" si="107"/>
        <v>408301.00000000128</v>
      </c>
      <c r="AD88" s="301">
        <f t="shared" si="107"/>
        <v>271198.99999999872</v>
      </c>
      <c r="AE88" s="301">
        <f t="shared" si="107"/>
        <v>242500</v>
      </c>
      <c r="AF88" s="301">
        <f t="shared" ref="AF88:AL88" si="108">IF(ISNUMBER(AF86),AF86+AF87," ")</f>
        <v>203700.58593750035</v>
      </c>
      <c r="AG88" s="1154">
        <f t="shared" si="108"/>
        <v>141999.41406249854</v>
      </c>
      <c r="AH88" s="1160">
        <f t="shared" si="108"/>
        <v>112700.00000000255</v>
      </c>
      <c r="AI88" s="301">
        <f t="shared" si="108"/>
        <v>119299.60000000028</v>
      </c>
      <c r="AJ88" s="301">
        <f t="shared" si="108"/>
        <v>189800.78999999934</v>
      </c>
      <c r="AK88" s="301">
        <f t="shared" si="108"/>
        <v>216200.19999999931</v>
      </c>
      <c r="AL88" s="301">
        <f t="shared" si="108"/>
        <v>332200.19999999931</v>
      </c>
      <c r="AM88" s="301">
        <f t="shared" ref="AM88:AP88" si="109">IF(ISNUMBER(AM86),AM86+AM87," ")</f>
        <v>324798.81000000203</v>
      </c>
      <c r="AN88" s="301">
        <f t="shared" si="109"/>
        <v>348000.98999999865</v>
      </c>
      <c r="AO88" s="301">
        <f t="shared" si="109"/>
        <v>331899.40999999997</v>
      </c>
      <c r="AP88" s="301">
        <f t="shared" si="109"/>
        <v>260099.60000000137</v>
      </c>
      <c r="AQ88" s="301">
        <f t="shared" ref="AQ88" si="110">IF(ISNUMBER(AQ86),AQ86+AQ87," ")</f>
        <v>224101.57999999865</v>
      </c>
      <c r="AR88" s="301" t="str">
        <f t="shared" ref="AR88:AT88" si="111">IF(ISNUMBER(AR86),AR86+AR87," ")</f>
        <v xml:space="preserve"> </v>
      </c>
      <c r="AS88" s="1161" t="str">
        <f>IF(ISNUMBER(AS86),AS86+AS87," ")</f>
        <v xml:space="preserve"> </v>
      </c>
      <c r="AT88" s="1156" t="str">
        <f t="shared" si="111"/>
        <v xml:space="preserve"> </v>
      </c>
    </row>
    <row r="89" spans="1:46" ht="15" customHeight="1">
      <c r="A89" s="85" t="s">
        <v>528</v>
      </c>
      <c r="G89" s="298">
        <v>1</v>
      </c>
      <c r="H89" s="303"/>
      <c r="I89" s="301">
        <f t="shared" ref="I89:AM89" si="112">IF(ISNUMBER(I50),$G89*(I50-H50)," ")</f>
        <v>69100</v>
      </c>
      <c r="J89" s="301">
        <f t="shared" si="112"/>
        <v>50000</v>
      </c>
      <c r="K89" s="301">
        <f t="shared" si="112"/>
        <v>55780</v>
      </c>
      <c r="L89" s="301">
        <f t="shared" si="112"/>
        <v>76570</v>
      </c>
      <c r="M89" s="301">
        <f t="shared" si="112"/>
        <v>75630</v>
      </c>
      <c r="N89" s="301">
        <f t="shared" si="112"/>
        <v>103760</v>
      </c>
      <c r="O89" s="301">
        <f t="shared" si="112"/>
        <v>113850</v>
      </c>
      <c r="P89" s="301">
        <f t="shared" si="112"/>
        <v>188950</v>
      </c>
      <c r="Q89" s="301">
        <f t="shared" si="112"/>
        <v>142060</v>
      </c>
      <c r="R89" s="301">
        <f t="shared" si="112"/>
        <v>129300</v>
      </c>
      <c r="S89" s="301">
        <f t="shared" si="112"/>
        <v>121770</v>
      </c>
      <c r="T89" s="301">
        <f t="shared" si="112"/>
        <v>68800</v>
      </c>
      <c r="U89" s="301">
        <f t="shared" si="112"/>
        <v>59930</v>
      </c>
      <c r="V89" s="301">
        <f t="shared" si="112"/>
        <v>40790</v>
      </c>
      <c r="W89" s="301">
        <f t="shared" si="112"/>
        <v>48170</v>
      </c>
      <c r="X89" s="301">
        <f t="shared" si="112"/>
        <v>78610</v>
      </c>
      <c r="Y89" s="301">
        <f t="shared" si="112"/>
        <v>113010</v>
      </c>
      <c r="Z89" s="301">
        <f t="shared" si="112"/>
        <v>167980</v>
      </c>
      <c r="AA89" s="301">
        <f t="shared" si="112"/>
        <v>140760</v>
      </c>
      <c r="AB89" s="301">
        <f t="shared" si="112"/>
        <v>137780</v>
      </c>
      <c r="AC89" s="301">
        <f t="shared" si="112"/>
        <v>198140</v>
      </c>
      <c r="AD89" s="301">
        <f t="shared" si="112"/>
        <v>126250</v>
      </c>
      <c r="AE89" s="301">
        <f t="shared" si="112"/>
        <v>118420</v>
      </c>
      <c r="AF89" s="301">
        <f t="shared" si="112"/>
        <v>114540</v>
      </c>
      <c r="AG89" s="1154">
        <f t="shared" si="112"/>
        <v>81670</v>
      </c>
      <c r="AH89" s="1160">
        <f t="shared" si="112"/>
        <v>54530</v>
      </c>
      <c r="AI89" s="301">
        <f t="shared" si="112"/>
        <v>76570</v>
      </c>
      <c r="AJ89" s="301">
        <f t="shared" si="112"/>
        <v>95450</v>
      </c>
      <c r="AK89" s="301">
        <f t="shared" si="112"/>
        <v>102000</v>
      </c>
      <c r="AL89" s="301">
        <f t="shared" si="112"/>
        <v>144400</v>
      </c>
      <c r="AM89" s="301">
        <f t="shared" si="112"/>
        <v>133940</v>
      </c>
      <c r="AN89" s="301">
        <f t="shared" ref="AN89:AN92" si="113">IF(ISNUMBER(AN50),$G89*(AN50-AM50)," ")</f>
        <v>154940</v>
      </c>
      <c r="AO89" s="301">
        <f t="shared" ref="AO89:AO92" si="114">IF(ISNUMBER(AO50),$G89*(AO50-AN50)," ")</f>
        <v>141410</v>
      </c>
      <c r="AP89" s="301">
        <f t="shared" ref="AP89:AQ92" si="115">IF(ISNUMBER(AP50),$G89*(AP50-AO50)," ")</f>
        <v>118040</v>
      </c>
      <c r="AQ89" s="301">
        <f t="shared" si="115"/>
        <v>100620</v>
      </c>
      <c r="AR89" s="301" t="str">
        <f t="shared" ref="AR89:AS92" si="116">IF(ISNUMBER(BE50),$G89*(BE50-BD50)," ")</f>
        <v xml:space="preserve"> </v>
      </c>
      <c r="AS89" s="1161" t="str">
        <f t="shared" si="116"/>
        <v xml:space="preserve"> </v>
      </c>
      <c r="AT89" s="1156" t="str">
        <f t="shared" ref="AT89:AT92" si="117">IF(ISNUMBER(BG50),$G89*(BG50-BF50)," ")</f>
        <v xml:space="preserve"> </v>
      </c>
    </row>
    <row r="90" spans="1:46" ht="15" customHeight="1">
      <c r="A90" s="85" t="s">
        <v>482</v>
      </c>
      <c r="G90" s="298">
        <v>1</v>
      </c>
      <c r="H90" s="302"/>
      <c r="I90" s="301">
        <f t="shared" ref="I90:AM90" si="118">IF(ISNUMBER(I51),$G90*(I51-H51)," ")</f>
        <v>27740</v>
      </c>
      <c r="J90" s="301">
        <f t="shared" si="118"/>
        <v>30920</v>
      </c>
      <c r="K90" s="301">
        <f t="shared" si="118"/>
        <v>5950</v>
      </c>
      <c r="L90" s="301">
        <f t="shared" si="118"/>
        <v>24900</v>
      </c>
      <c r="M90" s="301">
        <f t="shared" si="118"/>
        <v>29140</v>
      </c>
      <c r="N90" s="301">
        <f t="shared" si="118"/>
        <v>47480</v>
      </c>
      <c r="O90" s="301">
        <f t="shared" si="118"/>
        <v>64120</v>
      </c>
      <c r="P90" s="301">
        <f t="shared" si="118"/>
        <v>77170</v>
      </c>
      <c r="Q90" s="301">
        <f t="shared" si="118"/>
        <v>66540</v>
      </c>
      <c r="R90" s="301">
        <f t="shared" si="118"/>
        <v>68430</v>
      </c>
      <c r="S90" s="301">
        <f t="shared" si="118"/>
        <v>52440</v>
      </c>
      <c r="T90" s="301">
        <f t="shared" si="118"/>
        <v>21310</v>
      </c>
      <c r="U90" s="301">
        <f t="shared" si="118"/>
        <v>20010</v>
      </c>
      <c r="V90" s="301">
        <f t="shared" si="118"/>
        <v>10910</v>
      </c>
      <c r="W90" s="301">
        <f t="shared" si="118"/>
        <v>12820</v>
      </c>
      <c r="X90" s="301">
        <f t="shared" si="118"/>
        <v>25370</v>
      </c>
      <c r="Y90" s="301">
        <f t="shared" si="118"/>
        <v>37880</v>
      </c>
      <c r="Z90" s="301">
        <f t="shared" si="118"/>
        <v>46610</v>
      </c>
      <c r="AA90" s="301">
        <f t="shared" si="118"/>
        <v>54710</v>
      </c>
      <c r="AB90" s="301">
        <f t="shared" si="118"/>
        <v>58670</v>
      </c>
      <c r="AC90" s="301">
        <f t="shared" si="118"/>
        <v>60900</v>
      </c>
      <c r="AD90" s="301">
        <f t="shared" si="118"/>
        <v>52290</v>
      </c>
      <c r="AE90" s="301">
        <f t="shared" si="118"/>
        <v>47950</v>
      </c>
      <c r="AF90" s="301">
        <f t="shared" si="118"/>
        <v>42140</v>
      </c>
      <c r="AG90" s="1154">
        <f t="shared" si="118"/>
        <v>27580</v>
      </c>
      <c r="AH90" s="1160">
        <f t="shared" si="118"/>
        <v>20610</v>
      </c>
      <c r="AI90" s="301">
        <f t="shared" si="118"/>
        <v>24040</v>
      </c>
      <c r="AJ90" s="301">
        <f t="shared" si="118"/>
        <v>43850</v>
      </c>
      <c r="AK90" s="301">
        <f t="shared" si="118"/>
        <v>46740</v>
      </c>
      <c r="AL90" s="301">
        <f t="shared" si="118"/>
        <v>65740</v>
      </c>
      <c r="AM90" s="301">
        <f t="shared" si="118"/>
        <v>62050</v>
      </c>
      <c r="AN90" s="301">
        <f t="shared" si="113"/>
        <v>72130</v>
      </c>
      <c r="AO90" s="301">
        <f t="shared" si="114"/>
        <v>68030</v>
      </c>
      <c r="AP90" s="301">
        <f t="shared" si="115"/>
        <v>61300</v>
      </c>
      <c r="AQ90" s="301">
        <f t="shared" si="115"/>
        <v>48990</v>
      </c>
      <c r="AR90" s="301" t="str">
        <f t="shared" si="116"/>
        <v xml:space="preserve"> </v>
      </c>
      <c r="AS90" s="1161" t="str">
        <f t="shared" si="116"/>
        <v xml:space="preserve"> </v>
      </c>
      <c r="AT90" s="1156" t="str">
        <f t="shared" si="117"/>
        <v xml:space="preserve"> </v>
      </c>
    </row>
    <row r="91" spans="1:46" ht="15" customHeight="1">
      <c r="A91" s="85" t="s">
        <v>483</v>
      </c>
      <c r="G91" s="298">
        <v>1</v>
      </c>
      <c r="H91" s="302"/>
      <c r="I91" s="301">
        <f t="shared" ref="I91:AM91" si="119">IF(ISNUMBER(I52),$G91*(I52-H52)," ")</f>
        <v>54620</v>
      </c>
      <c r="J91" s="301">
        <f t="shared" si="119"/>
        <v>56930</v>
      </c>
      <c r="K91" s="301">
        <f t="shared" si="119"/>
        <v>61810</v>
      </c>
      <c r="L91" s="301">
        <f t="shared" si="119"/>
        <v>76380</v>
      </c>
      <c r="M91" s="301">
        <f t="shared" si="119"/>
        <v>77510</v>
      </c>
      <c r="N91" s="301">
        <f t="shared" si="119"/>
        <v>114380</v>
      </c>
      <c r="O91" s="301">
        <f t="shared" si="119"/>
        <v>139880</v>
      </c>
      <c r="P91" s="301">
        <f t="shared" si="119"/>
        <v>152980</v>
      </c>
      <c r="Q91" s="301">
        <f t="shared" si="119"/>
        <v>131930</v>
      </c>
      <c r="R91" s="301">
        <f t="shared" si="119"/>
        <v>139710</v>
      </c>
      <c r="S91" s="301">
        <f t="shared" si="119"/>
        <v>136790</v>
      </c>
      <c r="T91" s="301">
        <f t="shared" si="119"/>
        <v>90850</v>
      </c>
      <c r="U91" s="301">
        <f t="shared" si="119"/>
        <v>77620</v>
      </c>
      <c r="V91" s="301">
        <f t="shared" si="119"/>
        <v>63360</v>
      </c>
      <c r="W91" s="301">
        <f t="shared" si="119"/>
        <v>55040</v>
      </c>
      <c r="X91" s="301">
        <f t="shared" si="119"/>
        <v>63150</v>
      </c>
      <c r="Y91" s="301">
        <f t="shared" si="119"/>
        <v>81170</v>
      </c>
      <c r="Z91" s="301">
        <f t="shared" si="119"/>
        <v>117370</v>
      </c>
      <c r="AA91" s="301">
        <f t="shared" si="119"/>
        <v>128340</v>
      </c>
      <c r="AB91" s="301">
        <f t="shared" si="119"/>
        <v>140580</v>
      </c>
      <c r="AC91" s="301">
        <f t="shared" si="119"/>
        <v>138060</v>
      </c>
      <c r="AD91" s="301">
        <f t="shared" si="119"/>
        <v>121180</v>
      </c>
      <c r="AE91" s="301">
        <f t="shared" si="119"/>
        <v>111450</v>
      </c>
      <c r="AF91" s="301">
        <f t="shared" si="119"/>
        <v>94820</v>
      </c>
      <c r="AG91" s="1154">
        <f t="shared" si="119"/>
        <v>71180</v>
      </c>
      <c r="AH91" s="1160">
        <f t="shared" si="119"/>
        <v>68250</v>
      </c>
      <c r="AI91" s="301">
        <f t="shared" si="119"/>
        <v>72410</v>
      </c>
      <c r="AJ91" s="301">
        <f t="shared" si="119"/>
        <v>100170</v>
      </c>
      <c r="AK91" s="301">
        <f t="shared" si="119"/>
        <v>111490</v>
      </c>
      <c r="AL91" s="301">
        <f t="shared" si="119"/>
        <v>146070</v>
      </c>
      <c r="AM91" s="301">
        <f t="shared" si="119"/>
        <v>124370</v>
      </c>
      <c r="AN91" s="301">
        <f t="shared" si="113"/>
        <v>132350</v>
      </c>
      <c r="AO91" s="301">
        <f t="shared" si="114"/>
        <v>126040</v>
      </c>
      <c r="AP91" s="301">
        <f t="shared" si="115"/>
        <v>91570</v>
      </c>
      <c r="AQ91" s="301">
        <f t="shared" si="115"/>
        <v>85510</v>
      </c>
      <c r="AR91" s="301" t="str">
        <f t="shared" si="116"/>
        <v xml:space="preserve"> </v>
      </c>
      <c r="AS91" s="1161" t="str">
        <f t="shared" si="116"/>
        <v xml:space="preserve"> </v>
      </c>
      <c r="AT91" s="1156" t="str">
        <f t="shared" si="117"/>
        <v xml:space="preserve"> </v>
      </c>
    </row>
    <row r="92" spans="1:46" ht="15" customHeight="1">
      <c r="A92" s="85" t="s">
        <v>529</v>
      </c>
      <c r="G92" s="298">
        <v>1000</v>
      </c>
      <c r="H92" s="301"/>
      <c r="I92" s="301">
        <f t="shared" ref="I92:AM92" si="120">IF(ISNUMBER(I53),$G92*(I53-H53)," ")</f>
        <v>7000</v>
      </c>
      <c r="J92" s="301">
        <f t="shared" si="120"/>
        <v>4000</v>
      </c>
      <c r="K92" s="301">
        <f t="shared" si="120"/>
        <v>8700.0000000000455</v>
      </c>
      <c r="L92" s="301">
        <f t="shared" si="120"/>
        <v>11500</v>
      </c>
      <c r="M92" s="301">
        <f t="shared" si="120"/>
        <v>12799.999999999955</v>
      </c>
      <c r="N92" s="301">
        <f t="shared" si="120"/>
        <v>20800.000000000182</v>
      </c>
      <c r="O92" s="301">
        <f t="shared" si="120"/>
        <v>34799.999999999956</v>
      </c>
      <c r="P92" s="301">
        <f t="shared" si="120"/>
        <v>33000</v>
      </c>
      <c r="Q92" s="301">
        <f t="shared" si="120"/>
        <v>30700.000000000044</v>
      </c>
      <c r="R92" s="301">
        <f t="shared" si="120"/>
        <v>29299.999999999956</v>
      </c>
      <c r="S92" s="301">
        <f t="shared" si="120"/>
        <v>27200.000000000044</v>
      </c>
      <c r="T92" s="301">
        <f t="shared" si="120"/>
        <v>20099.999999999909</v>
      </c>
      <c r="U92" s="301">
        <f t="shared" si="120"/>
        <v>15319.999999999936</v>
      </c>
      <c r="V92" s="301">
        <f t="shared" si="120"/>
        <v>9090.0000000001455</v>
      </c>
      <c r="W92" s="301">
        <f t="shared" si="120"/>
        <v>8949.985351559917</v>
      </c>
      <c r="X92" s="301">
        <f t="shared" si="120"/>
        <v>9140.0146484400011</v>
      </c>
      <c r="Y92" s="301">
        <f t="shared" si="120"/>
        <v>13000</v>
      </c>
      <c r="Z92" s="301">
        <f t="shared" si="120"/>
        <v>15000</v>
      </c>
      <c r="AA92" s="301">
        <f t="shared" si="120"/>
        <v>19000</v>
      </c>
      <c r="AB92" s="301">
        <f t="shared" si="120"/>
        <v>16000</v>
      </c>
      <c r="AC92" s="301">
        <f t="shared" si="120"/>
        <v>19000</v>
      </c>
      <c r="AD92" s="301">
        <f t="shared" si="120"/>
        <v>19000</v>
      </c>
      <c r="AE92" s="301">
        <f t="shared" si="120"/>
        <v>19000</v>
      </c>
      <c r="AF92" s="301">
        <f t="shared" si="120"/>
        <v>2000</v>
      </c>
      <c r="AG92" s="1154">
        <f t="shared" si="120"/>
        <v>1700.0000000000455</v>
      </c>
      <c r="AH92" s="1160">
        <f t="shared" si="120"/>
        <v>2700.0000000000455</v>
      </c>
      <c r="AI92" s="301">
        <f t="shared" si="120"/>
        <v>2599.9999999999091</v>
      </c>
      <c r="AJ92" s="301">
        <f t="shared" si="120"/>
        <v>6559.9369999999908</v>
      </c>
      <c r="AK92" s="301">
        <f t="shared" si="120"/>
        <v>8290.0389999999788</v>
      </c>
      <c r="AL92" s="301">
        <f t="shared" si="120"/>
        <v>15130.004000000099</v>
      </c>
      <c r="AM92" s="301">
        <f t="shared" si="120"/>
        <v>17459.961000000021</v>
      </c>
      <c r="AN92" s="301">
        <f t="shared" si="113"/>
        <v>17089.966000000004</v>
      </c>
      <c r="AO92" s="301">
        <f t="shared" si="114"/>
        <v>17270.019999999931</v>
      </c>
      <c r="AP92" s="301">
        <f t="shared" si="115"/>
        <v>16770.019000000048</v>
      </c>
      <c r="AQ92" s="301">
        <f t="shared" si="115"/>
        <v>13500</v>
      </c>
      <c r="AR92" s="301" t="str">
        <f t="shared" si="116"/>
        <v xml:space="preserve"> </v>
      </c>
      <c r="AS92" s="1161" t="str">
        <f t="shared" si="116"/>
        <v xml:space="preserve"> </v>
      </c>
      <c r="AT92" s="1156" t="str">
        <f t="shared" si="117"/>
        <v xml:space="preserve"> </v>
      </c>
    </row>
    <row r="93" spans="1:46" ht="15" customHeight="1">
      <c r="A93" s="1147" t="s">
        <v>471</v>
      </c>
      <c r="B93" s="805"/>
      <c r="C93" s="805"/>
      <c r="D93" s="805"/>
      <c r="G93" s="298"/>
      <c r="H93" s="301"/>
      <c r="I93" s="301">
        <f t="shared" ref="I93:AE93" si="121">IF(ISNUMBER(I90),I90+I91+I92," ")</f>
        <v>89360</v>
      </c>
      <c r="J93" s="301">
        <f t="shared" si="121"/>
        <v>91850</v>
      </c>
      <c r="K93" s="301">
        <f t="shared" si="121"/>
        <v>76460.000000000044</v>
      </c>
      <c r="L93" s="301">
        <f t="shared" si="121"/>
        <v>112780</v>
      </c>
      <c r="M93" s="301">
        <f t="shared" si="121"/>
        <v>119449.99999999996</v>
      </c>
      <c r="N93" s="301">
        <f t="shared" si="121"/>
        <v>182660.00000000017</v>
      </c>
      <c r="O93" s="301">
        <f t="shared" si="121"/>
        <v>238799.99999999994</v>
      </c>
      <c r="P93" s="301">
        <f t="shared" si="121"/>
        <v>263150</v>
      </c>
      <c r="Q93" s="301">
        <f t="shared" si="121"/>
        <v>229170.00000000006</v>
      </c>
      <c r="R93" s="301">
        <f t="shared" si="121"/>
        <v>237439.99999999994</v>
      </c>
      <c r="S93" s="301">
        <f t="shared" si="121"/>
        <v>216430.00000000006</v>
      </c>
      <c r="T93" s="301">
        <f t="shared" si="121"/>
        <v>132259.99999999991</v>
      </c>
      <c r="U93" s="301">
        <f t="shared" si="121"/>
        <v>112949.99999999994</v>
      </c>
      <c r="V93" s="301">
        <f t="shared" si="121"/>
        <v>83360.000000000146</v>
      </c>
      <c r="W93" s="301">
        <f t="shared" si="121"/>
        <v>76809.98535155991</v>
      </c>
      <c r="X93" s="301">
        <f t="shared" si="121"/>
        <v>97660.014648440003</v>
      </c>
      <c r="Y93" s="301">
        <f t="shared" si="121"/>
        <v>132050</v>
      </c>
      <c r="Z93" s="301">
        <f t="shared" si="121"/>
        <v>178980</v>
      </c>
      <c r="AA93" s="301">
        <f t="shared" si="121"/>
        <v>202050</v>
      </c>
      <c r="AB93" s="301">
        <f t="shared" si="121"/>
        <v>215250</v>
      </c>
      <c r="AC93" s="301">
        <f t="shared" si="121"/>
        <v>217960</v>
      </c>
      <c r="AD93" s="301">
        <f t="shared" si="121"/>
        <v>192470</v>
      </c>
      <c r="AE93" s="301">
        <f t="shared" si="121"/>
        <v>178400</v>
      </c>
      <c r="AF93" s="301">
        <f t="shared" ref="AF93:AL93" si="122">IF(ISNUMBER(AF90),AF90+AF91+AF92," ")</f>
        <v>138960</v>
      </c>
      <c r="AG93" s="1154">
        <f t="shared" si="122"/>
        <v>100460.00000000004</v>
      </c>
      <c r="AH93" s="1160">
        <f t="shared" si="122"/>
        <v>91560.000000000044</v>
      </c>
      <c r="AI93" s="301">
        <f t="shared" si="122"/>
        <v>99049.999999999913</v>
      </c>
      <c r="AJ93" s="301">
        <f t="shared" si="122"/>
        <v>150579.93699999998</v>
      </c>
      <c r="AK93" s="301">
        <f t="shared" si="122"/>
        <v>166520.03899999999</v>
      </c>
      <c r="AL93" s="301">
        <f t="shared" si="122"/>
        <v>226940.0040000001</v>
      </c>
      <c r="AM93" s="301">
        <f t="shared" ref="AM93:AP93" si="123">IF(ISNUMBER(AM90),AM90+AM91+AM92," ")</f>
        <v>203879.96100000001</v>
      </c>
      <c r="AN93" s="301">
        <f t="shared" si="123"/>
        <v>221569.96600000001</v>
      </c>
      <c r="AO93" s="301">
        <f t="shared" si="123"/>
        <v>211340.01999999993</v>
      </c>
      <c r="AP93" s="301">
        <f t="shared" si="123"/>
        <v>169640.01900000006</v>
      </c>
      <c r="AQ93" s="301">
        <f t="shared" ref="AQ93" si="124">IF(ISNUMBER(AQ90),AQ90+AQ91+AQ92," ")</f>
        <v>148000</v>
      </c>
      <c r="AR93" s="301" t="str">
        <f t="shared" ref="AR93:AT93" si="125">IF(ISNUMBER(AR90),AR90+AR91+AR92," ")</f>
        <v xml:space="preserve"> </v>
      </c>
      <c r="AS93" s="1161" t="str">
        <f>IF(ISNUMBER(AS90),AS90+AS91+AS92," ")</f>
        <v xml:space="preserve"> </v>
      </c>
      <c r="AT93" s="1156" t="str">
        <f t="shared" si="125"/>
        <v xml:space="preserve"> </v>
      </c>
    </row>
    <row r="94" spans="1:46" ht="15" customHeight="1">
      <c r="A94" s="85" t="s">
        <v>530</v>
      </c>
      <c r="G94" s="298">
        <v>1</v>
      </c>
      <c r="H94" s="301"/>
      <c r="I94" s="301">
        <f t="shared" ref="I94:AM94" si="126">IF(ISNUMBER(I54),$G94*(I54-H54)," ")</f>
        <v>1070</v>
      </c>
      <c r="J94" s="301">
        <f t="shared" si="126"/>
        <v>1110</v>
      </c>
      <c r="K94" s="301">
        <f t="shared" si="126"/>
        <v>1090</v>
      </c>
      <c r="L94" s="301">
        <f t="shared" si="126"/>
        <v>2800</v>
      </c>
      <c r="M94" s="301">
        <f t="shared" si="126"/>
        <v>3970</v>
      </c>
      <c r="N94" s="301">
        <f t="shared" si="126"/>
        <v>6770</v>
      </c>
      <c r="O94" s="301">
        <f t="shared" si="126"/>
        <v>10250</v>
      </c>
      <c r="P94" s="301">
        <f t="shared" si="126"/>
        <v>10630</v>
      </c>
      <c r="Q94" s="301">
        <f t="shared" si="126"/>
        <v>8400</v>
      </c>
      <c r="R94" s="301">
        <f t="shared" si="126"/>
        <v>7370</v>
      </c>
      <c r="S94" s="301">
        <f t="shared" si="126"/>
        <v>5780</v>
      </c>
      <c r="T94" s="301">
        <f t="shared" si="126"/>
        <v>2150</v>
      </c>
      <c r="U94" s="301">
        <f t="shared" si="126"/>
        <v>1290</v>
      </c>
      <c r="V94" s="301">
        <f t="shared" si="126"/>
        <v>260</v>
      </c>
      <c r="W94" s="301">
        <f t="shared" si="126"/>
        <v>540</v>
      </c>
      <c r="X94" s="301">
        <f t="shared" si="126"/>
        <v>1720</v>
      </c>
      <c r="Y94" s="301">
        <f t="shared" si="126"/>
        <v>2620</v>
      </c>
      <c r="Z94" s="301">
        <f t="shared" si="126"/>
        <v>5900</v>
      </c>
      <c r="AA94" s="301">
        <f t="shared" si="126"/>
        <v>6590</v>
      </c>
      <c r="AB94" s="301">
        <f t="shared" si="126"/>
        <v>5660</v>
      </c>
      <c r="AC94" s="301">
        <f t="shared" si="126"/>
        <v>7020</v>
      </c>
      <c r="AD94" s="301">
        <f t="shared" si="126"/>
        <v>3880</v>
      </c>
      <c r="AE94" s="301">
        <f t="shared" si="126"/>
        <v>4400</v>
      </c>
      <c r="AF94" s="301">
        <f t="shared" si="126"/>
        <v>4080</v>
      </c>
      <c r="AG94" s="1154">
        <f t="shared" si="126"/>
        <v>2180</v>
      </c>
      <c r="AH94" s="1160">
        <f t="shared" si="126"/>
        <v>2160</v>
      </c>
      <c r="AI94" s="301">
        <f t="shared" si="126"/>
        <v>1790</v>
      </c>
      <c r="AJ94" s="301">
        <f t="shared" si="126"/>
        <v>4840</v>
      </c>
      <c r="AK94" s="301">
        <f t="shared" si="126"/>
        <v>5560</v>
      </c>
      <c r="AL94" s="301">
        <f t="shared" si="126"/>
        <v>10690</v>
      </c>
      <c r="AM94" s="301">
        <f t="shared" si="126"/>
        <v>9340</v>
      </c>
      <c r="AN94" s="301">
        <f t="shared" ref="AN94:AN100" si="127">IF(ISNUMBER(AN54),$G94*(AN54-AM54)," ")</f>
        <v>12140</v>
      </c>
      <c r="AO94" s="301">
        <f t="shared" ref="AO94:AO100" si="128">IF(ISNUMBER(AO54),$G94*(AO54-AN54)," ")</f>
        <v>10000</v>
      </c>
      <c r="AP94" s="301">
        <f t="shared" ref="AP94:AQ100" si="129">IF(ISNUMBER(AP54),$G94*(AP54-AO54)," ")</f>
        <v>7790</v>
      </c>
      <c r="AQ94" s="301">
        <f t="shared" si="129"/>
        <v>7320</v>
      </c>
      <c r="AR94" s="301" t="str">
        <f t="shared" ref="AR94:AS100" si="130">IF(ISNUMBER(BE54),$G94*(BE54-BD54)," ")</f>
        <v xml:space="preserve"> </v>
      </c>
      <c r="AS94" s="1161" t="str">
        <f t="shared" si="130"/>
        <v xml:space="preserve"> </v>
      </c>
      <c r="AT94" s="1156" t="str">
        <f t="shared" ref="AT94:AT100" si="131">IF(ISNUMBER(BG54),$G94*(BG54-BF54)," ")</f>
        <v xml:space="preserve"> </v>
      </c>
    </row>
    <row r="95" spans="1:46" ht="15" customHeight="1">
      <c r="A95" s="85" t="s">
        <v>531</v>
      </c>
      <c r="G95" s="298">
        <v>1</v>
      </c>
      <c r="H95" s="301"/>
      <c r="I95" s="301">
        <f t="shared" ref="I95:AM95" si="132">IF(ISNUMBER(I55),$G95*(I55-H55)," ")</f>
        <v>0</v>
      </c>
      <c r="J95" s="301">
        <f t="shared" si="132"/>
        <v>0</v>
      </c>
      <c r="K95" s="301">
        <f t="shared" si="132"/>
        <v>0</v>
      </c>
      <c r="L95" s="301">
        <f t="shared" si="132"/>
        <v>0</v>
      </c>
      <c r="M95" s="301">
        <f t="shared" si="132"/>
        <v>0</v>
      </c>
      <c r="N95" s="301">
        <f t="shared" si="132"/>
        <v>0</v>
      </c>
      <c r="O95" s="301">
        <f t="shared" si="132"/>
        <v>0</v>
      </c>
      <c r="P95" s="301">
        <f t="shared" si="132"/>
        <v>0</v>
      </c>
      <c r="Q95" s="301">
        <f t="shared" si="132"/>
        <v>0</v>
      </c>
      <c r="R95" s="301">
        <f t="shared" si="132"/>
        <v>0</v>
      </c>
      <c r="S95" s="301">
        <f t="shared" si="132"/>
        <v>0</v>
      </c>
      <c r="T95" s="301">
        <f t="shared" si="132"/>
        <v>0</v>
      </c>
      <c r="U95" s="301">
        <f t="shared" si="132"/>
        <v>0</v>
      </c>
      <c r="V95" s="301">
        <f t="shared" si="132"/>
        <v>0</v>
      </c>
      <c r="W95" s="301">
        <f t="shared" si="132"/>
        <v>0</v>
      </c>
      <c r="X95" s="301">
        <f t="shared" si="132"/>
        <v>0</v>
      </c>
      <c r="Y95" s="301">
        <f t="shared" si="132"/>
        <v>0</v>
      </c>
      <c r="Z95" s="301">
        <f t="shared" si="132"/>
        <v>0</v>
      </c>
      <c r="AA95" s="301">
        <f t="shared" si="132"/>
        <v>0</v>
      </c>
      <c r="AB95" s="301">
        <f t="shared" si="132"/>
        <v>0</v>
      </c>
      <c r="AC95" s="301">
        <f t="shared" si="132"/>
        <v>0</v>
      </c>
      <c r="AD95" s="301">
        <f t="shared" si="132"/>
        <v>0</v>
      </c>
      <c r="AE95" s="301">
        <f t="shared" si="132"/>
        <v>0</v>
      </c>
      <c r="AF95" s="301">
        <f t="shared" si="132"/>
        <v>0</v>
      </c>
      <c r="AG95" s="1154">
        <f t="shared" si="132"/>
        <v>0</v>
      </c>
      <c r="AH95" s="1160">
        <f t="shared" si="132"/>
        <v>0</v>
      </c>
      <c r="AI95" s="301">
        <f t="shared" si="132"/>
        <v>0</v>
      </c>
      <c r="AJ95" s="301">
        <f t="shared" si="132"/>
        <v>0</v>
      </c>
      <c r="AK95" s="301">
        <f t="shared" si="132"/>
        <v>0</v>
      </c>
      <c r="AL95" s="301">
        <f t="shared" si="132"/>
        <v>0</v>
      </c>
      <c r="AM95" s="301">
        <f t="shared" si="132"/>
        <v>0</v>
      </c>
      <c r="AN95" s="301">
        <f t="shared" si="127"/>
        <v>0</v>
      </c>
      <c r="AO95" s="301">
        <f t="shared" si="128"/>
        <v>0</v>
      </c>
      <c r="AP95" s="301">
        <f t="shared" si="129"/>
        <v>0</v>
      </c>
      <c r="AQ95" s="301">
        <f t="shared" si="129"/>
        <v>0</v>
      </c>
      <c r="AR95" s="301" t="str">
        <f t="shared" si="130"/>
        <v xml:space="preserve"> </v>
      </c>
      <c r="AS95" s="1161" t="str">
        <f t="shared" si="130"/>
        <v xml:space="preserve"> </v>
      </c>
      <c r="AT95" s="1156" t="str">
        <f t="shared" si="131"/>
        <v xml:space="preserve"> </v>
      </c>
    </row>
    <row r="96" spans="1:46" ht="15" customHeight="1">
      <c r="A96" s="183" t="s">
        <v>532</v>
      </c>
      <c r="G96" s="298">
        <v>1</v>
      </c>
      <c r="H96" s="301"/>
      <c r="I96" s="301">
        <f t="shared" ref="I96:AM96" si="133">IF(ISNUMBER(I56),$G96*(I56-H56)," ")</f>
        <v>0</v>
      </c>
      <c r="J96" s="301">
        <f t="shared" si="133"/>
        <v>0</v>
      </c>
      <c r="K96" s="301">
        <f t="shared" si="133"/>
        <v>0</v>
      </c>
      <c r="L96" s="301">
        <f t="shared" si="133"/>
        <v>0</v>
      </c>
      <c r="M96" s="301">
        <f t="shared" si="133"/>
        <v>0</v>
      </c>
      <c r="N96" s="301">
        <f t="shared" si="133"/>
        <v>0</v>
      </c>
      <c r="O96" s="301">
        <f t="shared" si="133"/>
        <v>0</v>
      </c>
      <c r="P96" s="301">
        <f t="shared" si="133"/>
        <v>0</v>
      </c>
      <c r="Q96" s="301">
        <f t="shared" si="133"/>
        <v>0</v>
      </c>
      <c r="R96" s="301">
        <f t="shared" si="133"/>
        <v>0</v>
      </c>
      <c r="S96" s="301">
        <f t="shared" si="133"/>
        <v>0</v>
      </c>
      <c r="T96" s="301">
        <f t="shared" si="133"/>
        <v>0</v>
      </c>
      <c r="U96" s="301">
        <f t="shared" si="133"/>
        <v>0</v>
      </c>
      <c r="V96" s="301">
        <f t="shared" si="133"/>
        <v>0</v>
      </c>
      <c r="W96" s="301">
        <f t="shared" si="133"/>
        <v>0</v>
      </c>
      <c r="X96" s="301">
        <f t="shared" si="133"/>
        <v>0</v>
      </c>
      <c r="Y96" s="301">
        <f t="shared" si="133"/>
        <v>0</v>
      </c>
      <c r="Z96" s="301">
        <f t="shared" si="133"/>
        <v>0</v>
      </c>
      <c r="AA96" s="301">
        <f t="shared" si="133"/>
        <v>0</v>
      </c>
      <c r="AB96" s="301">
        <f t="shared" si="133"/>
        <v>0</v>
      </c>
      <c r="AC96" s="301">
        <f t="shared" si="133"/>
        <v>0</v>
      </c>
      <c r="AD96" s="301">
        <f t="shared" si="133"/>
        <v>0</v>
      </c>
      <c r="AE96" s="301">
        <f t="shared" si="133"/>
        <v>0</v>
      </c>
      <c r="AF96" s="301">
        <f t="shared" si="133"/>
        <v>0</v>
      </c>
      <c r="AG96" s="1154">
        <f t="shared" si="133"/>
        <v>0</v>
      </c>
      <c r="AH96" s="1160">
        <f t="shared" si="133"/>
        <v>0</v>
      </c>
      <c r="AI96" s="301">
        <f t="shared" si="133"/>
        <v>0</v>
      </c>
      <c r="AJ96" s="301">
        <f t="shared" si="133"/>
        <v>0</v>
      </c>
      <c r="AK96" s="301">
        <f t="shared" si="133"/>
        <v>0</v>
      </c>
      <c r="AL96" s="1279">
        <f t="shared" si="133"/>
        <v>0</v>
      </c>
      <c r="AM96" s="1279">
        <f t="shared" si="133"/>
        <v>0</v>
      </c>
      <c r="AN96" s="1279">
        <f t="shared" si="127"/>
        <v>0</v>
      </c>
      <c r="AO96" s="1279">
        <f t="shared" si="128"/>
        <v>0</v>
      </c>
      <c r="AP96" s="1279">
        <f t="shared" si="129"/>
        <v>0</v>
      </c>
      <c r="AQ96" s="1279">
        <f t="shared" si="129"/>
        <v>0</v>
      </c>
      <c r="AR96" s="301" t="str">
        <f t="shared" si="130"/>
        <v xml:space="preserve"> </v>
      </c>
      <c r="AS96" s="1161" t="str">
        <f t="shared" si="130"/>
        <v xml:space="preserve"> </v>
      </c>
      <c r="AT96" s="1156" t="str">
        <f t="shared" si="131"/>
        <v xml:space="preserve"> </v>
      </c>
    </row>
    <row r="97" spans="1:46" ht="15" customHeight="1">
      <c r="A97" s="85" t="s">
        <v>533</v>
      </c>
      <c r="G97" s="299">
        <v>1</v>
      </c>
      <c r="H97" s="301"/>
      <c r="I97" s="301">
        <f t="shared" ref="I97:AM97" si="134">IF(ISNUMBER(I57),$G97*(I57-H57)," ")</f>
        <v>66600</v>
      </c>
      <c r="J97" s="301">
        <f t="shared" si="134"/>
        <v>76300</v>
      </c>
      <c r="K97" s="301">
        <f t="shared" si="134"/>
        <v>73200</v>
      </c>
      <c r="L97" s="301">
        <f t="shared" si="134"/>
        <v>77300</v>
      </c>
      <c r="M97" s="301">
        <f t="shared" si="134"/>
        <v>91400</v>
      </c>
      <c r="N97" s="301">
        <f t="shared" si="134"/>
        <v>161500</v>
      </c>
      <c r="O97" s="301">
        <f t="shared" si="134"/>
        <v>227500</v>
      </c>
      <c r="P97" s="301">
        <f t="shared" si="134"/>
        <v>259000</v>
      </c>
      <c r="Q97" s="301">
        <f t="shared" si="134"/>
        <v>181900</v>
      </c>
      <c r="R97" s="301">
        <f t="shared" si="134"/>
        <v>197000</v>
      </c>
      <c r="S97" s="301">
        <f t="shared" si="134"/>
        <v>182200</v>
      </c>
      <c r="T97" s="301">
        <f t="shared" si="134"/>
        <v>84500</v>
      </c>
      <c r="U97" s="301">
        <f t="shared" si="134"/>
        <v>74300</v>
      </c>
      <c r="V97" s="301">
        <f t="shared" si="134"/>
        <v>39800</v>
      </c>
      <c r="W97" s="301">
        <f t="shared" si="134"/>
        <v>32900</v>
      </c>
      <c r="X97" s="301">
        <f t="shared" si="134"/>
        <v>52200</v>
      </c>
      <c r="Y97" s="301">
        <f t="shared" si="134"/>
        <v>92000</v>
      </c>
      <c r="Z97" s="301">
        <f t="shared" si="134"/>
        <v>107300</v>
      </c>
      <c r="AA97" s="301">
        <f t="shared" si="134"/>
        <v>158000</v>
      </c>
      <c r="AB97" s="301">
        <f t="shared" si="134"/>
        <v>184100</v>
      </c>
      <c r="AC97" s="301">
        <f t="shared" si="134"/>
        <v>177600</v>
      </c>
      <c r="AD97" s="301">
        <f t="shared" si="134"/>
        <v>132200</v>
      </c>
      <c r="AE97" s="301">
        <f t="shared" si="134"/>
        <v>119800</v>
      </c>
      <c r="AF97" s="301">
        <f t="shared" si="134"/>
        <v>103800</v>
      </c>
      <c r="AG97" s="1154">
        <f t="shared" si="134"/>
        <v>88900</v>
      </c>
      <c r="AH97" s="1160">
        <f t="shared" si="134"/>
        <v>84300</v>
      </c>
      <c r="AI97" s="301">
        <f t="shared" si="134"/>
        <v>96400</v>
      </c>
      <c r="AJ97" s="301">
        <f t="shared" si="134"/>
        <v>96100</v>
      </c>
      <c r="AK97" s="1154">
        <f t="shared" si="134"/>
        <v>98700</v>
      </c>
      <c r="AL97" s="1291">
        <f t="shared" si="134"/>
        <v>163600</v>
      </c>
      <c r="AM97" s="1291">
        <f t="shared" si="134"/>
        <v>169000</v>
      </c>
      <c r="AN97" s="1291">
        <f t="shared" si="127"/>
        <v>184400</v>
      </c>
      <c r="AO97" s="1291">
        <f t="shared" si="128"/>
        <v>184500</v>
      </c>
      <c r="AP97" s="1291">
        <f t="shared" si="129"/>
        <v>146000</v>
      </c>
      <c r="AQ97" s="1291">
        <f t="shared" si="129"/>
        <v>138400</v>
      </c>
      <c r="AR97" s="301" t="str">
        <f t="shared" si="130"/>
        <v xml:space="preserve"> </v>
      </c>
      <c r="AS97" s="1161" t="str">
        <f t="shared" si="130"/>
        <v xml:space="preserve"> </v>
      </c>
      <c r="AT97" s="1156" t="str">
        <f t="shared" si="131"/>
        <v xml:space="preserve"> </v>
      </c>
    </row>
    <row r="98" spans="1:46" ht="15" customHeight="1">
      <c r="A98" s="85" t="s">
        <v>534</v>
      </c>
      <c r="G98" s="299">
        <v>1</v>
      </c>
      <c r="H98" s="301"/>
      <c r="I98" s="301">
        <f t="shared" ref="I98:AM98" si="135">IF(ISNUMBER(I58),$G98*(I58-H58)," ")</f>
        <v>8900</v>
      </c>
      <c r="J98" s="301">
        <f t="shared" si="135"/>
        <v>6200</v>
      </c>
      <c r="K98" s="301">
        <f t="shared" si="135"/>
        <v>8900</v>
      </c>
      <c r="L98" s="301">
        <f t="shared" si="135"/>
        <v>10600</v>
      </c>
      <c r="M98" s="301">
        <f t="shared" si="135"/>
        <v>18900</v>
      </c>
      <c r="N98" s="301">
        <f t="shared" si="135"/>
        <v>34700</v>
      </c>
      <c r="O98" s="301">
        <f t="shared" si="135"/>
        <v>50700</v>
      </c>
      <c r="P98" s="301">
        <f t="shared" si="135"/>
        <v>73200</v>
      </c>
      <c r="Q98" s="301">
        <f t="shared" si="135"/>
        <v>31200</v>
      </c>
      <c r="R98" s="301">
        <f t="shared" si="135"/>
        <v>33900</v>
      </c>
      <c r="S98" s="301">
        <f t="shared" si="135"/>
        <v>29800</v>
      </c>
      <c r="T98" s="301">
        <f t="shared" si="135"/>
        <v>9500</v>
      </c>
      <c r="U98" s="301">
        <f t="shared" si="135"/>
        <v>9400</v>
      </c>
      <c r="V98" s="301">
        <f t="shared" si="135"/>
        <v>3000</v>
      </c>
      <c r="W98" s="301">
        <f t="shared" si="135"/>
        <v>-1350240</v>
      </c>
      <c r="X98" s="301">
        <f t="shared" si="135"/>
        <v>1366340</v>
      </c>
      <c r="Y98" s="301">
        <f t="shared" si="135"/>
        <v>17700</v>
      </c>
      <c r="Z98" s="301">
        <f t="shared" si="135"/>
        <v>28600</v>
      </c>
      <c r="AA98" s="301">
        <f t="shared" si="135"/>
        <v>37300</v>
      </c>
      <c r="AB98" s="301">
        <f t="shared" si="135"/>
        <v>48600</v>
      </c>
      <c r="AC98" s="301">
        <f t="shared" si="135"/>
        <v>44200</v>
      </c>
      <c r="AD98" s="301">
        <f t="shared" si="135"/>
        <v>30100</v>
      </c>
      <c r="AE98" s="301">
        <f t="shared" si="135"/>
        <v>2900</v>
      </c>
      <c r="AF98" s="301">
        <f t="shared" si="135"/>
        <v>900</v>
      </c>
      <c r="AG98" s="1154">
        <f t="shared" si="135"/>
        <v>0</v>
      </c>
      <c r="AH98" s="1160">
        <f t="shared" si="135"/>
        <v>100</v>
      </c>
      <c r="AI98" s="301">
        <f t="shared" si="135"/>
        <v>0</v>
      </c>
      <c r="AJ98" s="301">
        <f t="shared" si="135"/>
        <v>0</v>
      </c>
      <c r="AK98" s="1154">
        <f t="shared" si="135"/>
        <v>23100</v>
      </c>
      <c r="AL98" s="1292">
        <f t="shared" si="135"/>
        <v>46000</v>
      </c>
      <c r="AM98" s="1292">
        <f t="shared" si="135"/>
        <v>32400</v>
      </c>
      <c r="AN98" s="1292">
        <f t="shared" si="127"/>
        <v>47200</v>
      </c>
      <c r="AO98" s="1292">
        <f t="shared" si="128"/>
        <v>41200</v>
      </c>
      <c r="AP98" s="1292">
        <f t="shared" si="129"/>
        <v>24500</v>
      </c>
      <c r="AQ98" s="1292">
        <f t="shared" si="129"/>
        <v>21200</v>
      </c>
      <c r="AR98" s="301" t="str">
        <f t="shared" si="130"/>
        <v xml:space="preserve"> </v>
      </c>
      <c r="AS98" s="1161" t="str">
        <f t="shared" si="130"/>
        <v xml:space="preserve"> </v>
      </c>
      <c r="AT98" s="1156" t="str">
        <f t="shared" si="131"/>
        <v xml:space="preserve"> </v>
      </c>
    </row>
    <row r="99" spans="1:46" ht="15" customHeight="1">
      <c r="A99" s="183" t="s">
        <v>535</v>
      </c>
      <c r="B99" s="80">
        <v>2562</v>
      </c>
      <c r="C99" s="80" t="s">
        <v>527</v>
      </c>
      <c r="G99" s="299">
        <v>1000</v>
      </c>
      <c r="H99" s="301"/>
      <c r="I99" s="301">
        <f t="shared" ref="I99:AM99" si="136">IF(ISNUMBER(I59),$G99*(I59-H59)," ")</f>
        <v>16159.999999999854</v>
      </c>
      <c r="J99" s="301">
        <f t="shared" si="136"/>
        <v>13950.000000000045</v>
      </c>
      <c r="K99" s="301">
        <f t="shared" si="136"/>
        <v>13000</v>
      </c>
      <c r="L99" s="301">
        <f t="shared" si="136"/>
        <v>18650.000000000091</v>
      </c>
      <c r="M99" s="301">
        <f t="shared" si="136"/>
        <v>20019.999999999982</v>
      </c>
      <c r="N99" s="301">
        <f t="shared" si="136"/>
        <v>29029.999999999971</v>
      </c>
      <c r="O99" s="301">
        <f t="shared" si="136"/>
        <v>40099.999999999913</v>
      </c>
      <c r="P99" s="301">
        <f t="shared" si="136"/>
        <v>35000</v>
      </c>
      <c r="Q99" s="301">
        <f t="shared" si="136"/>
        <v>44100.000000000138</v>
      </c>
      <c r="R99" s="301">
        <f t="shared" si="136"/>
        <v>37399.999999999862</v>
      </c>
      <c r="S99" s="301">
        <f t="shared" si="136"/>
        <v>31600.000000000138</v>
      </c>
      <c r="T99" s="301">
        <f t="shared" si="136"/>
        <v>18899.999999999862</v>
      </c>
      <c r="U99" s="301">
        <f t="shared" si="136"/>
        <v>18299.999999999956</v>
      </c>
      <c r="V99" s="301">
        <f t="shared" si="136"/>
        <v>7900.0000000000909</v>
      </c>
      <c r="W99" s="301">
        <f t="shared" si="136"/>
        <v>8500</v>
      </c>
      <c r="X99" s="301">
        <f t="shared" si="136"/>
        <v>19500</v>
      </c>
      <c r="Y99" s="301">
        <f t="shared" si="136"/>
        <v>22000</v>
      </c>
      <c r="Z99" s="301">
        <f t="shared" si="136"/>
        <v>31299.999999999956</v>
      </c>
      <c r="AA99" s="301">
        <f t="shared" si="136"/>
        <v>40700.000000000044</v>
      </c>
      <c r="AB99" s="301">
        <f t="shared" si="136"/>
        <v>46599.999999999913</v>
      </c>
      <c r="AC99" s="301">
        <f t="shared" si="136"/>
        <v>48400.000000000087</v>
      </c>
      <c r="AD99" s="301">
        <f t="shared" si="136"/>
        <v>33000</v>
      </c>
      <c r="AE99" s="301">
        <f t="shared" si="136"/>
        <v>28000</v>
      </c>
      <c r="AF99" s="301">
        <f t="shared" si="136"/>
        <v>22000</v>
      </c>
      <c r="AG99" s="1154">
        <f t="shared" si="136"/>
        <v>25000</v>
      </c>
      <c r="AH99" s="1160">
        <f t="shared" si="136"/>
        <v>18000</v>
      </c>
      <c r="AI99" s="301">
        <f t="shared" si="136"/>
        <v>11000</v>
      </c>
      <c r="AJ99" s="301">
        <f t="shared" si="136"/>
        <v>25500</v>
      </c>
      <c r="AK99" s="1278">
        <f t="shared" si="136"/>
        <v>30000</v>
      </c>
      <c r="AL99" s="1293">
        <f t="shared" si="136"/>
        <v>31000</v>
      </c>
      <c r="AM99" s="1293">
        <f t="shared" si="136"/>
        <v>31000</v>
      </c>
      <c r="AN99" s="1293">
        <f t="shared" si="127"/>
        <v>65500</v>
      </c>
      <c r="AO99" s="1293">
        <f t="shared" si="128"/>
        <v>36000</v>
      </c>
      <c r="AP99" s="1293">
        <f t="shared" si="129"/>
        <v>35000</v>
      </c>
      <c r="AQ99" s="1293">
        <f t="shared" si="129"/>
        <v>27000</v>
      </c>
      <c r="AR99" s="301" t="str">
        <f t="shared" si="130"/>
        <v xml:space="preserve"> </v>
      </c>
      <c r="AS99" s="1161" t="str">
        <f t="shared" si="130"/>
        <v xml:space="preserve"> </v>
      </c>
      <c r="AT99" s="1156" t="str">
        <f t="shared" si="131"/>
        <v xml:space="preserve"> </v>
      </c>
    </row>
    <row r="100" spans="1:46" ht="15" customHeight="1">
      <c r="A100" s="85" t="s">
        <v>536</v>
      </c>
      <c r="B100" s="80">
        <v>21761</v>
      </c>
      <c r="C100" s="80" t="s">
        <v>527</v>
      </c>
      <c r="G100" s="298">
        <v>1000</v>
      </c>
      <c r="H100" s="303"/>
      <c r="I100" s="301">
        <f t="shared" ref="I100:AJ100" si="137">IF(ISNUMBER(I60),$G100*(I60-H60)," ")</f>
        <v>59000</v>
      </c>
      <c r="J100" s="301">
        <f t="shared" si="137"/>
        <v>23000</v>
      </c>
      <c r="K100" s="301">
        <f t="shared" si="137"/>
        <v>34000</v>
      </c>
      <c r="L100" s="301">
        <f t="shared" si="137"/>
        <v>20000</v>
      </c>
      <c r="M100" s="301">
        <f t="shared" si="137"/>
        <v>48000</v>
      </c>
      <c r="N100" s="301">
        <f t="shared" si="137"/>
        <v>68000</v>
      </c>
      <c r="O100" s="301">
        <f t="shared" si="137"/>
        <v>110000</v>
      </c>
      <c r="P100" s="301">
        <f t="shared" si="137"/>
        <v>175000</v>
      </c>
      <c r="Q100" s="301">
        <f t="shared" si="137"/>
        <v>108000</v>
      </c>
      <c r="R100" s="301">
        <f t="shared" si="137"/>
        <v>83000</v>
      </c>
      <c r="S100" s="301">
        <f t="shared" si="137"/>
        <v>82000</v>
      </c>
      <c r="T100" s="301">
        <f t="shared" si="137"/>
        <v>52000</v>
      </c>
      <c r="U100" s="301">
        <f t="shared" si="137"/>
        <v>35000</v>
      </c>
      <c r="V100" s="301">
        <f t="shared" si="137"/>
        <v>19799.999999999272</v>
      </c>
      <c r="W100" s="301">
        <f t="shared" si="137"/>
        <v>25200.000000000728</v>
      </c>
      <c r="X100" s="301">
        <f t="shared" si="137"/>
        <v>58159.999999999854</v>
      </c>
      <c r="Y100" s="301">
        <f t="shared" si="137"/>
        <v>80840.000000000146</v>
      </c>
      <c r="Z100" s="301">
        <f t="shared" si="137"/>
        <v>121000</v>
      </c>
      <c r="AA100" s="301">
        <f t="shared" si="137"/>
        <v>118000</v>
      </c>
      <c r="AB100" s="301">
        <f t="shared" si="137"/>
        <v>143000</v>
      </c>
      <c r="AC100" s="301">
        <f t="shared" si="137"/>
        <v>139000</v>
      </c>
      <c r="AD100" s="301">
        <f t="shared" si="137"/>
        <v>135000</v>
      </c>
      <c r="AE100" s="301">
        <f t="shared" si="137"/>
        <v>61540.000000000873</v>
      </c>
      <c r="AF100" s="301">
        <f t="shared" si="137"/>
        <v>62459.999999999127</v>
      </c>
      <c r="AG100" s="1154">
        <f t="shared" si="137"/>
        <v>51000</v>
      </c>
      <c r="AH100" s="1160">
        <f t="shared" si="137"/>
        <v>27000</v>
      </c>
      <c r="AI100" s="301">
        <f t="shared" si="137"/>
        <v>36000</v>
      </c>
      <c r="AJ100" s="301">
        <f t="shared" si="137"/>
        <v>110000</v>
      </c>
      <c r="AK100" s="301">
        <f>IF(ISNUMBER(AK60),$G100*(AK60-AJ60)," ")</f>
        <v>101340.00000000015</v>
      </c>
      <c r="AL100" s="1280">
        <f>IF(ISNUMBER(AL60),$G100*(AL60-AK60)," ")</f>
        <v>145659.99999999985</v>
      </c>
      <c r="AM100" s="1280">
        <f>IF(ISNUMBER(AM60),$G100*(AM60-AL60)," ")</f>
        <v>120000</v>
      </c>
      <c r="AN100" s="1280">
        <f t="shared" si="127"/>
        <v>177000</v>
      </c>
      <c r="AO100" s="1280">
        <f t="shared" si="128"/>
        <v>130000</v>
      </c>
      <c r="AP100" s="1280">
        <f t="shared" si="129"/>
        <v>140000</v>
      </c>
      <c r="AQ100" s="1280">
        <f t="shared" si="129"/>
        <v>112000</v>
      </c>
      <c r="AR100" s="301" t="str">
        <f t="shared" si="130"/>
        <v xml:space="preserve"> </v>
      </c>
      <c r="AS100" s="1161" t="str">
        <f t="shared" si="130"/>
        <v xml:space="preserve"> </v>
      </c>
      <c r="AT100" s="1156" t="str">
        <f t="shared" si="131"/>
        <v xml:space="preserve"> </v>
      </c>
    </row>
    <row r="101" spans="1:46" ht="15" customHeight="1">
      <c r="A101" s="183" t="s">
        <v>537</v>
      </c>
      <c r="G101" s="299">
        <v>1</v>
      </c>
      <c r="H101" s="301"/>
      <c r="I101" s="301">
        <f t="shared" ref="I101:AM101" si="138">IF(ISNUMBER(I62),$G101*(I62-H62)," ")</f>
        <v>46878</v>
      </c>
      <c r="J101" s="301">
        <f t="shared" si="138"/>
        <v>25201</v>
      </c>
      <c r="K101" s="301">
        <f t="shared" si="138"/>
        <v>25201</v>
      </c>
      <c r="L101" s="301">
        <f t="shared" si="138"/>
        <v>53387</v>
      </c>
      <c r="M101" s="301">
        <f t="shared" si="138"/>
        <v>41302</v>
      </c>
      <c r="N101" s="301">
        <f t="shared" si="138"/>
        <v>64901</v>
      </c>
      <c r="O101" s="301">
        <f t="shared" si="138"/>
        <v>74966</v>
      </c>
      <c r="P101" s="301">
        <f t="shared" si="138"/>
        <v>92625</v>
      </c>
      <c r="Q101" s="301">
        <f t="shared" si="138"/>
        <v>54011</v>
      </c>
      <c r="R101" s="301">
        <f t="shared" si="138"/>
        <v>63857</v>
      </c>
      <c r="S101" s="301">
        <f t="shared" si="138"/>
        <v>59409</v>
      </c>
      <c r="T101" s="301">
        <f t="shared" si="138"/>
        <v>29493</v>
      </c>
      <c r="U101" s="301">
        <f t="shared" si="138"/>
        <v>37334.333333333489</v>
      </c>
      <c r="V101" s="301">
        <f t="shared" si="138"/>
        <v>37334.333333333023</v>
      </c>
      <c r="W101" s="301">
        <f t="shared" si="138"/>
        <v>37334.333333333489</v>
      </c>
      <c r="X101" s="301">
        <f t="shared" si="138"/>
        <v>54523</v>
      </c>
      <c r="Y101" s="301">
        <f t="shared" si="138"/>
        <v>54651</v>
      </c>
      <c r="Z101" s="301">
        <f t="shared" si="138"/>
        <v>65143</v>
      </c>
      <c r="AA101" s="301">
        <f t="shared" si="138"/>
        <v>80668</v>
      </c>
      <c r="AB101" s="301">
        <f t="shared" si="138"/>
        <v>97461</v>
      </c>
      <c r="AC101" s="301">
        <f t="shared" si="138"/>
        <v>93364</v>
      </c>
      <c r="AD101" s="301">
        <f t="shared" si="138"/>
        <v>69675</v>
      </c>
      <c r="AE101" s="301">
        <f t="shared" si="138"/>
        <v>38292</v>
      </c>
      <c r="AF101" s="301">
        <f t="shared" si="138"/>
        <v>46031</v>
      </c>
      <c r="AG101" s="1154">
        <f t="shared" si="138"/>
        <v>29125</v>
      </c>
      <c r="AH101" s="1160">
        <f t="shared" si="138"/>
        <v>26655</v>
      </c>
      <c r="AI101" s="301">
        <f t="shared" si="138"/>
        <v>20095</v>
      </c>
      <c r="AJ101" s="301">
        <f t="shared" si="138"/>
        <v>44984</v>
      </c>
      <c r="AK101" s="301">
        <f t="shared" si="138"/>
        <v>61883</v>
      </c>
      <c r="AL101" s="301">
        <f t="shared" si="138"/>
        <v>85290</v>
      </c>
      <c r="AM101" s="301">
        <f t="shared" si="138"/>
        <v>63962</v>
      </c>
      <c r="AN101" s="301">
        <f t="shared" ref="AN101:AN102" si="139">IF(ISNUMBER(AN62),$G101*(AN62-AM62)," ")</f>
        <v>38853</v>
      </c>
      <c r="AO101" s="301">
        <f t="shared" ref="AO101:AO102" si="140">IF(ISNUMBER(AO62),$G101*(AO62-AN62)," ")</f>
        <v>96742</v>
      </c>
      <c r="AP101" s="301">
        <f t="shared" ref="AP101:AQ102" si="141">IF(ISNUMBER(AP62),$G101*(AP62-AO62)," ")</f>
        <v>59771</v>
      </c>
      <c r="AQ101" s="301">
        <f t="shared" si="141"/>
        <v>51579</v>
      </c>
      <c r="AR101" s="301" t="str">
        <f>IF(ISNUMBER(BE62),$G101*(BE62-BD62)," ")</f>
        <v xml:space="preserve"> </v>
      </c>
      <c r="AS101" s="1161" t="str">
        <f>IF(ISNUMBER(BF62),$G101*(BF62-BE62)," ")</f>
        <v xml:space="preserve"> </v>
      </c>
      <c r="AT101" s="1156" t="str">
        <f t="shared" ref="AT101:AT102" si="142">IF(ISNUMBER(BG62),$G101*(BG62-BF62)," ")</f>
        <v xml:space="preserve"> </v>
      </c>
    </row>
    <row r="102" spans="1:46" ht="15" customHeight="1">
      <c r="A102" s="183" t="s">
        <v>538</v>
      </c>
      <c r="G102" s="300">
        <v>1</v>
      </c>
      <c r="H102" s="457"/>
      <c r="I102" s="301">
        <f t="shared" ref="I102:W102" si="143">IF(ISNUMBER(I63),$G102*(I63-H63)," ")</f>
        <v>50196</v>
      </c>
      <c r="J102" s="301">
        <f t="shared" si="143"/>
        <v>26971</v>
      </c>
      <c r="K102" s="301">
        <f t="shared" si="143"/>
        <v>26971</v>
      </c>
      <c r="L102" s="301">
        <f t="shared" si="143"/>
        <v>49980</v>
      </c>
      <c r="M102" s="301">
        <f t="shared" si="143"/>
        <v>39762</v>
      </c>
      <c r="N102" s="301">
        <f t="shared" si="143"/>
        <v>60585</v>
      </c>
      <c r="O102" s="301">
        <f t="shared" si="143"/>
        <v>56970</v>
      </c>
      <c r="P102" s="301">
        <f t="shared" si="143"/>
        <v>84777</v>
      </c>
      <c r="Q102" s="301">
        <f t="shared" si="143"/>
        <v>37520</v>
      </c>
      <c r="R102" s="301">
        <f t="shared" si="143"/>
        <v>23015</v>
      </c>
      <c r="S102" s="301">
        <f t="shared" si="143"/>
        <v>359</v>
      </c>
      <c r="T102" s="301">
        <f t="shared" si="143"/>
        <v>150</v>
      </c>
      <c r="U102" s="301">
        <f t="shared" si="143"/>
        <v>10000</v>
      </c>
      <c r="V102" s="301">
        <f t="shared" si="143"/>
        <v>10000</v>
      </c>
      <c r="W102" s="301">
        <f t="shared" si="143"/>
        <v>20205</v>
      </c>
      <c r="X102" s="301">
        <v>12855</v>
      </c>
      <c r="Y102" s="301">
        <f t="shared" ref="Y102:AM102" si="144">IF(ISNUMBER(Y63),$G102*(Y63-X63)," ")</f>
        <v>7688</v>
      </c>
      <c r="Z102" s="301">
        <f t="shared" si="144"/>
        <v>87</v>
      </c>
      <c r="AA102" s="301">
        <f t="shared" si="144"/>
        <v>366</v>
      </c>
      <c r="AB102" s="301">
        <f t="shared" si="144"/>
        <v>864</v>
      </c>
      <c r="AC102" s="301">
        <f t="shared" si="144"/>
        <v>7</v>
      </c>
      <c r="AD102" s="301">
        <f t="shared" si="144"/>
        <v>0</v>
      </c>
      <c r="AE102" s="301">
        <f t="shared" si="144"/>
        <v>654</v>
      </c>
      <c r="AF102" s="301">
        <f t="shared" si="144"/>
        <v>0</v>
      </c>
      <c r="AG102" s="1154">
        <f t="shared" si="144"/>
        <v>0</v>
      </c>
      <c r="AH102" s="1160">
        <f t="shared" si="144"/>
        <v>243</v>
      </c>
      <c r="AI102" s="301">
        <f t="shared" si="144"/>
        <v>0</v>
      </c>
      <c r="AJ102" s="301">
        <f t="shared" si="144"/>
        <v>586</v>
      </c>
      <c r="AK102" s="301">
        <f t="shared" si="144"/>
        <v>4</v>
      </c>
      <c r="AL102" s="301">
        <f t="shared" si="144"/>
        <v>251</v>
      </c>
      <c r="AM102" s="301">
        <f t="shared" si="144"/>
        <v>0</v>
      </c>
      <c r="AN102" s="301">
        <f t="shared" si="139"/>
        <v>0</v>
      </c>
      <c r="AO102" s="301">
        <f t="shared" si="140"/>
        <v>0</v>
      </c>
      <c r="AP102" s="301">
        <f t="shared" si="141"/>
        <v>26547</v>
      </c>
      <c r="AQ102" s="301">
        <f t="shared" si="141"/>
        <v>168003</v>
      </c>
      <c r="AR102" s="301" t="str">
        <f>IF(ISNUMBER(BE63),$G102*(BE63-BD63)," ")</f>
        <v xml:space="preserve"> </v>
      </c>
      <c r="AS102" s="1161" t="str">
        <f>IF(ISNUMBER(BF63),$G102*(BF63-BE63)," ")</f>
        <v xml:space="preserve"> </v>
      </c>
      <c r="AT102" s="1156" t="str">
        <f t="shared" si="142"/>
        <v xml:space="preserve"> </v>
      </c>
    </row>
    <row r="103" spans="1:46" ht="15" customHeight="1">
      <c r="A103" s="138" t="s">
        <v>539</v>
      </c>
      <c r="B103" s="80">
        <v>15589</v>
      </c>
      <c r="C103" s="80" t="s">
        <v>527</v>
      </c>
      <c r="G103" s="300"/>
      <c r="H103" s="457"/>
      <c r="I103" s="301">
        <f>IF(ISNUMBER(I101),I101+I102," ")</f>
        <v>97074</v>
      </c>
      <c r="J103" s="301">
        <f t="shared" ref="J103:AE103" si="145">IF(ISNUMBER(J101),J101+J102," ")</f>
        <v>52172</v>
      </c>
      <c r="K103" s="301">
        <f t="shared" si="145"/>
        <v>52172</v>
      </c>
      <c r="L103" s="301">
        <f t="shared" si="145"/>
        <v>103367</v>
      </c>
      <c r="M103" s="301">
        <f t="shared" si="145"/>
        <v>81064</v>
      </c>
      <c r="N103" s="301">
        <f t="shared" si="145"/>
        <v>125486</v>
      </c>
      <c r="O103" s="301">
        <f t="shared" si="145"/>
        <v>131936</v>
      </c>
      <c r="P103" s="301">
        <f t="shared" si="145"/>
        <v>177402</v>
      </c>
      <c r="Q103" s="301">
        <f t="shared" si="145"/>
        <v>91531</v>
      </c>
      <c r="R103" s="301">
        <f t="shared" si="145"/>
        <v>86872</v>
      </c>
      <c r="S103" s="301">
        <f t="shared" si="145"/>
        <v>59768</v>
      </c>
      <c r="T103" s="301">
        <f t="shared" si="145"/>
        <v>29643</v>
      </c>
      <c r="U103" s="301">
        <f t="shared" si="145"/>
        <v>47334.333333333489</v>
      </c>
      <c r="V103" s="301">
        <f t="shared" si="145"/>
        <v>47334.333333333023</v>
      </c>
      <c r="W103" s="301">
        <f t="shared" si="145"/>
        <v>57539.333333333489</v>
      </c>
      <c r="X103" s="301">
        <f t="shared" si="145"/>
        <v>67378</v>
      </c>
      <c r="Y103" s="301">
        <f t="shared" si="145"/>
        <v>62339</v>
      </c>
      <c r="Z103" s="301">
        <f t="shared" si="145"/>
        <v>65230</v>
      </c>
      <c r="AA103" s="301">
        <f t="shared" si="145"/>
        <v>81034</v>
      </c>
      <c r="AB103" s="301">
        <f t="shared" si="145"/>
        <v>98325</v>
      </c>
      <c r="AC103" s="301">
        <f t="shared" si="145"/>
        <v>93371</v>
      </c>
      <c r="AD103" s="301">
        <f t="shared" si="145"/>
        <v>69675</v>
      </c>
      <c r="AE103" s="301">
        <f t="shared" si="145"/>
        <v>38946</v>
      </c>
      <c r="AF103" s="301">
        <f t="shared" ref="AF103:AL103" si="146">IF(ISNUMBER(AF101),AF101+AF102," ")</f>
        <v>46031</v>
      </c>
      <c r="AG103" s="1154">
        <f t="shared" si="146"/>
        <v>29125</v>
      </c>
      <c r="AH103" s="1160">
        <f t="shared" si="146"/>
        <v>26898</v>
      </c>
      <c r="AI103" s="301">
        <f t="shared" si="146"/>
        <v>20095</v>
      </c>
      <c r="AJ103" s="301">
        <f t="shared" si="146"/>
        <v>45570</v>
      </c>
      <c r="AK103" s="301">
        <f t="shared" si="146"/>
        <v>61887</v>
      </c>
      <c r="AL103" s="301">
        <f t="shared" si="146"/>
        <v>85541</v>
      </c>
      <c r="AM103" s="301">
        <f t="shared" ref="AM103:AP103" si="147">IF(ISNUMBER(AM101),AM101+AM102," ")</f>
        <v>63962</v>
      </c>
      <c r="AN103" s="301">
        <f t="shared" si="147"/>
        <v>38853</v>
      </c>
      <c r="AO103" s="301">
        <f t="shared" si="147"/>
        <v>96742</v>
      </c>
      <c r="AP103" s="301">
        <f t="shared" si="147"/>
        <v>86318</v>
      </c>
      <c r="AQ103" s="301">
        <f t="shared" ref="AQ103" si="148">IF(ISNUMBER(AQ101),AQ101+AQ102," ")</f>
        <v>219582</v>
      </c>
      <c r="AR103" s="301" t="str">
        <f t="shared" ref="AR103:AT103" si="149">IF(ISNUMBER(AR101),AR101+AR102," ")</f>
        <v xml:space="preserve"> </v>
      </c>
      <c r="AS103" s="1161" t="str">
        <f>IF(ISNUMBER(AS101),AS101+AS102," ")</f>
        <v xml:space="preserve"> </v>
      </c>
      <c r="AT103" s="1156" t="str">
        <f t="shared" si="149"/>
        <v xml:space="preserve"> </v>
      </c>
    </row>
    <row r="104" spans="1:46" ht="15" customHeight="1">
      <c r="A104" s="138" t="s">
        <v>540</v>
      </c>
      <c r="G104" s="300"/>
      <c r="H104" s="457"/>
      <c r="I104" s="301"/>
      <c r="J104" s="301"/>
      <c r="K104" s="301">
        <f t="shared" ref="K104:AE104" si="150">IF(ISNUMBER(K61),$G61*0.277778*(K61-J61)," ")</f>
        <v>3523058.3740000003</v>
      </c>
      <c r="L104" s="301">
        <f t="shared" si="150"/>
        <v>3347502.6780000003</v>
      </c>
      <c r="M104" s="301">
        <f t="shared" si="150"/>
        <v>3459169.4340000004</v>
      </c>
      <c r="N104" s="301">
        <f t="shared" si="150"/>
        <v>3659169.594</v>
      </c>
      <c r="O104" s="301">
        <f t="shared" si="150"/>
        <v>3511669.4760000003</v>
      </c>
      <c r="P104" s="301">
        <f t="shared" si="150"/>
        <v>3656669.5920000002</v>
      </c>
      <c r="Q104" s="301">
        <f t="shared" si="150"/>
        <v>3527502.8220000002</v>
      </c>
      <c r="R104" s="301">
        <f t="shared" si="150"/>
        <v>3547502.8380000005</v>
      </c>
      <c r="S104" s="301">
        <f t="shared" si="150"/>
        <v>3523613.93</v>
      </c>
      <c r="T104" s="301">
        <f t="shared" si="150"/>
        <v>3215558.128</v>
      </c>
      <c r="U104" s="301">
        <f t="shared" si="150"/>
        <v>3831947.5100000002</v>
      </c>
      <c r="V104" s="301">
        <f t="shared" si="150"/>
        <v>3499725.0220000003</v>
      </c>
      <c r="W104" s="301">
        <f t="shared" si="150"/>
        <v>2256112.9160000002</v>
      </c>
      <c r="X104" s="301">
        <f t="shared" si="150"/>
        <v>1936390.4380000001</v>
      </c>
      <c r="Y104" s="301">
        <f t="shared" si="150"/>
        <v>2121390.5860000001</v>
      </c>
      <c r="Z104" s="301">
        <f t="shared" si="150"/>
        <v>5041948.4780000001</v>
      </c>
      <c r="AA104" s="301">
        <f t="shared" si="150"/>
        <v>4953892.852</v>
      </c>
      <c r="AB104" s="301">
        <f t="shared" si="150"/>
        <v>3110558.0440000002</v>
      </c>
      <c r="AC104" s="301">
        <f t="shared" si="150"/>
        <v>4230836.7180000003</v>
      </c>
      <c r="AD104" s="301">
        <f t="shared" si="150"/>
        <v>4098892.1680000001</v>
      </c>
      <c r="AE104" s="301">
        <f t="shared" si="150"/>
        <v>4840003.8720000004</v>
      </c>
      <c r="AF104" s="301">
        <f t="shared" ref="AF104" si="151">IF(ISNUMBER(AF61),$G61*0.277778*(AF61-AE61)," ")</f>
        <v>4972781.7560000001</v>
      </c>
      <c r="AG104" s="1154">
        <f t="shared" ref="AG104" si="152">IF(ISNUMBER(AG61),$G61*0.277778*(AG61-AF61)," ")</f>
        <v>4490559.148</v>
      </c>
      <c r="AH104" s="1162">
        <f t="shared" ref="AH104" si="153">IF(ISNUMBER(AH61),$G61*0.277778*(AH61-AG61)," ")</f>
        <v>2694724.378</v>
      </c>
      <c r="AI104" s="457">
        <f t="shared" ref="AI104" si="154">IF(ISNUMBER(AI61),$G61*0.277778*(AI61-AH61)," ")</f>
        <v>1940557.1080000002</v>
      </c>
      <c r="AJ104" s="457">
        <f t="shared" ref="AJ104" si="155">IF(ISNUMBER(AJ61),$G61*0.277778*(AJ61-AI61)," ")</f>
        <v>1912223.7520000001</v>
      </c>
      <c r="AK104" s="457">
        <f>IF(ISNUMBER(AK61),$G61*0.277778*(AK61-AJ61)," ")</f>
        <v>4016947.6580000003</v>
      </c>
      <c r="AL104" s="457">
        <f>IF(ISNUMBER(AL61),$G61*0.277778*(AL61-AK61)," ")</f>
        <v>2157501.7260000003</v>
      </c>
      <c r="AM104" s="457">
        <f>IF(ISNUMBER(AM61),$G61*0.277778*(AM61-AL61)," ")</f>
        <v>1743334.7280000001</v>
      </c>
      <c r="AN104" s="457">
        <f t="shared" ref="AN104:AQ104" si="156">IF(ISNUMBER(AN61),$G61*0.277778*(AN61-AM61)," ")</f>
        <v>1775834.7540000002</v>
      </c>
      <c r="AO104" s="457">
        <f t="shared" si="156"/>
        <v>2932224.5680000004</v>
      </c>
      <c r="AP104" s="457">
        <f t="shared" si="156"/>
        <v>1968612.6860000002</v>
      </c>
      <c r="AQ104" s="457">
        <f t="shared" si="156"/>
        <v>1314445.496</v>
      </c>
      <c r="AR104" s="457" t="str">
        <f>IF(ISNUMBER(BE61),$G61*0.277778*(BE61-BD61)," ")</f>
        <v xml:space="preserve"> </v>
      </c>
      <c r="AS104" s="1163" t="str">
        <f>IF(ISNUMBER(BF61),$G61*0.277778*(BF61-BE61)," ")</f>
        <v xml:space="preserve"> </v>
      </c>
      <c r="AT104" s="1156" t="str">
        <f>IF(ISNUMBER(BG61),$G61*0.277778*(BG61-BF61)," ")</f>
        <v xml:space="preserve"> </v>
      </c>
    </row>
    <row r="105" spans="1:46" ht="15" customHeight="1">
      <c r="B105" s="80" t="s">
        <v>541</v>
      </c>
    </row>
    <row r="108" spans="1:46" ht="15" customHeight="1">
      <c r="AH108" s="1322" t="s">
        <v>542</v>
      </c>
      <c r="AI108" s="1323"/>
      <c r="AJ108" s="1324"/>
    </row>
    <row r="109" spans="1:46" ht="15" customHeight="1">
      <c r="AH109" s="1325"/>
      <c r="AI109" s="1326"/>
      <c r="AJ109" s="1327"/>
    </row>
  </sheetData>
  <protectedRanges>
    <protectedRange sqref="I2:AI2 I5:AI6 AJ4:AL4 H4:AF4 AL8 AH8:AJ8 H8:AF8 I9:AI22" name="Range3"/>
    <protectedRange sqref="H32:I32 K32:S32 U32:AT32" name="Range1"/>
    <protectedRange sqref="J32 H34:S34 U57:AM60 H36:S36 H38:S60 H84:H100 I84:AL87 H76:AL83 AM61:AM63 U38:AN39 H37:AN37 U36:AN36 AN57:AS63 U34:AS34 U40:AS54 H35:AS35 AO36:AS39 I89:AT102 AM76:AT87" name="Range2"/>
    <protectedRange sqref="J62:R62 K63" name="Range1_1"/>
    <protectedRange sqref="J63 L63:R63" name="Range1_2"/>
    <protectedRange sqref="T32" name="Range1_3"/>
    <protectedRange sqref="T34 T36 T38:T60 U55:AS56" name="Range2_1"/>
  </protectedRanges>
  <customSheetViews>
    <customSheetView guid="{673E8A68-6A24-44BE-9F14-EEC413B6644E}" showPageBreaks="1" topLeftCell="K34">
      <selection activeCell="W41" sqref="W41"/>
      <pageMargins left="0" right="0" top="0" bottom="0" header="0" footer="0"/>
      <pageSetup paperSize="9" orientation="portrait" r:id="rId1"/>
    </customSheetView>
    <customSheetView guid="{D9BD3B37-9C0B-48A1-8A97-047766FF7485}" showPageBreaks="1">
      <selection activeCell="G20" sqref="G20"/>
      <pageMargins left="0" right="0" top="0" bottom="0" header="0" footer="0"/>
      <pageSetup paperSize="9" orientation="portrait" r:id="rId2"/>
    </customSheetView>
    <customSheetView guid="{26BC36A8-DEE7-49C3-82FB-804A3B368D65}" showPageBreaks="1" fitToPage="1" printArea="1" topLeftCell="A22">
      <selection activeCell="G39" sqref="G39"/>
      <pageMargins left="0" right="0" top="0" bottom="0" header="0" footer="0"/>
      <pageSetup paperSize="9" scale="49" fitToHeight="0" orientation="landscape" r:id="rId3"/>
    </customSheetView>
    <customSheetView guid="{90A42C2A-6CDA-4EAF-9471-F44CF19471E9}" scale="85" topLeftCell="A27">
      <pane xSplit="1" topLeftCell="D1" activePane="topRight" state="frozen"/>
      <selection pane="topRight" activeCell="H59" sqref="H59"/>
      <pageMargins left="0" right="0" top="0" bottom="0" header="0" footer="0"/>
      <pageSetup paperSize="9" orientation="portrait" r:id="rId4"/>
    </customSheetView>
  </customSheetViews>
  <mergeCells count="1">
    <mergeCell ref="AH108:AJ109"/>
  </mergeCells>
  <phoneticPr fontId="10" type="noConversion"/>
  <conditionalFormatting sqref="I84:AT84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8:AT88">
    <cfRule type="colorScale" priority="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3:AT93">
    <cfRule type="colorScale" priority="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3:AT103"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4:AT104">
    <cfRule type="colorScale" priority="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5"/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7:BC105"/>
  <sheetViews>
    <sheetView workbookViewId="0" xr3:uid="{FF0BDA26-1AD6-5648-BD9A-E01AA4DDCA7C}">
      <pane xSplit="1" topLeftCell="Y28" activePane="topRight" state="frozen"/>
      <selection pane="topRight" activeCell="AO63" sqref="AO63"/>
    </sheetView>
  </sheetViews>
  <sheetFormatPr defaultRowHeight="13.15"/>
  <cols>
    <col min="1" max="1" width="55.140625" bestFit="1" customWidth="1"/>
    <col min="2" max="2" width="44" bestFit="1" customWidth="1"/>
    <col min="4" max="4" width="20.5703125" bestFit="1" customWidth="1"/>
    <col min="5" max="5" width="12.5703125" bestFit="1" customWidth="1"/>
    <col min="6" max="6" width="14" bestFit="1" customWidth="1"/>
    <col min="7" max="7" width="12.85546875" bestFit="1" customWidth="1"/>
    <col min="22" max="22" width="9.5703125" bestFit="1" customWidth="1"/>
    <col min="24" max="24" width="9.140625" style="508"/>
    <col min="27" max="27" width="20" customWidth="1"/>
    <col min="33" max="33" width="10.28515625" customWidth="1"/>
    <col min="35" max="35" width="11.140625" bestFit="1" customWidth="1"/>
    <col min="36" max="36" width="14" customWidth="1"/>
    <col min="38" max="38" width="10.42578125" bestFit="1" customWidth="1"/>
  </cols>
  <sheetData>
    <row r="7" spans="1:1" ht="13.9" thickBot="1"/>
    <row r="8" spans="1:1" ht="15" thickBot="1">
      <c r="A8" s="1018" t="s">
        <v>543</v>
      </c>
    </row>
    <row r="9" spans="1:1" ht="14.45">
      <c r="A9" s="805" t="s">
        <v>544</v>
      </c>
    </row>
    <row r="10" spans="1:1" ht="14.45">
      <c r="A10" s="1252" t="s">
        <v>545</v>
      </c>
    </row>
    <row r="11" spans="1:1" ht="14.45">
      <c r="A11" s="1252" t="s">
        <v>546</v>
      </c>
    </row>
    <row r="12" spans="1:1" ht="14.45">
      <c r="A12" s="1252" t="s">
        <v>547</v>
      </c>
    </row>
    <row r="13" spans="1:1" ht="14.45">
      <c r="A13" s="1252" t="s">
        <v>548</v>
      </c>
    </row>
    <row r="16" spans="1:1" ht="13.9" thickBot="1"/>
    <row r="17" spans="1:43" ht="13.9" thickBot="1">
      <c r="A17" s="1019" t="s">
        <v>549</v>
      </c>
    </row>
    <row r="18" spans="1:43">
      <c r="A18" s="35" t="s">
        <v>550</v>
      </c>
    </row>
    <row r="19" spans="1:43" ht="14.45">
      <c r="A19" s="1252" t="s">
        <v>551</v>
      </c>
    </row>
    <row r="20" spans="1:43">
      <c r="A20" t="s">
        <v>552</v>
      </c>
    </row>
    <row r="21" spans="1:43">
      <c r="A21" s="35" t="s">
        <v>547</v>
      </c>
    </row>
    <row r="22" spans="1:43">
      <c r="A22" s="35" t="s">
        <v>553</v>
      </c>
    </row>
    <row r="23" spans="1:43">
      <c r="A23" s="35" t="s">
        <v>554</v>
      </c>
    </row>
    <row r="24" spans="1:43">
      <c r="J24" s="35"/>
      <c r="K24" s="35"/>
    </row>
    <row r="25" spans="1:43">
      <c r="K25" s="242"/>
    </row>
    <row r="26" spans="1:43" ht="13.9" thickBot="1">
      <c r="V26" s="511"/>
    </row>
    <row r="27" spans="1:43" ht="13.9" thickBot="1"/>
    <row r="28" spans="1:43" ht="14.45">
      <c r="A28" s="992" t="s">
        <v>555</v>
      </c>
      <c r="B28" s="992" t="s">
        <v>556</v>
      </c>
      <c r="C28" s="992"/>
      <c r="D28" s="992"/>
      <c r="E28" s="992"/>
      <c r="F28" s="992"/>
      <c r="G28" s="1013">
        <v>44562</v>
      </c>
      <c r="H28" s="1014">
        <v>44593</v>
      </c>
      <c r="I28" s="1014">
        <v>44621</v>
      </c>
      <c r="J28" s="1014">
        <v>44652</v>
      </c>
      <c r="K28" s="1014">
        <v>44682</v>
      </c>
      <c r="L28" s="1014">
        <v>44713</v>
      </c>
      <c r="M28" s="1014">
        <v>44743</v>
      </c>
      <c r="N28" s="1014">
        <v>44774</v>
      </c>
      <c r="O28" s="1014">
        <v>44805</v>
      </c>
      <c r="P28" s="1000">
        <v>44835</v>
      </c>
      <c r="Q28" s="1000">
        <v>44866</v>
      </c>
      <c r="R28" s="1001">
        <v>44896</v>
      </c>
      <c r="S28" s="999">
        <v>44927</v>
      </c>
      <c r="T28" s="1000">
        <v>44958</v>
      </c>
      <c r="U28" s="1000">
        <v>44986</v>
      </c>
      <c r="V28" s="1000">
        <v>45017</v>
      </c>
      <c r="W28" s="1000">
        <v>45047</v>
      </c>
      <c r="X28" s="1000">
        <v>45078</v>
      </c>
      <c r="Y28" s="1000">
        <v>45108</v>
      </c>
      <c r="Z28" s="1000">
        <v>45139</v>
      </c>
      <c r="AA28" s="1000">
        <v>45170</v>
      </c>
      <c r="AB28" s="1000">
        <v>45200</v>
      </c>
      <c r="AC28" s="1000">
        <v>45231</v>
      </c>
      <c r="AD28" s="1000">
        <v>45261</v>
      </c>
      <c r="AE28" s="1001">
        <v>45292</v>
      </c>
      <c r="AF28" s="814">
        <v>45323</v>
      </c>
      <c r="AG28" s="814">
        <v>45352</v>
      </c>
      <c r="AH28" s="814">
        <v>45383</v>
      </c>
      <c r="AI28" s="814">
        <v>45413</v>
      </c>
      <c r="AJ28" s="814">
        <v>45444</v>
      </c>
      <c r="AK28" s="814">
        <v>45474</v>
      </c>
      <c r="AL28" s="814">
        <v>45505</v>
      </c>
      <c r="AM28" s="814">
        <v>45536</v>
      </c>
      <c r="AN28" s="814">
        <v>45566</v>
      </c>
      <c r="AO28" s="814">
        <v>45597</v>
      </c>
      <c r="AP28" s="814">
        <v>45627</v>
      </c>
      <c r="AQ28" s="1004">
        <v>45658</v>
      </c>
    </row>
    <row r="29" spans="1:43" ht="14.45">
      <c r="A29" s="1252" t="s">
        <v>557</v>
      </c>
      <c r="B29" s="1252" t="s">
        <v>558</v>
      </c>
      <c r="D29" s="35"/>
      <c r="E29" s="35"/>
      <c r="F29" s="35"/>
      <c r="G29" s="1002">
        <v>0</v>
      </c>
      <c r="H29">
        <v>0</v>
      </c>
      <c r="I29" s="805">
        <v>0</v>
      </c>
      <c r="J29">
        <v>0</v>
      </c>
      <c r="K29" s="805">
        <v>0</v>
      </c>
      <c r="L29">
        <v>0</v>
      </c>
      <c r="M29" s="805">
        <v>0</v>
      </c>
      <c r="N29">
        <v>0</v>
      </c>
      <c r="O29" s="805">
        <v>0</v>
      </c>
      <c r="P29">
        <v>0</v>
      </c>
      <c r="Q29" s="805">
        <v>0</v>
      </c>
      <c r="R29" s="417">
        <v>0</v>
      </c>
      <c r="S29" s="1002">
        <v>0</v>
      </c>
      <c r="T29">
        <v>0</v>
      </c>
      <c r="U29" s="805">
        <v>0</v>
      </c>
      <c r="V29">
        <v>0</v>
      </c>
      <c r="W29" s="805">
        <v>0</v>
      </c>
      <c r="X29">
        <v>0</v>
      </c>
      <c r="Y29">
        <v>0</v>
      </c>
      <c r="Z29">
        <v>2</v>
      </c>
      <c r="AA29">
        <v>5</v>
      </c>
      <c r="AB29" s="805">
        <v>8.6999999999999993</v>
      </c>
      <c r="AC29">
        <v>9.8000000000000007</v>
      </c>
      <c r="AD29">
        <v>9.86</v>
      </c>
      <c r="AE29" s="1149">
        <v>9.86</v>
      </c>
      <c r="AF29" s="1042">
        <v>29.010000229999999</v>
      </c>
      <c r="AG29" s="1042">
        <v>41.680000309999997</v>
      </c>
      <c r="AH29" s="1042">
        <v>54.649997710000001</v>
      </c>
      <c r="AI29" s="1042">
        <v>62.09</v>
      </c>
      <c r="AJ29" s="1042">
        <v>65.22000122</v>
      </c>
      <c r="AK29" s="1042">
        <v>70.229995729999999</v>
      </c>
      <c r="AL29" s="1042">
        <v>76.449996949999999</v>
      </c>
      <c r="AM29" s="1042">
        <v>82.47000122</v>
      </c>
      <c r="AN29" s="1042">
        <v>93.509994509999999</v>
      </c>
      <c r="AO29" s="1042"/>
      <c r="AP29" s="1043"/>
    </row>
    <row r="30" spans="1:43" ht="14.45">
      <c r="A30" s="1252" t="s">
        <v>559</v>
      </c>
      <c r="B30" s="805" t="s">
        <v>558</v>
      </c>
      <c r="D30" s="35"/>
      <c r="E30" s="35"/>
      <c r="F30" s="35"/>
      <c r="G30" s="1002">
        <v>0</v>
      </c>
      <c r="H30">
        <v>0</v>
      </c>
      <c r="I30" s="805">
        <v>0</v>
      </c>
      <c r="J30">
        <v>0</v>
      </c>
      <c r="K30" s="805">
        <v>0</v>
      </c>
      <c r="L30">
        <v>0</v>
      </c>
      <c r="M30" s="805">
        <v>0</v>
      </c>
      <c r="N30">
        <v>0</v>
      </c>
      <c r="O30" s="805">
        <v>0</v>
      </c>
      <c r="P30">
        <v>0</v>
      </c>
      <c r="Q30" s="805">
        <v>0</v>
      </c>
      <c r="R30" s="417">
        <v>0</v>
      </c>
      <c r="S30" s="1002">
        <v>0</v>
      </c>
      <c r="T30">
        <v>0</v>
      </c>
      <c r="U30" s="805">
        <v>0</v>
      </c>
      <c r="V30">
        <v>0</v>
      </c>
      <c r="W30" s="805">
        <v>0</v>
      </c>
      <c r="X30">
        <v>0</v>
      </c>
      <c r="Y30">
        <v>0</v>
      </c>
      <c r="Z30">
        <v>0.4</v>
      </c>
      <c r="AA30">
        <v>3</v>
      </c>
      <c r="AB30" s="805">
        <v>5.8</v>
      </c>
      <c r="AC30">
        <v>8.8000000000000007</v>
      </c>
      <c r="AD30">
        <v>24.7</v>
      </c>
      <c r="AE30" s="441">
        <v>54</v>
      </c>
      <c r="AF30">
        <v>61.729999540000001</v>
      </c>
      <c r="AG30">
        <v>61.75</v>
      </c>
      <c r="AH30">
        <v>61.75</v>
      </c>
      <c r="AI30">
        <v>61.76</v>
      </c>
      <c r="AJ30">
        <v>61.770000459999999</v>
      </c>
      <c r="AK30">
        <v>61.789997100000001</v>
      </c>
      <c r="AL30">
        <v>61.789997100000001</v>
      </c>
      <c r="AM30">
        <v>61.809997559999999</v>
      </c>
      <c r="AN30">
        <v>61.819999690000003</v>
      </c>
      <c r="AP30" s="417"/>
    </row>
    <row r="31" spans="1:43" ht="14.45">
      <c r="A31" s="1252" t="s">
        <v>560</v>
      </c>
      <c r="B31" s="1252" t="s">
        <v>561</v>
      </c>
      <c r="D31" s="35"/>
      <c r="E31" s="35"/>
      <c r="F31" s="35"/>
      <c r="G31" s="1002">
        <v>0</v>
      </c>
      <c r="H31">
        <v>0</v>
      </c>
      <c r="I31" s="805">
        <v>0</v>
      </c>
      <c r="J31">
        <v>0</v>
      </c>
      <c r="K31" s="805">
        <v>0</v>
      </c>
      <c r="L31">
        <v>0</v>
      </c>
      <c r="M31" s="805">
        <v>0</v>
      </c>
      <c r="N31">
        <v>0</v>
      </c>
      <c r="O31" s="805">
        <v>0</v>
      </c>
      <c r="P31">
        <v>0</v>
      </c>
      <c r="Q31" s="805">
        <v>0</v>
      </c>
      <c r="R31" s="417">
        <v>0</v>
      </c>
      <c r="S31" s="1002">
        <v>0</v>
      </c>
      <c r="T31">
        <v>0</v>
      </c>
      <c r="U31" s="805">
        <v>0</v>
      </c>
      <c r="V31">
        <v>0</v>
      </c>
      <c r="W31" s="805">
        <v>0</v>
      </c>
      <c r="X31">
        <v>0</v>
      </c>
      <c r="Y31">
        <v>0</v>
      </c>
      <c r="Z31">
        <v>33.700000000000003</v>
      </c>
      <c r="AA31">
        <v>49</v>
      </c>
      <c r="AB31" s="805">
        <v>63.6</v>
      </c>
      <c r="AC31">
        <v>72.099999999999994</v>
      </c>
      <c r="AD31">
        <v>79.2</v>
      </c>
      <c r="AE31" s="441">
        <v>86.43</v>
      </c>
      <c r="AF31">
        <v>94.569999690000003</v>
      </c>
      <c r="AG31">
        <v>106.36000060000001</v>
      </c>
      <c r="AH31">
        <v>129.1999969</v>
      </c>
      <c r="AI31">
        <v>169</v>
      </c>
      <c r="AJ31">
        <v>204.2599945</v>
      </c>
      <c r="AK31">
        <v>233.5500031</v>
      </c>
      <c r="AL31">
        <v>263.5</v>
      </c>
      <c r="AM31">
        <v>285.5899963</v>
      </c>
      <c r="AN31">
        <v>304.72000120000001</v>
      </c>
      <c r="AP31" s="417"/>
    </row>
    <row r="32" spans="1:43" ht="14.45">
      <c r="A32" s="1252" t="s">
        <v>562</v>
      </c>
      <c r="B32" s="1252" t="s">
        <v>563</v>
      </c>
      <c r="D32" s="35"/>
      <c r="E32" s="35"/>
      <c r="F32" s="35"/>
      <c r="G32" s="1002">
        <v>0</v>
      </c>
      <c r="H32">
        <v>0</v>
      </c>
      <c r="I32" s="805">
        <v>0</v>
      </c>
      <c r="J32">
        <v>0</v>
      </c>
      <c r="K32" s="805">
        <v>0</v>
      </c>
      <c r="L32">
        <v>0</v>
      </c>
      <c r="M32" s="805">
        <v>0</v>
      </c>
      <c r="N32">
        <v>0</v>
      </c>
      <c r="O32" s="805">
        <v>0</v>
      </c>
      <c r="P32">
        <v>0</v>
      </c>
      <c r="Q32" s="805">
        <v>0</v>
      </c>
      <c r="R32" s="417">
        <v>0</v>
      </c>
      <c r="S32" s="1002">
        <v>0</v>
      </c>
      <c r="T32">
        <v>0</v>
      </c>
      <c r="U32" s="805">
        <v>0</v>
      </c>
      <c r="V32">
        <v>0</v>
      </c>
      <c r="W32" s="805">
        <v>0</v>
      </c>
      <c r="X32">
        <v>0</v>
      </c>
      <c r="Y32">
        <v>0</v>
      </c>
      <c r="Z32">
        <v>99.2</v>
      </c>
      <c r="AA32">
        <v>218</v>
      </c>
      <c r="AB32" s="805">
        <v>346.4</v>
      </c>
      <c r="AC32">
        <v>399.3</v>
      </c>
      <c r="AD32">
        <v>443.6</v>
      </c>
      <c r="AE32" s="441">
        <v>479.29</v>
      </c>
      <c r="AF32">
        <v>523.20996090000006</v>
      </c>
      <c r="AG32">
        <v>577.85998540000003</v>
      </c>
      <c r="AH32">
        <v>646.53997800000002</v>
      </c>
      <c r="AI32">
        <v>756.32</v>
      </c>
      <c r="AJ32">
        <v>861.79998780000005</v>
      </c>
      <c r="AK32">
        <v>968.47998050000001</v>
      </c>
      <c r="AL32">
        <v>1082.380005</v>
      </c>
      <c r="AM32">
        <v>1169.98999</v>
      </c>
      <c r="AN32">
        <v>1247.929932</v>
      </c>
      <c r="AP32" s="417"/>
    </row>
    <row r="33" spans="1:42" ht="14.45">
      <c r="A33" s="1252" t="s">
        <v>564</v>
      </c>
      <c r="B33" s="1252" t="s">
        <v>565</v>
      </c>
      <c r="D33" s="35"/>
      <c r="E33" s="35"/>
      <c r="F33" s="35"/>
      <c r="G33" s="1002">
        <v>0</v>
      </c>
      <c r="H33">
        <v>0</v>
      </c>
      <c r="I33" s="805">
        <v>0</v>
      </c>
      <c r="J33">
        <v>0</v>
      </c>
      <c r="K33" s="805">
        <v>0</v>
      </c>
      <c r="L33">
        <v>0</v>
      </c>
      <c r="M33" s="805">
        <v>0</v>
      </c>
      <c r="N33">
        <v>0</v>
      </c>
      <c r="O33" s="805">
        <v>0</v>
      </c>
      <c r="P33">
        <v>0</v>
      </c>
      <c r="Q33" s="805">
        <v>0</v>
      </c>
      <c r="R33" s="417">
        <v>0</v>
      </c>
      <c r="S33" s="1002">
        <v>0</v>
      </c>
      <c r="T33">
        <v>0</v>
      </c>
      <c r="U33" s="805">
        <v>0</v>
      </c>
      <c r="V33">
        <v>0</v>
      </c>
      <c r="W33" s="805">
        <v>0</v>
      </c>
      <c r="X33">
        <v>0</v>
      </c>
      <c r="Y33" s="805">
        <v>0</v>
      </c>
      <c r="Z33">
        <v>118.8</v>
      </c>
      <c r="AA33" s="805">
        <v>190</v>
      </c>
      <c r="AB33" s="805">
        <v>283.89999999999998</v>
      </c>
      <c r="AC33" s="805">
        <v>333.6</v>
      </c>
      <c r="AD33" s="805">
        <v>359.4</v>
      </c>
      <c r="AE33" s="441">
        <v>377.29</v>
      </c>
      <c r="AF33">
        <v>395.64999390000003</v>
      </c>
      <c r="AG33">
        <v>421.56997680000001</v>
      </c>
      <c r="AH33">
        <v>460.0899963</v>
      </c>
      <c r="AI33">
        <v>526.52</v>
      </c>
      <c r="AJ33">
        <v>610.45996090000006</v>
      </c>
      <c r="AK33">
        <v>647.95996090000006</v>
      </c>
      <c r="AL33">
        <v>727.28997800000002</v>
      </c>
      <c r="AM33">
        <v>728.48999019999997</v>
      </c>
      <c r="AN33">
        <v>728.48999019999997</v>
      </c>
      <c r="AP33" s="417"/>
    </row>
    <row r="34" spans="1:42" ht="14.45">
      <c r="A34" s="1252" t="s">
        <v>566</v>
      </c>
      <c r="B34" s="1252" t="s">
        <v>567</v>
      </c>
      <c r="D34" s="35"/>
      <c r="E34" s="35"/>
      <c r="F34" s="35"/>
      <c r="G34" s="1002">
        <v>0</v>
      </c>
      <c r="H34">
        <v>0</v>
      </c>
      <c r="I34" s="805">
        <v>0</v>
      </c>
      <c r="J34">
        <v>0</v>
      </c>
      <c r="K34" s="805">
        <v>0</v>
      </c>
      <c r="L34">
        <v>0</v>
      </c>
      <c r="M34" s="805">
        <v>0</v>
      </c>
      <c r="N34">
        <v>0</v>
      </c>
      <c r="O34" s="805">
        <v>0</v>
      </c>
      <c r="P34">
        <v>0</v>
      </c>
      <c r="Q34" s="805">
        <v>0</v>
      </c>
      <c r="R34" s="417">
        <v>0</v>
      </c>
      <c r="S34" s="1002">
        <v>0</v>
      </c>
      <c r="T34">
        <v>0</v>
      </c>
      <c r="U34" s="805">
        <v>0</v>
      </c>
      <c r="V34">
        <v>0</v>
      </c>
      <c r="W34" s="805">
        <v>0</v>
      </c>
      <c r="X34">
        <v>0</v>
      </c>
      <c r="Y34">
        <v>0</v>
      </c>
      <c r="Z34">
        <v>69.5</v>
      </c>
      <c r="AA34">
        <v>139</v>
      </c>
      <c r="AB34" s="805">
        <v>178.2</v>
      </c>
      <c r="AC34">
        <v>190.5</v>
      </c>
      <c r="AD34">
        <v>211.5</v>
      </c>
      <c r="AE34" s="441">
        <v>232.6</v>
      </c>
      <c r="AF34">
        <v>260.42999270000001</v>
      </c>
      <c r="AG34">
        <v>296.47000120000001</v>
      </c>
      <c r="AH34">
        <v>345.51998900000001</v>
      </c>
      <c r="AI34">
        <v>427.45</v>
      </c>
      <c r="AJ34">
        <v>483.25997919999998</v>
      </c>
      <c r="AK34">
        <v>580.28997800000002</v>
      </c>
      <c r="AL34">
        <v>643.76000980000003</v>
      </c>
      <c r="AM34">
        <v>747.95996090000006</v>
      </c>
      <c r="AN34">
        <v>839.75</v>
      </c>
      <c r="AP34" s="417"/>
    </row>
    <row r="35" spans="1:42" ht="14.45">
      <c r="A35" s="1252" t="s">
        <v>568</v>
      </c>
      <c r="B35" s="1252" t="s">
        <v>569</v>
      </c>
      <c r="D35" s="35"/>
      <c r="E35" s="35"/>
      <c r="F35" s="35"/>
      <c r="G35" s="1002">
        <v>0</v>
      </c>
      <c r="H35">
        <v>0</v>
      </c>
      <c r="I35" s="805">
        <v>0</v>
      </c>
      <c r="J35">
        <v>0</v>
      </c>
      <c r="K35" s="805">
        <v>0</v>
      </c>
      <c r="L35">
        <v>0</v>
      </c>
      <c r="M35" s="805">
        <v>0</v>
      </c>
      <c r="N35">
        <v>0</v>
      </c>
      <c r="O35" s="805">
        <v>0</v>
      </c>
      <c r="P35">
        <v>0</v>
      </c>
      <c r="Q35" s="805">
        <v>0</v>
      </c>
      <c r="R35" s="417">
        <v>0</v>
      </c>
      <c r="S35" s="1002">
        <v>0</v>
      </c>
      <c r="T35">
        <v>0</v>
      </c>
      <c r="U35" s="805">
        <v>0</v>
      </c>
      <c r="V35">
        <v>0</v>
      </c>
      <c r="W35" s="805">
        <v>0</v>
      </c>
      <c r="X35">
        <v>0</v>
      </c>
      <c r="Y35">
        <v>0</v>
      </c>
      <c r="Z35">
        <v>23.4</v>
      </c>
      <c r="AA35">
        <v>38</v>
      </c>
      <c r="AB35" s="805">
        <v>56.5</v>
      </c>
      <c r="AC35">
        <v>61.3</v>
      </c>
      <c r="AD35">
        <v>62.7</v>
      </c>
      <c r="AE35" s="441">
        <v>70.930000000000007</v>
      </c>
      <c r="AF35">
        <v>99.650001529999997</v>
      </c>
      <c r="AG35">
        <v>139.3099976</v>
      </c>
      <c r="AH35">
        <v>185.33000179999999</v>
      </c>
      <c r="AI35">
        <v>234.23</v>
      </c>
      <c r="AJ35">
        <v>278.27999879999999</v>
      </c>
      <c r="AK35">
        <v>325.11999509999998</v>
      </c>
      <c r="AL35">
        <v>383.75997919999998</v>
      </c>
      <c r="AM35">
        <v>435</v>
      </c>
      <c r="AN35">
        <v>489.0899963</v>
      </c>
      <c r="AP35" s="417"/>
    </row>
    <row r="36" spans="1:42" ht="14.45">
      <c r="A36" s="805" t="s">
        <v>570</v>
      </c>
      <c r="B36" s="805" t="s">
        <v>571</v>
      </c>
      <c r="D36" s="35" t="s">
        <v>572</v>
      </c>
      <c r="E36" s="35"/>
      <c r="F36" s="35" t="s">
        <v>547</v>
      </c>
      <c r="G36" s="1002">
        <v>874360</v>
      </c>
      <c r="H36">
        <v>874400</v>
      </c>
      <c r="I36" s="805">
        <v>875117</v>
      </c>
      <c r="J36">
        <v>877878</v>
      </c>
      <c r="K36" s="805">
        <v>883462</v>
      </c>
      <c r="L36">
        <v>894317</v>
      </c>
      <c r="M36" s="805">
        <v>906951</v>
      </c>
      <c r="N36">
        <v>917951</v>
      </c>
      <c r="O36" s="805">
        <v>928719</v>
      </c>
      <c r="P36">
        <v>939191</v>
      </c>
      <c r="Q36" s="805">
        <v>945896</v>
      </c>
      <c r="R36" s="417">
        <v>947251</v>
      </c>
      <c r="S36" s="1002">
        <v>948205</v>
      </c>
      <c r="T36">
        <v>948322</v>
      </c>
      <c r="U36" s="805">
        <v>955658</v>
      </c>
      <c r="V36">
        <v>974369</v>
      </c>
      <c r="W36" s="805">
        <v>1001765</v>
      </c>
      <c r="X36">
        <v>1006170</v>
      </c>
      <c r="Y36">
        <v>1006198</v>
      </c>
      <c r="Z36">
        <v>1014575</v>
      </c>
      <c r="AA36">
        <v>1050219</v>
      </c>
      <c r="AB36" s="805">
        <v>1076697</v>
      </c>
      <c r="AC36">
        <v>1101338</v>
      </c>
      <c r="AD36">
        <v>1113156</v>
      </c>
      <c r="AE36" s="441">
        <v>1126757</v>
      </c>
      <c r="AF36">
        <v>1147706</v>
      </c>
      <c r="AG36">
        <v>1160402</v>
      </c>
      <c r="AH36">
        <v>1166912</v>
      </c>
      <c r="AI36">
        <v>1178645</v>
      </c>
      <c r="AJ36">
        <v>1189089</v>
      </c>
      <c r="AK36">
        <v>1204464</v>
      </c>
      <c r="AL36">
        <v>1212224</v>
      </c>
      <c r="AM36">
        <v>1218631</v>
      </c>
      <c r="AN36">
        <v>1227854</v>
      </c>
      <c r="AP36" s="417"/>
    </row>
    <row r="37" spans="1:42" ht="14.45">
      <c r="A37" s="805" t="s">
        <v>573</v>
      </c>
      <c r="B37" s="805" t="s">
        <v>574</v>
      </c>
      <c r="D37" s="35" t="s">
        <v>575</v>
      </c>
      <c r="E37" s="35" t="s">
        <v>576</v>
      </c>
      <c r="F37" s="35" t="s">
        <v>577</v>
      </c>
      <c r="G37" s="1002">
        <v>892.56</v>
      </c>
      <c r="H37">
        <v>898.46</v>
      </c>
      <c r="I37" s="805">
        <v>904.77</v>
      </c>
      <c r="J37">
        <v>915.98</v>
      </c>
      <c r="K37" s="805">
        <v>930.44</v>
      </c>
      <c r="L37">
        <v>946.54</v>
      </c>
      <c r="M37" s="805">
        <v>970.49</v>
      </c>
      <c r="N37">
        <v>991.18</v>
      </c>
      <c r="O37" s="805">
        <v>1007.17</v>
      </c>
      <c r="P37">
        <v>1021.42</v>
      </c>
      <c r="Q37" s="805">
        <v>1026.5</v>
      </c>
      <c r="R37" s="417">
        <v>1031.8800000000001</v>
      </c>
      <c r="S37" s="1002">
        <v>1034.25</v>
      </c>
      <c r="T37">
        <v>1036.58</v>
      </c>
      <c r="U37" s="805">
        <v>1043.44</v>
      </c>
      <c r="V37">
        <v>1053.6300000000001</v>
      </c>
      <c r="W37" s="805">
        <v>1068.3399999999999</v>
      </c>
      <c r="X37">
        <v>1087.04</v>
      </c>
      <c r="Y37">
        <v>1109.25</v>
      </c>
      <c r="Z37">
        <v>1128.3399999999999</v>
      </c>
      <c r="AA37">
        <v>1144.45</v>
      </c>
      <c r="AB37" s="805">
        <v>1157.3699999999999</v>
      </c>
      <c r="AC37">
        <v>1167.08</v>
      </c>
      <c r="AD37">
        <v>1176.2</v>
      </c>
      <c r="AE37" s="441">
        <v>1176.2</v>
      </c>
      <c r="AF37">
        <v>1176.1999510000001</v>
      </c>
      <c r="AG37">
        <v>1189.98999</v>
      </c>
      <c r="AH37">
        <v>1203.9099120000001</v>
      </c>
      <c r="AI37">
        <v>1223.43</v>
      </c>
      <c r="AJ37">
        <v>1241.51001</v>
      </c>
      <c r="AK37">
        <v>1262.3199460000001</v>
      </c>
      <c r="AL37">
        <v>1277.4499510000001</v>
      </c>
      <c r="AM37">
        <v>1289.25</v>
      </c>
      <c r="AN37">
        <v>1300.339966</v>
      </c>
      <c r="AP37" s="417"/>
    </row>
    <row r="38" spans="1:42" ht="14.45">
      <c r="A38" s="805" t="s">
        <v>578</v>
      </c>
      <c r="B38" s="805" t="s">
        <v>579</v>
      </c>
      <c r="D38" s="35" t="s">
        <v>575</v>
      </c>
      <c r="E38" s="35" t="s">
        <v>580</v>
      </c>
      <c r="G38" s="1002">
        <v>121880</v>
      </c>
      <c r="H38">
        <v>123470</v>
      </c>
      <c r="I38" s="805">
        <v>124270</v>
      </c>
      <c r="J38">
        <v>124270</v>
      </c>
      <c r="K38" s="805">
        <v>124340</v>
      </c>
      <c r="L38">
        <v>124340</v>
      </c>
      <c r="M38" s="805">
        <v>124370</v>
      </c>
      <c r="N38">
        <v>124390</v>
      </c>
      <c r="O38" s="805">
        <v>124400</v>
      </c>
      <c r="P38">
        <v>124680</v>
      </c>
      <c r="Q38" s="805">
        <v>125780</v>
      </c>
      <c r="R38" s="417">
        <v>126930</v>
      </c>
      <c r="S38" s="1002">
        <v>129530</v>
      </c>
      <c r="T38">
        <v>133390</v>
      </c>
      <c r="U38" s="805">
        <v>134860</v>
      </c>
      <c r="V38">
        <v>134950</v>
      </c>
      <c r="W38" s="805">
        <v>135200</v>
      </c>
      <c r="X38">
        <v>135220</v>
      </c>
      <c r="Y38">
        <v>135220</v>
      </c>
      <c r="Z38">
        <v>135220</v>
      </c>
      <c r="AA38">
        <v>135680</v>
      </c>
      <c r="AB38" s="805">
        <v>136070</v>
      </c>
      <c r="AC38">
        <v>136190</v>
      </c>
      <c r="AD38">
        <v>137130</v>
      </c>
      <c r="AE38" s="441">
        <v>139580</v>
      </c>
      <c r="AF38">
        <v>142050</v>
      </c>
      <c r="AG38">
        <v>142150</v>
      </c>
      <c r="AH38">
        <v>142250</v>
      </c>
      <c r="AI38">
        <v>142250</v>
      </c>
      <c r="AJ38">
        <v>142250</v>
      </c>
      <c r="AK38">
        <v>142250</v>
      </c>
      <c r="AL38">
        <v>142250</v>
      </c>
      <c r="AM38">
        <v>142380</v>
      </c>
      <c r="AN38">
        <v>142600</v>
      </c>
      <c r="AP38" s="417"/>
    </row>
    <row r="39" spans="1:42" ht="14.45">
      <c r="A39" s="1252" t="s">
        <v>581</v>
      </c>
      <c r="B39" s="805" t="s">
        <v>582</v>
      </c>
      <c r="D39" s="35" t="s">
        <v>575</v>
      </c>
      <c r="E39" s="35" t="s">
        <v>583</v>
      </c>
      <c r="G39" s="1002">
        <v>3278658</v>
      </c>
      <c r="H39">
        <v>3291767</v>
      </c>
      <c r="I39" s="805">
        <v>3308236</v>
      </c>
      <c r="J39">
        <v>3325767</v>
      </c>
      <c r="K39" s="805">
        <v>3352993</v>
      </c>
      <c r="L39">
        <v>3387291</v>
      </c>
      <c r="M39" s="805">
        <v>3421001</v>
      </c>
      <c r="N39">
        <v>3449536</v>
      </c>
      <c r="O39" s="805">
        <v>3477113</v>
      </c>
      <c r="P39">
        <v>3503472</v>
      </c>
      <c r="Q39" s="805">
        <v>3518666</v>
      </c>
      <c r="R39" s="417">
        <v>3534559</v>
      </c>
      <c r="S39" s="1002">
        <v>3543345</v>
      </c>
      <c r="T39">
        <v>3547209</v>
      </c>
      <c r="U39" s="805">
        <v>3562335</v>
      </c>
      <c r="V39">
        <v>3584711</v>
      </c>
      <c r="W39" s="805">
        <v>3612508</v>
      </c>
      <c r="X39">
        <v>3646637</v>
      </c>
      <c r="Y39">
        <v>3684990</v>
      </c>
      <c r="Z39">
        <v>3725182</v>
      </c>
      <c r="AA39">
        <v>3755166</v>
      </c>
      <c r="AB39" s="805">
        <v>3780345</v>
      </c>
      <c r="AC39">
        <v>3805333</v>
      </c>
      <c r="AD39">
        <v>3821006</v>
      </c>
      <c r="AE39" s="441">
        <v>3833192</v>
      </c>
      <c r="AF39">
        <v>3849234</v>
      </c>
      <c r="AG39">
        <v>3869169</v>
      </c>
      <c r="AH39">
        <v>3894995</v>
      </c>
      <c r="AI39">
        <v>3933184</v>
      </c>
      <c r="AJ39">
        <v>3967352</v>
      </c>
      <c r="AK39">
        <v>4005029</v>
      </c>
      <c r="AL39">
        <v>4040486</v>
      </c>
      <c r="AM39">
        <v>4069066</v>
      </c>
      <c r="AN39">
        <v>4095535</v>
      </c>
      <c r="AP39" s="417"/>
    </row>
    <row r="40" spans="1:42" ht="14.45">
      <c r="A40" s="805" t="s">
        <v>584</v>
      </c>
      <c r="B40" s="805" t="s">
        <v>585</v>
      </c>
      <c r="D40" s="35" t="s">
        <v>572</v>
      </c>
      <c r="E40" s="35" t="s">
        <v>586</v>
      </c>
      <c r="G40" s="1002">
        <v>191348</v>
      </c>
      <c r="H40">
        <v>193499</v>
      </c>
      <c r="I40" s="805">
        <v>196089</v>
      </c>
      <c r="J40">
        <v>198380</v>
      </c>
      <c r="K40" s="805">
        <v>201549</v>
      </c>
      <c r="L40">
        <v>205349</v>
      </c>
      <c r="M40" s="805">
        <v>209692</v>
      </c>
      <c r="N40">
        <v>213146</v>
      </c>
      <c r="O40" s="805">
        <v>216685</v>
      </c>
      <c r="P40">
        <v>219224</v>
      </c>
      <c r="Q40" s="805">
        <v>219875</v>
      </c>
      <c r="R40" s="417">
        <v>220579</v>
      </c>
      <c r="S40" s="1002">
        <v>221605</v>
      </c>
      <c r="T40">
        <v>222281</v>
      </c>
      <c r="U40" s="805">
        <v>224038</v>
      </c>
      <c r="V40">
        <v>226828</v>
      </c>
      <c r="W40" s="805">
        <v>229867</v>
      </c>
      <c r="X40">
        <v>233221</v>
      </c>
      <c r="Y40">
        <v>236805</v>
      </c>
      <c r="Z40">
        <v>240551</v>
      </c>
      <c r="AA40">
        <v>243525</v>
      </c>
      <c r="AB40" s="805">
        <v>246309</v>
      </c>
      <c r="AC40">
        <v>249160</v>
      </c>
      <c r="AD40">
        <v>251538</v>
      </c>
      <c r="AE40" s="441">
        <v>253562</v>
      </c>
      <c r="AF40">
        <v>255873</v>
      </c>
      <c r="AG40">
        <v>258242</v>
      </c>
      <c r="AH40">
        <v>261126</v>
      </c>
      <c r="AI40">
        <v>264723</v>
      </c>
      <c r="AJ40">
        <v>268328</v>
      </c>
      <c r="AK40">
        <v>272167</v>
      </c>
      <c r="AL40">
        <v>275712</v>
      </c>
      <c r="AM40">
        <v>279335</v>
      </c>
      <c r="AN40">
        <v>284490</v>
      </c>
      <c r="AP40" s="417"/>
    </row>
    <row r="41" spans="1:42" ht="14.45">
      <c r="A41" s="805" t="s">
        <v>587</v>
      </c>
      <c r="B41" s="805" t="s">
        <v>588</v>
      </c>
      <c r="D41" s="35" t="s">
        <v>572</v>
      </c>
      <c r="E41" s="35" t="s">
        <v>589</v>
      </c>
      <c r="G41" s="1002">
        <v>42555</v>
      </c>
      <c r="H41">
        <v>42572</v>
      </c>
      <c r="I41" s="805">
        <v>42580</v>
      </c>
      <c r="J41">
        <v>42647</v>
      </c>
      <c r="K41" s="805">
        <v>42882</v>
      </c>
      <c r="L41">
        <v>43507</v>
      </c>
      <c r="M41" s="805">
        <v>44281</v>
      </c>
      <c r="N41">
        <v>44699</v>
      </c>
      <c r="O41" s="805">
        <v>44994</v>
      </c>
      <c r="P41">
        <v>45201</v>
      </c>
      <c r="Q41" s="805">
        <v>45210</v>
      </c>
      <c r="R41" s="417">
        <v>45229</v>
      </c>
      <c r="S41" s="1002">
        <v>45229</v>
      </c>
      <c r="T41">
        <v>45263</v>
      </c>
      <c r="U41" s="805">
        <v>45290</v>
      </c>
      <c r="V41">
        <v>45312</v>
      </c>
      <c r="W41" s="805">
        <v>45370</v>
      </c>
      <c r="X41">
        <v>45707</v>
      </c>
      <c r="Y41">
        <v>46215</v>
      </c>
      <c r="Z41">
        <v>46984</v>
      </c>
      <c r="AA41">
        <v>47087</v>
      </c>
      <c r="AB41" s="805">
        <v>47187</v>
      </c>
      <c r="AC41">
        <v>47232</v>
      </c>
      <c r="AD41">
        <v>47235</v>
      </c>
      <c r="AE41" s="441">
        <v>47235</v>
      </c>
      <c r="AF41">
        <v>47236</v>
      </c>
      <c r="AG41">
        <v>47300</v>
      </c>
      <c r="AH41">
        <v>47435</v>
      </c>
      <c r="AI41">
        <v>47992</v>
      </c>
      <c r="AJ41">
        <v>48320</v>
      </c>
      <c r="AK41">
        <v>48897</v>
      </c>
      <c r="AL41">
        <v>49431</v>
      </c>
      <c r="AM41">
        <v>50051</v>
      </c>
      <c r="AN41">
        <v>50520</v>
      </c>
      <c r="AP41" s="417"/>
    </row>
    <row r="42" spans="1:42" ht="14.45">
      <c r="A42" s="805" t="s">
        <v>590</v>
      </c>
      <c r="B42" s="805" t="s">
        <v>591</v>
      </c>
      <c r="D42" s="35"/>
      <c r="E42" s="35"/>
      <c r="G42" s="1002">
        <v>421114</v>
      </c>
      <c r="H42">
        <v>421114</v>
      </c>
      <c r="I42" s="805">
        <v>421114</v>
      </c>
      <c r="J42">
        <v>421114</v>
      </c>
      <c r="K42" s="805">
        <v>421114</v>
      </c>
      <c r="L42">
        <v>421114</v>
      </c>
      <c r="M42" s="805">
        <v>421114</v>
      </c>
      <c r="N42">
        <v>421114</v>
      </c>
      <c r="O42" s="805">
        <v>421114</v>
      </c>
      <c r="P42">
        <v>421114</v>
      </c>
      <c r="Q42" s="805">
        <v>421114</v>
      </c>
      <c r="R42" s="417">
        <v>421114</v>
      </c>
      <c r="S42" s="1002">
        <v>425453</v>
      </c>
      <c r="T42">
        <v>433893</v>
      </c>
      <c r="U42" s="805">
        <v>435173</v>
      </c>
      <c r="V42">
        <v>435177</v>
      </c>
      <c r="W42" s="805">
        <v>435182</v>
      </c>
      <c r="X42">
        <v>435456</v>
      </c>
      <c r="Y42">
        <v>435462</v>
      </c>
      <c r="Z42">
        <v>444000</v>
      </c>
      <c r="AA42">
        <v>451365</v>
      </c>
      <c r="AB42" s="805">
        <v>464239</v>
      </c>
      <c r="AC42">
        <v>489503</v>
      </c>
      <c r="AD42">
        <v>525602</v>
      </c>
      <c r="AE42" s="441">
        <v>562918</v>
      </c>
      <c r="AF42">
        <v>589061</v>
      </c>
      <c r="AG42">
        <v>589723</v>
      </c>
      <c r="AH42">
        <v>594654</v>
      </c>
      <c r="AI42">
        <v>599449</v>
      </c>
      <c r="AJ42">
        <v>599728</v>
      </c>
      <c r="AK42">
        <v>602096</v>
      </c>
      <c r="AL42">
        <v>604740</v>
      </c>
      <c r="AM42">
        <v>607114</v>
      </c>
      <c r="AN42">
        <v>607235</v>
      </c>
      <c r="AP42" s="417"/>
    </row>
    <row r="43" spans="1:42" ht="14.45">
      <c r="A43" s="805" t="s">
        <v>592</v>
      </c>
      <c r="B43" s="805" t="s">
        <v>593</v>
      </c>
      <c r="D43" s="35" t="s">
        <v>575</v>
      </c>
      <c r="E43" s="35" t="s">
        <v>594</v>
      </c>
      <c r="G43" s="1002">
        <v>1127171</v>
      </c>
      <c r="H43">
        <v>1127533</v>
      </c>
      <c r="I43" s="805">
        <v>1127677</v>
      </c>
      <c r="J43">
        <v>1138495</v>
      </c>
      <c r="K43" s="805">
        <v>1156940</v>
      </c>
      <c r="L43">
        <v>1165584</v>
      </c>
      <c r="M43" s="805">
        <v>1173401</v>
      </c>
      <c r="N43">
        <v>1181430</v>
      </c>
      <c r="O43" s="805">
        <v>1187853</v>
      </c>
      <c r="P43">
        <v>1192410</v>
      </c>
      <c r="Q43" s="805">
        <v>1194015</v>
      </c>
      <c r="R43" s="417">
        <v>1195865</v>
      </c>
      <c r="S43" s="1002">
        <v>1196543</v>
      </c>
      <c r="T43">
        <v>1196545</v>
      </c>
      <c r="U43" s="805">
        <v>1197555</v>
      </c>
      <c r="V43">
        <v>1199087</v>
      </c>
      <c r="W43" s="805">
        <v>1200345</v>
      </c>
      <c r="X43">
        <v>1201899</v>
      </c>
      <c r="Y43">
        <v>1202221</v>
      </c>
      <c r="Z43">
        <v>1203435</v>
      </c>
      <c r="AA43">
        <v>1205067</v>
      </c>
      <c r="AB43" s="805">
        <v>1205752</v>
      </c>
      <c r="AC43">
        <v>1215265</v>
      </c>
      <c r="AD43">
        <v>1221427</v>
      </c>
      <c r="AE43" s="441">
        <v>1221607</v>
      </c>
      <c r="AF43">
        <v>1221985</v>
      </c>
      <c r="AG43">
        <v>1223758</v>
      </c>
      <c r="AH43">
        <v>1224777</v>
      </c>
      <c r="AI43">
        <v>1224800</v>
      </c>
      <c r="AJ43">
        <v>1224800</v>
      </c>
      <c r="AK43">
        <v>1224802</v>
      </c>
      <c r="AL43">
        <v>1224803</v>
      </c>
      <c r="AM43">
        <v>1224803</v>
      </c>
      <c r="AN43">
        <v>1224803</v>
      </c>
      <c r="AP43" s="417"/>
    </row>
    <row r="44" spans="1:42" ht="14.45">
      <c r="A44" s="805" t="s">
        <v>595</v>
      </c>
      <c r="B44" s="805" t="s">
        <v>596</v>
      </c>
      <c r="D44" s="35" t="s">
        <v>575</v>
      </c>
      <c r="E44" s="35" t="s">
        <v>597</v>
      </c>
      <c r="F44" s="35" t="s">
        <v>596</v>
      </c>
      <c r="G44" s="1002">
        <v>116132</v>
      </c>
      <c r="H44">
        <v>117162</v>
      </c>
      <c r="I44" s="805">
        <v>118553</v>
      </c>
      <c r="J44">
        <v>119414</v>
      </c>
      <c r="K44" s="805">
        <v>120134</v>
      </c>
      <c r="L44">
        <v>120603</v>
      </c>
      <c r="M44" s="805">
        <v>121086</v>
      </c>
      <c r="N44">
        <v>121914</v>
      </c>
      <c r="O44" s="805">
        <v>122774</v>
      </c>
      <c r="P44">
        <v>123953</v>
      </c>
      <c r="Q44" s="805">
        <v>125009</v>
      </c>
      <c r="R44" s="417">
        <v>126034</v>
      </c>
      <c r="S44" s="1002">
        <v>126892</v>
      </c>
      <c r="T44">
        <v>128122</v>
      </c>
      <c r="U44" s="805">
        <v>129164</v>
      </c>
      <c r="V44">
        <v>130045</v>
      </c>
      <c r="W44" s="805">
        <v>130692</v>
      </c>
      <c r="X44">
        <v>131269</v>
      </c>
      <c r="Y44">
        <v>131787</v>
      </c>
      <c r="Z44">
        <v>132563</v>
      </c>
      <c r="AA44">
        <v>133397</v>
      </c>
      <c r="AB44" s="805">
        <v>134624</v>
      </c>
      <c r="AC44">
        <v>135683</v>
      </c>
      <c r="AD44">
        <v>136672</v>
      </c>
      <c r="AE44" s="441">
        <v>137797</v>
      </c>
      <c r="AF44">
        <v>138985</v>
      </c>
      <c r="AG44">
        <v>139855</v>
      </c>
      <c r="AH44">
        <v>140523</v>
      </c>
      <c r="AI44">
        <v>141091</v>
      </c>
      <c r="AJ44">
        <v>141529</v>
      </c>
      <c r="AK44">
        <v>142061</v>
      </c>
      <c r="AL44">
        <v>142922</v>
      </c>
      <c r="AM44">
        <v>143831</v>
      </c>
      <c r="AN44">
        <v>144728</v>
      </c>
      <c r="AP44" s="417"/>
    </row>
    <row r="45" spans="1:42" ht="14.45">
      <c r="A45" s="805" t="s">
        <v>598</v>
      </c>
      <c r="B45" s="805" t="s">
        <v>599</v>
      </c>
      <c r="D45" s="35" t="s">
        <v>572</v>
      </c>
      <c r="E45" s="35" t="s">
        <v>600</v>
      </c>
      <c r="F45" s="35" t="s">
        <v>554</v>
      </c>
      <c r="G45" s="1002">
        <v>6135120</v>
      </c>
      <c r="H45">
        <v>6167850</v>
      </c>
      <c r="I45" s="805">
        <v>6212450</v>
      </c>
      <c r="J45">
        <v>6219740</v>
      </c>
      <c r="K45" s="805">
        <v>6262940</v>
      </c>
      <c r="L45">
        <v>6337750</v>
      </c>
      <c r="M45" s="805">
        <v>6411530</v>
      </c>
      <c r="N45">
        <v>6482980</v>
      </c>
      <c r="O45" s="805">
        <v>6546150</v>
      </c>
      <c r="P45">
        <v>6603390</v>
      </c>
      <c r="Q45" s="805">
        <v>6642190</v>
      </c>
      <c r="R45" s="417">
        <v>6679690</v>
      </c>
      <c r="S45" s="1002">
        <v>6702810</v>
      </c>
      <c r="T45">
        <v>6703390</v>
      </c>
      <c r="U45" s="805">
        <v>6745930</v>
      </c>
      <c r="V45">
        <v>6799380</v>
      </c>
      <c r="W45" s="805">
        <v>6864210</v>
      </c>
      <c r="X45">
        <v>6942510</v>
      </c>
      <c r="Y45">
        <v>7029980</v>
      </c>
      <c r="Z45">
        <v>7114750</v>
      </c>
      <c r="AA45">
        <v>7178890</v>
      </c>
      <c r="AB45" s="805">
        <v>7223000</v>
      </c>
      <c r="AC45">
        <v>7263390</v>
      </c>
      <c r="AD45">
        <v>7275510</v>
      </c>
      <c r="AE45" s="441">
        <v>7275510</v>
      </c>
      <c r="AF45">
        <v>7292910</v>
      </c>
      <c r="AG45">
        <v>7342690</v>
      </c>
      <c r="AH45">
        <v>7396200</v>
      </c>
      <c r="AI45">
        <v>7476110</v>
      </c>
      <c r="AJ45">
        <v>7553830</v>
      </c>
      <c r="AK45">
        <v>7640740</v>
      </c>
      <c r="AL45">
        <v>7720250</v>
      </c>
      <c r="AM45">
        <v>7784190</v>
      </c>
      <c r="AN45">
        <v>7849140</v>
      </c>
      <c r="AP45" s="417"/>
    </row>
    <row r="46" spans="1:42" ht="14.45">
      <c r="A46" s="805" t="s">
        <v>601</v>
      </c>
      <c r="B46" s="805" t="s">
        <v>602</v>
      </c>
      <c r="D46" s="993" t="s">
        <v>572</v>
      </c>
      <c r="E46" s="994" t="s">
        <v>603</v>
      </c>
      <c r="F46" t="s">
        <v>604</v>
      </c>
      <c r="G46" s="1002">
        <v>6844400</v>
      </c>
      <c r="H46">
        <v>6847700</v>
      </c>
      <c r="I46" s="805">
        <v>6879400</v>
      </c>
      <c r="J46">
        <v>6926400</v>
      </c>
      <c r="K46" s="805">
        <v>7006200</v>
      </c>
      <c r="L46">
        <v>7122700</v>
      </c>
      <c r="M46" s="805">
        <v>7241000</v>
      </c>
      <c r="N46">
        <v>7352400</v>
      </c>
      <c r="O46" s="805">
        <v>7450100</v>
      </c>
      <c r="P46">
        <v>7530800</v>
      </c>
      <c r="Q46" s="805">
        <v>7576400</v>
      </c>
      <c r="R46" s="417">
        <v>7618100</v>
      </c>
      <c r="S46" s="1002">
        <v>7642000</v>
      </c>
      <c r="T46">
        <v>7671700</v>
      </c>
      <c r="U46" s="805">
        <v>7706100</v>
      </c>
      <c r="V46">
        <v>7768400</v>
      </c>
      <c r="W46" s="805">
        <v>7855600</v>
      </c>
      <c r="X46">
        <v>7953500</v>
      </c>
      <c r="Y46">
        <v>8063300</v>
      </c>
      <c r="Z46">
        <v>8184200</v>
      </c>
      <c r="AA46">
        <v>8264400</v>
      </c>
      <c r="AB46" s="805">
        <v>8328200</v>
      </c>
      <c r="AC46">
        <v>8376900</v>
      </c>
      <c r="AD46">
        <v>8412500</v>
      </c>
      <c r="AE46" s="441">
        <v>8447900</v>
      </c>
      <c r="AF46">
        <v>8482300</v>
      </c>
      <c r="AG46">
        <v>8520700</v>
      </c>
      <c r="AH46">
        <v>8577600</v>
      </c>
      <c r="AI46">
        <v>8674300</v>
      </c>
      <c r="AJ46">
        <v>8765200</v>
      </c>
      <c r="AK46">
        <v>8866700</v>
      </c>
      <c r="AL46">
        <v>8981200</v>
      </c>
      <c r="AM46">
        <v>9066700</v>
      </c>
      <c r="AN46">
        <v>9133000</v>
      </c>
      <c r="AP46" s="417"/>
    </row>
    <row r="47" spans="1:42" ht="14.45">
      <c r="A47" s="805" t="s">
        <v>605</v>
      </c>
      <c r="B47" s="805" t="s">
        <v>606</v>
      </c>
      <c r="D47" s="993" t="s">
        <v>575</v>
      </c>
      <c r="E47" s="994" t="s">
        <v>607</v>
      </c>
      <c r="F47" t="s">
        <v>608</v>
      </c>
      <c r="G47" s="1002">
        <v>1898.8</v>
      </c>
      <c r="H47">
        <v>1898.9</v>
      </c>
      <c r="I47" s="805">
        <v>1900.8</v>
      </c>
      <c r="J47">
        <v>1903.3</v>
      </c>
      <c r="K47" s="805">
        <v>1922</v>
      </c>
      <c r="L47">
        <v>1946</v>
      </c>
      <c r="M47" s="805">
        <v>1985</v>
      </c>
      <c r="N47">
        <v>2011</v>
      </c>
      <c r="O47" s="805">
        <v>2030</v>
      </c>
      <c r="P47">
        <v>2051</v>
      </c>
      <c r="Q47" s="805">
        <v>2061</v>
      </c>
      <c r="R47" s="506">
        <v>2071</v>
      </c>
      <c r="S47" s="1023">
        <v>2081</v>
      </c>
      <c r="T47" s="1020">
        <v>2088</v>
      </c>
      <c r="U47" s="1022">
        <v>2095</v>
      </c>
      <c r="V47" s="1020">
        <v>2107</v>
      </c>
      <c r="W47" s="1022">
        <v>2120</v>
      </c>
      <c r="X47" s="1020">
        <v>2140</v>
      </c>
      <c r="Y47" s="805">
        <v>2182</v>
      </c>
      <c r="Z47">
        <v>2215</v>
      </c>
      <c r="AA47" s="1020">
        <v>2225</v>
      </c>
      <c r="AB47" s="805">
        <v>2252.4</v>
      </c>
      <c r="AC47">
        <v>2263.4</v>
      </c>
      <c r="AD47" s="887">
        <v>2270</v>
      </c>
      <c r="AE47" s="1256">
        <v>2276</v>
      </c>
      <c r="AF47">
        <v>2284</v>
      </c>
      <c r="AG47">
        <v>2292</v>
      </c>
      <c r="AH47">
        <v>2300</v>
      </c>
      <c r="AI47" s="887">
        <v>2310</v>
      </c>
      <c r="AJ47" s="887">
        <v>2330</v>
      </c>
      <c r="AK47" s="887">
        <v>2350</v>
      </c>
      <c r="AL47" s="887">
        <v>2370</v>
      </c>
      <c r="AM47">
        <v>2406</v>
      </c>
      <c r="AN47">
        <v>2410</v>
      </c>
      <c r="AP47" s="417"/>
    </row>
    <row r="48" spans="1:42" ht="14.45">
      <c r="A48" s="805" t="s">
        <v>609</v>
      </c>
      <c r="B48" s="805" t="s">
        <v>610</v>
      </c>
      <c r="D48" s="993" t="s">
        <v>572</v>
      </c>
      <c r="E48" s="994" t="s">
        <v>611</v>
      </c>
      <c r="F48" t="s">
        <v>612</v>
      </c>
      <c r="G48" s="1002">
        <v>14105200</v>
      </c>
      <c r="H48">
        <v>14105200</v>
      </c>
      <c r="I48" s="805">
        <v>14114800</v>
      </c>
      <c r="J48">
        <v>14161900</v>
      </c>
      <c r="K48" s="805">
        <v>14344000</v>
      </c>
      <c r="L48">
        <v>14563300</v>
      </c>
      <c r="M48" s="805">
        <v>14896900</v>
      </c>
      <c r="N48">
        <v>15161700</v>
      </c>
      <c r="O48" s="805">
        <v>15446000</v>
      </c>
      <c r="P48">
        <v>15656700</v>
      </c>
      <c r="Q48" s="805">
        <v>15719000</v>
      </c>
      <c r="R48" s="417">
        <v>15719000</v>
      </c>
      <c r="S48" s="1002">
        <v>15719000</v>
      </c>
      <c r="T48">
        <v>15719000</v>
      </c>
      <c r="U48" s="805">
        <v>15761900</v>
      </c>
      <c r="V48">
        <v>15861200</v>
      </c>
      <c r="W48" s="805">
        <v>16088300</v>
      </c>
      <c r="X48">
        <v>16315900</v>
      </c>
      <c r="Y48">
        <v>16658700</v>
      </c>
      <c r="Z48">
        <v>16963700</v>
      </c>
      <c r="AA48">
        <v>17177500</v>
      </c>
      <c r="AB48" s="805">
        <v>17343200</v>
      </c>
      <c r="AC48">
        <v>17441300</v>
      </c>
      <c r="AD48">
        <v>17441300</v>
      </c>
      <c r="AE48" s="441">
        <v>17441300</v>
      </c>
      <c r="AF48">
        <v>17441300</v>
      </c>
      <c r="AG48">
        <v>17572600</v>
      </c>
      <c r="AH48">
        <v>17763000</v>
      </c>
      <c r="AI48">
        <v>18004800</v>
      </c>
      <c r="AJ48">
        <v>18114000</v>
      </c>
      <c r="AK48">
        <v>18171900</v>
      </c>
      <c r="AL48">
        <v>18443300</v>
      </c>
      <c r="AM48">
        <v>18662100</v>
      </c>
      <c r="AN48">
        <v>18833700</v>
      </c>
      <c r="AP48" s="417"/>
    </row>
    <row r="49" spans="1:43" ht="14.45">
      <c r="A49" s="805" t="s">
        <v>613</v>
      </c>
      <c r="B49" s="805" t="s">
        <v>614</v>
      </c>
      <c r="D49" s="35" t="s">
        <v>575</v>
      </c>
      <c r="E49" s="35" t="s">
        <v>615</v>
      </c>
      <c r="F49" s="35" t="s">
        <v>616</v>
      </c>
      <c r="G49" s="1002">
        <v>3363840</v>
      </c>
      <c r="H49">
        <v>3389880</v>
      </c>
      <c r="I49" s="805">
        <v>3432130</v>
      </c>
      <c r="J49">
        <v>3475300</v>
      </c>
      <c r="K49" s="805">
        <v>3537250</v>
      </c>
      <c r="L49">
        <v>3612940</v>
      </c>
      <c r="M49" s="805">
        <v>3692570</v>
      </c>
      <c r="N49">
        <v>3757910</v>
      </c>
      <c r="O49" s="805">
        <v>3815650</v>
      </c>
      <c r="P49">
        <v>3864910</v>
      </c>
      <c r="Q49" s="805">
        <v>3908610</v>
      </c>
      <c r="R49" s="417">
        <v>3946020</v>
      </c>
      <c r="S49" s="1002">
        <v>3971700</v>
      </c>
      <c r="T49">
        <v>4002910</v>
      </c>
      <c r="U49" s="805">
        <v>4057170</v>
      </c>
      <c r="V49">
        <v>4116780</v>
      </c>
      <c r="W49" s="805">
        <v>4183680</v>
      </c>
      <c r="X49">
        <v>4261590</v>
      </c>
      <c r="Y49">
        <v>4333340</v>
      </c>
      <c r="Z49">
        <v>4407280</v>
      </c>
      <c r="AA49">
        <v>4458880</v>
      </c>
      <c r="AB49" s="805">
        <v>4517740</v>
      </c>
      <c r="AC49">
        <v>4576390</v>
      </c>
      <c r="AD49">
        <v>4615770</v>
      </c>
      <c r="AE49" s="441">
        <v>4644880</v>
      </c>
      <c r="AF49" s="1020">
        <v>4679900</v>
      </c>
      <c r="AG49" s="1020">
        <v>4722680</v>
      </c>
      <c r="AH49">
        <v>4780230</v>
      </c>
      <c r="AI49" s="1020">
        <v>4862870</v>
      </c>
      <c r="AJ49">
        <v>4938530</v>
      </c>
      <c r="AK49" s="1257">
        <f>AJ49+71000</f>
        <v>5009530</v>
      </c>
      <c r="AL49" s="1257">
        <v>5080000</v>
      </c>
      <c r="AM49" s="1257">
        <v>5150500</v>
      </c>
      <c r="AN49" s="1257">
        <v>5221150</v>
      </c>
      <c r="AP49" s="417"/>
    </row>
    <row r="50" spans="1:43" s="1020" customFormat="1" ht="14.45">
      <c r="A50" s="1020" t="s">
        <v>617</v>
      </c>
      <c r="B50" s="1022" t="s">
        <v>618</v>
      </c>
      <c r="G50" s="1023">
        <v>73.400000000000006</v>
      </c>
      <c r="H50" s="1020">
        <v>74.599999999999994</v>
      </c>
      <c r="I50" s="1022">
        <v>74.599999999999994</v>
      </c>
      <c r="J50" s="1020">
        <v>74.599999999999994</v>
      </c>
      <c r="K50" s="1022">
        <v>74.599999999999994</v>
      </c>
      <c r="L50" s="1020">
        <v>74.599999999999994</v>
      </c>
      <c r="M50" s="1022">
        <v>74.8</v>
      </c>
      <c r="N50" s="1020">
        <v>75.7</v>
      </c>
      <c r="O50" s="1022">
        <v>76.099999999999994</v>
      </c>
      <c r="P50" s="1020">
        <v>77</v>
      </c>
      <c r="Q50" s="1022">
        <v>79.8</v>
      </c>
      <c r="R50" s="1016">
        <v>82.8</v>
      </c>
      <c r="S50" s="1254">
        <v>87</v>
      </c>
      <c r="T50" s="35">
        <v>87</v>
      </c>
      <c r="U50" s="1252">
        <v>87</v>
      </c>
      <c r="V50" s="35">
        <v>87</v>
      </c>
      <c r="W50" s="35">
        <v>87</v>
      </c>
      <c r="X50" s="35">
        <v>87</v>
      </c>
      <c r="Y50" s="35">
        <v>87</v>
      </c>
      <c r="Z50" s="35">
        <v>87.8</v>
      </c>
      <c r="AA50" s="1020">
        <v>89.7</v>
      </c>
      <c r="AB50" s="1022">
        <v>91.4</v>
      </c>
      <c r="AC50" s="1020">
        <v>91.6</v>
      </c>
      <c r="AD50" s="1020">
        <v>94</v>
      </c>
      <c r="AE50" s="1021">
        <v>98.59</v>
      </c>
      <c r="AF50">
        <v>103</v>
      </c>
      <c r="AG50" s="1020">
        <v>104.75</v>
      </c>
      <c r="AH50" s="1020">
        <v>106.11000060000001</v>
      </c>
      <c r="AI50" s="1020">
        <v>107.2</v>
      </c>
      <c r="AJ50" s="1020">
        <v>107.29</v>
      </c>
      <c r="AK50">
        <v>107.41999819999999</v>
      </c>
      <c r="AL50">
        <v>107.7699966</v>
      </c>
      <c r="AM50">
        <v>108.3799973</v>
      </c>
      <c r="AN50" s="1020">
        <v>109.48</v>
      </c>
      <c r="AP50" s="1016"/>
    </row>
    <row r="51" spans="1:43" ht="14.45">
      <c r="A51" s="805" t="s">
        <v>619</v>
      </c>
      <c r="B51" s="1252" t="s">
        <v>620</v>
      </c>
      <c r="D51" s="35" t="s">
        <v>572</v>
      </c>
      <c r="E51" s="35" t="s">
        <v>621</v>
      </c>
      <c r="F51" s="35" t="s">
        <v>622</v>
      </c>
      <c r="G51" s="1002">
        <v>93430</v>
      </c>
      <c r="H51">
        <v>98130</v>
      </c>
      <c r="I51" s="805">
        <v>104190</v>
      </c>
      <c r="J51">
        <v>111610</v>
      </c>
      <c r="K51" s="805">
        <v>121970</v>
      </c>
      <c r="L51">
        <v>134100</v>
      </c>
      <c r="M51" s="805">
        <v>148240</v>
      </c>
      <c r="N51">
        <v>161610</v>
      </c>
      <c r="O51" s="805">
        <v>173110</v>
      </c>
      <c r="P51">
        <v>183720</v>
      </c>
      <c r="Q51" s="805">
        <v>190010</v>
      </c>
      <c r="R51" s="417">
        <v>194800</v>
      </c>
      <c r="S51" s="1002">
        <v>198330</v>
      </c>
      <c r="T51">
        <v>202020</v>
      </c>
      <c r="U51" s="805">
        <v>208300</v>
      </c>
      <c r="V51">
        <v>215360</v>
      </c>
      <c r="W51" s="805">
        <v>226870</v>
      </c>
      <c r="X51">
        <v>241060</v>
      </c>
      <c r="Y51">
        <v>258290</v>
      </c>
      <c r="Z51">
        <v>275870</v>
      </c>
      <c r="AA51">
        <v>289500</v>
      </c>
      <c r="AB51" s="805">
        <v>299960</v>
      </c>
      <c r="AC51">
        <v>305100</v>
      </c>
      <c r="AD51">
        <v>308670</v>
      </c>
      <c r="AE51" s="441">
        <v>312220</v>
      </c>
      <c r="AF51">
        <v>316100</v>
      </c>
      <c r="AG51">
        <v>320200</v>
      </c>
      <c r="AH51">
        <v>325490</v>
      </c>
      <c r="AI51">
        <v>333240</v>
      </c>
      <c r="AJ51">
        <v>342820</v>
      </c>
      <c r="AK51" s="1257">
        <f>AJ51+17000</f>
        <v>359820</v>
      </c>
      <c r="AL51" s="1298">
        <v>376820</v>
      </c>
      <c r="AM51" s="1301">
        <v>393820</v>
      </c>
      <c r="AN51" s="1257">
        <v>410820</v>
      </c>
      <c r="AP51" s="417"/>
    </row>
    <row r="52" spans="1:43" ht="14.45">
      <c r="A52" s="805" t="s">
        <v>623</v>
      </c>
      <c r="B52" s="805" t="s">
        <v>624</v>
      </c>
      <c r="D52" s="35" t="s">
        <v>572</v>
      </c>
      <c r="E52" s="35" t="s">
        <v>625</v>
      </c>
      <c r="F52" s="35" t="s">
        <v>626</v>
      </c>
      <c r="G52" s="1002">
        <v>0</v>
      </c>
      <c r="H52">
        <v>0</v>
      </c>
      <c r="I52" s="805">
        <v>0</v>
      </c>
      <c r="J52">
        <v>0</v>
      </c>
      <c r="K52" s="805">
        <v>0</v>
      </c>
      <c r="L52">
        <v>0</v>
      </c>
      <c r="M52" s="805">
        <v>3310</v>
      </c>
      <c r="N52">
        <v>5690</v>
      </c>
      <c r="O52" s="805">
        <v>7680</v>
      </c>
      <c r="P52">
        <v>9270</v>
      </c>
      <c r="Q52" s="805">
        <v>9950</v>
      </c>
      <c r="R52" s="506">
        <v>10500</v>
      </c>
      <c r="S52" s="1002">
        <v>10730</v>
      </c>
      <c r="T52" s="35">
        <v>11070</v>
      </c>
      <c r="U52" s="805">
        <v>12000</v>
      </c>
      <c r="V52">
        <v>13300</v>
      </c>
      <c r="W52" s="805">
        <v>15110</v>
      </c>
      <c r="X52">
        <v>17200</v>
      </c>
      <c r="Y52" s="805">
        <v>19070</v>
      </c>
      <c r="Z52">
        <v>21100</v>
      </c>
      <c r="AA52" s="887">
        <v>22300</v>
      </c>
      <c r="AB52" s="805">
        <v>23800</v>
      </c>
      <c r="AC52">
        <v>24560</v>
      </c>
      <c r="AD52">
        <v>24830</v>
      </c>
      <c r="AE52" s="441">
        <v>25070</v>
      </c>
      <c r="AF52">
        <v>25870</v>
      </c>
      <c r="AG52">
        <v>27180</v>
      </c>
      <c r="AH52">
        <v>29000</v>
      </c>
      <c r="AI52">
        <v>31660</v>
      </c>
      <c r="AJ52">
        <v>34410</v>
      </c>
      <c r="AK52" s="1257">
        <f>AJ52+1900</f>
        <v>36310</v>
      </c>
      <c r="AL52" s="1257">
        <v>38000</v>
      </c>
      <c r="AM52" s="1257">
        <v>39690</v>
      </c>
      <c r="AN52" s="1257">
        <v>41450</v>
      </c>
      <c r="AP52" s="417"/>
    </row>
    <row r="53" spans="1:43" ht="14.45">
      <c r="A53" s="805" t="s">
        <v>627</v>
      </c>
      <c r="B53" s="805" t="s">
        <v>628</v>
      </c>
      <c r="D53" s="35" t="s">
        <v>572</v>
      </c>
      <c r="E53" s="35" t="s">
        <v>629</v>
      </c>
      <c r="F53" s="35" t="s">
        <v>552</v>
      </c>
      <c r="G53" s="1002">
        <v>7228900</v>
      </c>
      <c r="H53">
        <v>7285700</v>
      </c>
      <c r="I53" s="805">
        <v>7369100</v>
      </c>
      <c r="J53">
        <v>7454200</v>
      </c>
      <c r="K53" s="805">
        <v>7600900</v>
      </c>
      <c r="L53">
        <v>7789000</v>
      </c>
      <c r="M53" s="805">
        <v>8007700</v>
      </c>
      <c r="N53">
        <v>8194200</v>
      </c>
      <c r="O53" s="805">
        <v>8364400</v>
      </c>
      <c r="P53">
        <v>8512200</v>
      </c>
      <c r="Q53" s="805">
        <v>8572400</v>
      </c>
      <c r="R53" s="417">
        <v>8598900</v>
      </c>
      <c r="S53" s="1002">
        <v>8627300</v>
      </c>
      <c r="T53">
        <v>8666600</v>
      </c>
      <c r="U53" s="805">
        <v>8751300</v>
      </c>
      <c r="V53">
        <v>8851000</v>
      </c>
      <c r="W53" s="805">
        <v>8998300</v>
      </c>
      <c r="X53">
        <v>9164400</v>
      </c>
      <c r="Y53">
        <v>9356000</v>
      </c>
      <c r="Z53">
        <v>9559700</v>
      </c>
      <c r="AA53">
        <v>9714600</v>
      </c>
      <c r="AB53" s="805">
        <v>9850500</v>
      </c>
      <c r="AC53">
        <v>9913600</v>
      </c>
      <c r="AD53">
        <v>9913600</v>
      </c>
      <c r="AE53" s="441">
        <v>9913600</v>
      </c>
      <c r="AF53">
        <v>9913600</v>
      </c>
      <c r="AG53">
        <v>9913600</v>
      </c>
      <c r="AH53">
        <v>9913600</v>
      </c>
      <c r="AI53">
        <v>9913600</v>
      </c>
      <c r="AJ53">
        <v>9913600</v>
      </c>
      <c r="AK53">
        <v>9913600</v>
      </c>
      <c r="AL53">
        <v>9913600</v>
      </c>
      <c r="AM53">
        <v>9913600</v>
      </c>
      <c r="AN53">
        <v>9913600</v>
      </c>
      <c r="AP53" s="417"/>
    </row>
    <row r="54" spans="1:43" ht="14.45">
      <c r="A54" s="1252" t="s">
        <v>630</v>
      </c>
      <c r="B54" s="805"/>
      <c r="D54" s="35"/>
      <c r="E54" s="35"/>
      <c r="G54" s="1002">
        <v>0</v>
      </c>
      <c r="H54">
        <v>0</v>
      </c>
      <c r="I54" s="805">
        <v>0</v>
      </c>
      <c r="J54">
        <v>0</v>
      </c>
      <c r="K54" s="805">
        <v>0</v>
      </c>
      <c r="L54">
        <v>0</v>
      </c>
      <c r="M54" s="805">
        <v>0</v>
      </c>
      <c r="N54">
        <v>0</v>
      </c>
      <c r="O54" s="805">
        <v>0</v>
      </c>
      <c r="P54">
        <v>0</v>
      </c>
      <c r="Q54" s="805">
        <v>0</v>
      </c>
      <c r="R54" s="417">
        <v>0</v>
      </c>
      <c r="S54" s="1254">
        <v>157482</v>
      </c>
      <c r="T54" s="35">
        <v>158075</v>
      </c>
      <c r="U54" s="1252">
        <v>160758</v>
      </c>
      <c r="V54" s="35">
        <v>165418</v>
      </c>
      <c r="W54" s="1252">
        <v>172598</v>
      </c>
      <c r="X54" s="35">
        <v>180199</v>
      </c>
      <c r="Y54" s="35">
        <v>188213</v>
      </c>
      <c r="Z54" s="887">
        <f>Y54+7000</f>
        <v>195213</v>
      </c>
      <c r="AA54" s="887">
        <f>Z54+4500</f>
        <v>199713</v>
      </c>
      <c r="AB54" s="887">
        <f>AA54+3000</f>
        <v>202713</v>
      </c>
      <c r="AC54">
        <v>204010</v>
      </c>
      <c r="AD54">
        <v>205170</v>
      </c>
      <c r="AE54" s="441">
        <v>205572</v>
      </c>
      <c r="AF54" s="1267">
        <v>205860</v>
      </c>
      <c r="AG54">
        <v>209123</v>
      </c>
      <c r="AH54">
        <v>215438</v>
      </c>
      <c r="AI54">
        <v>221993</v>
      </c>
      <c r="AJ54">
        <v>228480</v>
      </c>
      <c r="AK54">
        <v>234740</v>
      </c>
      <c r="AL54" s="1020">
        <v>240318</v>
      </c>
      <c r="AM54" s="1020">
        <v>244805</v>
      </c>
      <c r="AN54" s="1257">
        <v>250247</v>
      </c>
      <c r="AP54" s="417"/>
    </row>
    <row r="55" spans="1:43" ht="14.45">
      <c r="A55" s="35" t="s">
        <v>631</v>
      </c>
      <c r="B55" s="1252" t="s">
        <v>618</v>
      </c>
      <c r="D55" s="35" t="s">
        <v>575</v>
      </c>
      <c r="E55" s="35"/>
      <c r="G55" s="1002">
        <v>57138</v>
      </c>
      <c r="H55">
        <v>58979</v>
      </c>
      <c r="I55" s="805">
        <v>61126</v>
      </c>
      <c r="J55">
        <v>62597</v>
      </c>
      <c r="K55" s="805">
        <v>63432</v>
      </c>
      <c r="L55">
        <v>63711</v>
      </c>
      <c r="M55" s="805">
        <v>64112</v>
      </c>
      <c r="N55">
        <v>65460</v>
      </c>
      <c r="O55" s="805">
        <v>66861</v>
      </c>
      <c r="P55">
        <v>68581</v>
      </c>
      <c r="Q55" s="805">
        <v>69673</v>
      </c>
      <c r="R55" s="417">
        <f>Q55+1200</f>
        <v>70873</v>
      </c>
      <c r="S55" s="1254">
        <v>71451</v>
      </c>
      <c r="T55" s="35">
        <v>71743</v>
      </c>
      <c r="U55" s="1252">
        <v>73181</v>
      </c>
      <c r="V55" s="35">
        <v>74545</v>
      </c>
      <c r="W55" s="1252">
        <v>75286</v>
      </c>
      <c r="X55" s="35">
        <v>75591</v>
      </c>
      <c r="Y55" s="1252">
        <v>76072</v>
      </c>
      <c r="Z55" s="35">
        <v>76853</v>
      </c>
      <c r="AA55" s="1252">
        <v>78268</v>
      </c>
      <c r="AB55" s="805">
        <v>79843</v>
      </c>
      <c r="AC55" s="805">
        <v>80647</v>
      </c>
      <c r="AD55" s="805">
        <v>80982</v>
      </c>
      <c r="AE55" s="1047">
        <v>81664</v>
      </c>
      <c r="AF55" s="295">
        <v>82951</v>
      </c>
      <c r="AG55" s="295">
        <v>83963</v>
      </c>
      <c r="AH55" s="295">
        <v>84791</v>
      </c>
      <c r="AI55" s="295">
        <v>85253</v>
      </c>
      <c r="AJ55" s="295">
        <v>85479</v>
      </c>
      <c r="AK55">
        <v>85759</v>
      </c>
      <c r="AL55">
        <v>86516</v>
      </c>
      <c r="AM55">
        <v>87112</v>
      </c>
      <c r="AN55" s="295">
        <v>87830</v>
      </c>
      <c r="AO55" s="295"/>
      <c r="AP55" s="494"/>
    </row>
    <row r="56" spans="1:43" ht="14.45">
      <c r="A56" s="992" t="s">
        <v>632</v>
      </c>
      <c r="B56" s="992" t="s">
        <v>633</v>
      </c>
      <c r="C56" s="992"/>
      <c r="D56" s="992"/>
      <c r="E56" s="992"/>
      <c r="F56" s="992"/>
      <c r="G56" s="1015">
        <v>44562</v>
      </c>
      <c r="H56" s="815">
        <v>44593</v>
      </c>
      <c r="I56" s="815">
        <v>44621</v>
      </c>
      <c r="J56" s="815">
        <v>44652</v>
      </c>
      <c r="K56" s="815">
        <v>44682</v>
      </c>
      <c r="L56" s="815">
        <v>44713</v>
      </c>
      <c r="M56" s="815">
        <v>44743</v>
      </c>
      <c r="N56" s="815">
        <v>44774</v>
      </c>
      <c r="O56" s="815">
        <v>44805</v>
      </c>
      <c r="P56" s="814">
        <v>44835</v>
      </c>
      <c r="Q56" s="814">
        <v>44866</v>
      </c>
      <c r="R56" s="1004">
        <v>44896</v>
      </c>
      <c r="S56" s="1003">
        <v>44927</v>
      </c>
      <c r="T56" s="814">
        <v>44958</v>
      </c>
      <c r="U56" s="814">
        <v>44986</v>
      </c>
      <c r="V56" s="814">
        <v>45017</v>
      </c>
      <c r="W56" s="814">
        <v>45047</v>
      </c>
      <c r="X56" s="814">
        <v>45078</v>
      </c>
      <c r="Y56" s="814">
        <v>45108</v>
      </c>
      <c r="Z56" s="814">
        <v>45139</v>
      </c>
      <c r="AA56" s="814">
        <v>45170</v>
      </c>
      <c r="AB56" s="814">
        <v>45200</v>
      </c>
      <c r="AC56" s="814">
        <v>45231</v>
      </c>
      <c r="AD56" s="814">
        <v>45261</v>
      </c>
      <c r="AE56" s="1004">
        <v>45292</v>
      </c>
      <c r="AF56" s="814">
        <v>45323</v>
      </c>
      <c r="AG56" s="814">
        <v>45352</v>
      </c>
      <c r="AH56" s="814">
        <v>45383</v>
      </c>
      <c r="AI56" s="814">
        <v>45413</v>
      </c>
      <c r="AJ56" s="814">
        <v>45444</v>
      </c>
      <c r="AK56" s="814">
        <v>45474</v>
      </c>
      <c r="AL56" s="814">
        <v>45505</v>
      </c>
      <c r="AM56" s="814">
        <v>45536</v>
      </c>
      <c r="AN56" s="814">
        <v>45566</v>
      </c>
      <c r="AO56" s="814">
        <v>45597</v>
      </c>
      <c r="AP56" s="814">
        <v>45627</v>
      </c>
      <c r="AQ56" s="1004">
        <v>45658</v>
      </c>
    </row>
    <row r="57" spans="1:43" ht="14.45">
      <c r="A57" s="35" t="s">
        <v>634</v>
      </c>
      <c r="B57" s="1252" t="s">
        <v>635</v>
      </c>
      <c r="D57" t="s">
        <v>575</v>
      </c>
      <c r="E57" t="s">
        <v>636</v>
      </c>
      <c r="G57" s="1271">
        <v>42302</v>
      </c>
      <c r="H57" s="1042">
        <v>42498</v>
      </c>
      <c r="I57" s="1233">
        <v>42696</v>
      </c>
      <c r="J57" s="1042">
        <v>42974</v>
      </c>
      <c r="K57" s="1233">
        <v>43100</v>
      </c>
      <c r="L57" s="1042">
        <v>43280</v>
      </c>
      <c r="M57" s="1233">
        <v>43413</v>
      </c>
      <c r="N57" s="1042">
        <v>43413</v>
      </c>
      <c r="O57" s="1233">
        <v>43413</v>
      </c>
      <c r="P57" s="1042">
        <v>43413</v>
      </c>
      <c r="Q57" s="1233">
        <v>43414.5</v>
      </c>
      <c r="R57" s="1272">
        <v>43414.5</v>
      </c>
      <c r="S57" s="1268">
        <f t="shared" ref="S57:AD57" si="0">R57</f>
        <v>43414.5</v>
      </c>
      <c r="T57" s="846">
        <f t="shared" si="0"/>
        <v>43414.5</v>
      </c>
      <c r="U57" s="1268">
        <f t="shared" si="0"/>
        <v>43414.5</v>
      </c>
      <c r="V57" s="846">
        <f t="shared" si="0"/>
        <v>43414.5</v>
      </c>
      <c r="W57" s="846">
        <f t="shared" si="0"/>
        <v>43414.5</v>
      </c>
      <c r="X57" s="846">
        <f t="shared" si="0"/>
        <v>43414.5</v>
      </c>
      <c r="Y57" s="846">
        <f t="shared" si="0"/>
        <v>43414.5</v>
      </c>
      <c r="Z57" s="846">
        <f t="shared" si="0"/>
        <v>43414.5</v>
      </c>
      <c r="AA57" s="846">
        <f t="shared" si="0"/>
        <v>43414.5</v>
      </c>
      <c r="AB57" s="846">
        <f t="shared" si="0"/>
        <v>43414.5</v>
      </c>
      <c r="AC57" s="846">
        <f t="shared" si="0"/>
        <v>43414.5</v>
      </c>
      <c r="AD57" s="847">
        <f t="shared" si="0"/>
        <v>43414.5</v>
      </c>
      <c r="AE57" s="1042">
        <f>AD57</f>
        <v>43414.5</v>
      </c>
      <c r="AF57" s="1042">
        <v>43414.5</v>
      </c>
      <c r="AG57" s="1042">
        <v>43439</v>
      </c>
      <c r="AH57" s="1273">
        <v>43448</v>
      </c>
      <c r="AI57" s="1042">
        <v>44001</v>
      </c>
      <c r="AJ57" s="1273">
        <v>44016</v>
      </c>
      <c r="AK57" s="1273">
        <v>44300</v>
      </c>
      <c r="AL57" s="1042">
        <v>44782</v>
      </c>
      <c r="AM57" s="1306">
        <v>45253</v>
      </c>
      <c r="AN57" s="1313">
        <v>45765</v>
      </c>
      <c r="AO57" s="1042"/>
      <c r="AP57" s="1043"/>
    </row>
    <row r="58" spans="1:43">
      <c r="A58" t="s">
        <v>637</v>
      </c>
      <c r="G58" s="441"/>
      <c r="R58" s="417"/>
      <c r="AD58" s="417"/>
      <c r="AG58">
        <v>25866.400000000001</v>
      </c>
      <c r="AH58">
        <v>25881</v>
      </c>
      <c r="AI58" s="1283">
        <v>25896</v>
      </c>
      <c r="AJ58" s="1283">
        <v>25911</v>
      </c>
      <c r="AK58" s="1257">
        <v>25930</v>
      </c>
      <c r="AL58">
        <v>25963</v>
      </c>
      <c r="AM58" s="1257">
        <v>25980</v>
      </c>
      <c r="AN58">
        <v>26040.799999999999</v>
      </c>
      <c r="AP58" s="417"/>
    </row>
    <row r="59" spans="1:43" ht="14.45">
      <c r="A59" s="35" t="s">
        <v>638</v>
      </c>
      <c r="B59" s="1252" t="s">
        <v>639</v>
      </c>
      <c r="D59" t="s">
        <v>575</v>
      </c>
      <c r="E59" t="s">
        <v>640</v>
      </c>
      <c r="G59" s="1002">
        <v>183615</v>
      </c>
      <c r="H59">
        <v>183625</v>
      </c>
      <c r="I59" s="805">
        <v>183625</v>
      </c>
      <c r="J59">
        <v>184516</v>
      </c>
      <c r="K59" s="805">
        <v>186797</v>
      </c>
      <c r="L59">
        <v>189597</v>
      </c>
      <c r="M59" s="805">
        <v>193779</v>
      </c>
      <c r="N59">
        <v>197454</v>
      </c>
      <c r="O59" s="805">
        <v>200757</v>
      </c>
      <c r="P59">
        <v>204401</v>
      </c>
      <c r="Q59" s="805">
        <v>206349</v>
      </c>
      <c r="R59" s="417">
        <v>207746</v>
      </c>
      <c r="S59" s="1252">
        <v>207754</v>
      </c>
      <c r="T59" s="35">
        <v>209426</v>
      </c>
      <c r="U59" s="1252">
        <v>211657</v>
      </c>
      <c r="V59" s="35">
        <v>212627</v>
      </c>
      <c r="W59" s="1102">
        <f>V59+1000</f>
        <v>213627</v>
      </c>
      <c r="X59" s="1102">
        <f>W59+1000</f>
        <v>214627</v>
      </c>
      <c r="Y59" s="35">
        <v>216068</v>
      </c>
      <c r="Z59" s="35">
        <v>217120</v>
      </c>
      <c r="AA59" s="35">
        <v>218115</v>
      </c>
      <c r="AB59" s="805">
        <v>218996</v>
      </c>
      <c r="AC59" s="35">
        <v>219500</v>
      </c>
      <c r="AD59" s="1269">
        <f>AC59+400</f>
        <v>219900</v>
      </c>
      <c r="AE59" s="887">
        <f>AD59+400</f>
        <v>220300</v>
      </c>
      <c r="AF59" s="1257">
        <f>AE59+400</f>
        <v>220700</v>
      </c>
      <c r="AG59">
        <v>221853</v>
      </c>
      <c r="AH59">
        <v>222155.8</v>
      </c>
      <c r="AI59" s="1257">
        <v>222355</v>
      </c>
      <c r="AJ59" s="1257">
        <v>222555</v>
      </c>
      <c r="AK59">
        <v>222685</v>
      </c>
      <c r="AL59">
        <v>222825.5</v>
      </c>
      <c r="AM59">
        <v>222825.5</v>
      </c>
      <c r="AN59" s="1283">
        <v>222916</v>
      </c>
      <c r="AP59" s="417"/>
    </row>
    <row r="60" spans="1:43" ht="14.45">
      <c r="A60" s="35" t="s">
        <v>641</v>
      </c>
      <c r="B60" s="1252" t="s">
        <v>642</v>
      </c>
      <c r="D60" s="35" t="s">
        <v>572</v>
      </c>
      <c r="E60" s="35"/>
      <c r="G60" s="1002">
        <v>157</v>
      </c>
      <c r="I60" s="805"/>
      <c r="K60" s="805"/>
      <c r="M60" s="805"/>
      <c r="O60" s="805"/>
      <c r="Q60" s="805">
        <v>894</v>
      </c>
      <c r="R60" s="417">
        <v>894</v>
      </c>
      <c r="S60" s="1252">
        <v>894</v>
      </c>
      <c r="T60" s="35">
        <v>900</v>
      </c>
      <c r="U60" s="1252">
        <v>909.43</v>
      </c>
      <c r="V60" s="35">
        <v>915</v>
      </c>
      <c r="W60" s="1252">
        <v>935</v>
      </c>
      <c r="X60" s="35">
        <v>966</v>
      </c>
      <c r="Y60" s="35">
        <v>1000</v>
      </c>
      <c r="Z60" s="1020">
        <v>1030</v>
      </c>
      <c r="AA60" s="35">
        <v>1050.4000000000001</v>
      </c>
      <c r="AB60" s="805">
        <v>1068.3499999999999</v>
      </c>
      <c r="AC60" s="35">
        <v>1072.29</v>
      </c>
      <c r="AD60" s="506">
        <v>1072.29</v>
      </c>
      <c r="AE60">
        <v>1072.29</v>
      </c>
      <c r="AF60">
        <v>1077.26</v>
      </c>
      <c r="AG60">
        <v>1090.8599999999999</v>
      </c>
      <c r="AH60">
        <v>1116.24</v>
      </c>
      <c r="AI60">
        <v>1139.8499999999999</v>
      </c>
      <c r="AJ60" s="1283">
        <f>AI60+26</f>
        <v>1165.8499999999999</v>
      </c>
      <c r="AK60" s="1283">
        <f t="shared" ref="AK60:AL60" si="1">AJ60+26</f>
        <v>1191.8499999999999</v>
      </c>
      <c r="AL60" s="1283">
        <f t="shared" si="1"/>
        <v>1217.8499999999999</v>
      </c>
      <c r="AM60">
        <f>1256630/1000</f>
        <v>1256.6300000000001</v>
      </c>
      <c r="AN60">
        <v>1261.6600000000001</v>
      </c>
      <c r="AO60">
        <v>1261.6600000000001</v>
      </c>
      <c r="AP60" s="417"/>
    </row>
    <row r="61" spans="1:43" ht="14.45">
      <c r="A61" s="35" t="s">
        <v>643</v>
      </c>
      <c r="B61" s="1252" t="s">
        <v>644</v>
      </c>
      <c r="D61" t="s">
        <v>575</v>
      </c>
      <c r="E61" t="s">
        <v>645</v>
      </c>
      <c r="G61" s="1002">
        <v>101852</v>
      </c>
      <c r="H61">
        <v>102352</v>
      </c>
      <c r="I61" s="805">
        <v>103284</v>
      </c>
      <c r="J61">
        <v>103669</v>
      </c>
      <c r="K61" s="805">
        <v>103800</v>
      </c>
      <c r="L61">
        <v>103898</v>
      </c>
      <c r="M61" s="805">
        <v>103926</v>
      </c>
      <c r="N61">
        <v>104079</v>
      </c>
      <c r="O61" s="805">
        <v>104264</v>
      </c>
      <c r="P61">
        <v>104339.2</v>
      </c>
      <c r="Q61" s="805">
        <v>104447.8</v>
      </c>
      <c r="R61" s="1016">
        <v>104500</v>
      </c>
      <c r="S61" s="1252">
        <v>104596.1</v>
      </c>
      <c r="T61" s="1252">
        <v>104670</v>
      </c>
      <c r="U61" s="1252">
        <f>T61+40</f>
        <v>104710</v>
      </c>
      <c r="V61" s="35">
        <v>105313.8</v>
      </c>
      <c r="W61" s="1252">
        <v>105450</v>
      </c>
      <c r="X61" s="35">
        <v>105481.5</v>
      </c>
      <c r="Y61" s="35">
        <v>105529.8</v>
      </c>
      <c r="Z61" s="887">
        <f>Y61+150</f>
        <v>105679.8</v>
      </c>
      <c r="AA61" s="887">
        <f>AB61-360</f>
        <v>105994.9</v>
      </c>
      <c r="AB61" s="178">
        <v>106354.9</v>
      </c>
      <c r="AC61">
        <v>106735.5</v>
      </c>
      <c r="AD61" s="506">
        <v>107115.2</v>
      </c>
      <c r="AE61" s="887">
        <f>AD61+398.8</f>
        <v>107514</v>
      </c>
      <c r="AF61">
        <v>107732.5</v>
      </c>
      <c r="AG61">
        <v>108186.6</v>
      </c>
      <c r="AH61">
        <v>108303.8</v>
      </c>
      <c r="AI61">
        <v>108420.4</v>
      </c>
      <c r="AJ61" s="1257">
        <v>108450</v>
      </c>
      <c r="AK61">
        <v>108550.1</v>
      </c>
      <c r="AL61">
        <v>108684.6</v>
      </c>
      <c r="AM61">
        <v>108727</v>
      </c>
      <c r="AN61">
        <v>108806.3</v>
      </c>
      <c r="AP61" s="417"/>
    </row>
    <row r="62" spans="1:43" ht="14.45">
      <c r="A62" s="35" t="s">
        <v>646</v>
      </c>
      <c r="B62" s="1252" t="s">
        <v>647</v>
      </c>
      <c r="D62" s="473" t="s">
        <v>572</v>
      </c>
      <c r="E62" s="473" t="s">
        <v>648</v>
      </c>
      <c r="G62" s="1002">
        <f>H62-5000</f>
        <v>578180</v>
      </c>
      <c r="H62" s="805">
        <f>I62-3000</f>
        <v>583180</v>
      </c>
      <c r="I62" s="805">
        <f>J62-3000</f>
        <v>586180</v>
      </c>
      <c r="J62">
        <v>589180</v>
      </c>
      <c r="K62" s="805">
        <v>591970</v>
      </c>
      <c r="L62">
        <v>600300</v>
      </c>
      <c r="M62" s="805">
        <v>614490</v>
      </c>
      <c r="N62">
        <v>629680</v>
      </c>
      <c r="O62" s="805">
        <v>641680</v>
      </c>
      <c r="P62">
        <v>649340</v>
      </c>
      <c r="Q62" s="805">
        <v>649340</v>
      </c>
      <c r="R62" s="1005">
        <v>649340</v>
      </c>
      <c r="S62" s="1252">
        <f>R62</f>
        <v>649340</v>
      </c>
      <c r="T62" s="35">
        <f>S62</f>
        <v>649340</v>
      </c>
      <c r="U62" s="1252">
        <v>650940</v>
      </c>
      <c r="V62" s="35">
        <v>654280</v>
      </c>
      <c r="W62" s="1252">
        <v>665300</v>
      </c>
      <c r="X62" s="1252">
        <v>683310</v>
      </c>
      <c r="Y62" s="1252">
        <v>702040</v>
      </c>
      <c r="Z62" s="1252">
        <v>722100</v>
      </c>
      <c r="AA62" s="1252">
        <v>737570</v>
      </c>
      <c r="AB62" s="805">
        <v>741890</v>
      </c>
      <c r="AC62" s="805">
        <v>741890</v>
      </c>
      <c r="AD62" s="1005">
        <v>741890</v>
      </c>
      <c r="AE62" s="887">
        <f>AD62</f>
        <v>741890</v>
      </c>
      <c r="AF62">
        <v>741890</v>
      </c>
      <c r="AG62">
        <v>741890</v>
      </c>
      <c r="AH62">
        <v>741890</v>
      </c>
      <c r="AI62">
        <v>741890</v>
      </c>
      <c r="AJ62">
        <v>741890</v>
      </c>
      <c r="AK62">
        <v>741890</v>
      </c>
      <c r="AL62">
        <v>741890</v>
      </c>
      <c r="AM62">
        <v>741890</v>
      </c>
      <c r="AN62">
        <v>741900</v>
      </c>
      <c r="AO62">
        <v>741910</v>
      </c>
      <c r="AP62" s="417"/>
    </row>
    <row r="63" spans="1:43">
      <c r="G63" s="441"/>
      <c r="R63" s="417"/>
      <c r="AD63" s="417"/>
      <c r="AP63" s="417"/>
    </row>
    <row r="64" spans="1:43" ht="14.45">
      <c r="A64" s="805"/>
      <c r="B64" s="805"/>
      <c r="D64" s="35"/>
      <c r="E64" s="35"/>
      <c r="G64" s="1270"/>
      <c r="H64" s="295"/>
      <c r="I64" s="1234"/>
      <c r="J64" s="295"/>
      <c r="K64" s="1234"/>
      <c r="L64" s="295"/>
      <c r="M64" s="1234"/>
      <c r="N64" s="295"/>
      <c r="O64" s="1234"/>
      <c r="P64" s="295"/>
      <c r="Q64" s="1234"/>
      <c r="R64" s="494"/>
      <c r="S64" s="1234"/>
      <c r="T64" s="295"/>
      <c r="U64" s="1234"/>
      <c r="V64" s="295"/>
      <c r="W64" s="1234"/>
      <c r="X64" s="295"/>
      <c r="Y64" s="295"/>
      <c r="Z64" s="295"/>
      <c r="AA64" s="295"/>
      <c r="AB64" s="1234"/>
      <c r="AC64" s="295"/>
      <c r="AD64" s="494"/>
      <c r="AE64" s="295"/>
      <c r="AF64" s="295"/>
      <c r="AG64" s="295"/>
      <c r="AH64" s="295"/>
      <c r="AI64" s="295"/>
      <c r="AK64" s="1257"/>
      <c r="AL64" s="1257"/>
      <c r="AN64" s="295"/>
      <c r="AO64" s="295"/>
      <c r="AP64" s="494"/>
    </row>
    <row r="65" spans="1:43" ht="14.45">
      <c r="A65" s="992" t="s">
        <v>649</v>
      </c>
      <c r="B65" s="992" t="s">
        <v>650</v>
      </c>
      <c r="C65" s="992"/>
      <c r="D65" s="992"/>
      <c r="E65" s="992"/>
      <c r="F65" s="992"/>
      <c r="G65" s="1015">
        <v>44562</v>
      </c>
      <c r="H65" s="815">
        <v>44593</v>
      </c>
      <c r="I65" s="815">
        <v>44621</v>
      </c>
      <c r="J65" s="815">
        <v>44652</v>
      </c>
      <c r="K65" s="815">
        <v>44682</v>
      </c>
      <c r="L65" s="815">
        <v>44713</v>
      </c>
      <c r="M65" s="815">
        <v>44743</v>
      </c>
      <c r="N65" s="815">
        <v>44774</v>
      </c>
      <c r="O65" s="815">
        <v>44805</v>
      </c>
      <c r="P65" s="814">
        <v>44835</v>
      </c>
      <c r="Q65" s="814">
        <v>44866</v>
      </c>
      <c r="R65" s="1004">
        <v>44896</v>
      </c>
      <c r="S65" s="1003">
        <v>44927</v>
      </c>
      <c r="T65" s="814">
        <v>44958</v>
      </c>
      <c r="U65" s="814">
        <v>44986</v>
      </c>
      <c r="V65" s="814">
        <v>45017</v>
      </c>
      <c r="W65" s="814">
        <v>45047</v>
      </c>
      <c r="X65" s="814">
        <v>45078</v>
      </c>
      <c r="Y65" s="814">
        <v>45108</v>
      </c>
      <c r="Z65" s="814">
        <v>45139</v>
      </c>
      <c r="AA65" s="814">
        <v>45170</v>
      </c>
      <c r="AB65" s="814">
        <v>45200</v>
      </c>
      <c r="AC65" s="814">
        <v>45231</v>
      </c>
      <c r="AD65" s="814">
        <v>45261</v>
      </c>
      <c r="AE65" s="1004">
        <v>45292</v>
      </c>
      <c r="AF65" s="814">
        <v>45323</v>
      </c>
      <c r="AG65" s="814">
        <v>45352</v>
      </c>
      <c r="AH65" s="814">
        <v>45383</v>
      </c>
      <c r="AI65" s="814">
        <v>45413</v>
      </c>
      <c r="AJ65" s="814">
        <v>45444</v>
      </c>
      <c r="AK65" s="814">
        <v>45474</v>
      </c>
      <c r="AL65" s="814">
        <v>45505</v>
      </c>
      <c r="AM65" s="814">
        <v>45536</v>
      </c>
      <c r="AN65" s="814">
        <v>45566</v>
      </c>
      <c r="AO65" s="814">
        <v>45597</v>
      </c>
      <c r="AP65" s="814">
        <v>45627</v>
      </c>
      <c r="AQ65" s="1004">
        <v>45658</v>
      </c>
    </row>
    <row r="66" spans="1:43" ht="13.9">
      <c r="A66" s="35" t="s">
        <v>651</v>
      </c>
      <c r="B66" s="360">
        <f ca="1">OFFSET(F66,0,COUNT(G66:AQ66))</f>
        <v>307205.03000000003</v>
      </c>
      <c r="C66" t="s">
        <v>74</v>
      </c>
      <c r="G66" s="845">
        <f>IF(ISNUMBER(G78),G78+G90+G95+G100+G102," ")</f>
        <v>73770</v>
      </c>
      <c r="H66" s="846">
        <f t="shared" ref="H66:AB66" si="2">IF(ISNUMBER(H78),H78+H90+H95+H100+H102," ")</f>
        <v>121570</v>
      </c>
      <c r="I66" s="846">
        <f t="shared" si="2"/>
        <v>189279.99999999994</v>
      </c>
      <c r="J66" s="846">
        <f t="shared" si="2"/>
        <v>188230.00000000006</v>
      </c>
      <c r="K66" s="846">
        <f t="shared" si="2"/>
        <v>453950</v>
      </c>
      <c r="L66" s="846">
        <f t="shared" si="2"/>
        <v>588900</v>
      </c>
      <c r="M66" s="846">
        <f t="shared" si="2"/>
        <v>739710</v>
      </c>
      <c r="N66" s="846">
        <f>IF(ISNUMBER(N78),N78+N90+N95+N100+N102," ")</f>
        <v>618090</v>
      </c>
      <c r="O66" s="846">
        <f t="shared" si="2"/>
        <v>595810.00000000012</v>
      </c>
      <c r="P66" s="846">
        <f t="shared" si="2"/>
        <v>482949.99999999983</v>
      </c>
      <c r="Q66" s="846">
        <f t="shared" si="2"/>
        <v>208940.00000000006</v>
      </c>
      <c r="R66" s="847">
        <f>IF(ISNUMBER(R90),R78+R90+R95+R100+R102," ")</f>
        <v>101410</v>
      </c>
      <c r="S66" s="846">
        <f t="shared" si="2"/>
        <v>77200</v>
      </c>
      <c r="T66" s="846">
        <f t="shared" si="2"/>
        <v>77090</v>
      </c>
      <c r="U66" s="846">
        <f t="shared" si="2"/>
        <v>233829.99999999994</v>
      </c>
      <c r="V66" s="846">
        <f t="shared" si="2"/>
        <v>317630.00000000006</v>
      </c>
      <c r="W66" s="846">
        <f t="shared" si="2"/>
        <v>526130</v>
      </c>
      <c r="X66" s="846">
        <f t="shared" si="2"/>
        <v>580910</v>
      </c>
      <c r="Y66" s="846">
        <f t="shared" si="2"/>
        <v>727620</v>
      </c>
      <c r="Z66" s="846">
        <f t="shared" si="2"/>
        <v>697410</v>
      </c>
      <c r="AA66" s="846">
        <f t="shared" si="2"/>
        <v>504840.00000000012</v>
      </c>
      <c r="AB66" s="846">
        <f t="shared" si="2"/>
        <v>422519.99999999983</v>
      </c>
      <c r="AC66" s="846">
        <f t="shared" ref="AC66" si="3">IF(ISNUMBER(AC78),AC78+AC90+AC95+AC100+AC102," ")</f>
        <v>264180.00000000006</v>
      </c>
      <c r="AD66" s="846">
        <f t="shared" ref="AD66:AQ66" si="4">IF(ISNUMBER(AD78),AD78+AD90+AD95+AD100+AD102," ")</f>
        <v>51500</v>
      </c>
      <c r="AE66" s="845">
        <f t="shared" si="4"/>
        <v>29110</v>
      </c>
      <c r="AF66" s="846">
        <f>IF(ISNUMBER(AF78),AF78+AF90+AF95+AF100+AF102," ")</f>
        <v>52424.97</v>
      </c>
      <c r="AG66" s="846">
        <f t="shared" ref="AG66:AO66" si="5">IF(ISNUMBER(AG78),AG78+AG90+AG95+AG100+AG102," ")</f>
        <v>223873.6</v>
      </c>
      <c r="AH66" s="846">
        <f t="shared" si="5"/>
        <v>301485.38</v>
      </c>
      <c r="AI66" s="846">
        <f t="shared" si="5"/>
        <v>404373.61</v>
      </c>
      <c r="AJ66" s="846">
        <f t="shared" si="5"/>
        <v>262606</v>
      </c>
      <c r="AK66" s="846">
        <f t="shared" si="5"/>
        <v>215836</v>
      </c>
      <c r="AL66" s="846">
        <f t="shared" si="5"/>
        <v>421406</v>
      </c>
      <c r="AM66" s="846">
        <f t="shared" si="5"/>
        <v>353278.78</v>
      </c>
      <c r="AN66" s="846">
        <f t="shared" si="5"/>
        <v>307205.03000000003</v>
      </c>
      <c r="AO66" s="846" t="str">
        <f t="shared" si="5"/>
        <v xml:space="preserve"> </v>
      </c>
      <c r="AP66" s="847" t="str">
        <f t="shared" si="4"/>
        <v xml:space="preserve"> </v>
      </c>
      <c r="AQ66" s="846" t="str">
        <f t="shared" si="4"/>
        <v xml:space="preserve"> </v>
      </c>
    </row>
    <row r="67" spans="1:43" ht="13.9">
      <c r="A67" s="35" t="s">
        <v>652</v>
      </c>
      <c r="B67" s="360">
        <f ca="1">OFFSET(F67,0,COUNT(G67:AQ67))</f>
        <v>2206.3000000000029</v>
      </c>
      <c r="C67" t="s">
        <v>74</v>
      </c>
      <c r="F67">
        <v>1</v>
      </c>
      <c r="G67" s="848">
        <v>1</v>
      </c>
      <c r="H67" s="35">
        <f t="shared" ref="H67:AD67" si="6">IF(ISNUMBER(H68),H68+H79+H101+H103," ")</f>
        <v>3567</v>
      </c>
      <c r="I67" s="35">
        <f t="shared" si="6"/>
        <v>4668</v>
      </c>
      <c r="J67" s="35">
        <f t="shared" si="6"/>
        <v>2995</v>
      </c>
      <c r="K67" s="35">
        <f t="shared" si="6"/>
        <v>1812</v>
      </c>
      <c r="L67" s="35">
        <f t="shared" si="6"/>
        <v>1026</v>
      </c>
      <c r="M67" s="35">
        <f t="shared" si="6"/>
        <v>1045</v>
      </c>
      <c r="N67" s="35">
        <f t="shared" si="6"/>
        <v>2329</v>
      </c>
      <c r="O67" s="35">
        <f t="shared" si="6"/>
        <v>2446</v>
      </c>
      <c r="P67" s="35">
        <f t="shared" si="6"/>
        <v>2974.1999999999971</v>
      </c>
      <c r="Q67" s="35">
        <f t="shared" si="6"/>
        <v>2258.1000000000058</v>
      </c>
      <c r="R67" s="35">
        <f t="shared" si="6"/>
        <v>2277.1999999999971</v>
      </c>
      <c r="S67" s="848">
        <f t="shared" si="6"/>
        <v>1532.1000000000058</v>
      </c>
      <c r="T67" s="35">
        <f t="shared" si="6"/>
        <v>1595.8999999999942</v>
      </c>
      <c r="U67" s="35">
        <f t="shared" si="6"/>
        <v>2520</v>
      </c>
      <c r="V67" s="35">
        <f t="shared" si="6"/>
        <v>2848.8000000000029</v>
      </c>
      <c r="W67" s="35">
        <f t="shared" si="6"/>
        <v>1524.1999999999971</v>
      </c>
      <c r="X67" s="35">
        <f t="shared" si="6"/>
        <v>913.5</v>
      </c>
      <c r="Y67" s="35">
        <f t="shared" si="6"/>
        <v>1047.3000000000029</v>
      </c>
      <c r="Z67" s="35">
        <f t="shared" si="6"/>
        <v>1707</v>
      </c>
      <c r="AA67" s="35">
        <f t="shared" si="6"/>
        <v>2564.0999999999913</v>
      </c>
      <c r="AB67" s="35">
        <f t="shared" si="6"/>
        <v>3162</v>
      </c>
      <c r="AC67" s="35">
        <f t="shared" si="6"/>
        <v>2243.6000000000058</v>
      </c>
      <c r="AD67" s="35">
        <f t="shared" si="6"/>
        <v>1703.6999999999971</v>
      </c>
      <c r="AE67" s="848">
        <f t="shared" ref="AE67" si="7">IF(ISNUMBER(AE68),AE68+AE79+AE101+AE103," ")</f>
        <v>2205.8000000000029</v>
      </c>
      <c r="AF67" s="35">
        <f t="shared" ref="AF67" si="8">IF(ISNUMBER(AF68),AF68+AF79+AF101+AF103," ")</f>
        <v>2693.5</v>
      </c>
      <c r="AG67" s="35">
        <f>IF(ISNUMBER(AG68),AG68+AG79+AG101+AG103," ")</f>
        <v>2360.6000000000058</v>
      </c>
      <c r="AH67" s="35">
        <f t="shared" ref="AH67" si="9">IF(ISNUMBER(AH68),AH68+AH79+AH101+AH103," ")</f>
        <v>1622.1999999999971</v>
      </c>
      <c r="AI67" s="35">
        <f t="shared" ref="AI67" si="10">IF(ISNUMBER(AI68),AI68+AI79+AI101+AI103," ")</f>
        <v>1699.5999999999913</v>
      </c>
      <c r="AJ67" s="35">
        <f t="shared" ref="AJ67" si="11">IF(ISNUMBER(AJ68),AJ68+AJ79+AJ101+AJ103," ")</f>
        <v>708.60000000000582</v>
      </c>
      <c r="AK67" s="35">
        <f t="shared" ref="AK67" si="12">IF(ISNUMBER(AK68),AK68+AK79+AK101+AK103," ")</f>
        <v>1196.1000000000058</v>
      </c>
      <c r="AL67" s="35">
        <f t="shared" ref="AL67" si="13">IF(ISNUMBER(AL68),AL68+AL79+AL101+AL103," ")</f>
        <v>2234.5</v>
      </c>
      <c r="AM67" s="35">
        <f t="shared" ref="AM67" si="14">IF(ISNUMBER(AM68),AM68+AM79+AM101+AM103," ")</f>
        <v>2018.3999999999942</v>
      </c>
      <c r="AN67" s="35">
        <f t="shared" ref="AN67" si="15">IF(ISNUMBER(AN68),AN68+AN79+AN101+AN103," ")</f>
        <v>2206.3000000000029</v>
      </c>
      <c r="AO67" s="35" t="str">
        <f t="shared" ref="AO67" si="16">IF(ISNUMBER(AO68),AO68+AO79+AO101+AO103," ")</f>
        <v xml:space="preserve"> </v>
      </c>
      <c r="AP67" s="506" t="str">
        <f t="shared" ref="AP67" si="17">IF(ISNUMBER(AP68),AP68+AP79+AP101+AP103," ")</f>
        <v xml:space="preserve"> </v>
      </c>
      <c r="AQ67" s="35"/>
    </row>
    <row r="68" spans="1:43" ht="13.9">
      <c r="A68" s="35" t="s">
        <v>634</v>
      </c>
      <c r="B68" s="360">
        <f t="shared" ref="B68:B104" ca="1" si="18">OFFSET(F68,0,COUNT(G68:AQ68))</f>
        <v>404587.95</v>
      </c>
      <c r="C68" t="s">
        <v>74</v>
      </c>
      <c r="F68">
        <v>1</v>
      </c>
      <c r="G68" s="848">
        <f ca="1">IF(ISN+A66:F90UMBER(O31),O31-N31," ")+G68:R98</f>
        <v>0</v>
      </c>
      <c r="H68" s="35">
        <v>196</v>
      </c>
      <c r="I68" s="35">
        <v>198</v>
      </c>
      <c r="J68" s="35">
        <v>278</v>
      </c>
      <c r="K68" s="35">
        <v>126</v>
      </c>
      <c r="L68" s="35">
        <v>180</v>
      </c>
      <c r="M68" s="35">
        <v>133</v>
      </c>
      <c r="N68" s="35">
        <v>0</v>
      </c>
      <c r="O68" s="35">
        <v>0</v>
      </c>
      <c r="P68" s="35">
        <v>0</v>
      </c>
      <c r="Q68" s="35">
        <v>1.5</v>
      </c>
      <c r="R68" s="506">
        <f t="shared" ref="R68:AQ68" si="19">IF(ISNUMBER(R57),R57-Q57," ")</f>
        <v>0</v>
      </c>
      <c r="S68" s="35">
        <f t="shared" si="19"/>
        <v>0</v>
      </c>
      <c r="T68" s="35">
        <f t="shared" si="19"/>
        <v>0</v>
      </c>
      <c r="U68" s="35">
        <f t="shared" si="19"/>
        <v>0</v>
      </c>
      <c r="V68" s="35">
        <f t="shared" si="19"/>
        <v>0</v>
      </c>
      <c r="W68" s="35">
        <f t="shared" si="19"/>
        <v>0</v>
      </c>
      <c r="X68" s="35">
        <f t="shared" si="19"/>
        <v>0</v>
      </c>
      <c r="Y68" s="35">
        <f t="shared" si="19"/>
        <v>0</v>
      </c>
      <c r="Z68" s="35">
        <f t="shared" si="19"/>
        <v>0</v>
      </c>
      <c r="AA68" s="35">
        <f t="shared" si="19"/>
        <v>0</v>
      </c>
      <c r="AB68" s="35">
        <f t="shared" si="19"/>
        <v>0</v>
      </c>
      <c r="AC68" s="35">
        <f t="shared" si="19"/>
        <v>0</v>
      </c>
      <c r="AD68" s="35">
        <f t="shared" si="19"/>
        <v>0</v>
      </c>
      <c r="AE68" s="848">
        <f t="shared" si="19"/>
        <v>0</v>
      </c>
      <c r="AF68" s="35">
        <f t="shared" si="19"/>
        <v>0</v>
      </c>
      <c r="AG68" s="35">
        <f t="shared" si="19"/>
        <v>24.5</v>
      </c>
      <c r="AH68" s="35">
        <f t="shared" si="19"/>
        <v>9</v>
      </c>
      <c r="AI68" s="35">
        <f t="shared" si="19"/>
        <v>553</v>
      </c>
      <c r="AJ68" s="35">
        <f t="shared" si="19"/>
        <v>15</v>
      </c>
      <c r="AK68" s="35">
        <f t="shared" si="19"/>
        <v>284</v>
      </c>
      <c r="AL68" s="35">
        <f t="shared" si="19"/>
        <v>482</v>
      </c>
      <c r="AM68" s="35">
        <f t="shared" si="19"/>
        <v>471</v>
      </c>
      <c r="AN68" s="35">
        <f t="shared" si="19"/>
        <v>512</v>
      </c>
      <c r="AO68" s="35" t="str">
        <f t="shared" si="19"/>
        <v xml:space="preserve"> </v>
      </c>
      <c r="AP68" s="506" t="str">
        <f t="shared" si="19"/>
        <v xml:space="preserve"> </v>
      </c>
      <c r="AQ68" s="35" t="str">
        <f t="shared" si="19"/>
        <v xml:space="preserve"> </v>
      </c>
    </row>
    <row r="69" spans="1:43" s="1020" customFormat="1" ht="13.9">
      <c r="A69" s="1312" t="s">
        <v>564</v>
      </c>
      <c r="B69" s="360">
        <f ca="1">OFFSET(F69,0,COUNT(G69:AQ69))</f>
        <v>0</v>
      </c>
      <c r="C69" t="s">
        <v>74</v>
      </c>
      <c r="F69" s="1020">
        <v>1000</v>
      </c>
      <c r="G69" s="848">
        <f t="shared" ref="G69:Y69" si="20">IF(ISNUMBER(G33),G33-F33," ")</f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O69" s="35">
        <f t="shared" si="20"/>
        <v>0</v>
      </c>
      <c r="P69" s="35">
        <f t="shared" si="20"/>
        <v>0</v>
      </c>
      <c r="Q69" s="35">
        <f t="shared" si="20"/>
        <v>0</v>
      </c>
      <c r="R69" s="506">
        <f t="shared" si="20"/>
        <v>0</v>
      </c>
      <c r="S69" s="35">
        <f t="shared" si="20"/>
        <v>0</v>
      </c>
      <c r="T69" s="35">
        <f t="shared" si="20"/>
        <v>0</v>
      </c>
      <c r="U69" s="35">
        <f t="shared" si="20"/>
        <v>0</v>
      </c>
      <c r="V69" s="35">
        <f t="shared" si="20"/>
        <v>0</v>
      </c>
      <c r="W69" s="35">
        <f t="shared" si="20"/>
        <v>0</v>
      </c>
      <c r="X69" s="35">
        <f t="shared" si="20"/>
        <v>0</v>
      </c>
      <c r="Y69" s="35">
        <f t="shared" si="20"/>
        <v>0</v>
      </c>
      <c r="Z69" s="35">
        <f t="shared" ref="Z69:AD71" si="21">IF(ISNUMBER(Z33),(Z33-Y33)*$F69," ")</f>
        <v>118800</v>
      </c>
      <c r="AA69" s="35">
        <f t="shared" si="21"/>
        <v>71200</v>
      </c>
      <c r="AB69" s="35">
        <f t="shared" si="21"/>
        <v>93899.999999999971</v>
      </c>
      <c r="AC69" s="35">
        <f t="shared" si="21"/>
        <v>49700.000000000044</v>
      </c>
      <c r="AD69" s="35">
        <f t="shared" si="21"/>
        <v>25799.999999999956</v>
      </c>
      <c r="AE69" s="35">
        <f t="shared" ref="AE69:AE71" si="22">IF(ISNUMBER(AE33),(AE33-AD33)*$F69," ")</f>
        <v>17890.000000000044</v>
      </c>
      <c r="AF69" s="35">
        <f t="shared" ref="AF69:AF71" si="23">IF(ISNUMBER(AF33),(AF33-AE33)*$F69," ")</f>
        <v>18359.993900000005</v>
      </c>
      <c r="AG69" s="35">
        <f t="shared" ref="AG69:AG71" si="24">IF(ISNUMBER(AG33),(AG33-AF33)*$F69," ")</f>
        <v>25919.982899999981</v>
      </c>
      <c r="AH69" s="35">
        <f t="shared" ref="AH69:AH71" si="25">IF(ISNUMBER(AH33),(AH33-AG33)*$F69," ")</f>
        <v>38520.019499999988</v>
      </c>
      <c r="AI69" s="35">
        <f t="shared" ref="AI69:AI71" si="26">IF(ISNUMBER(AI33),(AI33-AH33)*$F69," ")</f>
        <v>66430.003699999987</v>
      </c>
      <c r="AJ69" s="35">
        <f t="shared" ref="AJ69:AJ71" si="27">IF(ISNUMBER(AJ33),(AJ33-AI33)*$F69," ")</f>
        <v>83939.960900000078</v>
      </c>
      <c r="AK69" s="35">
        <f t="shared" ref="AK69:AK71" si="28">IF(ISNUMBER(AK33),(AK33-AJ33)*$F69," ")</f>
        <v>37500</v>
      </c>
      <c r="AL69" s="35">
        <f t="shared" ref="AL69:AL71" si="29">IF(ISNUMBER(AL33),(AL33-AK33)*$F69," ")</f>
        <v>79330.017099999968</v>
      </c>
      <c r="AM69" s="35">
        <f t="shared" ref="AM69:AM71" si="30">IF(ISNUMBER(AM33),(AM33-AL33)*$F69," ")</f>
        <v>1200.0121999999465</v>
      </c>
      <c r="AN69" s="35">
        <f t="shared" ref="AN69:AQ69" si="31">IF(ISNUMBER(AN33),AN33-AM33," ")</f>
        <v>0</v>
      </c>
      <c r="AO69" s="35" t="str">
        <f t="shared" si="31"/>
        <v xml:space="preserve"> </v>
      </c>
      <c r="AP69" s="506" t="str">
        <f t="shared" si="31"/>
        <v xml:space="preserve"> </v>
      </c>
      <c r="AQ69" s="35" t="str">
        <f t="shared" si="31"/>
        <v xml:space="preserve"> </v>
      </c>
    </row>
    <row r="70" spans="1:43" s="1020" customFormat="1" ht="13.9">
      <c r="A70" s="1312" t="s">
        <v>566</v>
      </c>
      <c r="B70" s="360">
        <f t="shared" ca="1" si="18"/>
        <v>91.790039099999944</v>
      </c>
      <c r="C70" t="s">
        <v>74</v>
      </c>
      <c r="F70" s="1020">
        <v>1000</v>
      </c>
      <c r="G70" s="848">
        <f>IF(ISNUMBER(O31),O31-N31," ")</f>
        <v>0</v>
      </c>
      <c r="H70" s="35">
        <f t="shared" ref="H70:Y70" si="32">IF(ISNUMBER(H34),H34-G34," ")</f>
        <v>0</v>
      </c>
      <c r="I70" s="35">
        <f t="shared" si="32"/>
        <v>0</v>
      </c>
      <c r="J70" s="35">
        <f t="shared" si="32"/>
        <v>0</v>
      </c>
      <c r="K70" s="35">
        <f t="shared" si="32"/>
        <v>0</v>
      </c>
      <c r="L70" s="35">
        <f t="shared" si="32"/>
        <v>0</v>
      </c>
      <c r="M70" s="35">
        <f t="shared" si="32"/>
        <v>0</v>
      </c>
      <c r="N70" s="35">
        <f t="shared" si="32"/>
        <v>0</v>
      </c>
      <c r="O70" s="35">
        <f t="shared" si="32"/>
        <v>0</v>
      </c>
      <c r="P70" s="35">
        <f t="shared" si="32"/>
        <v>0</v>
      </c>
      <c r="Q70" s="35">
        <f t="shared" si="32"/>
        <v>0</v>
      </c>
      <c r="R70" s="506">
        <f t="shared" si="32"/>
        <v>0</v>
      </c>
      <c r="S70" s="35">
        <f t="shared" si="32"/>
        <v>0</v>
      </c>
      <c r="T70" s="35">
        <f t="shared" si="32"/>
        <v>0</v>
      </c>
      <c r="U70" s="35">
        <f t="shared" si="32"/>
        <v>0</v>
      </c>
      <c r="V70" s="35">
        <f t="shared" si="32"/>
        <v>0</v>
      </c>
      <c r="W70" s="35">
        <f t="shared" si="32"/>
        <v>0</v>
      </c>
      <c r="X70" s="35">
        <f t="shared" si="32"/>
        <v>0</v>
      </c>
      <c r="Y70" s="35">
        <f t="shared" si="32"/>
        <v>0</v>
      </c>
      <c r="Z70" s="35">
        <f t="shared" si="21"/>
        <v>69500</v>
      </c>
      <c r="AA70" s="35">
        <f t="shared" si="21"/>
        <v>69500</v>
      </c>
      <c r="AB70" s="35">
        <f t="shared" si="21"/>
        <v>39199.999999999985</v>
      </c>
      <c r="AC70" s="35">
        <f t="shared" si="21"/>
        <v>12300.000000000011</v>
      </c>
      <c r="AD70" s="35">
        <f t="shared" si="21"/>
        <v>21000</v>
      </c>
      <c r="AE70" s="35">
        <f t="shared" si="22"/>
        <v>21099.999999999993</v>
      </c>
      <c r="AF70" s="35">
        <f t="shared" si="23"/>
        <v>27829.992700000021</v>
      </c>
      <c r="AG70" s="35">
        <f t="shared" si="24"/>
        <v>36040.008499999996</v>
      </c>
      <c r="AH70" s="35">
        <f t="shared" si="25"/>
        <v>49049.987799999995</v>
      </c>
      <c r="AI70" s="35">
        <f t="shared" si="26"/>
        <v>81930.010999999984</v>
      </c>
      <c r="AJ70" s="35">
        <f t="shared" si="27"/>
        <v>55809.979199999987</v>
      </c>
      <c r="AK70" s="35">
        <f t="shared" si="28"/>
        <v>97029.998800000045</v>
      </c>
      <c r="AL70" s="35">
        <f t="shared" si="29"/>
        <v>63470.031800000012</v>
      </c>
      <c r="AM70" s="35">
        <f t="shared" si="30"/>
        <v>104199.95110000002</v>
      </c>
      <c r="AN70" s="35">
        <f t="shared" ref="AN70:AQ70" si="33">IF(ISNUMBER(AN34),AN34-AM34," ")</f>
        <v>91.790039099999944</v>
      </c>
      <c r="AO70" s="35" t="str">
        <f t="shared" si="33"/>
        <v xml:space="preserve"> </v>
      </c>
      <c r="AP70" s="506" t="str">
        <f t="shared" si="33"/>
        <v xml:space="preserve"> </v>
      </c>
      <c r="AQ70" s="35" t="str">
        <f t="shared" si="33"/>
        <v xml:space="preserve"> </v>
      </c>
    </row>
    <row r="71" spans="1:43" s="1020" customFormat="1" ht="13.9">
      <c r="A71" s="1312" t="s">
        <v>568</v>
      </c>
      <c r="B71" s="360">
        <f t="shared" ca="1" si="18"/>
        <v>51240.020800000028</v>
      </c>
      <c r="C71" t="s">
        <v>74</v>
      </c>
      <c r="F71" s="1020">
        <v>1000</v>
      </c>
      <c r="G71" s="848"/>
      <c r="H71" s="35">
        <f t="shared" ref="H71:Y71" si="34">IF(ISNUMBER(H35),H35-G35," ")</f>
        <v>0</v>
      </c>
      <c r="I71" s="35">
        <f t="shared" si="34"/>
        <v>0</v>
      </c>
      <c r="J71" s="35">
        <f t="shared" si="34"/>
        <v>0</v>
      </c>
      <c r="K71" s="35">
        <f t="shared" si="34"/>
        <v>0</v>
      </c>
      <c r="L71" s="35">
        <f t="shared" si="34"/>
        <v>0</v>
      </c>
      <c r="M71" s="35">
        <f t="shared" si="34"/>
        <v>0</v>
      </c>
      <c r="N71" s="35">
        <f t="shared" si="34"/>
        <v>0</v>
      </c>
      <c r="O71" s="35">
        <f t="shared" si="34"/>
        <v>0</v>
      </c>
      <c r="P71" s="35">
        <f t="shared" si="34"/>
        <v>0</v>
      </c>
      <c r="Q71" s="35">
        <f t="shared" si="34"/>
        <v>0</v>
      </c>
      <c r="R71" s="506">
        <f t="shared" si="34"/>
        <v>0</v>
      </c>
      <c r="S71" s="35">
        <f t="shared" si="34"/>
        <v>0</v>
      </c>
      <c r="T71" s="35">
        <f t="shared" si="34"/>
        <v>0</v>
      </c>
      <c r="U71" s="35">
        <f t="shared" si="34"/>
        <v>0</v>
      </c>
      <c r="V71" s="35">
        <f t="shared" si="34"/>
        <v>0</v>
      </c>
      <c r="W71" s="35">
        <f t="shared" si="34"/>
        <v>0</v>
      </c>
      <c r="X71" s="35">
        <f t="shared" si="34"/>
        <v>0</v>
      </c>
      <c r="Y71" s="35">
        <f t="shared" si="34"/>
        <v>0</v>
      </c>
      <c r="Z71" s="35">
        <f t="shared" si="21"/>
        <v>23400</v>
      </c>
      <c r="AA71" s="35">
        <f t="shared" si="21"/>
        <v>14600.000000000002</v>
      </c>
      <c r="AB71" s="35">
        <f t="shared" si="21"/>
        <v>18500</v>
      </c>
      <c r="AC71" s="35">
        <f t="shared" si="21"/>
        <v>4799.9999999999973</v>
      </c>
      <c r="AD71" s="35">
        <f t="shared" si="21"/>
        <v>1400.0000000000057</v>
      </c>
      <c r="AE71" s="35">
        <f t="shared" si="22"/>
        <v>8230.0000000000036</v>
      </c>
      <c r="AF71" s="35">
        <f t="shared" si="23"/>
        <v>28720.00152999999</v>
      </c>
      <c r="AG71" s="35">
        <f t="shared" si="24"/>
        <v>39659.996070000008</v>
      </c>
      <c r="AH71" s="35">
        <f t="shared" si="25"/>
        <v>46020.004199999988</v>
      </c>
      <c r="AI71" s="35">
        <f t="shared" si="26"/>
        <v>48899.998200000002</v>
      </c>
      <c r="AJ71" s="35">
        <f t="shared" si="27"/>
        <v>44049.998799999994</v>
      </c>
      <c r="AK71" s="35">
        <f t="shared" si="28"/>
        <v>46839.996299999999</v>
      </c>
      <c r="AL71" s="35">
        <f t="shared" si="29"/>
        <v>58639.984099999994</v>
      </c>
      <c r="AM71" s="35">
        <f t="shared" si="30"/>
        <v>51240.020800000028</v>
      </c>
      <c r="AN71" s="35">
        <f t="shared" ref="AN71:AQ71" si="35">IF(ISNUMBER(AN35),AN35-AM35," ")</f>
        <v>54.089996299999996</v>
      </c>
      <c r="AO71" s="35" t="str">
        <f t="shared" si="35"/>
        <v xml:space="preserve"> </v>
      </c>
      <c r="AP71" s="506" t="str">
        <f t="shared" si="35"/>
        <v xml:space="preserve"> </v>
      </c>
      <c r="AQ71" s="35" t="str">
        <f t="shared" si="35"/>
        <v xml:space="preserve"> </v>
      </c>
    </row>
    <row r="72" spans="1:43" s="1020" customFormat="1" ht="13.9">
      <c r="A72" s="1020" t="s">
        <v>653</v>
      </c>
      <c r="B72" s="360">
        <f t="shared" ca="1" si="18"/>
        <v>19.130004900000017</v>
      </c>
      <c r="C72" t="s">
        <v>74</v>
      </c>
      <c r="F72" s="1020">
        <v>1000</v>
      </c>
      <c r="G72" s="848">
        <f>IF(ISNUMBER(G29),G29-F29," ")</f>
        <v>0</v>
      </c>
      <c r="H72" s="35">
        <f t="shared" ref="H72:Y72" si="36">IF(ISNUMBER(H31),H31-G31," ")</f>
        <v>0</v>
      </c>
      <c r="I72" s="35">
        <f t="shared" si="36"/>
        <v>0</v>
      </c>
      <c r="J72" s="35">
        <f t="shared" si="36"/>
        <v>0</v>
      </c>
      <c r="K72" s="35">
        <f t="shared" si="36"/>
        <v>0</v>
      </c>
      <c r="L72" s="35">
        <f t="shared" si="36"/>
        <v>0</v>
      </c>
      <c r="M72" s="35">
        <f t="shared" si="36"/>
        <v>0</v>
      </c>
      <c r="N72" s="35">
        <f t="shared" si="36"/>
        <v>0</v>
      </c>
      <c r="O72" s="35">
        <f t="shared" si="36"/>
        <v>0</v>
      </c>
      <c r="P72" s="35">
        <f t="shared" si="36"/>
        <v>0</v>
      </c>
      <c r="Q72" s="35">
        <f t="shared" si="36"/>
        <v>0</v>
      </c>
      <c r="R72" s="506">
        <f t="shared" si="36"/>
        <v>0</v>
      </c>
      <c r="S72" s="35">
        <f t="shared" si="36"/>
        <v>0</v>
      </c>
      <c r="T72" s="35">
        <f t="shared" si="36"/>
        <v>0</v>
      </c>
      <c r="U72" s="35">
        <f t="shared" si="36"/>
        <v>0</v>
      </c>
      <c r="V72" s="35">
        <f t="shared" si="36"/>
        <v>0</v>
      </c>
      <c r="W72" s="35">
        <f t="shared" si="36"/>
        <v>0</v>
      </c>
      <c r="X72" s="35">
        <f t="shared" si="36"/>
        <v>0</v>
      </c>
      <c r="Y72" s="35">
        <f t="shared" si="36"/>
        <v>0</v>
      </c>
      <c r="Z72" s="35">
        <f t="shared" ref="Z72:AD73" si="37">IF(ISNUMBER(Z31),(Z31-Y31)*$F72," ")</f>
        <v>33700</v>
      </c>
      <c r="AA72" s="35">
        <f t="shared" si="37"/>
        <v>15299.999999999996</v>
      </c>
      <c r="AB72" s="35">
        <f t="shared" si="37"/>
        <v>14600.000000000002</v>
      </c>
      <c r="AC72" s="35">
        <f t="shared" si="37"/>
        <v>8499.9999999999927</v>
      </c>
      <c r="AD72" s="35">
        <f t="shared" si="37"/>
        <v>7100.0000000000082</v>
      </c>
      <c r="AE72" s="35">
        <f t="shared" ref="AE72:AE73" si="38">IF(ISNUMBER(AE31),(AE31-AD31)*$F72," ")</f>
        <v>7230.0000000000036</v>
      </c>
      <c r="AF72" s="35">
        <f t="shared" ref="AF72:AF73" si="39">IF(ISNUMBER(AF31),(AF31-AE31)*$F72," ")</f>
        <v>8139.999689999996</v>
      </c>
      <c r="AG72" s="35">
        <f t="shared" ref="AG72:AG73" si="40">IF(ISNUMBER(AG31),(AG31-AF31)*$F72," ")</f>
        <v>11790.000910000002</v>
      </c>
      <c r="AH72" s="35">
        <f t="shared" ref="AH72:AH73" si="41">IF(ISNUMBER(AH31),(AH31-AG31)*$F72," ")</f>
        <v>22839.996299999995</v>
      </c>
      <c r="AI72" s="35">
        <f t="shared" ref="AI72:AI73" si="42">IF(ISNUMBER(AI31),(AI31-AH31)*$F72," ")</f>
        <v>39800.003099999994</v>
      </c>
      <c r="AJ72" s="35">
        <f t="shared" ref="AJ72:AJ73" si="43">IF(ISNUMBER(AJ31),(AJ31-AI31)*$F72," ")</f>
        <v>35259.994500000008</v>
      </c>
      <c r="AK72" s="35">
        <f t="shared" ref="AK72:AK73" si="44">IF(ISNUMBER(AK31),(AK31-AJ31)*$F72," ")</f>
        <v>29290.008599999994</v>
      </c>
      <c r="AL72" s="35">
        <f t="shared" ref="AL72:AL73" si="45">IF(ISNUMBER(AL31),(AL31-AK31)*$F72," ")</f>
        <v>29949.996900000002</v>
      </c>
      <c r="AM72" s="35">
        <f t="shared" ref="AM72:AM73" si="46">IF(ISNUMBER(AM31),(AM31-AL31)*$F72," ")</f>
        <v>22089.996299999995</v>
      </c>
      <c r="AN72" s="35">
        <f t="shared" ref="AN72:AQ72" si="47">IF(ISNUMBER(AN31),AN31-AM31," ")</f>
        <v>19.130004900000017</v>
      </c>
      <c r="AO72" s="35" t="str">
        <f t="shared" si="47"/>
        <v xml:space="preserve"> </v>
      </c>
      <c r="AP72" s="506" t="str">
        <f t="shared" si="47"/>
        <v xml:space="preserve"> </v>
      </c>
      <c r="AQ72" s="35" t="str">
        <f t="shared" si="47"/>
        <v xml:space="preserve"> </v>
      </c>
    </row>
    <row r="73" spans="1:43" s="1020" customFormat="1" ht="13.9">
      <c r="A73" s="1020" t="s">
        <v>654</v>
      </c>
      <c r="B73" s="360">
        <f ca="1">OFFSET(F73,0,COUNT(G73:AQ73))</f>
        <v>87609.985000000044</v>
      </c>
      <c r="C73" t="s">
        <v>74</v>
      </c>
      <c r="F73" s="1020">
        <v>1000</v>
      </c>
      <c r="G73" s="848"/>
      <c r="H73" s="35">
        <f t="shared" ref="H73:Y73" si="48">IF(ISNUMBER(H32),H32-G32," ")</f>
        <v>0</v>
      </c>
      <c r="I73" s="35">
        <f t="shared" si="48"/>
        <v>0</v>
      </c>
      <c r="J73" s="35">
        <f t="shared" si="48"/>
        <v>0</v>
      </c>
      <c r="K73" s="35">
        <f t="shared" si="48"/>
        <v>0</v>
      </c>
      <c r="L73" s="35">
        <f t="shared" si="48"/>
        <v>0</v>
      </c>
      <c r="M73" s="35">
        <f t="shared" si="48"/>
        <v>0</v>
      </c>
      <c r="N73" s="35">
        <f t="shared" si="48"/>
        <v>0</v>
      </c>
      <c r="O73" s="35">
        <f t="shared" si="48"/>
        <v>0</v>
      </c>
      <c r="P73" s="35">
        <f t="shared" si="48"/>
        <v>0</v>
      </c>
      <c r="Q73" s="35">
        <f t="shared" si="48"/>
        <v>0</v>
      </c>
      <c r="R73" s="506">
        <f t="shared" si="48"/>
        <v>0</v>
      </c>
      <c r="S73" s="35">
        <f t="shared" si="48"/>
        <v>0</v>
      </c>
      <c r="T73" s="35">
        <f t="shared" si="48"/>
        <v>0</v>
      </c>
      <c r="U73" s="35">
        <f t="shared" si="48"/>
        <v>0</v>
      </c>
      <c r="V73" s="35">
        <f t="shared" si="48"/>
        <v>0</v>
      </c>
      <c r="W73" s="35">
        <f t="shared" si="48"/>
        <v>0</v>
      </c>
      <c r="X73" s="35">
        <f t="shared" si="48"/>
        <v>0</v>
      </c>
      <c r="Y73" s="35">
        <f t="shared" si="48"/>
        <v>0</v>
      </c>
      <c r="Z73" s="35">
        <f t="shared" si="37"/>
        <v>99200</v>
      </c>
      <c r="AA73" s="35">
        <f t="shared" si="37"/>
        <v>118800</v>
      </c>
      <c r="AB73" s="35">
        <f t="shared" si="37"/>
        <v>128399.99999999997</v>
      </c>
      <c r="AC73" s="35">
        <f t="shared" si="37"/>
        <v>52900.000000000036</v>
      </c>
      <c r="AD73" s="35">
        <f>IF(ISNUMBER(AD32),(AD32-AC32)*$F73," ")</f>
        <v>44300.000000000015</v>
      </c>
      <c r="AE73" s="35">
        <f t="shared" si="38"/>
        <v>35690</v>
      </c>
      <c r="AF73" s="35">
        <f t="shared" si="39"/>
        <v>43919.960900000035</v>
      </c>
      <c r="AG73" s="35">
        <f t="shared" si="40"/>
        <v>54650.02449999997</v>
      </c>
      <c r="AH73" s="35">
        <f t="shared" si="41"/>
        <v>68679.992599999998</v>
      </c>
      <c r="AI73" s="35">
        <f t="shared" si="42"/>
        <v>109780.02200000003</v>
      </c>
      <c r="AJ73" s="35">
        <f t="shared" si="43"/>
        <v>105479.9878</v>
      </c>
      <c r="AK73" s="35">
        <f t="shared" si="44"/>
        <v>106679.99269999996</v>
      </c>
      <c r="AL73" s="35">
        <f t="shared" si="45"/>
        <v>113900.02449999997</v>
      </c>
      <c r="AM73" s="35">
        <f t="shared" si="46"/>
        <v>87609.985000000044</v>
      </c>
      <c r="AN73" s="35">
        <f t="shared" ref="AN73:AQ73" si="49">IF(ISNUMBER(AN32),AN32-AM32," ")</f>
        <v>77.939941999999974</v>
      </c>
      <c r="AO73" s="35" t="str">
        <f t="shared" si="49"/>
        <v xml:space="preserve"> </v>
      </c>
      <c r="AP73" s="506" t="str">
        <f t="shared" si="49"/>
        <v xml:space="preserve"> </v>
      </c>
      <c r="AQ73" s="35" t="str">
        <f t="shared" si="49"/>
        <v xml:space="preserve"> </v>
      </c>
    </row>
    <row r="74" spans="1:43" s="1020" customFormat="1" ht="13.9">
      <c r="A74" s="1020" t="s">
        <v>655</v>
      </c>
      <c r="B74" s="360">
        <f t="shared" ca="1" si="18"/>
        <v>6020.0042700000013</v>
      </c>
      <c r="C74"/>
      <c r="F74" s="1020">
        <v>1000</v>
      </c>
      <c r="G74" s="848"/>
      <c r="H74" s="35">
        <f t="shared" ref="H74:Y74" si="50">IF(ISNUMBER(H29),H29-G29," ")</f>
        <v>0</v>
      </c>
      <c r="I74" s="35">
        <f t="shared" si="50"/>
        <v>0</v>
      </c>
      <c r="J74" s="35">
        <f t="shared" si="50"/>
        <v>0</v>
      </c>
      <c r="K74" s="35">
        <f t="shared" si="50"/>
        <v>0</v>
      </c>
      <c r="L74" s="35">
        <f t="shared" si="50"/>
        <v>0</v>
      </c>
      <c r="M74" s="35">
        <f t="shared" si="50"/>
        <v>0</v>
      </c>
      <c r="N74" s="35">
        <f t="shared" si="50"/>
        <v>0</v>
      </c>
      <c r="O74" s="35">
        <f t="shared" si="50"/>
        <v>0</v>
      </c>
      <c r="P74" s="35">
        <f t="shared" si="50"/>
        <v>0</v>
      </c>
      <c r="Q74" s="35">
        <f t="shared" si="50"/>
        <v>0</v>
      </c>
      <c r="R74" s="506">
        <f t="shared" si="50"/>
        <v>0</v>
      </c>
      <c r="S74" s="35">
        <f t="shared" si="50"/>
        <v>0</v>
      </c>
      <c r="T74" s="35">
        <f t="shared" si="50"/>
        <v>0</v>
      </c>
      <c r="U74" s="35">
        <f t="shared" si="50"/>
        <v>0</v>
      </c>
      <c r="V74" s="35">
        <f t="shared" si="50"/>
        <v>0</v>
      </c>
      <c r="W74" s="35">
        <f t="shared" si="50"/>
        <v>0</v>
      </c>
      <c r="X74" s="35">
        <f t="shared" si="50"/>
        <v>0</v>
      </c>
      <c r="Y74" s="35">
        <f t="shared" si="50"/>
        <v>0</v>
      </c>
      <c r="Z74" s="35">
        <f t="shared" ref="Z74:AD75" si="51">IF(ISNUMBER(Z29),(Z29-Y29)*$F74," ")</f>
        <v>2000</v>
      </c>
      <c r="AA74" s="35">
        <f t="shared" si="51"/>
        <v>3000</v>
      </c>
      <c r="AB74" s="35">
        <f t="shared" si="51"/>
        <v>3699.9999999999991</v>
      </c>
      <c r="AC74" s="35">
        <f t="shared" si="51"/>
        <v>1100.0000000000014</v>
      </c>
      <c r="AD74" s="35">
        <f t="shared" si="51"/>
        <v>59.999999999998721</v>
      </c>
      <c r="AE74" s="35">
        <f t="shared" ref="AE74:AE75" si="52">IF(ISNUMBER(AE29),(AE29-AD29)*$F74," ")</f>
        <v>0</v>
      </c>
      <c r="AF74" s="35">
        <f t="shared" ref="AF74:AF75" si="53">IF(ISNUMBER(AF29),(AF29-AE29)*$F74," ")</f>
        <v>19150.000230000001</v>
      </c>
      <c r="AG74" s="35">
        <f t="shared" ref="AG74:AG75" si="54">IF(ISNUMBER(AG29),(AG29-AF29)*$F74," ")</f>
        <v>12670.000079999998</v>
      </c>
      <c r="AH74" s="35">
        <f t="shared" ref="AH74:AH75" si="55">IF(ISNUMBER(AH29),(AH29-AG29)*$F74," ")</f>
        <v>12969.997400000004</v>
      </c>
      <c r="AI74" s="35">
        <f t="shared" ref="AI74:AI75" si="56">IF(ISNUMBER(AI29),(AI29-AH29)*$F74," ")</f>
        <v>7440.0022900000022</v>
      </c>
      <c r="AJ74" s="35">
        <f t="shared" ref="AJ74:AJ75" si="57">IF(ISNUMBER(AJ29),(AJ29-AI29)*$F74," ")</f>
        <v>3130.0012199999969</v>
      </c>
      <c r="AK74" s="35">
        <f t="shared" ref="AK74:AK75" si="58">IF(ISNUMBER(AK29),(AK29-AJ29)*$F74," ")</f>
        <v>5009.9945099999986</v>
      </c>
      <c r="AL74" s="35">
        <f t="shared" ref="AL74:AL75" si="59">IF(ISNUMBER(AL29),(AL29-AK29)*$F74," ")</f>
        <v>6220.0012200000001</v>
      </c>
      <c r="AM74" s="35">
        <f t="shared" ref="AM74:AM75" si="60">IF(ISNUMBER(AM29),(AM29-AL29)*$F74," ")</f>
        <v>6020.0042700000013</v>
      </c>
      <c r="AN74" s="35">
        <f t="shared" ref="AN74:AQ74" si="61">IF(ISNUMBER(AN29),AN29-AM29," ")</f>
        <v>11.039993289999998</v>
      </c>
      <c r="AO74" s="35" t="str">
        <f t="shared" si="61"/>
        <v xml:space="preserve"> </v>
      </c>
      <c r="AP74" s="506" t="str">
        <f t="shared" si="61"/>
        <v xml:space="preserve"> </v>
      </c>
      <c r="AQ74" s="35" t="str">
        <f t="shared" si="61"/>
        <v xml:space="preserve"> </v>
      </c>
    </row>
    <row r="75" spans="1:43" s="1020" customFormat="1" ht="13.9">
      <c r="A75" s="1020" t="s">
        <v>656</v>
      </c>
      <c r="B75" s="360">
        <f t="shared" ca="1" si="18"/>
        <v>20.000459999998554</v>
      </c>
      <c r="C75" t="s">
        <v>74</v>
      </c>
      <c r="F75" s="1020">
        <v>1000</v>
      </c>
      <c r="G75" s="848"/>
      <c r="H75" s="35">
        <f t="shared" ref="H75:Y75" si="62">IF(ISNUMBER(H30),H30-G30," ")</f>
        <v>0</v>
      </c>
      <c r="I75" s="35">
        <f t="shared" si="62"/>
        <v>0</v>
      </c>
      <c r="J75" s="35">
        <f t="shared" si="62"/>
        <v>0</v>
      </c>
      <c r="K75" s="35">
        <f t="shared" si="62"/>
        <v>0</v>
      </c>
      <c r="L75" s="35">
        <f t="shared" si="62"/>
        <v>0</v>
      </c>
      <c r="M75" s="35">
        <f t="shared" si="62"/>
        <v>0</v>
      </c>
      <c r="N75" s="35">
        <f t="shared" si="62"/>
        <v>0</v>
      </c>
      <c r="O75" s="35">
        <f t="shared" si="62"/>
        <v>0</v>
      </c>
      <c r="P75" s="35">
        <f t="shared" si="62"/>
        <v>0</v>
      </c>
      <c r="Q75" s="35">
        <f t="shared" si="62"/>
        <v>0</v>
      </c>
      <c r="R75" s="506">
        <f t="shared" si="62"/>
        <v>0</v>
      </c>
      <c r="S75" s="35">
        <f t="shared" si="62"/>
        <v>0</v>
      </c>
      <c r="T75" s="35">
        <f t="shared" si="62"/>
        <v>0</v>
      </c>
      <c r="U75" s="35">
        <f t="shared" si="62"/>
        <v>0</v>
      </c>
      <c r="V75" s="35">
        <f t="shared" si="62"/>
        <v>0</v>
      </c>
      <c r="W75" s="35">
        <f t="shared" si="62"/>
        <v>0</v>
      </c>
      <c r="X75" s="35">
        <f t="shared" si="62"/>
        <v>0</v>
      </c>
      <c r="Y75" s="35">
        <f t="shared" si="62"/>
        <v>0</v>
      </c>
      <c r="Z75" s="35">
        <f t="shared" si="51"/>
        <v>400</v>
      </c>
      <c r="AA75" s="35">
        <f t="shared" si="51"/>
        <v>2600</v>
      </c>
      <c r="AB75" s="35">
        <f t="shared" si="51"/>
        <v>2800</v>
      </c>
      <c r="AC75" s="35">
        <f t="shared" si="51"/>
        <v>3000.0000000000009</v>
      </c>
      <c r="AD75" s="35">
        <f t="shared" si="51"/>
        <v>15899.999999999998</v>
      </c>
      <c r="AE75" s="35">
        <f t="shared" si="52"/>
        <v>29300</v>
      </c>
      <c r="AF75" s="35">
        <f t="shared" si="53"/>
        <v>7729.9995400000016</v>
      </c>
      <c r="AG75" s="35">
        <f t="shared" si="54"/>
        <v>20.000459999998554</v>
      </c>
      <c r="AH75" s="35">
        <f t="shared" si="55"/>
        <v>0</v>
      </c>
      <c r="AI75" s="35">
        <f t="shared" si="56"/>
        <v>9.9999999999980105</v>
      </c>
      <c r="AJ75" s="35">
        <f t="shared" si="57"/>
        <v>10.000460000000544</v>
      </c>
      <c r="AK75" s="35">
        <f t="shared" si="58"/>
        <v>19.99664000000223</v>
      </c>
      <c r="AL75" s="35">
        <f t="shared" si="59"/>
        <v>0</v>
      </c>
      <c r="AM75" s="35">
        <f t="shared" si="60"/>
        <v>20.000459999998554</v>
      </c>
      <c r="AN75" s="35">
        <f t="shared" ref="AN75:AQ75" si="63">IF(ISNUMBER(AN30),AN30-AM30," ")</f>
        <v>1.0002130000003717E-2</v>
      </c>
      <c r="AO75" s="35" t="str">
        <f t="shared" si="63"/>
        <v xml:space="preserve"> </v>
      </c>
      <c r="AP75" s="506" t="str">
        <f t="shared" si="63"/>
        <v xml:space="preserve"> </v>
      </c>
      <c r="AQ75" s="35" t="str">
        <f t="shared" si="63"/>
        <v xml:space="preserve"> </v>
      </c>
    </row>
    <row r="76" spans="1:43" s="35" customFormat="1" ht="13.9">
      <c r="A76" s="35" t="s">
        <v>657</v>
      </c>
      <c r="B76" s="360">
        <f t="shared" ca="1" si="18"/>
        <v>9223</v>
      </c>
      <c r="C76" s="35" t="s">
        <v>74</v>
      </c>
      <c r="F76" s="35">
        <v>1</v>
      </c>
      <c r="G76" s="848">
        <v>0</v>
      </c>
      <c r="H76" s="35">
        <v>40</v>
      </c>
      <c r="I76" s="35">
        <v>717</v>
      </c>
      <c r="J76" s="35">
        <v>2761</v>
      </c>
      <c r="K76" s="35">
        <v>5584</v>
      </c>
      <c r="L76" s="35">
        <v>10855</v>
      </c>
      <c r="M76" s="35">
        <v>12634</v>
      </c>
      <c r="N76" s="35">
        <v>11000</v>
      </c>
      <c r="O76" s="35">
        <v>10768</v>
      </c>
      <c r="P76" s="35">
        <v>10472</v>
      </c>
      <c r="Q76" s="35">
        <v>6705</v>
      </c>
      <c r="R76" s="417">
        <f t="shared" ref="R76:AQ76" si="64">IF(ISNUMBER(R36),R36-Q36," ")</f>
        <v>1355</v>
      </c>
      <c r="S76">
        <f t="shared" si="64"/>
        <v>954</v>
      </c>
      <c r="T76">
        <f t="shared" si="64"/>
        <v>117</v>
      </c>
      <c r="U76">
        <f t="shared" si="64"/>
        <v>7336</v>
      </c>
      <c r="V76">
        <f t="shared" si="64"/>
        <v>18711</v>
      </c>
      <c r="W76">
        <f t="shared" si="64"/>
        <v>27396</v>
      </c>
      <c r="X76">
        <f t="shared" si="64"/>
        <v>4405</v>
      </c>
      <c r="Y76">
        <f t="shared" si="64"/>
        <v>28</v>
      </c>
      <c r="Z76">
        <f t="shared" si="64"/>
        <v>8377</v>
      </c>
      <c r="AA76" s="35">
        <f t="shared" si="64"/>
        <v>35644</v>
      </c>
      <c r="AB76" s="35">
        <f t="shared" si="64"/>
        <v>26478</v>
      </c>
      <c r="AC76" s="35">
        <f t="shared" si="64"/>
        <v>24641</v>
      </c>
      <c r="AD76" s="35">
        <f t="shared" si="64"/>
        <v>11818</v>
      </c>
      <c r="AE76" s="848">
        <f t="shared" si="64"/>
        <v>13601</v>
      </c>
      <c r="AF76" s="35">
        <f t="shared" si="64"/>
        <v>20949</v>
      </c>
      <c r="AG76" s="35">
        <f t="shared" si="64"/>
        <v>12696</v>
      </c>
      <c r="AH76" s="35">
        <f t="shared" si="64"/>
        <v>6510</v>
      </c>
      <c r="AI76" s="35">
        <f t="shared" si="64"/>
        <v>11733</v>
      </c>
      <c r="AJ76" s="35">
        <f t="shared" si="64"/>
        <v>10444</v>
      </c>
      <c r="AK76" s="35">
        <f t="shared" si="64"/>
        <v>15375</v>
      </c>
      <c r="AL76" s="35">
        <f t="shared" si="64"/>
        <v>7760</v>
      </c>
      <c r="AM76" s="35">
        <f t="shared" si="64"/>
        <v>6407</v>
      </c>
      <c r="AN76" s="35">
        <f t="shared" si="64"/>
        <v>9223</v>
      </c>
      <c r="AO76" s="35" t="str">
        <f t="shared" si="64"/>
        <v xml:space="preserve"> </v>
      </c>
      <c r="AP76" s="506" t="str">
        <f t="shared" si="64"/>
        <v xml:space="preserve"> </v>
      </c>
      <c r="AQ76" s="35" t="str">
        <f t="shared" si="64"/>
        <v xml:space="preserve"> </v>
      </c>
    </row>
    <row r="77" spans="1:43" ht="13.9">
      <c r="A77" s="35" t="s">
        <v>658</v>
      </c>
      <c r="B77" s="360">
        <f t="shared" ca="1" si="18"/>
        <v>11089.966000000004</v>
      </c>
      <c r="C77" t="s">
        <v>74</v>
      </c>
      <c r="D77">
        <v>16557</v>
      </c>
      <c r="E77" t="s">
        <v>527</v>
      </c>
      <c r="F77">
        <v>1000</v>
      </c>
      <c r="G77" s="441">
        <v>3769.9999999999818</v>
      </c>
      <c r="H77">
        <v>5900.0000000000909</v>
      </c>
      <c r="I77">
        <v>6309.9999999999454</v>
      </c>
      <c r="J77">
        <v>11210.000000000036</v>
      </c>
      <c r="K77">
        <v>14460.000000000036</v>
      </c>
      <c r="L77">
        <v>16099.999999999909</v>
      </c>
      <c r="M77">
        <v>23950.000000000044</v>
      </c>
      <c r="N77">
        <v>20689.999999999942</v>
      </c>
      <c r="O77">
        <v>15990.000000000009</v>
      </c>
      <c r="P77">
        <v>14250</v>
      </c>
      <c r="Q77">
        <f t="shared" ref="Q77:AQ77" si="65">IF(ISNUMBER(Q37),((Q37-P37)*1000)," ")</f>
        <v>5080.0000000000409</v>
      </c>
      <c r="R77" s="417">
        <f t="shared" si="65"/>
        <v>5380.0000000001091</v>
      </c>
      <c r="S77">
        <f t="shared" si="65"/>
        <v>2369.9999999998909</v>
      </c>
      <c r="T77">
        <f t="shared" si="65"/>
        <v>2329.9999999999272</v>
      </c>
      <c r="U77">
        <f t="shared" si="65"/>
        <v>6860.0000000001273</v>
      </c>
      <c r="V77">
        <f t="shared" si="65"/>
        <v>10190.000000000055</v>
      </c>
      <c r="W77">
        <f t="shared" si="65"/>
        <v>14709.999999999809</v>
      </c>
      <c r="X77">
        <f t="shared" si="65"/>
        <v>18700.000000000044</v>
      </c>
      <c r="Y77">
        <f t="shared" si="65"/>
        <v>22210.000000000036</v>
      </c>
      <c r="Z77">
        <f t="shared" si="65"/>
        <v>19089.99999999992</v>
      </c>
      <c r="AA77" s="35">
        <f t="shared" si="65"/>
        <v>16110.000000000127</v>
      </c>
      <c r="AB77" s="35">
        <f t="shared" si="65"/>
        <v>12919.999999999845</v>
      </c>
      <c r="AC77" s="35">
        <f t="shared" si="65"/>
        <v>9710.0000000000364</v>
      </c>
      <c r="AD77" s="35">
        <f t="shared" si="65"/>
        <v>9120.0000000001182</v>
      </c>
      <c r="AE77" s="848">
        <f t="shared" si="65"/>
        <v>0</v>
      </c>
      <c r="AF77" s="35">
        <f t="shared" si="65"/>
        <v>-4.899999998997373E-2</v>
      </c>
      <c r="AG77" s="35">
        <f t="shared" si="65"/>
        <v>13790.038999999979</v>
      </c>
      <c r="AH77" s="35">
        <f t="shared" si="65"/>
        <v>13919.922000000042</v>
      </c>
      <c r="AI77" s="35">
        <f t="shared" si="65"/>
        <v>19520.087999999989</v>
      </c>
      <c r="AJ77" s="35">
        <f t="shared" si="65"/>
        <v>18080.0099999999</v>
      </c>
      <c r="AK77" s="35">
        <f t="shared" si="65"/>
        <v>20809.936000000107</v>
      </c>
      <c r="AL77" s="35">
        <f>IF(ISNUMBER(AL37),((AL37-AK37)*1000)," ")</f>
        <v>15130.004999999983</v>
      </c>
      <c r="AM77" s="35">
        <f t="shared" si="65"/>
        <v>11800.048999999944</v>
      </c>
      <c r="AN77" s="35">
        <f t="shared" si="65"/>
        <v>11089.966000000004</v>
      </c>
      <c r="AO77" s="35" t="str">
        <f t="shared" si="65"/>
        <v xml:space="preserve"> </v>
      </c>
      <c r="AP77" s="506" t="str">
        <f t="shared" si="65"/>
        <v xml:space="preserve"> </v>
      </c>
      <c r="AQ77" s="35" t="str">
        <f t="shared" si="65"/>
        <v xml:space="preserve"> </v>
      </c>
    </row>
    <row r="78" spans="1:43" s="473" customFormat="1" ht="13.9">
      <c r="A78" s="1294" t="s">
        <v>659</v>
      </c>
      <c r="B78" s="360">
        <f t="shared" ca="1" si="18"/>
        <v>64950</v>
      </c>
      <c r="C78" s="473" t="s">
        <v>74</v>
      </c>
      <c r="D78" s="473">
        <v>4665</v>
      </c>
      <c r="E78" s="473" t="s">
        <v>527</v>
      </c>
      <c r="F78" s="473">
        <v>1</v>
      </c>
      <c r="G78" s="1008">
        <v>22880</v>
      </c>
      <c r="H78" s="473">
        <v>32730</v>
      </c>
      <c r="I78" s="473">
        <v>44600</v>
      </c>
      <c r="J78" s="473">
        <v>7290</v>
      </c>
      <c r="K78" s="473">
        <v>43200</v>
      </c>
      <c r="L78" s="473">
        <v>74810</v>
      </c>
      <c r="M78" s="473">
        <v>73780</v>
      </c>
      <c r="N78" s="473">
        <v>71450</v>
      </c>
      <c r="O78" s="473">
        <v>63170</v>
      </c>
      <c r="P78" s="473">
        <v>57240</v>
      </c>
      <c r="Q78" s="473">
        <v>38800</v>
      </c>
      <c r="R78" s="417">
        <f t="shared" ref="R78:AQ78" si="66">IF(ISNUMBER(R45),((R45-Q45)*1)," ")</f>
        <v>37500</v>
      </c>
      <c r="S78">
        <f t="shared" si="66"/>
        <v>23120</v>
      </c>
      <c r="T78">
        <f t="shared" si="66"/>
        <v>580</v>
      </c>
      <c r="U78">
        <f t="shared" si="66"/>
        <v>42540</v>
      </c>
      <c r="V78">
        <f t="shared" si="66"/>
        <v>53450</v>
      </c>
      <c r="W78">
        <f t="shared" si="66"/>
        <v>64830</v>
      </c>
      <c r="X78">
        <f t="shared" si="66"/>
        <v>78300</v>
      </c>
      <c r="Y78">
        <f t="shared" si="66"/>
        <v>87470</v>
      </c>
      <c r="Z78">
        <f t="shared" si="66"/>
        <v>84770</v>
      </c>
      <c r="AA78">
        <f t="shared" si="66"/>
        <v>64140</v>
      </c>
      <c r="AB78">
        <f t="shared" si="66"/>
        <v>44110</v>
      </c>
      <c r="AC78">
        <f t="shared" si="66"/>
        <v>40390</v>
      </c>
      <c r="AD78">
        <f t="shared" si="66"/>
        <v>12120</v>
      </c>
      <c r="AE78" s="441">
        <f t="shared" si="66"/>
        <v>0</v>
      </c>
      <c r="AF78">
        <f t="shared" si="66"/>
        <v>17400</v>
      </c>
      <c r="AG78">
        <f t="shared" si="66"/>
        <v>49780</v>
      </c>
      <c r="AH78">
        <f t="shared" si="66"/>
        <v>53510</v>
      </c>
      <c r="AI78">
        <f t="shared" si="66"/>
        <v>79910</v>
      </c>
      <c r="AJ78">
        <f t="shared" si="66"/>
        <v>77720</v>
      </c>
      <c r="AK78">
        <f t="shared" si="66"/>
        <v>86910</v>
      </c>
      <c r="AL78">
        <f t="shared" si="66"/>
        <v>79510</v>
      </c>
      <c r="AM78">
        <f t="shared" si="66"/>
        <v>63940</v>
      </c>
      <c r="AN78">
        <f t="shared" si="66"/>
        <v>64950</v>
      </c>
      <c r="AO78" t="str">
        <f t="shared" si="66"/>
        <v xml:space="preserve"> </v>
      </c>
      <c r="AP78" s="417" t="str">
        <f t="shared" si="66"/>
        <v xml:space="preserve"> </v>
      </c>
      <c r="AQ78" t="str">
        <f t="shared" si="66"/>
        <v xml:space="preserve"> </v>
      </c>
    </row>
    <row r="79" spans="1:43" ht="13.9">
      <c r="A79" s="35" t="s">
        <v>660</v>
      </c>
      <c r="B79" s="360">
        <f t="shared" ca="1" si="18"/>
        <v>897</v>
      </c>
      <c r="C79" t="s">
        <v>74</v>
      </c>
      <c r="F79">
        <v>1</v>
      </c>
      <c r="G79" s="441">
        <v>1245</v>
      </c>
      <c r="H79">
        <v>1030</v>
      </c>
      <c r="I79">
        <v>1391</v>
      </c>
      <c r="J79">
        <v>861</v>
      </c>
      <c r="K79">
        <v>720</v>
      </c>
      <c r="L79">
        <v>469</v>
      </c>
      <c r="M79">
        <v>483</v>
      </c>
      <c r="N79">
        <v>828</v>
      </c>
      <c r="O79">
        <v>860</v>
      </c>
      <c r="P79">
        <v>1179</v>
      </c>
      <c r="Q79">
        <v>1056</v>
      </c>
      <c r="R79" s="417">
        <f t="shared" ref="R79:AQ79" si="67">IF(ISNUMBER(R44),((R44-Q44)*1)," ")</f>
        <v>1025</v>
      </c>
      <c r="S79">
        <f t="shared" si="67"/>
        <v>858</v>
      </c>
      <c r="T79">
        <f t="shared" si="67"/>
        <v>1230</v>
      </c>
      <c r="U79">
        <f t="shared" si="67"/>
        <v>1042</v>
      </c>
      <c r="V79">
        <f t="shared" si="67"/>
        <v>881</v>
      </c>
      <c r="W79">
        <f t="shared" si="67"/>
        <v>647</v>
      </c>
      <c r="X79">
        <f t="shared" si="67"/>
        <v>577</v>
      </c>
      <c r="Y79">
        <f t="shared" si="67"/>
        <v>518</v>
      </c>
      <c r="Z79">
        <f t="shared" si="67"/>
        <v>776</v>
      </c>
      <c r="AA79">
        <f t="shared" si="67"/>
        <v>834</v>
      </c>
      <c r="AB79">
        <f t="shared" si="67"/>
        <v>1227</v>
      </c>
      <c r="AC79">
        <f t="shared" si="67"/>
        <v>1059</v>
      </c>
      <c r="AD79">
        <f t="shared" si="67"/>
        <v>989</v>
      </c>
      <c r="AE79" s="441">
        <f t="shared" si="67"/>
        <v>1125</v>
      </c>
      <c r="AF79">
        <f t="shared" si="67"/>
        <v>1188</v>
      </c>
      <c r="AG79">
        <f t="shared" si="67"/>
        <v>870</v>
      </c>
      <c r="AH79">
        <f t="shared" si="67"/>
        <v>668</v>
      </c>
      <c r="AI79">
        <f t="shared" si="67"/>
        <v>568</v>
      </c>
      <c r="AJ79">
        <f t="shared" si="67"/>
        <v>438</v>
      </c>
      <c r="AK79">
        <f t="shared" si="67"/>
        <v>532</v>
      </c>
      <c r="AL79">
        <f t="shared" si="67"/>
        <v>861</v>
      </c>
      <c r="AM79">
        <f t="shared" si="67"/>
        <v>909</v>
      </c>
      <c r="AN79">
        <f t="shared" si="67"/>
        <v>897</v>
      </c>
      <c r="AO79" t="str">
        <f t="shared" si="67"/>
        <v xml:space="preserve"> </v>
      </c>
      <c r="AP79" s="417" t="str">
        <f t="shared" si="67"/>
        <v xml:space="preserve"> </v>
      </c>
      <c r="AQ79" t="str">
        <f t="shared" si="67"/>
        <v xml:space="preserve"> </v>
      </c>
    </row>
    <row r="80" spans="1:43" ht="13.9">
      <c r="A80" s="35" t="s">
        <v>661</v>
      </c>
      <c r="B80" s="360">
        <f t="shared" ca="1" si="18"/>
        <v>0</v>
      </c>
      <c r="C80" t="s">
        <v>74</v>
      </c>
      <c r="F80">
        <v>1</v>
      </c>
      <c r="G80" s="441">
        <v>4307</v>
      </c>
      <c r="H80">
        <v>362</v>
      </c>
      <c r="I80">
        <v>144</v>
      </c>
      <c r="J80">
        <v>10818</v>
      </c>
      <c r="K80">
        <v>18445</v>
      </c>
      <c r="L80">
        <v>8644</v>
      </c>
      <c r="M80">
        <v>7817</v>
      </c>
      <c r="N80">
        <v>8029</v>
      </c>
      <c r="O80">
        <v>6423</v>
      </c>
      <c r="P80">
        <v>4557</v>
      </c>
      <c r="Q80">
        <v>1605</v>
      </c>
      <c r="R80" s="417">
        <f t="shared" ref="R80:AQ80" si="68">IF(ISNUMBER(R43),R43-Q43," ")</f>
        <v>1850</v>
      </c>
      <c r="S80">
        <f t="shared" si="68"/>
        <v>678</v>
      </c>
      <c r="T80">
        <f t="shared" si="68"/>
        <v>2</v>
      </c>
      <c r="U80">
        <f t="shared" si="68"/>
        <v>1010</v>
      </c>
      <c r="V80">
        <f t="shared" si="68"/>
        <v>1532</v>
      </c>
      <c r="W80">
        <f t="shared" si="68"/>
        <v>1258</v>
      </c>
      <c r="X80">
        <f t="shared" si="68"/>
        <v>1554</v>
      </c>
      <c r="Y80">
        <f t="shared" si="68"/>
        <v>322</v>
      </c>
      <c r="Z80">
        <f t="shared" si="68"/>
        <v>1214</v>
      </c>
      <c r="AA80">
        <f t="shared" si="68"/>
        <v>1632</v>
      </c>
      <c r="AB80">
        <f t="shared" si="68"/>
        <v>685</v>
      </c>
      <c r="AC80">
        <f t="shared" si="68"/>
        <v>9513</v>
      </c>
      <c r="AD80">
        <f t="shared" si="68"/>
        <v>6162</v>
      </c>
      <c r="AE80" s="441">
        <f t="shared" si="68"/>
        <v>180</v>
      </c>
      <c r="AF80">
        <f t="shared" si="68"/>
        <v>378</v>
      </c>
      <c r="AG80">
        <f t="shared" si="68"/>
        <v>1773</v>
      </c>
      <c r="AH80">
        <f t="shared" si="68"/>
        <v>1019</v>
      </c>
      <c r="AI80">
        <f t="shared" si="68"/>
        <v>23</v>
      </c>
      <c r="AJ80">
        <f t="shared" si="68"/>
        <v>0</v>
      </c>
      <c r="AK80">
        <f t="shared" si="68"/>
        <v>2</v>
      </c>
      <c r="AL80">
        <f t="shared" si="68"/>
        <v>1</v>
      </c>
      <c r="AM80">
        <f>IF(ISNUMBER(AM43),AM43-AL43," ")</f>
        <v>0</v>
      </c>
      <c r="AN80">
        <f t="shared" si="68"/>
        <v>0</v>
      </c>
      <c r="AO80" t="str">
        <f t="shared" si="68"/>
        <v xml:space="preserve"> </v>
      </c>
      <c r="AP80" s="417" t="str">
        <f t="shared" si="68"/>
        <v xml:space="preserve"> </v>
      </c>
      <c r="AQ80" t="str">
        <f t="shared" si="68"/>
        <v xml:space="preserve"> </v>
      </c>
    </row>
    <row r="81" spans="1:43" ht="13.9">
      <c r="A81" s="35" t="s">
        <v>662</v>
      </c>
      <c r="B81" s="360">
        <f t="shared" ca="1" si="18"/>
        <v>121</v>
      </c>
      <c r="C81" t="s">
        <v>74</v>
      </c>
      <c r="F81">
        <v>1</v>
      </c>
      <c r="G81" s="44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 s="417">
        <f t="shared" ref="R81:AQ81" si="69">IF(ISNUMBER(R42),R42-Q42," ")</f>
        <v>0</v>
      </c>
      <c r="S81">
        <f t="shared" si="69"/>
        <v>4339</v>
      </c>
      <c r="T81">
        <f t="shared" si="69"/>
        <v>8440</v>
      </c>
      <c r="U81">
        <f t="shared" si="69"/>
        <v>1280</v>
      </c>
      <c r="V81">
        <f t="shared" si="69"/>
        <v>4</v>
      </c>
      <c r="W81">
        <f t="shared" si="69"/>
        <v>5</v>
      </c>
      <c r="X81">
        <f t="shared" si="69"/>
        <v>274</v>
      </c>
      <c r="Y81">
        <f t="shared" si="69"/>
        <v>6</v>
      </c>
      <c r="Z81">
        <f t="shared" si="69"/>
        <v>8538</v>
      </c>
      <c r="AA81">
        <f t="shared" si="69"/>
        <v>7365</v>
      </c>
      <c r="AB81">
        <f t="shared" si="69"/>
        <v>12874</v>
      </c>
      <c r="AC81">
        <f t="shared" si="69"/>
        <v>25264</v>
      </c>
      <c r="AD81">
        <f t="shared" si="69"/>
        <v>36099</v>
      </c>
      <c r="AE81" s="441">
        <f t="shared" si="69"/>
        <v>37316</v>
      </c>
      <c r="AF81">
        <f t="shared" si="69"/>
        <v>26143</v>
      </c>
      <c r="AG81">
        <f t="shared" si="69"/>
        <v>662</v>
      </c>
      <c r="AH81">
        <f t="shared" si="69"/>
        <v>4931</v>
      </c>
      <c r="AI81">
        <f t="shared" si="69"/>
        <v>4795</v>
      </c>
      <c r="AJ81">
        <f t="shared" si="69"/>
        <v>279</v>
      </c>
      <c r="AK81">
        <f t="shared" si="69"/>
        <v>2368</v>
      </c>
      <c r="AL81">
        <f t="shared" si="69"/>
        <v>2644</v>
      </c>
      <c r="AM81">
        <f t="shared" si="69"/>
        <v>2374</v>
      </c>
      <c r="AN81">
        <f t="shared" si="69"/>
        <v>121</v>
      </c>
      <c r="AO81" t="str">
        <f t="shared" si="69"/>
        <v xml:space="preserve"> </v>
      </c>
      <c r="AP81" s="417" t="str">
        <f t="shared" si="69"/>
        <v xml:space="preserve"> </v>
      </c>
      <c r="AQ81" t="str">
        <f t="shared" si="69"/>
        <v xml:space="preserve"> </v>
      </c>
    </row>
    <row r="82" spans="1:43" ht="13.9">
      <c r="A82" s="35" t="s">
        <v>663</v>
      </c>
      <c r="B82" s="360">
        <f t="shared" ca="1" si="18"/>
        <v>5155</v>
      </c>
      <c r="C82" t="s">
        <v>74</v>
      </c>
      <c r="F82">
        <v>1</v>
      </c>
      <c r="G82" s="441">
        <v>0</v>
      </c>
      <c r="H82">
        <v>2151</v>
      </c>
      <c r="I82">
        <v>2590</v>
      </c>
      <c r="J82">
        <v>2291</v>
      </c>
      <c r="K82">
        <v>3169</v>
      </c>
      <c r="L82">
        <v>3800</v>
      </c>
      <c r="M82">
        <v>4343</v>
      </c>
      <c r="N82">
        <v>3454</v>
      </c>
      <c r="O82">
        <v>3539</v>
      </c>
      <c r="P82">
        <v>2539</v>
      </c>
      <c r="Q82">
        <f t="shared" ref="Q82:AQ82" si="70">IF(ISNUMBER(Q40),Q40-P40," ")</f>
        <v>651</v>
      </c>
      <c r="R82" s="417">
        <f t="shared" si="70"/>
        <v>704</v>
      </c>
      <c r="S82">
        <f t="shared" si="70"/>
        <v>1026</v>
      </c>
      <c r="T82">
        <f t="shared" si="70"/>
        <v>676</v>
      </c>
      <c r="U82">
        <f t="shared" si="70"/>
        <v>1757</v>
      </c>
      <c r="V82">
        <f t="shared" si="70"/>
        <v>2790</v>
      </c>
      <c r="W82">
        <f t="shared" si="70"/>
        <v>3039</v>
      </c>
      <c r="X82">
        <f t="shared" si="70"/>
        <v>3354</v>
      </c>
      <c r="Y82">
        <f t="shared" si="70"/>
        <v>3584</v>
      </c>
      <c r="Z82">
        <f t="shared" si="70"/>
        <v>3746</v>
      </c>
      <c r="AA82">
        <f t="shared" si="70"/>
        <v>2974</v>
      </c>
      <c r="AB82">
        <f t="shared" si="70"/>
        <v>2784</v>
      </c>
      <c r="AC82">
        <f t="shared" si="70"/>
        <v>2851</v>
      </c>
      <c r="AD82">
        <f t="shared" si="70"/>
        <v>2378</v>
      </c>
      <c r="AE82" s="441">
        <f t="shared" si="70"/>
        <v>2024</v>
      </c>
      <c r="AF82">
        <f t="shared" si="70"/>
        <v>2311</v>
      </c>
      <c r="AG82">
        <f t="shared" si="70"/>
        <v>2369</v>
      </c>
      <c r="AH82">
        <f t="shared" si="70"/>
        <v>2884</v>
      </c>
      <c r="AI82">
        <f t="shared" si="70"/>
        <v>3597</v>
      </c>
      <c r="AJ82">
        <f t="shared" si="70"/>
        <v>3605</v>
      </c>
      <c r="AK82">
        <f t="shared" si="70"/>
        <v>3839</v>
      </c>
      <c r="AL82">
        <f t="shared" si="70"/>
        <v>3545</v>
      </c>
      <c r="AM82">
        <f t="shared" si="70"/>
        <v>3623</v>
      </c>
      <c r="AN82">
        <f t="shared" si="70"/>
        <v>5155</v>
      </c>
      <c r="AO82" t="str">
        <f t="shared" si="70"/>
        <v xml:space="preserve"> </v>
      </c>
      <c r="AP82" s="417" t="str">
        <f t="shared" si="70"/>
        <v xml:space="preserve"> </v>
      </c>
      <c r="AQ82" t="str">
        <f t="shared" si="70"/>
        <v xml:space="preserve"> </v>
      </c>
    </row>
    <row r="83" spans="1:43" ht="13.9">
      <c r="A83" s="35" t="s">
        <v>664</v>
      </c>
      <c r="B83" s="360">
        <f t="shared" ca="1" si="18"/>
        <v>469</v>
      </c>
      <c r="C83" t="s">
        <v>74</v>
      </c>
      <c r="F83">
        <v>1</v>
      </c>
      <c r="G83" s="441">
        <v>8</v>
      </c>
      <c r="H83">
        <v>17</v>
      </c>
      <c r="I83">
        <v>8</v>
      </c>
      <c r="J83">
        <v>67</v>
      </c>
      <c r="K83">
        <v>235</v>
      </c>
      <c r="L83">
        <v>625</v>
      </c>
      <c r="M83">
        <v>774</v>
      </c>
      <c r="N83">
        <v>418</v>
      </c>
      <c r="O83">
        <v>295</v>
      </c>
      <c r="P83">
        <v>207</v>
      </c>
      <c r="Q83">
        <f t="shared" ref="Q83:AQ83" si="71">IF(ISNUMBER(Q41),Q41-P41," ")</f>
        <v>9</v>
      </c>
      <c r="R83" s="417">
        <f t="shared" si="71"/>
        <v>19</v>
      </c>
      <c r="S83">
        <f t="shared" si="71"/>
        <v>0</v>
      </c>
      <c r="T83">
        <f t="shared" si="71"/>
        <v>34</v>
      </c>
      <c r="U83">
        <f t="shared" si="71"/>
        <v>27</v>
      </c>
      <c r="V83">
        <f t="shared" si="71"/>
        <v>22</v>
      </c>
      <c r="W83">
        <f t="shared" si="71"/>
        <v>58</v>
      </c>
      <c r="X83">
        <f t="shared" si="71"/>
        <v>337</v>
      </c>
      <c r="Y83">
        <f t="shared" si="71"/>
        <v>508</v>
      </c>
      <c r="Z83">
        <f t="shared" si="71"/>
        <v>769</v>
      </c>
      <c r="AA83">
        <f t="shared" si="71"/>
        <v>103</v>
      </c>
      <c r="AB83">
        <f t="shared" si="71"/>
        <v>100</v>
      </c>
      <c r="AC83">
        <f t="shared" si="71"/>
        <v>45</v>
      </c>
      <c r="AD83">
        <f t="shared" si="71"/>
        <v>3</v>
      </c>
      <c r="AE83" s="441">
        <f t="shared" si="71"/>
        <v>0</v>
      </c>
      <c r="AF83">
        <f t="shared" si="71"/>
        <v>1</v>
      </c>
      <c r="AG83">
        <f t="shared" si="71"/>
        <v>64</v>
      </c>
      <c r="AH83">
        <f t="shared" si="71"/>
        <v>135</v>
      </c>
      <c r="AI83">
        <f t="shared" si="71"/>
        <v>557</v>
      </c>
      <c r="AJ83">
        <f t="shared" si="71"/>
        <v>328</v>
      </c>
      <c r="AK83">
        <f t="shared" si="71"/>
        <v>577</v>
      </c>
      <c r="AL83">
        <f t="shared" si="71"/>
        <v>534</v>
      </c>
      <c r="AM83">
        <f t="shared" si="71"/>
        <v>620</v>
      </c>
      <c r="AN83">
        <f t="shared" si="71"/>
        <v>469</v>
      </c>
      <c r="AO83" t="str">
        <f t="shared" si="71"/>
        <v xml:space="preserve"> </v>
      </c>
      <c r="AP83" s="417" t="str">
        <f t="shared" si="71"/>
        <v xml:space="preserve"> </v>
      </c>
      <c r="AQ83" t="str">
        <f t="shared" si="71"/>
        <v xml:space="preserve"> </v>
      </c>
    </row>
    <row r="84" spans="1:43" ht="13.9">
      <c r="A84" s="35" t="s">
        <v>665</v>
      </c>
      <c r="B84" s="360">
        <f t="shared" ca="1" si="18"/>
        <v>26469</v>
      </c>
      <c r="C84" t="s">
        <v>74</v>
      </c>
      <c r="F84">
        <v>1</v>
      </c>
      <c r="G84" s="441">
        <v>11734</v>
      </c>
      <c r="H84">
        <v>13109</v>
      </c>
      <c r="I84">
        <v>16469</v>
      </c>
      <c r="J84">
        <v>17531</v>
      </c>
      <c r="K84">
        <v>27226</v>
      </c>
      <c r="L84">
        <v>34298</v>
      </c>
      <c r="M84">
        <v>33710</v>
      </c>
      <c r="N84">
        <v>28535</v>
      </c>
      <c r="O84">
        <v>27577</v>
      </c>
      <c r="P84">
        <v>26359</v>
      </c>
      <c r="Q84">
        <v>15194</v>
      </c>
      <c r="R84" s="417">
        <f t="shared" ref="R84:AQ84" si="72">IF(ISNUMBER(R39),((R39-Q39)*1)," ")</f>
        <v>15893</v>
      </c>
      <c r="S84">
        <f t="shared" si="72"/>
        <v>8786</v>
      </c>
      <c r="T84">
        <f t="shared" si="72"/>
        <v>3864</v>
      </c>
      <c r="U84">
        <f t="shared" si="72"/>
        <v>15126</v>
      </c>
      <c r="V84">
        <f t="shared" si="72"/>
        <v>22376</v>
      </c>
      <c r="W84">
        <f t="shared" si="72"/>
        <v>27797</v>
      </c>
      <c r="X84">
        <f t="shared" si="72"/>
        <v>34129</v>
      </c>
      <c r="Y84">
        <f t="shared" si="72"/>
        <v>38353</v>
      </c>
      <c r="Z84">
        <f t="shared" si="72"/>
        <v>40192</v>
      </c>
      <c r="AA84">
        <f t="shared" si="72"/>
        <v>29984</v>
      </c>
      <c r="AB84">
        <f t="shared" si="72"/>
        <v>25179</v>
      </c>
      <c r="AC84">
        <f t="shared" si="72"/>
        <v>24988</v>
      </c>
      <c r="AD84">
        <f t="shared" si="72"/>
        <v>15673</v>
      </c>
      <c r="AE84" s="441">
        <f t="shared" si="72"/>
        <v>12186</v>
      </c>
      <c r="AF84">
        <f t="shared" si="72"/>
        <v>16042</v>
      </c>
      <c r="AG84">
        <f t="shared" si="72"/>
        <v>19935</v>
      </c>
      <c r="AH84">
        <f t="shared" si="72"/>
        <v>25826</v>
      </c>
      <c r="AI84">
        <f t="shared" si="72"/>
        <v>38189</v>
      </c>
      <c r="AJ84">
        <f t="shared" si="72"/>
        <v>34168</v>
      </c>
      <c r="AK84">
        <f t="shared" si="72"/>
        <v>37677</v>
      </c>
      <c r="AL84">
        <f t="shared" si="72"/>
        <v>35457</v>
      </c>
      <c r="AM84">
        <f t="shared" si="72"/>
        <v>28580</v>
      </c>
      <c r="AN84">
        <f t="shared" si="72"/>
        <v>26469</v>
      </c>
      <c r="AO84" t="str">
        <f t="shared" si="72"/>
        <v xml:space="preserve"> </v>
      </c>
      <c r="AP84" s="417" t="str">
        <f t="shared" si="72"/>
        <v xml:space="preserve"> </v>
      </c>
      <c r="AQ84" t="str">
        <f t="shared" si="72"/>
        <v xml:space="preserve"> </v>
      </c>
    </row>
    <row r="85" spans="1:43" ht="13.9">
      <c r="A85" s="35" t="s">
        <v>666</v>
      </c>
      <c r="B85" s="360">
        <f t="shared" ca="1" si="18"/>
        <v>220</v>
      </c>
      <c r="C85" t="s">
        <v>74</v>
      </c>
      <c r="F85">
        <v>1</v>
      </c>
      <c r="G85" s="441">
        <v>1650</v>
      </c>
      <c r="H85">
        <v>1590</v>
      </c>
      <c r="I85">
        <v>800</v>
      </c>
      <c r="J85">
        <v>0</v>
      </c>
      <c r="K85">
        <v>70</v>
      </c>
      <c r="L85">
        <v>0</v>
      </c>
      <c r="M85">
        <v>30</v>
      </c>
      <c r="N85">
        <v>20</v>
      </c>
      <c r="O85">
        <v>10</v>
      </c>
      <c r="P85">
        <v>280</v>
      </c>
      <c r="Q85">
        <v>1100</v>
      </c>
      <c r="R85" s="417">
        <f t="shared" ref="R85:AQ85" si="73">IF(ISNUMBER(R38),((R38-Q38)*1)," ")</f>
        <v>1150</v>
      </c>
      <c r="S85">
        <f t="shared" si="73"/>
        <v>2600</v>
      </c>
      <c r="T85">
        <f t="shared" si="73"/>
        <v>3860</v>
      </c>
      <c r="U85">
        <f t="shared" si="73"/>
        <v>1470</v>
      </c>
      <c r="V85">
        <f t="shared" si="73"/>
        <v>90</v>
      </c>
      <c r="W85">
        <f t="shared" si="73"/>
        <v>250</v>
      </c>
      <c r="X85">
        <f t="shared" si="73"/>
        <v>20</v>
      </c>
      <c r="Y85">
        <f t="shared" si="73"/>
        <v>0</v>
      </c>
      <c r="Z85">
        <f t="shared" si="73"/>
        <v>0</v>
      </c>
      <c r="AA85">
        <f t="shared" si="73"/>
        <v>460</v>
      </c>
      <c r="AB85">
        <f t="shared" si="73"/>
        <v>390</v>
      </c>
      <c r="AC85">
        <f t="shared" si="73"/>
        <v>120</v>
      </c>
      <c r="AD85">
        <f t="shared" si="73"/>
        <v>940</v>
      </c>
      <c r="AE85" s="441">
        <f t="shared" si="73"/>
        <v>2450</v>
      </c>
      <c r="AF85">
        <f t="shared" si="73"/>
        <v>2470</v>
      </c>
      <c r="AG85">
        <f t="shared" si="73"/>
        <v>100</v>
      </c>
      <c r="AH85">
        <f t="shared" si="73"/>
        <v>100</v>
      </c>
      <c r="AI85">
        <f t="shared" si="73"/>
        <v>0</v>
      </c>
      <c r="AJ85">
        <f t="shared" si="73"/>
        <v>0</v>
      </c>
      <c r="AK85">
        <f t="shared" si="73"/>
        <v>0</v>
      </c>
      <c r="AL85">
        <f t="shared" si="73"/>
        <v>0</v>
      </c>
      <c r="AM85">
        <f t="shared" si="73"/>
        <v>130</v>
      </c>
      <c r="AN85">
        <f t="shared" si="73"/>
        <v>220</v>
      </c>
      <c r="AO85" t="str">
        <f t="shared" si="73"/>
        <v xml:space="preserve"> </v>
      </c>
      <c r="AP85" s="417" t="str">
        <f t="shared" si="73"/>
        <v xml:space="preserve"> </v>
      </c>
      <c r="AQ85" t="str">
        <f t="shared" si="73"/>
        <v xml:space="preserve"> </v>
      </c>
    </row>
    <row r="86" spans="1:43" ht="13.9">
      <c r="A86" s="35" t="s">
        <v>638</v>
      </c>
      <c r="B86" s="360">
        <f t="shared" ca="1" si="18"/>
        <v>90.5</v>
      </c>
      <c r="C86" t="s">
        <v>74</v>
      </c>
      <c r="F86">
        <v>1</v>
      </c>
      <c r="G86" s="441">
        <v>189</v>
      </c>
      <c r="H86">
        <v>10</v>
      </c>
      <c r="I86">
        <v>0</v>
      </c>
      <c r="J86">
        <v>891</v>
      </c>
      <c r="K86">
        <v>2281</v>
      </c>
      <c r="L86">
        <v>2800</v>
      </c>
      <c r="M86">
        <v>4182</v>
      </c>
      <c r="N86">
        <v>3675</v>
      </c>
      <c r="O86">
        <v>3303</v>
      </c>
      <c r="P86">
        <v>3644</v>
      </c>
      <c r="Q86">
        <f t="shared" ref="Q86:AQ86" si="74">IF(ISNUMBER(Q59),((Q59-P59)*1)," ")</f>
        <v>1948</v>
      </c>
      <c r="R86" s="417">
        <f t="shared" si="74"/>
        <v>1397</v>
      </c>
      <c r="S86">
        <f t="shared" si="74"/>
        <v>8</v>
      </c>
      <c r="T86">
        <f t="shared" si="74"/>
        <v>1672</v>
      </c>
      <c r="U86">
        <f t="shared" si="74"/>
        <v>2231</v>
      </c>
      <c r="V86">
        <f t="shared" si="74"/>
        <v>970</v>
      </c>
      <c r="W86" s="1020">
        <f t="shared" si="74"/>
        <v>1000</v>
      </c>
      <c r="X86" s="1020">
        <f t="shared" si="74"/>
        <v>1000</v>
      </c>
      <c r="Y86">
        <f t="shared" si="74"/>
        <v>1441</v>
      </c>
      <c r="Z86">
        <f t="shared" si="74"/>
        <v>1052</v>
      </c>
      <c r="AA86">
        <f t="shared" si="74"/>
        <v>995</v>
      </c>
      <c r="AB86">
        <f t="shared" si="74"/>
        <v>881</v>
      </c>
      <c r="AC86">
        <f t="shared" si="74"/>
        <v>504</v>
      </c>
      <c r="AD86">
        <f t="shared" si="74"/>
        <v>400</v>
      </c>
      <c r="AE86" s="441">
        <f t="shared" si="74"/>
        <v>400</v>
      </c>
      <c r="AF86">
        <f t="shared" si="74"/>
        <v>400</v>
      </c>
      <c r="AG86">
        <f t="shared" si="74"/>
        <v>1153</v>
      </c>
      <c r="AH86">
        <f t="shared" si="74"/>
        <v>302.79999999998836</v>
      </c>
      <c r="AI86">
        <f t="shared" si="74"/>
        <v>199.20000000001164</v>
      </c>
      <c r="AJ86">
        <f t="shared" si="74"/>
        <v>200</v>
      </c>
      <c r="AK86">
        <f t="shared" si="74"/>
        <v>130</v>
      </c>
      <c r="AL86">
        <f t="shared" si="74"/>
        <v>140.5</v>
      </c>
      <c r="AM86">
        <f t="shared" si="74"/>
        <v>0</v>
      </c>
      <c r="AN86">
        <f t="shared" si="74"/>
        <v>90.5</v>
      </c>
      <c r="AO86" t="str">
        <f t="shared" si="74"/>
        <v xml:space="preserve"> </v>
      </c>
      <c r="AP86" s="417" t="str">
        <f t="shared" si="74"/>
        <v xml:space="preserve"> </v>
      </c>
      <c r="AQ86" t="str">
        <f t="shared" si="74"/>
        <v xml:space="preserve"> </v>
      </c>
    </row>
    <row r="87" spans="1:43" ht="14.45">
      <c r="A87" s="1252" t="s">
        <v>667</v>
      </c>
      <c r="B87" s="360">
        <f t="shared" ca="1" si="18"/>
        <v>66300</v>
      </c>
      <c r="C87" t="s">
        <v>74</v>
      </c>
      <c r="D87" s="35"/>
      <c r="E87" s="35"/>
      <c r="F87">
        <v>1</v>
      </c>
      <c r="G87" s="441">
        <v>2100</v>
      </c>
      <c r="H87" s="805">
        <v>2900</v>
      </c>
      <c r="I87">
        <v>31700</v>
      </c>
      <c r="J87" s="805">
        <v>47000</v>
      </c>
      <c r="K87">
        <v>79800</v>
      </c>
      <c r="L87" s="805">
        <v>116500</v>
      </c>
      <c r="M87">
        <v>118300</v>
      </c>
      <c r="N87" s="805">
        <v>111400</v>
      </c>
      <c r="O87">
        <f t="shared" ref="O87:AQ87" si="75">IF(ISNUMBER(O46),((O46-N46)*1)," ")</f>
        <v>97700</v>
      </c>
      <c r="P87">
        <f t="shared" si="75"/>
        <v>80700</v>
      </c>
      <c r="Q87">
        <f t="shared" si="75"/>
        <v>45600</v>
      </c>
      <c r="R87" s="417">
        <f t="shared" si="75"/>
        <v>41700</v>
      </c>
      <c r="S87">
        <f t="shared" si="75"/>
        <v>23900</v>
      </c>
      <c r="T87">
        <f t="shared" si="75"/>
        <v>29700</v>
      </c>
      <c r="U87">
        <f t="shared" si="75"/>
        <v>34400</v>
      </c>
      <c r="V87">
        <f t="shared" si="75"/>
        <v>62300</v>
      </c>
      <c r="W87">
        <f t="shared" si="75"/>
        <v>87200</v>
      </c>
      <c r="X87">
        <f t="shared" si="75"/>
        <v>97900</v>
      </c>
      <c r="Y87">
        <f t="shared" si="75"/>
        <v>109800</v>
      </c>
      <c r="Z87">
        <f t="shared" si="75"/>
        <v>120900</v>
      </c>
      <c r="AA87">
        <f t="shared" si="75"/>
        <v>80200</v>
      </c>
      <c r="AB87">
        <f t="shared" si="75"/>
        <v>63800</v>
      </c>
      <c r="AC87">
        <f t="shared" si="75"/>
        <v>48700</v>
      </c>
      <c r="AD87">
        <f t="shared" si="75"/>
        <v>35600</v>
      </c>
      <c r="AE87" s="441">
        <f t="shared" si="75"/>
        <v>35400</v>
      </c>
      <c r="AF87">
        <f t="shared" si="75"/>
        <v>34400</v>
      </c>
      <c r="AG87">
        <f t="shared" si="75"/>
        <v>38400</v>
      </c>
      <c r="AH87">
        <f t="shared" si="75"/>
        <v>56900</v>
      </c>
      <c r="AI87">
        <f t="shared" si="75"/>
        <v>96700</v>
      </c>
      <c r="AJ87">
        <f t="shared" si="75"/>
        <v>90900</v>
      </c>
      <c r="AK87">
        <f t="shared" si="75"/>
        <v>101500</v>
      </c>
      <c r="AL87">
        <f t="shared" si="75"/>
        <v>114500</v>
      </c>
      <c r="AM87">
        <f t="shared" si="75"/>
        <v>85500</v>
      </c>
      <c r="AN87">
        <f t="shared" si="75"/>
        <v>66300</v>
      </c>
      <c r="AO87" t="str">
        <f t="shared" si="75"/>
        <v xml:space="preserve"> </v>
      </c>
      <c r="AP87" s="417" t="str">
        <f t="shared" si="75"/>
        <v xml:space="preserve"> </v>
      </c>
      <c r="AQ87" t="str">
        <f t="shared" si="75"/>
        <v xml:space="preserve"> </v>
      </c>
    </row>
    <row r="88" spans="1:43" ht="14.45">
      <c r="A88" s="1252" t="s">
        <v>668</v>
      </c>
      <c r="B88" s="360">
        <f t="shared" ca="1" si="18"/>
        <v>4000</v>
      </c>
      <c r="C88" t="s">
        <v>74</v>
      </c>
      <c r="D88" s="35"/>
      <c r="E88" s="35"/>
      <c r="F88">
        <v>1</v>
      </c>
      <c r="G88" s="441">
        <v>799.99999999995453</v>
      </c>
      <c r="H88" s="805">
        <v>100.00000000013642</v>
      </c>
      <c r="I88">
        <v>1899.9999999998636</v>
      </c>
      <c r="J88" s="805">
        <v>2500</v>
      </c>
      <c r="K88">
        <v>18700.000000000044</v>
      </c>
      <c r="L88" s="805">
        <v>24000</v>
      </c>
      <c r="M88">
        <v>39000</v>
      </c>
      <c r="N88" s="805">
        <v>26000</v>
      </c>
      <c r="O88">
        <v>19000</v>
      </c>
      <c r="P88" s="805">
        <f t="shared" ref="P88:AQ88" si="76">IF(ISNUMBER(P47),(P47-O47)*1000," ")</f>
        <v>21000</v>
      </c>
      <c r="Q88" s="805">
        <f t="shared" si="76"/>
        <v>10000</v>
      </c>
      <c r="R88" s="1005">
        <f t="shared" si="76"/>
        <v>10000</v>
      </c>
      <c r="S88" s="805">
        <f t="shared" si="76"/>
        <v>10000</v>
      </c>
      <c r="T88" s="805">
        <f t="shared" si="76"/>
        <v>7000</v>
      </c>
      <c r="U88" s="805">
        <f t="shared" si="76"/>
        <v>7000</v>
      </c>
      <c r="V88" s="805">
        <f t="shared" si="76"/>
        <v>12000</v>
      </c>
      <c r="W88" s="805">
        <f t="shared" si="76"/>
        <v>13000</v>
      </c>
      <c r="X88" s="805">
        <f t="shared" si="76"/>
        <v>20000</v>
      </c>
      <c r="Y88" s="805">
        <f t="shared" si="76"/>
        <v>42000</v>
      </c>
      <c r="Z88" s="805">
        <f t="shared" si="76"/>
        <v>33000</v>
      </c>
      <c r="AA88" s="805">
        <f t="shared" si="76"/>
        <v>10000</v>
      </c>
      <c r="AB88" s="805">
        <f t="shared" si="76"/>
        <v>27400.000000000091</v>
      </c>
      <c r="AC88" s="805">
        <f t="shared" si="76"/>
        <v>11000</v>
      </c>
      <c r="AD88" s="805">
        <f t="shared" si="76"/>
        <v>6599.9999999999091</v>
      </c>
      <c r="AE88" s="1002">
        <f t="shared" si="76"/>
        <v>6000</v>
      </c>
      <c r="AF88" s="805">
        <f t="shared" si="76"/>
        <v>8000</v>
      </c>
      <c r="AG88" s="805">
        <f t="shared" si="76"/>
        <v>8000</v>
      </c>
      <c r="AH88" s="805">
        <f t="shared" si="76"/>
        <v>8000</v>
      </c>
      <c r="AI88" s="805">
        <f t="shared" si="76"/>
        <v>10000</v>
      </c>
      <c r="AJ88" s="805">
        <f t="shared" si="76"/>
        <v>20000</v>
      </c>
      <c r="AK88" s="805">
        <f t="shared" si="76"/>
        <v>20000</v>
      </c>
      <c r="AL88" s="805">
        <f t="shared" si="76"/>
        <v>20000</v>
      </c>
      <c r="AM88" s="805">
        <f t="shared" si="76"/>
        <v>36000</v>
      </c>
      <c r="AN88" s="805">
        <f t="shared" si="76"/>
        <v>4000</v>
      </c>
      <c r="AO88" s="805" t="str">
        <f t="shared" si="76"/>
        <v xml:space="preserve"> </v>
      </c>
      <c r="AP88" s="1005" t="str">
        <f t="shared" si="76"/>
        <v xml:space="preserve"> </v>
      </c>
      <c r="AQ88" s="805" t="str">
        <f t="shared" si="76"/>
        <v xml:space="preserve"> </v>
      </c>
    </row>
    <row r="89" spans="1:43" s="991" customFormat="1" ht="14.45">
      <c r="A89" s="995" t="s">
        <v>669</v>
      </c>
      <c r="B89" s="360">
        <f t="shared" ca="1" si="18"/>
        <v>0</v>
      </c>
      <c r="C89" s="991" t="s">
        <v>670</v>
      </c>
      <c r="D89" s="991" t="s">
        <v>671</v>
      </c>
      <c r="F89" s="991">
        <v>1</v>
      </c>
      <c r="G89" s="1017"/>
      <c r="H89" s="995"/>
      <c r="J89" s="995"/>
      <c r="L89" s="995">
        <v>110.17</v>
      </c>
      <c r="N89" s="995"/>
      <c r="P89" s="995"/>
      <c r="R89" s="1005"/>
      <c r="S89" s="995"/>
      <c r="U89" s="995"/>
      <c r="W89" s="995"/>
      <c r="AB89" s="995"/>
      <c r="AC89" s="995"/>
      <c r="AD89" s="995"/>
      <c r="AE89" s="1150"/>
      <c r="AF89" s="995"/>
      <c r="AG89" s="995"/>
      <c r="AH89" s="995"/>
      <c r="AI89" s="995"/>
      <c r="AJ89" s="995"/>
      <c r="AK89" s="995"/>
      <c r="AL89" s="995"/>
      <c r="AM89" s="995"/>
      <c r="AN89" s="995"/>
      <c r="AO89" s="995"/>
      <c r="AP89" s="1151"/>
      <c r="AQ89" s="995"/>
    </row>
    <row r="90" spans="1:43" s="473" customFormat="1" ht="14.45">
      <c r="A90" s="1295" t="s">
        <v>672</v>
      </c>
      <c r="B90" s="360">
        <f t="shared" ca="1" si="18"/>
        <v>171600</v>
      </c>
      <c r="C90" s="473" t="s">
        <v>74</v>
      </c>
      <c r="D90" s="473" t="s">
        <v>673</v>
      </c>
      <c r="F90" s="473">
        <v>1000</v>
      </c>
      <c r="G90" s="1008">
        <v>0</v>
      </c>
      <c r="H90" s="975">
        <v>0</v>
      </c>
      <c r="I90" s="473">
        <v>9600</v>
      </c>
      <c r="J90" s="975">
        <v>47100</v>
      </c>
      <c r="K90" s="473">
        <v>182100</v>
      </c>
      <c r="L90" s="975">
        <v>219300</v>
      </c>
      <c r="M90" s="473">
        <v>333600</v>
      </c>
      <c r="N90" s="975">
        <v>264800</v>
      </c>
      <c r="O90" s="473">
        <v>284300</v>
      </c>
      <c r="P90" s="975">
        <v>210700</v>
      </c>
      <c r="Q90" s="473">
        <v>62300</v>
      </c>
      <c r="R90" s="1005">
        <f t="shared" ref="R90:AQ90" si="77">IF(ISNUMBER(R48),(R48-Q48)*1," ")</f>
        <v>0</v>
      </c>
      <c r="S90" s="805">
        <f t="shared" si="77"/>
        <v>0</v>
      </c>
      <c r="T90" s="805">
        <f t="shared" si="77"/>
        <v>0</v>
      </c>
      <c r="U90" s="805">
        <f t="shared" si="77"/>
        <v>42900</v>
      </c>
      <c r="V90" s="805">
        <f t="shared" si="77"/>
        <v>99300</v>
      </c>
      <c r="W90" s="805">
        <f t="shared" si="77"/>
        <v>227100</v>
      </c>
      <c r="X90" s="805">
        <f t="shared" si="77"/>
        <v>227600</v>
      </c>
      <c r="Y90" s="805">
        <f t="shared" si="77"/>
        <v>342800</v>
      </c>
      <c r="Z90" s="805">
        <f t="shared" si="77"/>
        <v>305000</v>
      </c>
      <c r="AA90" s="805">
        <f t="shared" si="77"/>
        <v>213800</v>
      </c>
      <c r="AB90" s="805">
        <f t="shared" si="77"/>
        <v>165700</v>
      </c>
      <c r="AC90" s="805">
        <f t="shared" si="77"/>
        <v>98100</v>
      </c>
      <c r="AD90" s="805">
        <f t="shared" si="77"/>
        <v>0</v>
      </c>
      <c r="AE90" s="1002">
        <f t="shared" si="77"/>
        <v>0</v>
      </c>
      <c r="AF90" s="805">
        <f t="shared" si="77"/>
        <v>0</v>
      </c>
      <c r="AG90" s="805">
        <f t="shared" si="77"/>
        <v>131300</v>
      </c>
      <c r="AH90" s="805">
        <f t="shared" si="77"/>
        <v>190400</v>
      </c>
      <c r="AI90" s="805">
        <f t="shared" si="77"/>
        <v>241800</v>
      </c>
      <c r="AJ90" s="805">
        <f t="shared" si="77"/>
        <v>109200</v>
      </c>
      <c r="AK90" s="805">
        <f t="shared" si="77"/>
        <v>57900</v>
      </c>
      <c r="AL90" s="805">
        <f t="shared" si="77"/>
        <v>271400</v>
      </c>
      <c r="AM90" s="805">
        <f t="shared" si="77"/>
        <v>218800</v>
      </c>
      <c r="AN90" s="805">
        <f t="shared" si="77"/>
        <v>171600</v>
      </c>
      <c r="AO90" s="805" t="str">
        <f t="shared" si="77"/>
        <v xml:space="preserve"> </v>
      </c>
      <c r="AP90" s="1005" t="str">
        <f t="shared" si="77"/>
        <v xml:space="preserve"> </v>
      </c>
      <c r="AQ90" s="805" t="str">
        <f t="shared" si="77"/>
        <v xml:space="preserve"> </v>
      </c>
    </row>
    <row r="91" spans="1:43" ht="14.45">
      <c r="A91" s="1252" t="s">
        <v>674</v>
      </c>
      <c r="B91" s="360">
        <f t="shared" ca="1" si="18"/>
        <v>2837</v>
      </c>
      <c r="C91" s="35" t="s">
        <v>74</v>
      </c>
      <c r="D91" s="473" t="s">
        <v>675</v>
      </c>
      <c r="F91">
        <v>1</v>
      </c>
      <c r="G91" s="1006">
        <v>38753.830699999999</v>
      </c>
      <c r="H91" s="241">
        <v>2981.0638999999996</v>
      </c>
      <c r="I91" s="241">
        <v>88360.073799999998</v>
      </c>
      <c r="J91" s="241">
        <v>117534.30589999999</v>
      </c>
      <c r="K91" s="241">
        <v>9981.5398000000005</v>
      </c>
      <c r="L91" s="241">
        <v>67894.5677</v>
      </c>
      <c r="M91" s="241">
        <v>74426.112200000003</v>
      </c>
      <c r="N91" s="241">
        <v>18522.790300000001</v>
      </c>
      <c r="O91" s="241">
        <v>0</v>
      </c>
      <c r="P91" s="241">
        <v>12393.186999999998</v>
      </c>
      <c r="Q91" s="241">
        <v>46189.742899999997</v>
      </c>
      <c r="R91" s="1007">
        <v>123194.97779999998</v>
      </c>
      <c r="S91" s="1238">
        <v>66319.837622999999</v>
      </c>
      <c r="T91" s="1239">
        <v>55159.107915599998</v>
      </c>
      <c r="U91" s="1240">
        <v>54209.2585788</v>
      </c>
      <c r="V91" s="1239">
        <v>106281.3</v>
      </c>
      <c r="W91" s="1240">
        <v>22491.0753678</v>
      </c>
      <c r="X91">
        <v>91851</v>
      </c>
      <c r="Y91">
        <v>36294</v>
      </c>
      <c r="Z91">
        <v>51686</v>
      </c>
      <c r="AA91" s="805">
        <v>780</v>
      </c>
      <c r="AB91">
        <v>11980</v>
      </c>
      <c r="AC91">
        <v>2239</v>
      </c>
      <c r="AD91">
        <v>109448</v>
      </c>
      <c r="AE91" s="441">
        <f>IF(ISNUMBER('Gas Data'!AE41),'Gas Data'!AE41," ")</f>
        <v>109448</v>
      </c>
      <c r="AF91">
        <f>IF(ISNUMBER('Gas Data'!AF41),'Gas Data'!AF41," ")</f>
        <v>135985</v>
      </c>
      <c r="AG91">
        <f>IF(ISNUMBER('Gas Data'!AG41),'Gas Data'!AG41," ")</f>
        <v>105993</v>
      </c>
      <c r="AH91">
        <f>IF(ISNUMBER('Gas Data'!AH41),'Gas Data'!AH41," ")</f>
        <v>67745</v>
      </c>
      <c r="AI91">
        <f>IF(ISNUMBER('Gas Data'!AI41),'Gas Data'!AI41," ")</f>
        <v>104506</v>
      </c>
      <c r="AJ91">
        <f>IF(ISNUMBER('Gas Data'!AJ41),'Gas Data'!AJ41," ")</f>
        <v>8165</v>
      </c>
      <c r="AK91">
        <f>IF(ISNUMBER('Gas Data'!AK41),'Gas Data'!AK41," ")</f>
        <v>68765</v>
      </c>
      <c r="AL91">
        <f>IF(ISNUMBER('Gas Data'!AL41),'Gas Data'!AL41," ")</f>
        <v>314414</v>
      </c>
      <c r="AM91">
        <f>IF(ISNUMBER('Gas Data'!AM41),'Gas Data'!AM41," ")</f>
        <v>613</v>
      </c>
      <c r="AN91">
        <f>IF(ISNUMBER('Gas Data'!AN41),'Gas Data'!AN41," ")</f>
        <v>2239</v>
      </c>
      <c r="AO91">
        <f>IF(ISNUMBER('Gas Data'!AO41),'Gas Data'!AO41," ")</f>
        <v>2837</v>
      </c>
      <c r="AP91" s="417"/>
    </row>
    <row r="92" spans="1:43" ht="14.45">
      <c r="A92" s="1252" t="s">
        <v>676</v>
      </c>
      <c r="B92" s="360">
        <f t="shared" ca="1" si="18"/>
        <v>173839</v>
      </c>
      <c r="C92" t="s">
        <v>74</v>
      </c>
      <c r="F92">
        <v>1</v>
      </c>
      <c r="G92" s="1006">
        <f>G91+G90</f>
        <v>38753.830699999999</v>
      </c>
      <c r="H92" s="241">
        <f t="shared" ref="H92:P92" si="78">H91+H90</f>
        <v>2981.0638999999996</v>
      </c>
      <c r="I92" s="241">
        <f t="shared" si="78"/>
        <v>97960.073799999998</v>
      </c>
      <c r="J92" s="241">
        <f t="shared" si="78"/>
        <v>164634.30589999998</v>
      </c>
      <c r="K92" s="241">
        <f t="shared" si="78"/>
        <v>192081.5398</v>
      </c>
      <c r="L92" s="241">
        <f t="shared" si="78"/>
        <v>287194.56770000001</v>
      </c>
      <c r="M92" s="241">
        <f t="shared" si="78"/>
        <v>408026.11219999997</v>
      </c>
      <c r="N92" s="241">
        <f t="shared" si="78"/>
        <v>283322.79029999999</v>
      </c>
      <c r="O92" s="241">
        <f t="shared" si="78"/>
        <v>284300</v>
      </c>
      <c r="P92" s="241">
        <f t="shared" si="78"/>
        <v>223093.18700000001</v>
      </c>
      <c r="Q92" s="241">
        <f>IF(ISNUMBER(Q90),Q91+Q90," ")</f>
        <v>108489.7429</v>
      </c>
      <c r="R92" s="1007">
        <f>IF(ISNUMBER(R91),R91+R90," ")</f>
        <v>123194.97779999998</v>
      </c>
      <c r="S92" s="241">
        <f>IF(ISNUMBER(S90),S91+S90," ")</f>
        <v>66319.837622999999</v>
      </c>
      <c r="T92" s="241">
        <f t="shared" ref="T92:AB92" si="79">IF(ISNUMBER(T90),T91+T90," ")</f>
        <v>55159.107915599998</v>
      </c>
      <c r="U92" s="241">
        <f t="shared" si="79"/>
        <v>97109.2585788</v>
      </c>
      <c r="V92" s="241">
        <f t="shared" si="79"/>
        <v>205581.3</v>
      </c>
      <c r="W92" s="241">
        <f t="shared" si="79"/>
        <v>249591.07536779999</v>
      </c>
      <c r="X92" s="241">
        <f t="shared" si="79"/>
        <v>319451</v>
      </c>
      <c r="Y92" s="241">
        <f t="shared" si="79"/>
        <v>379094</v>
      </c>
      <c r="Z92" s="241">
        <f t="shared" si="79"/>
        <v>356686</v>
      </c>
      <c r="AA92" s="241">
        <f t="shared" si="79"/>
        <v>214580</v>
      </c>
      <c r="AB92" s="241">
        <f t="shared" si="79"/>
        <v>177680</v>
      </c>
      <c r="AC92" s="241">
        <f t="shared" ref="AC92" si="80">IF(ISNUMBER(AC90),AC91+AC90," ")</f>
        <v>100339</v>
      </c>
      <c r="AD92" s="241">
        <f t="shared" ref="AD92:AQ92" si="81">IF(ISNUMBER(AD90),AD91+AD90," ")</f>
        <v>109448</v>
      </c>
      <c r="AE92" s="1006">
        <f>IF(ISNUMBER(AE91),AE91+AE90," ")</f>
        <v>109448</v>
      </c>
      <c r="AF92" s="241">
        <f>IF(ISNUMBER(AF91),AF91+AF90," ")</f>
        <v>135985</v>
      </c>
      <c r="AG92" s="241">
        <f t="shared" ref="AG92:AO92" si="82">IF(ISNUMBER(AG91),AG91+AG90," ")</f>
        <v>237293</v>
      </c>
      <c r="AH92" s="241">
        <f t="shared" si="82"/>
        <v>258145</v>
      </c>
      <c r="AI92" s="241">
        <f t="shared" si="82"/>
        <v>346306</v>
      </c>
      <c r="AJ92" s="241">
        <f t="shared" si="82"/>
        <v>117365</v>
      </c>
      <c r="AK92" s="241">
        <f t="shared" si="82"/>
        <v>126665</v>
      </c>
      <c r="AL92" s="241">
        <f t="shared" si="82"/>
        <v>585814</v>
      </c>
      <c r="AM92" s="241">
        <f t="shared" si="82"/>
        <v>219413</v>
      </c>
      <c r="AN92" s="241">
        <f>IF(ISNUMBER(AN91),AN91+AN90," ")</f>
        <v>173839</v>
      </c>
      <c r="AO92" s="241" t="e">
        <f>IF(ISNUMBER(AO91),AO91+AO90," ")</f>
        <v>#VALUE!</v>
      </c>
      <c r="AP92" s="1007" t="str">
        <f t="shared" si="81"/>
        <v xml:space="preserve"> </v>
      </c>
      <c r="AQ92" s="241" t="str">
        <f t="shared" si="81"/>
        <v xml:space="preserve"> </v>
      </c>
    </row>
    <row r="93" spans="1:43" ht="14.45">
      <c r="A93" s="1252" t="s">
        <v>677</v>
      </c>
      <c r="B93" s="360">
        <f t="shared" ca="1" si="18"/>
        <v>107539</v>
      </c>
      <c r="C93" s="35" t="s">
        <v>74</v>
      </c>
      <c r="F93">
        <v>1</v>
      </c>
      <c r="G93" s="1006">
        <f>IF(ISNUMBER(G92),G92-G87," ")</f>
        <v>36653.830699999999</v>
      </c>
      <c r="H93" s="241">
        <f t="shared" ref="H93:AB93" si="83">IF(ISNUMBER(H92),H92-H87," ")</f>
        <v>81.063899999999649</v>
      </c>
      <c r="I93" s="241">
        <f t="shared" si="83"/>
        <v>66260.073799999998</v>
      </c>
      <c r="J93" s="241">
        <f t="shared" si="83"/>
        <v>117634.30589999998</v>
      </c>
      <c r="K93" s="241">
        <f t="shared" si="83"/>
        <v>112281.5398</v>
      </c>
      <c r="L93" s="241">
        <f t="shared" si="83"/>
        <v>170694.56770000001</v>
      </c>
      <c r="M93" s="241">
        <f t="shared" si="83"/>
        <v>289726.11219999997</v>
      </c>
      <c r="N93" s="241">
        <f t="shared" si="83"/>
        <v>171922.79029999999</v>
      </c>
      <c r="O93" s="241">
        <f t="shared" si="83"/>
        <v>186600</v>
      </c>
      <c r="P93" s="241">
        <f t="shared" si="83"/>
        <v>142393.18700000001</v>
      </c>
      <c r="Q93" s="241">
        <f t="shared" si="83"/>
        <v>62889.742899999997</v>
      </c>
      <c r="R93" s="1007">
        <f t="shared" si="83"/>
        <v>81494.977799999979</v>
      </c>
      <c r="S93" s="241">
        <f t="shared" si="83"/>
        <v>42419.837622999999</v>
      </c>
      <c r="T93" s="241">
        <f t="shared" si="83"/>
        <v>25459.107915599998</v>
      </c>
      <c r="U93" s="241">
        <f t="shared" si="83"/>
        <v>62709.2585788</v>
      </c>
      <c r="V93" s="241">
        <f t="shared" si="83"/>
        <v>143281.29999999999</v>
      </c>
      <c r="W93" s="241">
        <f t="shared" si="83"/>
        <v>162391.07536779999</v>
      </c>
      <c r="X93" s="241">
        <f t="shared" si="83"/>
        <v>221551</v>
      </c>
      <c r="Y93" s="241">
        <f t="shared" si="83"/>
        <v>269294</v>
      </c>
      <c r="Z93" s="241">
        <f t="shared" si="83"/>
        <v>235786</v>
      </c>
      <c r="AA93" s="241">
        <f t="shared" si="83"/>
        <v>134380</v>
      </c>
      <c r="AB93" s="241">
        <f t="shared" si="83"/>
        <v>113880</v>
      </c>
      <c r="AC93" s="241">
        <f t="shared" ref="AC93" si="84">IF(ISNUMBER(AC92),AC92-AC87," ")</f>
        <v>51639</v>
      </c>
      <c r="AD93" s="241">
        <f t="shared" ref="AD93:AQ93" si="85">IF(ISNUMBER(AD92),AD92-AD87," ")</f>
        <v>73848</v>
      </c>
      <c r="AE93" s="1006">
        <f t="shared" si="85"/>
        <v>74048</v>
      </c>
      <c r="AF93" s="241">
        <f t="shared" si="85"/>
        <v>101585</v>
      </c>
      <c r="AG93" s="241">
        <f t="shared" si="85"/>
        <v>198893</v>
      </c>
      <c r="AH93" s="241">
        <f t="shared" si="85"/>
        <v>201245</v>
      </c>
      <c r="AI93" s="241">
        <f t="shared" si="85"/>
        <v>249606</v>
      </c>
      <c r="AJ93" s="241">
        <f t="shared" si="85"/>
        <v>26465</v>
      </c>
      <c r="AK93" s="241">
        <f t="shared" si="85"/>
        <v>25165</v>
      </c>
      <c r="AL93" s="241">
        <f t="shared" si="85"/>
        <v>471314</v>
      </c>
      <c r="AM93" s="241">
        <f t="shared" si="85"/>
        <v>133913</v>
      </c>
      <c r="AN93" s="241">
        <f t="shared" si="85"/>
        <v>107539</v>
      </c>
      <c r="AO93" s="241" t="str">
        <f t="shared" si="85"/>
        <v xml:space="preserve"> </v>
      </c>
      <c r="AP93" s="1007" t="str">
        <f t="shared" si="85"/>
        <v xml:space="preserve"> </v>
      </c>
      <c r="AQ93" s="241" t="str">
        <f t="shared" si="85"/>
        <v xml:space="preserve"> </v>
      </c>
    </row>
    <row r="94" spans="1:43" s="1020" customFormat="1" ht="13.9">
      <c r="A94" s="1020" t="s">
        <v>617</v>
      </c>
      <c r="B94" s="360">
        <f t="shared" ca="1" si="18"/>
        <v>1100.0027000000046</v>
      </c>
      <c r="C94" s="1020" t="s">
        <v>74</v>
      </c>
      <c r="F94" s="1020">
        <v>1000</v>
      </c>
      <c r="G94" s="1021">
        <v>5300.0000000000109</v>
      </c>
      <c r="H94" s="1020">
        <v>1199.9999999999886</v>
      </c>
      <c r="I94" s="1020">
        <v>0</v>
      </c>
      <c r="J94" s="1020">
        <v>0</v>
      </c>
      <c r="K94" s="1020">
        <v>0</v>
      </c>
      <c r="L94" s="1020">
        <v>0</v>
      </c>
      <c r="M94" s="1020">
        <v>200.00000000000284</v>
      </c>
      <c r="N94" s="1020">
        <v>900.00000000000568</v>
      </c>
      <c r="O94" s="1020">
        <v>399.99999999999147</v>
      </c>
      <c r="P94" s="1020">
        <f t="shared" ref="P94:AQ94" si="86">IF(ISNUMBER(P50),(P50-O50)*1000," ")</f>
        <v>900.00000000000568</v>
      </c>
      <c r="Q94" s="1020">
        <f t="shared" si="86"/>
        <v>2799.9999999999973</v>
      </c>
      <c r="R94" s="1016">
        <f t="shared" si="86"/>
        <v>3000</v>
      </c>
      <c r="S94" s="1020">
        <f t="shared" si="86"/>
        <v>4200.0000000000027</v>
      </c>
      <c r="T94" s="1020">
        <f t="shared" si="86"/>
        <v>0</v>
      </c>
      <c r="U94" s="1020">
        <f t="shared" si="86"/>
        <v>0</v>
      </c>
      <c r="V94" s="1020">
        <f t="shared" si="86"/>
        <v>0</v>
      </c>
      <c r="W94" s="1020">
        <f t="shared" si="86"/>
        <v>0</v>
      </c>
      <c r="X94" s="1020">
        <f t="shared" si="86"/>
        <v>0</v>
      </c>
      <c r="Y94" s="1020">
        <f t="shared" si="86"/>
        <v>0</v>
      </c>
      <c r="Z94" s="1020">
        <f t="shared" si="86"/>
        <v>799.99999999999716</v>
      </c>
      <c r="AA94" s="1020">
        <f t="shared" si="86"/>
        <v>1900.0000000000057</v>
      </c>
      <c r="AB94" s="1020">
        <f t="shared" si="86"/>
        <v>1700.0000000000027</v>
      </c>
      <c r="AC94" s="1020">
        <f t="shared" si="86"/>
        <v>199.99999999998863</v>
      </c>
      <c r="AD94" s="1020">
        <f t="shared" si="86"/>
        <v>2400.0000000000055</v>
      </c>
      <c r="AE94" s="1021">
        <f t="shared" si="86"/>
        <v>4590.0000000000036</v>
      </c>
      <c r="AF94" s="1020">
        <f>IF(ISNUMBER(AF50),(AF50-AE50)*1000," ")</f>
        <v>4409.9999999999964</v>
      </c>
      <c r="AG94" s="1020">
        <f>IF(ISNUMBER(AG50),(AG50-AF50)*1000," ")</f>
        <v>1750</v>
      </c>
      <c r="AH94" s="1020">
        <f>IF(ISNUMBER(AH50),(AH50-AG50)*1000," ")</f>
        <v>1360.0006000000064</v>
      </c>
      <c r="AI94" s="1020">
        <f t="shared" ref="AI94:AP94" si="87">IF(ISNUMBER(AI50),(AI50-AH50)*1000," ")</f>
        <v>1089.9993999999965</v>
      </c>
      <c r="AJ94" s="1020">
        <f t="shared" si="87"/>
        <v>90.000000000003411</v>
      </c>
      <c r="AK94" s="1020">
        <f t="shared" si="87"/>
        <v>129.99819999998863</v>
      </c>
      <c r="AL94" s="1020">
        <f t="shared" si="87"/>
        <v>349.99840000000404</v>
      </c>
      <c r="AM94" s="1020">
        <f t="shared" si="87"/>
        <v>610.00070000000051</v>
      </c>
      <c r="AN94" s="1020">
        <f t="shared" si="87"/>
        <v>1100.0027000000046</v>
      </c>
      <c r="AO94" s="1020" t="str">
        <f t="shared" si="87"/>
        <v xml:space="preserve"> </v>
      </c>
      <c r="AP94" s="1020" t="str">
        <f t="shared" si="87"/>
        <v xml:space="preserve"> </v>
      </c>
      <c r="AQ94" s="1020" t="str">
        <f t="shared" si="86"/>
        <v xml:space="preserve"> </v>
      </c>
    </row>
    <row r="95" spans="1:43" s="1078" customFormat="1" ht="13.9">
      <c r="A95" s="1294" t="s">
        <v>678</v>
      </c>
      <c r="B95" s="360">
        <f t="shared" ca="1" si="18"/>
        <v>70650</v>
      </c>
      <c r="C95" s="1078" t="s">
        <v>74</v>
      </c>
      <c r="F95" s="1078">
        <v>1</v>
      </c>
      <c r="G95" s="1079">
        <v>25790</v>
      </c>
      <c r="H95" s="1078">
        <v>26040</v>
      </c>
      <c r="I95" s="1078">
        <v>42250</v>
      </c>
      <c r="J95" s="1078">
        <v>43170</v>
      </c>
      <c r="K95" s="1078">
        <v>61950</v>
      </c>
      <c r="L95" s="1078">
        <v>75690</v>
      </c>
      <c r="M95" s="1078">
        <v>79630</v>
      </c>
      <c r="N95" s="1078">
        <v>65340</v>
      </c>
      <c r="O95" s="1078">
        <v>57740</v>
      </c>
      <c r="P95" s="1078">
        <v>49260</v>
      </c>
      <c r="Q95" s="1078">
        <v>43700</v>
      </c>
      <c r="R95" s="1080">
        <f t="shared" ref="R95:AQ95" si="88">IF(ISNUMBER(R49),(R49-Q49)*1," ")</f>
        <v>37410</v>
      </c>
      <c r="S95" s="1078">
        <f t="shared" si="88"/>
        <v>25680</v>
      </c>
      <c r="T95" s="1078">
        <f t="shared" si="88"/>
        <v>31210</v>
      </c>
      <c r="U95" s="1078">
        <f t="shared" si="88"/>
        <v>54260</v>
      </c>
      <c r="V95" s="1078">
        <f t="shared" si="88"/>
        <v>59610</v>
      </c>
      <c r="W95" s="1078">
        <f t="shared" si="88"/>
        <v>66900</v>
      </c>
      <c r="X95" s="1078">
        <f t="shared" si="88"/>
        <v>77910</v>
      </c>
      <c r="Y95" s="1078">
        <f t="shared" si="88"/>
        <v>71750</v>
      </c>
      <c r="Z95" s="1078">
        <f t="shared" si="88"/>
        <v>73940</v>
      </c>
      <c r="AA95" s="1078">
        <f t="shared" si="88"/>
        <v>51600</v>
      </c>
      <c r="AB95" s="1078">
        <f t="shared" si="88"/>
        <v>58860</v>
      </c>
      <c r="AC95" s="1078">
        <f t="shared" si="88"/>
        <v>58650</v>
      </c>
      <c r="AD95" s="1078">
        <f t="shared" si="88"/>
        <v>39380</v>
      </c>
      <c r="AE95" s="1079">
        <f t="shared" si="88"/>
        <v>29110</v>
      </c>
      <c r="AF95" s="1078">
        <f>IF(ISNUMBER(AF49),(AF49-AE49)*1," ")</f>
        <v>35020</v>
      </c>
      <c r="AG95" s="1078">
        <f>IF(ISNUMBER(AG49),(AG49-AF49)*1," ")</f>
        <v>42780</v>
      </c>
      <c r="AH95" s="1078">
        <f t="shared" si="88"/>
        <v>57550</v>
      </c>
      <c r="AI95" s="1078">
        <f t="shared" ref="AI95" si="89">IF(ISNUMBER(AI49),(AI49-AH49)*1," ")</f>
        <v>82640</v>
      </c>
      <c r="AJ95" s="1078">
        <f t="shared" ref="AJ95" si="90">IF(ISNUMBER(AJ49),(AJ49-AI49)*1," ")</f>
        <v>75660</v>
      </c>
      <c r="AK95" s="1078">
        <f>IF(ISNUMBER(AK49),(AK49-AJ49)*1," ")</f>
        <v>71000</v>
      </c>
      <c r="AL95" s="1078">
        <f t="shared" ref="AL95:AM95" si="91">IF(ISNUMBER(AL49),(AL49-AK49)*1," ")</f>
        <v>70470</v>
      </c>
      <c r="AM95" s="1078">
        <f t="shared" si="91"/>
        <v>70500</v>
      </c>
      <c r="AN95" s="1078">
        <f t="shared" si="88"/>
        <v>70650</v>
      </c>
      <c r="AO95" s="1078" t="str">
        <f t="shared" si="88"/>
        <v xml:space="preserve"> </v>
      </c>
      <c r="AP95" s="1080" t="str">
        <f t="shared" si="88"/>
        <v xml:space="preserve"> </v>
      </c>
      <c r="AQ95" s="1078" t="str">
        <f t="shared" si="88"/>
        <v xml:space="preserve"> </v>
      </c>
    </row>
    <row r="96" spans="1:43" s="1078" customFormat="1" ht="13.9">
      <c r="A96" s="1078" t="s">
        <v>679</v>
      </c>
      <c r="B96" s="360">
        <f t="shared" ca="1" si="18"/>
        <v>51890</v>
      </c>
      <c r="C96" s="1078" t="s">
        <v>74</v>
      </c>
      <c r="D96" s="1078" t="s">
        <v>680</v>
      </c>
      <c r="F96" s="1078">
        <v>1</v>
      </c>
      <c r="G96" s="1079">
        <v>22070</v>
      </c>
      <c r="H96" s="1078">
        <v>21340</v>
      </c>
      <c r="I96" s="1078">
        <v>36190</v>
      </c>
      <c r="J96" s="1078">
        <v>35750</v>
      </c>
      <c r="K96" s="1078">
        <v>51590</v>
      </c>
      <c r="L96" s="1078">
        <v>63560</v>
      </c>
      <c r="M96" s="1078">
        <v>62180</v>
      </c>
      <c r="N96" s="1078">
        <v>49590</v>
      </c>
      <c r="O96" s="1078">
        <v>44250</v>
      </c>
      <c r="P96" s="1078">
        <v>37060</v>
      </c>
      <c r="Q96" s="1078">
        <f>IF(ISNUMBER(Q95),Q95-Q98-Q99," ")</f>
        <v>36730</v>
      </c>
      <c r="R96" s="1080">
        <f t="shared" ref="R96:AA96" si="92">IF(ISNUMBER(R95),R95-R98-R99," ")</f>
        <v>32070</v>
      </c>
      <c r="S96" s="1078">
        <f t="shared" si="92"/>
        <v>21920</v>
      </c>
      <c r="T96" s="1078">
        <f>IF(ISNUMBER(T95),T95-T98-T99," ")</f>
        <v>27180</v>
      </c>
      <c r="U96" s="1078">
        <f t="shared" si="92"/>
        <v>47050</v>
      </c>
      <c r="V96" s="1078">
        <f>IF(ISNUMBER(V95),V95-V98-V99," ")</f>
        <v>51250</v>
      </c>
      <c r="W96" s="1078">
        <f t="shared" si="92"/>
        <v>53580</v>
      </c>
      <c r="X96" s="1078">
        <f t="shared" si="92"/>
        <v>61630</v>
      </c>
      <c r="Y96" s="1078">
        <f t="shared" si="92"/>
        <v>52650</v>
      </c>
      <c r="Z96" s="1078">
        <f t="shared" si="92"/>
        <v>54330</v>
      </c>
      <c r="AA96" s="1078">
        <f t="shared" si="92"/>
        <v>36770</v>
      </c>
      <c r="AB96" s="1078">
        <f>IF(ISNUMBER(AB95),AB95-AB98-AB99," ")</f>
        <v>46900</v>
      </c>
      <c r="AC96" s="1078">
        <f t="shared" ref="AC96" si="93">IF(ISNUMBER(AC95),AC95-AC98-AC99," ")</f>
        <v>52750</v>
      </c>
      <c r="AD96" s="1078">
        <f t="shared" ref="AD96" si="94">IF(ISNUMBER(AD95),AD95-AD98-AD99," ")</f>
        <v>35540</v>
      </c>
      <c r="AE96" s="1079">
        <f t="shared" ref="AE96" si="95">IF(ISNUMBER(AE95),AE95-AE98-AE99," ")</f>
        <v>25320</v>
      </c>
      <c r="AF96" s="1078">
        <f t="shared" ref="AF96" si="96">IF(ISNUMBER(AF95),AF95-AF98-AF99," ")</f>
        <v>30340</v>
      </c>
      <c r="AG96" s="1078">
        <f t="shared" ref="AG96" si="97">IF(ISNUMBER(AG95),AG95-AG98-AG99," ")</f>
        <v>37370</v>
      </c>
      <c r="AH96" s="1078">
        <f t="shared" ref="AH96" si="98">IF(ISNUMBER(AH95),AH95-AH98-AH99," ")</f>
        <v>50440</v>
      </c>
      <c r="AI96" s="1078">
        <f t="shared" ref="AI96" si="99">IF(ISNUMBER(AI95),AI95-AI98-AI99," ")</f>
        <v>72230</v>
      </c>
      <c r="AJ96" s="1078">
        <f t="shared" ref="AJ96" si="100">IF(ISNUMBER(AJ95),AJ95-AJ98-AJ99," ")</f>
        <v>63330</v>
      </c>
      <c r="AK96" s="1078">
        <f t="shared" ref="AK96" si="101">IF(ISNUMBER(AK95),AK95-AK98-AK99," ")</f>
        <v>2651</v>
      </c>
      <c r="AL96" s="1078">
        <f>IF(ISNUMBER(AL95),AL95-AL98-AL99," ")</f>
        <v>51780</v>
      </c>
      <c r="AM96" s="1078">
        <f t="shared" ref="AM96" si="102">IF(ISNUMBER(AM95),AM95-AM98-AM99," ")</f>
        <v>51810</v>
      </c>
      <c r="AN96" s="1078">
        <f t="shared" ref="AN96" si="103">IF(ISNUMBER(AN95),AN95-AN98-AN99," ")</f>
        <v>51890</v>
      </c>
      <c r="AO96" s="1078" t="str">
        <f t="shared" ref="AO96" si="104">IF(ISNUMBER(AO95),AO95-AO98-AO99," ")</f>
        <v xml:space="preserve"> </v>
      </c>
      <c r="AP96" s="1080" t="str">
        <f t="shared" ref="AP96" si="105">IF(ISNUMBER(AP95),AP95-AP98-AP99," ")</f>
        <v xml:space="preserve"> </v>
      </c>
      <c r="AQ96" s="1078" t="str">
        <f t="shared" ref="AQ96" si="106">IF(ISNUMBER(AQ95),AQ95-AQ98-AQ99," ")</f>
        <v xml:space="preserve"> </v>
      </c>
    </row>
    <row r="97" spans="1:55" s="1078" customFormat="1" ht="13.9">
      <c r="A97" s="1078" t="s">
        <v>681</v>
      </c>
      <c r="B97" s="360">
        <f t="shared" ca="1" si="18"/>
        <v>0.73446567586694977</v>
      </c>
      <c r="C97" s="1078" t="s">
        <v>682</v>
      </c>
      <c r="D97" s="1078" t="s">
        <v>680</v>
      </c>
      <c r="F97" s="1078">
        <v>1</v>
      </c>
      <c r="G97" s="1081">
        <v>0.85575804575416825</v>
      </c>
      <c r="H97" s="1082">
        <v>0.81950844854070659</v>
      </c>
      <c r="I97" s="1082">
        <v>0.85656804733727809</v>
      </c>
      <c r="J97" s="1082">
        <v>0.82812138058837159</v>
      </c>
      <c r="K97" s="1082">
        <v>0.83276836158192091</v>
      </c>
      <c r="L97" s="1082">
        <v>0.839741049015722</v>
      </c>
      <c r="M97" s="1082">
        <v>0.78086148436518898</v>
      </c>
      <c r="N97" s="1082">
        <v>0.75895316804407709</v>
      </c>
      <c r="O97" s="1082">
        <v>0.76636647038448213</v>
      </c>
      <c r="P97" s="1082">
        <f t="shared" ref="P97:Q97" si="107">IF(ISNUMBER(P96),P96/P95," ")</f>
        <v>0.75233455136012994</v>
      </c>
      <c r="Q97" s="1082">
        <f t="shared" si="107"/>
        <v>0.84050343249427917</v>
      </c>
      <c r="R97" s="1083">
        <f>IF(ISNUMBER(R96),R96/R95," ")</f>
        <v>0.85725741780272657</v>
      </c>
      <c r="S97" s="1082">
        <f t="shared" ref="S97:AA97" si="108">IF(ISNUMBER(S96),S96/S95," ")</f>
        <v>0.85358255451713394</v>
      </c>
      <c r="T97" s="1082">
        <f t="shared" si="108"/>
        <v>0.87087471964114072</v>
      </c>
      <c r="U97" s="1082">
        <f t="shared" si="108"/>
        <v>0.86712126796903799</v>
      </c>
      <c r="V97" s="1082">
        <f t="shared" si="108"/>
        <v>0.85975507465190404</v>
      </c>
      <c r="W97" s="1082">
        <f t="shared" si="108"/>
        <v>0.80089686098654711</v>
      </c>
      <c r="X97" s="1082">
        <f t="shared" si="108"/>
        <v>0.79104094467975872</v>
      </c>
      <c r="Y97" s="1082">
        <f t="shared" si="108"/>
        <v>0.73379790940766554</v>
      </c>
      <c r="Z97" s="1082">
        <f>IF(ISNUMBER(Z96),Z96/Z95," ")</f>
        <v>0.73478496077901001</v>
      </c>
      <c r="AA97" s="1082">
        <f t="shared" si="108"/>
        <v>0.71259689922480618</v>
      </c>
      <c r="AB97" s="1082">
        <f>IF(ISNUMBER(AB96),AB96/AB95," ")</f>
        <v>0.79680598029221883</v>
      </c>
      <c r="AC97" s="1082">
        <f t="shared" ref="AC97" si="109">IF(ISNUMBER(AC96),AC96/AC95," ")</f>
        <v>0.89940323955669221</v>
      </c>
      <c r="AD97" s="1082">
        <f t="shared" ref="AD97" si="110">IF(ISNUMBER(AD96),AD96/AD95," ")</f>
        <v>0.90248857287963435</v>
      </c>
      <c r="AE97" s="1081">
        <f t="shared" ref="AE97" si="111">IF(ISNUMBER(AE96),AE96/AE95," ")</f>
        <v>0.86980419099965645</v>
      </c>
      <c r="AF97" s="1082">
        <f t="shared" ref="AF97" si="112">IF(ISNUMBER(AF96),AF96/AF95," ")</f>
        <v>0.86636207881210736</v>
      </c>
      <c r="AG97" s="1082">
        <f t="shared" ref="AG97" si="113">IF(ISNUMBER(AG96),AG96/AG95," ")</f>
        <v>0.87353903693314638</v>
      </c>
      <c r="AH97" s="1082">
        <f t="shared" ref="AH97" si="114">IF(ISNUMBER(AH96),AH96/AH95," ")</f>
        <v>0.87645525629887056</v>
      </c>
      <c r="AI97" s="1082">
        <f t="shared" ref="AI97" si="115">IF(ISNUMBER(AI96),AI96/AI95," ")</f>
        <v>0.87403194578896415</v>
      </c>
      <c r="AJ97" s="1082">
        <f t="shared" ref="AJ97" si="116">IF(ISNUMBER(AJ96),AJ96/AJ95," ")</f>
        <v>0.83703409992069788</v>
      </c>
      <c r="AK97" s="1082">
        <f t="shared" ref="AK97" si="117">IF(ISNUMBER(AK96),AK96/AK95," ")</f>
        <v>3.7338028169014083E-2</v>
      </c>
      <c r="AL97" s="1082">
        <f>IF(ISNUMBER(AL96),AL96/AL95," ")</f>
        <v>0.73478075776926355</v>
      </c>
      <c r="AM97" s="1082">
        <f t="shared" ref="AM97" si="118">IF(ISNUMBER(AM96),AM96/AM95," ")</f>
        <v>0.73489361702127665</v>
      </c>
      <c r="AN97" s="1082">
        <f t="shared" ref="AN97" si="119">IF(ISNUMBER(AN96),AN96/AN95," ")</f>
        <v>0.73446567586694977</v>
      </c>
      <c r="AO97" s="1082" t="str">
        <f t="shared" ref="AO97" si="120">IF(ISNUMBER(AO96),AO96/AO95," ")</f>
        <v xml:space="preserve"> </v>
      </c>
      <c r="AP97" s="1083" t="str">
        <f t="shared" ref="AP97" si="121">IF(ISNUMBER(AP96),AP96/AP95," ")</f>
        <v xml:space="preserve"> </v>
      </c>
      <c r="AQ97" s="1082" t="str">
        <f t="shared" ref="AQ97" si="122">IF(ISNUMBER(AQ96),AQ96/AQ95," ")</f>
        <v xml:space="preserve"> </v>
      </c>
    </row>
    <row r="98" spans="1:55" ht="13.9">
      <c r="A98" s="35" t="s">
        <v>683</v>
      </c>
      <c r="B98" s="360">
        <f t="shared" ca="1" si="18"/>
        <v>17000</v>
      </c>
      <c r="C98" t="s">
        <v>74</v>
      </c>
      <c r="F98">
        <v>1</v>
      </c>
      <c r="G98" s="441">
        <v>3720</v>
      </c>
      <c r="H98">
        <v>4700</v>
      </c>
      <c r="I98">
        <v>6060</v>
      </c>
      <c r="J98">
        <v>7420</v>
      </c>
      <c r="K98">
        <v>10360</v>
      </c>
      <c r="L98">
        <v>12130</v>
      </c>
      <c r="M98">
        <v>14140</v>
      </c>
      <c r="N98">
        <v>13370</v>
      </c>
      <c r="O98">
        <v>11500</v>
      </c>
      <c r="P98">
        <v>10610</v>
      </c>
      <c r="Q98">
        <v>6290</v>
      </c>
      <c r="R98" s="417">
        <f t="shared" ref="R98:AQ98" si="123">IF(ISNUMBER(R51),R51-Q51," ")</f>
        <v>4790</v>
      </c>
      <c r="S98">
        <f t="shared" si="123"/>
        <v>3530</v>
      </c>
      <c r="T98">
        <f t="shared" si="123"/>
        <v>3690</v>
      </c>
      <c r="U98">
        <f t="shared" si="123"/>
        <v>6280</v>
      </c>
      <c r="V98">
        <f t="shared" si="123"/>
        <v>7060</v>
      </c>
      <c r="W98">
        <f t="shared" si="123"/>
        <v>11510</v>
      </c>
      <c r="X98">
        <f t="shared" si="123"/>
        <v>14190</v>
      </c>
      <c r="Y98">
        <f t="shared" si="123"/>
        <v>17230</v>
      </c>
      <c r="Z98">
        <f t="shared" si="123"/>
        <v>17580</v>
      </c>
      <c r="AA98">
        <f t="shared" si="123"/>
        <v>13630</v>
      </c>
      <c r="AB98">
        <f t="shared" si="123"/>
        <v>10460</v>
      </c>
      <c r="AC98">
        <f t="shared" si="123"/>
        <v>5140</v>
      </c>
      <c r="AD98">
        <f t="shared" si="123"/>
        <v>3570</v>
      </c>
      <c r="AE98" s="441">
        <f t="shared" si="123"/>
        <v>3550</v>
      </c>
      <c r="AF98">
        <f t="shared" si="123"/>
        <v>3880</v>
      </c>
      <c r="AG98">
        <f t="shared" si="123"/>
        <v>4100</v>
      </c>
      <c r="AH98">
        <f t="shared" si="123"/>
        <v>5290</v>
      </c>
      <c r="AI98">
        <f t="shared" si="123"/>
        <v>7750</v>
      </c>
      <c r="AJ98">
        <f t="shared" si="123"/>
        <v>9580</v>
      </c>
      <c r="AK98">
        <f t="shared" si="123"/>
        <v>17000</v>
      </c>
      <c r="AL98">
        <f t="shared" si="123"/>
        <v>17000</v>
      </c>
      <c r="AM98">
        <f>IF(ISNUMBER(AM51),AM51-AL51," ")</f>
        <v>17000</v>
      </c>
      <c r="AN98">
        <f t="shared" ref="AN98:AP98" si="124">IF(ISNUMBER(AN51),AN51-AM51," ")</f>
        <v>17000</v>
      </c>
      <c r="AO98" t="str">
        <f t="shared" si="124"/>
        <v xml:space="preserve"> </v>
      </c>
      <c r="AP98" t="str">
        <f t="shared" si="124"/>
        <v xml:space="preserve"> </v>
      </c>
      <c r="AQ98" t="str">
        <f t="shared" si="123"/>
        <v xml:space="preserve"> </v>
      </c>
    </row>
    <row r="99" spans="1:55" ht="13.9">
      <c r="A99" s="35" t="s">
        <v>684</v>
      </c>
      <c r="B99" s="360">
        <f t="shared" ca="1" si="18"/>
        <v>1760</v>
      </c>
      <c r="C99" t="s">
        <v>74</v>
      </c>
      <c r="F99">
        <v>1</v>
      </c>
      <c r="G99" s="441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3310</v>
      </c>
      <c r="N99">
        <v>2380</v>
      </c>
      <c r="O99">
        <v>1990</v>
      </c>
      <c r="P99">
        <v>1590</v>
      </c>
      <c r="Q99">
        <v>680</v>
      </c>
      <c r="R99" s="417">
        <f t="shared" ref="R99:AA99" si="125">IF(ISNUMBER(R52),R52-Q52," ")</f>
        <v>550</v>
      </c>
      <c r="S99">
        <f t="shared" si="125"/>
        <v>230</v>
      </c>
      <c r="T99">
        <f t="shared" si="125"/>
        <v>340</v>
      </c>
      <c r="U99">
        <f t="shared" si="125"/>
        <v>930</v>
      </c>
      <c r="V99">
        <f t="shared" si="125"/>
        <v>1300</v>
      </c>
      <c r="W99">
        <f t="shared" si="125"/>
        <v>1810</v>
      </c>
      <c r="X99">
        <f t="shared" si="125"/>
        <v>2090</v>
      </c>
      <c r="Y99">
        <f t="shared" si="125"/>
        <v>1870</v>
      </c>
      <c r="Z99">
        <f t="shared" si="125"/>
        <v>2030</v>
      </c>
      <c r="AA99">
        <f t="shared" si="125"/>
        <v>1200</v>
      </c>
      <c r="AB99">
        <f t="shared" ref="AB99:AG99" si="126">IF(ISNUMBER(AB53),AB52-AA52," ")</f>
        <v>1500</v>
      </c>
      <c r="AC99">
        <f t="shared" si="126"/>
        <v>760</v>
      </c>
      <c r="AD99">
        <f t="shared" si="126"/>
        <v>270</v>
      </c>
      <c r="AE99" s="441">
        <f t="shared" si="126"/>
        <v>240</v>
      </c>
      <c r="AF99">
        <f t="shared" si="126"/>
        <v>800</v>
      </c>
      <c r="AG99">
        <f t="shared" si="126"/>
        <v>1310</v>
      </c>
      <c r="AH99">
        <f>IF(ISNUMBER(AH52),AH52-AG52," ")</f>
        <v>1820</v>
      </c>
      <c r="AI99">
        <f t="shared" ref="AI99:BC99" si="127">IF(ISNUMBER(AI52),AI52-AH52," ")</f>
        <v>2660</v>
      </c>
      <c r="AJ99">
        <f t="shared" si="127"/>
        <v>2750</v>
      </c>
      <c r="AK99">
        <f>IF(ISNUMBER(AK55),AK55-AJ52," ")</f>
        <v>51349</v>
      </c>
      <c r="AL99">
        <f>IF(ISNUMBER(AL52),AL52-AK52," ")</f>
        <v>1690</v>
      </c>
      <c r="AM99">
        <f t="shared" ref="AM99:AN99" si="128">IF(ISNUMBER(AM52),AM52-AL52," ")</f>
        <v>1690</v>
      </c>
      <c r="AN99">
        <f t="shared" si="128"/>
        <v>1760</v>
      </c>
      <c r="AO99" t="str">
        <f t="shared" si="127"/>
        <v xml:space="preserve"> </v>
      </c>
      <c r="AP99" s="417" t="str">
        <f t="shared" si="127"/>
        <v xml:space="preserve"> </v>
      </c>
      <c r="AQ99" t="str">
        <f t="shared" si="127"/>
        <v xml:space="preserve"> </v>
      </c>
      <c r="AR99" t="str">
        <f t="shared" si="127"/>
        <v xml:space="preserve"> </v>
      </c>
      <c r="AS99" t="str">
        <f t="shared" si="127"/>
        <v xml:space="preserve"> </v>
      </c>
      <c r="AT99" t="str">
        <f t="shared" si="127"/>
        <v xml:space="preserve"> </v>
      </c>
      <c r="AU99" t="str">
        <f t="shared" si="127"/>
        <v xml:space="preserve"> </v>
      </c>
      <c r="AV99" t="str">
        <f t="shared" si="127"/>
        <v xml:space="preserve"> </v>
      </c>
      <c r="AW99" t="str">
        <f t="shared" si="127"/>
        <v xml:space="preserve"> </v>
      </c>
      <c r="AX99" t="str">
        <f t="shared" si="127"/>
        <v xml:space="preserve"> </v>
      </c>
      <c r="AY99" t="str">
        <f t="shared" si="127"/>
        <v xml:space="preserve"> </v>
      </c>
      <c r="AZ99" t="str">
        <f t="shared" si="127"/>
        <v xml:space="preserve"> </v>
      </c>
      <c r="BA99" t="str">
        <f t="shared" si="127"/>
        <v xml:space="preserve"> </v>
      </c>
      <c r="BB99" t="str">
        <f t="shared" si="127"/>
        <v xml:space="preserve"> </v>
      </c>
      <c r="BC99" t="str">
        <f t="shared" si="127"/>
        <v xml:space="preserve"> </v>
      </c>
    </row>
    <row r="100" spans="1:55" s="473" customFormat="1" ht="13.9">
      <c r="A100" s="1294" t="s">
        <v>685</v>
      </c>
      <c r="B100" s="360">
        <f t="shared" ca="1" si="18"/>
        <v>0</v>
      </c>
      <c r="C100" s="473" t="s">
        <v>74</v>
      </c>
      <c r="F100" s="473">
        <v>1</v>
      </c>
      <c r="G100" s="1008">
        <v>25100</v>
      </c>
      <c r="H100" s="473">
        <v>56800</v>
      </c>
      <c r="I100" s="473">
        <v>83400</v>
      </c>
      <c r="J100" s="473">
        <v>85100</v>
      </c>
      <c r="K100" s="473">
        <v>146700</v>
      </c>
      <c r="L100" s="473">
        <v>188100</v>
      </c>
      <c r="M100" s="473">
        <v>218700</v>
      </c>
      <c r="N100" s="473">
        <v>186500</v>
      </c>
      <c r="O100" s="473">
        <v>170200</v>
      </c>
      <c r="P100" s="473">
        <v>147800</v>
      </c>
      <c r="Q100" s="473">
        <v>60200</v>
      </c>
      <c r="R100" s="1009">
        <f t="shared" ref="R100:AA100" si="129">IF(ISNUMBER(R53),R53-Q53," ")</f>
        <v>26500</v>
      </c>
      <c r="S100" s="473">
        <f t="shared" si="129"/>
        <v>28400</v>
      </c>
      <c r="T100" s="473">
        <f t="shared" si="129"/>
        <v>39300</v>
      </c>
      <c r="U100" s="473">
        <f t="shared" si="129"/>
        <v>84700</v>
      </c>
      <c r="V100" s="473">
        <f t="shared" si="129"/>
        <v>99700</v>
      </c>
      <c r="W100" s="473">
        <f t="shared" si="129"/>
        <v>147300</v>
      </c>
      <c r="X100" s="473">
        <f t="shared" si="129"/>
        <v>166100</v>
      </c>
      <c r="Y100" s="473">
        <f t="shared" si="129"/>
        <v>191600</v>
      </c>
      <c r="Z100" s="473">
        <f t="shared" si="129"/>
        <v>203700</v>
      </c>
      <c r="AA100" s="473">
        <f t="shared" si="129"/>
        <v>154900</v>
      </c>
      <c r="AB100" s="473">
        <f t="shared" ref="AB100:AR100" si="130">IF(ISNUMBER(AB53),AB53-AA53," ")</f>
        <v>135900</v>
      </c>
      <c r="AC100" s="473">
        <f t="shared" si="130"/>
        <v>63100</v>
      </c>
      <c r="AD100" s="473">
        <f t="shared" si="130"/>
        <v>0</v>
      </c>
      <c r="AE100" s="1008">
        <f t="shared" si="130"/>
        <v>0</v>
      </c>
      <c r="AF100" s="473">
        <f t="shared" si="130"/>
        <v>0</v>
      </c>
      <c r="AG100" s="473">
        <f t="shared" si="130"/>
        <v>0</v>
      </c>
      <c r="AH100" s="473">
        <f t="shared" si="130"/>
        <v>0</v>
      </c>
      <c r="AI100" s="473">
        <f t="shared" si="130"/>
        <v>0</v>
      </c>
      <c r="AJ100" s="473">
        <f t="shared" si="130"/>
        <v>0</v>
      </c>
      <c r="AK100" s="473">
        <f t="shared" si="130"/>
        <v>0</v>
      </c>
      <c r="AL100" s="473">
        <f t="shared" si="130"/>
        <v>0</v>
      </c>
      <c r="AM100" s="473">
        <f t="shared" si="130"/>
        <v>0</v>
      </c>
      <c r="AN100" s="473">
        <f t="shared" si="130"/>
        <v>0</v>
      </c>
      <c r="AO100" s="473" t="str">
        <f t="shared" si="130"/>
        <v xml:space="preserve"> </v>
      </c>
      <c r="AP100" s="1009" t="str">
        <f t="shared" si="130"/>
        <v xml:space="preserve"> </v>
      </c>
      <c r="AQ100" s="473" t="str">
        <f t="shared" si="130"/>
        <v xml:space="preserve"> </v>
      </c>
      <c r="AR100" s="473" t="str">
        <f t="shared" si="130"/>
        <v xml:space="preserve"> </v>
      </c>
    </row>
    <row r="101" spans="1:55" ht="13.9">
      <c r="A101" s="35" t="s">
        <v>631</v>
      </c>
      <c r="B101" s="360">
        <f t="shared" ca="1" si="18"/>
        <v>718</v>
      </c>
      <c r="C101" t="s">
        <v>74</v>
      </c>
      <c r="F101">
        <v>1</v>
      </c>
      <c r="G101" s="441">
        <v>0</v>
      </c>
      <c r="H101">
        <v>1841</v>
      </c>
      <c r="I101">
        <v>2147</v>
      </c>
      <c r="J101">
        <v>1471</v>
      </c>
      <c r="K101">
        <v>835</v>
      </c>
      <c r="L101">
        <v>279</v>
      </c>
      <c r="M101">
        <v>401</v>
      </c>
      <c r="N101">
        <v>1348</v>
      </c>
      <c r="O101">
        <v>1401</v>
      </c>
      <c r="P101">
        <v>1720</v>
      </c>
      <c r="Q101">
        <f t="shared" ref="Q101:AQ101" si="131">IF(ISNUMBER(Q55),Q55-P55," ")</f>
        <v>1092</v>
      </c>
      <c r="R101" s="417">
        <f t="shared" si="131"/>
        <v>1200</v>
      </c>
      <c r="S101">
        <f t="shared" si="131"/>
        <v>578</v>
      </c>
      <c r="T101">
        <f t="shared" si="131"/>
        <v>292</v>
      </c>
      <c r="U101">
        <f t="shared" si="131"/>
        <v>1438</v>
      </c>
      <c r="V101">
        <f t="shared" si="131"/>
        <v>1364</v>
      </c>
      <c r="W101">
        <f t="shared" si="131"/>
        <v>741</v>
      </c>
      <c r="X101">
        <f t="shared" si="131"/>
        <v>305</v>
      </c>
      <c r="Y101">
        <f t="shared" si="131"/>
        <v>481</v>
      </c>
      <c r="Z101">
        <f t="shared" si="131"/>
        <v>781</v>
      </c>
      <c r="AA101">
        <f t="shared" si="131"/>
        <v>1415</v>
      </c>
      <c r="AB101">
        <f t="shared" si="131"/>
        <v>1575</v>
      </c>
      <c r="AC101">
        <f t="shared" si="131"/>
        <v>804</v>
      </c>
      <c r="AD101">
        <f t="shared" si="131"/>
        <v>335</v>
      </c>
      <c r="AE101" s="441">
        <f t="shared" si="131"/>
        <v>682</v>
      </c>
      <c r="AF101">
        <f t="shared" si="131"/>
        <v>1287</v>
      </c>
      <c r="AG101">
        <f t="shared" si="131"/>
        <v>1012</v>
      </c>
      <c r="AH101">
        <f t="shared" si="131"/>
        <v>828</v>
      </c>
      <c r="AI101">
        <f t="shared" si="131"/>
        <v>462</v>
      </c>
      <c r="AJ101">
        <f>IF(ISNUMBER(AJ55),AJ55-AI55," ")</f>
        <v>226</v>
      </c>
      <c r="AK101">
        <f t="shared" ref="AK101:AP101" si="132">IF(ISNUMBER(AK55),AK55-AJ55," ")</f>
        <v>280</v>
      </c>
      <c r="AL101">
        <f t="shared" si="132"/>
        <v>757</v>
      </c>
      <c r="AM101">
        <f t="shared" si="132"/>
        <v>596</v>
      </c>
      <c r="AN101">
        <f t="shared" si="132"/>
        <v>718</v>
      </c>
      <c r="AO101" t="str">
        <f t="shared" si="132"/>
        <v xml:space="preserve"> </v>
      </c>
      <c r="AP101" t="str">
        <f t="shared" si="132"/>
        <v xml:space="preserve"> </v>
      </c>
      <c r="AQ101" t="str">
        <f t="shared" si="131"/>
        <v xml:space="preserve"> </v>
      </c>
    </row>
    <row r="102" spans="1:55" s="473" customFormat="1" ht="13.9">
      <c r="A102" s="1294" t="s">
        <v>686</v>
      </c>
      <c r="B102" s="360">
        <f t="shared" ca="1" si="18"/>
        <v>0</v>
      </c>
      <c r="C102" s="473" t="s">
        <v>74</v>
      </c>
      <c r="F102" s="473">
        <v>1000</v>
      </c>
      <c r="G102" s="441">
        <v>0</v>
      </c>
      <c r="H102" s="887">
        <v>6000</v>
      </c>
      <c r="I102" s="887">
        <v>9429.9999999999491</v>
      </c>
      <c r="J102" s="887">
        <v>5570.00000000005</v>
      </c>
      <c r="K102" s="887">
        <v>20000</v>
      </c>
      <c r="L102" s="887">
        <v>31000</v>
      </c>
      <c r="M102" s="887">
        <v>34000</v>
      </c>
      <c r="N102" s="887">
        <v>30000</v>
      </c>
      <c r="O102" s="887">
        <v>20400.000000000091</v>
      </c>
      <c r="P102" s="887">
        <v>17949.999999999818</v>
      </c>
      <c r="Q102" s="887">
        <v>3940.0000000000546</v>
      </c>
      <c r="R102" s="417">
        <v>0</v>
      </c>
      <c r="S102">
        <f t="shared" ref="S102:AC102" si="133">IF(ISNUMBER(S60),(S60-R60)*$F$102," ")</f>
        <v>0</v>
      </c>
      <c r="T102">
        <f t="shared" si="133"/>
        <v>6000</v>
      </c>
      <c r="U102">
        <f t="shared" si="133"/>
        <v>9429.9999999999491</v>
      </c>
      <c r="V102">
        <f t="shared" si="133"/>
        <v>5570.00000000005</v>
      </c>
      <c r="W102">
        <f t="shared" si="133"/>
        <v>20000</v>
      </c>
      <c r="X102">
        <f t="shared" si="133"/>
        <v>31000</v>
      </c>
      <c r="Y102">
        <f t="shared" si="133"/>
        <v>34000</v>
      </c>
      <c r="Z102">
        <f t="shared" si="133"/>
        <v>30000</v>
      </c>
      <c r="AA102">
        <f t="shared" si="133"/>
        <v>20400.000000000091</v>
      </c>
      <c r="AB102">
        <f t="shared" si="133"/>
        <v>17949.999999999818</v>
      </c>
      <c r="AC102">
        <f t="shared" si="133"/>
        <v>3940.0000000000546</v>
      </c>
      <c r="AD102">
        <f>IF(ISNUMBER(AD60),(AD60-AC60)*$F$102," ")</f>
        <v>0</v>
      </c>
      <c r="AE102" s="441">
        <f t="shared" ref="AE102:AE104" si="134">IF(ISNUMBER(AE60),AE60-AD60," ")</f>
        <v>0</v>
      </c>
      <c r="AF102">
        <f t="shared" ref="AF102:AF104" si="135">IF(ISNUMBER(AF60),AF60-AE60," ")</f>
        <v>4.9700000000000273</v>
      </c>
      <c r="AG102">
        <f t="shared" ref="AG102:AG104" si="136">IF(ISNUMBER(AG60),AG60-AF60," ")</f>
        <v>13.599999999999909</v>
      </c>
      <c r="AH102">
        <f t="shared" ref="AH102:AH104" si="137">IF(ISNUMBER(AH60),AH60-AG60," ")</f>
        <v>25.380000000000109</v>
      </c>
      <c r="AI102">
        <f>IF(ISNUMBER(AI60),AI60-AH60," ")</f>
        <v>23.6099999999999</v>
      </c>
      <c r="AJ102">
        <f t="shared" ref="AJ102:AP103" si="138">IF(ISNUMBER(AJ60),AJ60-AI60," ")</f>
        <v>26</v>
      </c>
      <c r="AK102">
        <f t="shared" si="138"/>
        <v>26</v>
      </c>
      <c r="AL102">
        <f t="shared" si="138"/>
        <v>26</v>
      </c>
      <c r="AM102">
        <f t="shared" si="138"/>
        <v>38.7800000000002</v>
      </c>
      <c r="AN102">
        <f t="shared" si="138"/>
        <v>5.0299999999999727</v>
      </c>
      <c r="AO102">
        <f t="shared" si="138"/>
        <v>0</v>
      </c>
      <c r="AP102" t="str">
        <f t="shared" si="138"/>
        <v xml:space="preserve"> </v>
      </c>
      <c r="AQ102" t="str">
        <f t="shared" ref="AQ102:AQ104" si="139">IF(ISNUMBER(AQ60),AQ60-AP60," ")</f>
        <v xml:space="preserve"> </v>
      </c>
    </row>
    <row r="103" spans="1:55" ht="13.9">
      <c r="A103" s="35" t="s">
        <v>687</v>
      </c>
      <c r="B103" s="360">
        <f t="shared" ca="1" si="18"/>
        <v>79.30000000000291</v>
      </c>
      <c r="C103" t="s">
        <v>74</v>
      </c>
      <c r="F103">
        <v>1</v>
      </c>
      <c r="G103" s="441">
        <v>588</v>
      </c>
      <c r="H103">
        <v>500</v>
      </c>
      <c r="I103">
        <v>932</v>
      </c>
      <c r="J103">
        <v>385</v>
      </c>
      <c r="K103">
        <v>131</v>
      </c>
      <c r="L103">
        <v>98</v>
      </c>
      <c r="M103">
        <v>28</v>
      </c>
      <c r="N103">
        <v>153</v>
      </c>
      <c r="O103">
        <v>185</v>
      </c>
      <c r="P103">
        <v>75.19999999999709</v>
      </c>
      <c r="Q103">
        <v>108.60000000000582</v>
      </c>
      <c r="R103" s="417">
        <f>IF(ISNUMBER(R61),R61-Q61," ")</f>
        <v>52.19999999999709</v>
      </c>
      <c r="S103">
        <f t="shared" ref="S103:AB103" si="140">IF(ISNUMBER(S61),S61-R61," ")</f>
        <v>96.100000000005821</v>
      </c>
      <c r="T103">
        <f t="shared" si="140"/>
        <v>73.899999999994179</v>
      </c>
      <c r="U103">
        <f t="shared" si="140"/>
        <v>40</v>
      </c>
      <c r="V103">
        <f t="shared" si="140"/>
        <v>603.80000000000291</v>
      </c>
      <c r="W103">
        <f t="shared" si="140"/>
        <v>136.19999999999709</v>
      </c>
      <c r="X103">
        <f t="shared" si="140"/>
        <v>31.5</v>
      </c>
      <c r="Y103">
        <f t="shared" si="140"/>
        <v>48.30000000000291</v>
      </c>
      <c r="Z103">
        <f t="shared" si="140"/>
        <v>150</v>
      </c>
      <c r="AA103">
        <f t="shared" si="140"/>
        <v>315.09999999999127</v>
      </c>
      <c r="AB103">
        <f t="shared" si="140"/>
        <v>360</v>
      </c>
      <c r="AC103">
        <f t="shared" ref="AC103:AC104" si="141">IF(ISNUMBER(AC61),AC61-AB61," ")</f>
        <v>380.60000000000582</v>
      </c>
      <c r="AD103">
        <f t="shared" ref="AD103:AD104" si="142">IF(ISNUMBER(AD61),AD61-AC61," ")</f>
        <v>379.69999999999709</v>
      </c>
      <c r="AE103" s="441">
        <f t="shared" si="134"/>
        <v>398.80000000000291</v>
      </c>
      <c r="AF103">
        <f t="shared" si="135"/>
        <v>218.5</v>
      </c>
      <c r="AG103">
        <f t="shared" si="136"/>
        <v>454.10000000000582</v>
      </c>
      <c r="AH103">
        <f t="shared" si="137"/>
        <v>117.19999999999709</v>
      </c>
      <c r="AI103">
        <f t="shared" ref="AI102:AI104" si="143">IF(ISNUMBER(AI61),AI61-AH61," ")</f>
        <v>116.59999999999127</v>
      </c>
      <c r="AJ103">
        <f t="shared" si="138"/>
        <v>29.600000000005821</v>
      </c>
      <c r="AK103">
        <f t="shared" si="138"/>
        <v>100.10000000000582</v>
      </c>
      <c r="AL103">
        <f t="shared" si="138"/>
        <v>134.5</v>
      </c>
      <c r="AM103">
        <f t="shared" si="138"/>
        <v>42.399999999994179</v>
      </c>
      <c r="AN103">
        <f t="shared" si="138"/>
        <v>79.30000000000291</v>
      </c>
      <c r="AO103" t="str">
        <f t="shared" si="138"/>
        <v xml:space="preserve"> </v>
      </c>
      <c r="AP103" t="str">
        <f t="shared" si="138"/>
        <v xml:space="preserve"> </v>
      </c>
      <c r="AQ103" t="str">
        <f t="shared" si="139"/>
        <v xml:space="preserve"> </v>
      </c>
    </row>
    <row r="104" spans="1:55" s="473" customFormat="1" ht="14.45" thickBot="1">
      <c r="A104" s="1294" t="s">
        <v>646</v>
      </c>
      <c r="B104" s="360">
        <f t="shared" ca="1" si="18"/>
        <v>10</v>
      </c>
      <c r="C104" s="473" t="s">
        <v>74</v>
      </c>
      <c r="F104" s="473">
        <v>1</v>
      </c>
      <c r="G104" s="1010"/>
      <c r="H104" s="1011">
        <f t="shared" ref="H104:Q104" si="144">IF(ISNUMBER(H62),H62-G62," ")</f>
        <v>5000</v>
      </c>
      <c r="I104" s="1011">
        <f t="shared" si="144"/>
        <v>3000</v>
      </c>
      <c r="J104" s="1011">
        <f t="shared" si="144"/>
        <v>3000</v>
      </c>
      <c r="K104" s="1011">
        <f t="shared" si="144"/>
        <v>2790</v>
      </c>
      <c r="L104" s="1011">
        <f t="shared" si="144"/>
        <v>8330</v>
      </c>
      <c r="M104" s="1011">
        <f t="shared" si="144"/>
        <v>14190</v>
      </c>
      <c r="N104" s="1011">
        <f t="shared" si="144"/>
        <v>15190</v>
      </c>
      <c r="O104" s="1011">
        <f t="shared" si="144"/>
        <v>12000</v>
      </c>
      <c r="P104" s="1011">
        <f t="shared" si="144"/>
        <v>7660</v>
      </c>
      <c r="Q104" s="1011">
        <f t="shared" si="144"/>
        <v>0</v>
      </c>
      <c r="R104" s="1012">
        <f>IF(ISNUMBER(R62),R62-Q62," ")</f>
        <v>0</v>
      </c>
      <c r="S104" s="1011">
        <f t="shared" ref="S104:AB104" si="145">IF(ISNUMBER(S62),S62-R62," ")</f>
        <v>0</v>
      </c>
      <c r="T104" s="1011">
        <f t="shared" si="145"/>
        <v>0</v>
      </c>
      <c r="U104" s="1011">
        <f t="shared" si="145"/>
        <v>1600</v>
      </c>
      <c r="V104" s="1011">
        <f>IF(ISNUMBER(V62),V62-U62," ")</f>
        <v>3340</v>
      </c>
      <c r="W104" s="1011">
        <f>IF(ISNUMBER(W62),W62-V62," ")</f>
        <v>11020</v>
      </c>
      <c r="X104" s="1011">
        <f t="shared" si="145"/>
        <v>18010</v>
      </c>
      <c r="Y104" s="1011">
        <f t="shared" si="145"/>
        <v>18730</v>
      </c>
      <c r="Z104" s="1011">
        <f t="shared" si="145"/>
        <v>20060</v>
      </c>
      <c r="AA104" s="1011">
        <f t="shared" si="145"/>
        <v>15470</v>
      </c>
      <c r="AB104" s="1011">
        <f t="shared" si="145"/>
        <v>4320</v>
      </c>
      <c r="AC104" s="1011">
        <f t="shared" si="141"/>
        <v>0</v>
      </c>
      <c r="AD104" s="1011">
        <f t="shared" si="142"/>
        <v>0</v>
      </c>
      <c r="AE104" s="1010">
        <f t="shared" si="134"/>
        <v>0</v>
      </c>
      <c r="AF104" s="1011">
        <f t="shared" si="135"/>
        <v>0</v>
      </c>
      <c r="AG104" s="1011">
        <f t="shared" si="136"/>
        <v>0</v>
      </c>
      <c r="AH104" s="1011">
        <f t="shared" si="137"/>
        <v>0</v>
      </c>
      <c r="AI104" s="1011">
        <f>IF(ISNUMBER(AI62),AI62-AH62," ")</f>
        <v>0</v>
      </c>
      <c r="AJ104" s="1011">
        <f t="shared" ref="AJ104" si="146">IF(ISNUMBER(AJ62),AJ62-AI62," ")</f>
        <v>0</v>
      </c>
      <c r="AK104" s="1011">
        <f>IF(ISNUMBER(AL62),AL62-AJ62," ")</f>
        <v>0</v>
      </c>
      <c r="AL104" s="1011">
        <v>0</v>
      </c>
      <c r="AM104" s="1011">
        <v>0</v>
      </c>
      <c r="AN104" s="1011">
        <f t="shared" ref="AN102:AN104" si="147">IF(ISNUMBER(AN62),AN62-AM62," ")</f>
        <v>10</v>
      </c>
      <c r="AO104" s="1011">
        <f t="shared" ref="AO102:AO104" si="148">IF(ISNUMBER(AO62),AO62-AN62," ")</f>
        <v>10</v>
      </c>
      <c r="AP104" s="1012" t="str">
        <f t="shared" ref="AP102:AP104" si="149">IF(ISNUMBER(AP62),AP62-AO62," ")</f>
        <v xml:space="preserve"> </v>
      </c>
      <c r="AQ104" s="1011" t="str">
        <f t="shared" si="139"/>
        <v xml:space="preserve"> </v>
      </c>
    </row>
    <row r="105" spans="1:55" ht="14.45">
      <c r="A105" s="1252" t="s">
        <v>630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f t="shared" ref="T105:AD105" si="150">IF(ISNUMBER(T54),T54-S54," ")</f>
        <v>593</v>
      </c>
      <c r="U105">
        <f t="shared" si="150"/>
        <v>2683</v>
      </c>
      <c r="V105">
        <f t="shared" si="150"/>
        <v>4660</v>
      </c>
      <c r="W105">
        <f t="shared" si="150"/>
        <v>7180</v>
      </c>
      <c r="X105">
        <f t="shared" si="150"/>
        <v>7601</v>
      </c>
      <c r="Y105">
        <f t="shared" si="150"/>
        <v>8014</v>
      </c>
      <c r="Z105">
        <f t="shared" si="150"/>
        <v>7000</v>
      </c>
      <c r="AA105">
        <f t="shared" si="150"/>
        <v>4500</v>
      </c>
      <c r="AB105">
        <f t="shared" si="150"/>
        <v>3000</v>
      </c>
      <c r="AC105">
        <f t="shared" si="150"/>
        <v>1297</v>
      </c>
      <c r="AD105">
        <f t="shared" si="150"/>
        <v>1160</v>
      </c>
      <c r="AE105">
        <f t="shared" ref="AE105:AP105" si="151">IF(ISNUMBER(AE54),AE54-AD54," ")</f>
        <v>402</v>
      </c>
      <c r="AF105">
        <f t="shared" si="151"/>
        <v>288</v>
      </c>
      <c r="AG105">
        <f t="shared" si="151"/>
        <v>3263</v>
      </c>
      <c r="AH105">
        <f t="shared" si="151"/>
        <v>6315</v>
      </c>
      <c r="AI105">
        <f t="shared" si="151"/>
        <v>6555</v>
      </c>
      <c r="AJ105">
        <f t="shared" si="151"/>
        <v>6487</v>
      </c>
      <c r="AK105">
        <f t="shared" ref="AK105" si="152">IF(ISNUMBER(AK54),AK54-AJ54," ")</f>
        <v>6260</v>
      </c>
      <c r="AL105">
        <f t="shared" ref="AL105" si="153">IF(ISNUMBER(AL54),AL54-AK54," ")</f>
        <v>5578</v>
      </c>
      <c r="AM105">
        <f>IF(ISNUMBER(AM54),AM54-AL54," ")</f>
        <v>4487</v>
      </c>
      <c r="AN105">
        <f t="shared" si="151"/>
        <v>5442</v>
      </c>
      <c r="AO105" t="str">
        <f t="shared" si="151"/>
        <v xml:space="preserve"> </v>
      </c>
      <c r="AP105" t="str">
        <f t="shared" si="151"/>
        <v xml:space="preserve"> </v>
      </c>
    </row>
  </sheetData>
  <protectedRanges>
    <protectedRange sqref="V26" name="Range1_5"/>
  </protectedRanges>
  <phoneticPr fontId="10" type="noConversion"/>
  <conditionalFormatting sqref="G90:Q9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5:Q9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8:AQ7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0:AQ9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5:AQ9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4:AQ10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0:AR10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551A6-E715-4133-8349-C8EA253EA8DE}">
  <dimension ref="A8:BB93"/>
  <sheetViews>
    <sheetView workbookViewId="0" xr3:uid="{34C36F2F-876F-5F43-9178-F1798A4C1F06}">
      <pane xSplit="1" topLeftCell="AC37" activePane="topRight" state="frozen"/>
      <selection pane="topRight" activeCell="AR59" sqref="AR59:AU63"/>
    </sheetView>
  </sheetViews>
  <sheetFormatPr defaultRowHeight="13.15"/>
  <cols>
    <col min="1" max="1" width="55.140625" bestFit="1" customWidth="1"/>
    <col min="2" max="2" width="44" bestFit="1" customWidth="1"/>
    <col min="4" max="4" width="20.5703125" bestFit="1" customWidth="1"/>
    <col min="5" max="5" width="12.5703125" bestFit="1" customWidth="1"/>
    <col min="6" max="6" width="14" bestFit="1" customWidth="1"/>
    <col min="7" max="7" width="13" bestFit="1" customWidth="1"/>
    <col min="8" max="18" width="9.5703125" bestFit="1" customWidth="1"/>
    <col min="19" max="19" width="9.7109375" bestFit="1" customWidth="1"/>
    <col min="20" max="20" width="10.140625" customWidth="1"/>
    <col min="21" max="23" width="9.5703125" bestFit="1" customWidth="1"/>
    <col min="24" max="24" width="12.140625" style="508" bestFit="1" customWidth="1"/>
    <col min="31" max="31" width="10" customWidth="1"/>
    <col min="32" max="32" width="10.85546875" customWidth="1"/>
  </cols>
  <sheetData>
    <row r="8" spans="1:1" ht="14.45">
      <c r="A8" s="975"/>
    </row>
    <row r="9" spans="1:1" ht="14.45">
      <c r="A9" s="805"/>
    </row>
    <row r="10" spans="1:1" ht="14.45">
      <c r="A10" s="1252"/>
    </row>
    <row r="11" spans="1:1" ht="14.45">
      <c r="A11" s="1252"/>
    </row>
    <row r="12" spans="1:1" ht="14.45">
      <c r="A12" s="1252"/>
    </row>
    <row r="13" spans="1:1" ht="14.45">
      <c r="A13" s="1252"/>
    </row>
    <row r="17" spans="1:54">
      <c r="A17" s="473"/>
    </row>
    <row r="18" spans="1:54">
      <c r="A18" s="35"/>
    </row>
    <row r="19" spans="1:54" ht="14.45">
      <c r="A19" s="1252"/>
    </row>
    <row r="21" spans="1:54">
      <c r="A21" s="35"/>
    </row>
    <row r="22" spans="1:54">
      <c r="A22" s="35"/>
    </row>
    <row r="23" spans="1:54">
      <c r="A23" s="35"/>
    </row>
    <row r="24" spans="1:54">
      <c r="J24" s="35"/>
      <c r="K24" s="35"/>
    </row>
    <row r="25" spans="1:54">
      <c r="K25" s="242"/>
    </row>
    <row r="26" spans="1:54" ht="13.9" thickBot="1">
      <c r="V26" s="511"/>
    </row>
    <row r="28" spans="1:54" ht="24" customHeight="1">
      <c r="A28" s="1307" t="s">
        <v>688</v>
      </c>
      <c r="B28" s="992" t="s">
        <v>689</v>
      </c>
      <c r="C28" s="992"/>
      <c r="D28" s="992"/>
      <c r="E28" s="992"/>
      <c r="F28" s="992"/>
      <c r="G28" s="1013">
        <v>44562</v>
      </c>
      <c r="H28" s="1014">
        <v>44593</v>
      </c>
      <c r="I28" s="1014">
        <v>44621</v>
      </c>
      <c r="J28" s="1014">
        <v>44652</v>
      </c>
      <c r="K28" s="1014">
        <v>44682</v>
      </c>
      <c r="L28" s="1014">
        <v>44713</v>
      </c>
      <c r="M28" s="1014">
        <v>44743</v>
      </c>
      <c r="N28" s="1014">
        <v>44774</v>
      </c>
      <c r="O28" s="1014">
        <v>44805</v>
      </c>
      <c r="P28" s="1000">
        <v>44835</v>
      </c>
      <c r="Q28" s="1000">
        <v>44866</v>
      </c>
      <c r="R28" s="1001">
        <v>44896</v>
      </c>
      <c r="S28" s="999">
        <v>44927</v>
      </c>
      <c r="T28" s="1000">
        <v>44958</v>
      </c>
      <c r="U28" s="1000">
        <v>44986</v>
      </c>
      <c r="V28" s="1000">
        <v>45017</v>
      </c>
      <c r="W28" s="1000">
        <v>45047</v>
      </c>
      <c r="X28" s="1000">
        <v>45078</v>
      </c>
      <c r="Y28" s="1000">
        <v>45108</v>
      </c>
      <c r="Z28" s="1000">
        <v>45139</v>
      </c>
      <c r="AA28" s="1000">
        <v>45170</v>
      </c>
      <c r="AB28" s="1000">
        <v>45200</v>
      </c>
      <c r="AC28" s="1000">
        <v>45231</v>
      </c>
      <c r="AD28" s="1000">
        <v>45261</v>
      </c>
      <c r="AE28" s="1001">
        <v>45292</v>
      </c>
      <c r="AF28" s="814">
        <v>45323</v>
      </c>
      <c r="AG28" s="814">
        <v>45352</v>
      </c>
      <c r="AH28" s="814">
        <v>45383</v>
      </c>
      <c r="AI28" s="814">
        <v>45413</v>
      </c>
      <c r="AJ28" s="814">
        <v>45444</v>
      </c>
      <c r="AK28" s="814">
        <v>45474</v>
      </c>
      <c r="AL28" s="814">
        <v>45505</v>
      </c>
      <c r="AM28" s="814">
        <v>45536</v>
      </c>
      <c r="AN28" s="814">
        <v>45566</v>
      </c>
      <c r="AO28" s="814">
        <v>45597</v>
      </c>
      <c r="AP28" s="814">
        <v>45627</v>
      </c>
      <c r="AQ28" s="1004">
        <v>45658</v>
      </c>
      <c r="AR28" s="1001">
        <v>45689</v>
      </c>
      <c r="AS28" s="814">
        <v>45717</v>
      </c>
      <c r="AT28" s="814">
        <v>45748</v>
      </c>
      <c r="AU28" s="814">
        <v>45778</v>
      </c>
      <c r="AV28" s="814">
        <v>45809</v>
      </c>
      <c r="AW28" s="814">
        <v>45839</v>
      </c>
      <c r="AX28" s="814">
        <v>45870</v>
      </c>
      <c r="AY28" s="814">
        <v>45901</v>
      </c>
      <c r="AZ28" s="814">
        <v>45931</v>
      </c>
      <c r="BA28" s="814">
        <v>45962</v>
      </c>
      <c r="BB28" s="814">
        <v>45992</v>
      </c>
    </row>
    <row r="29" spans="1:54" ht="14.45">
      <c r="A29" t="s">
        <v>690</v>
      </c>
      <c r="B29" t="s">
        <v>691</v>
      </c>
      <c r="D29" s="35"/>
      <c r="E29" s="35"/>
      <c r="F29" s="35"/>
      <c r="G29" s="1238">
        <v>6594.8749229999994</v>
      </c>
      <c r="H29" s="1238">
        <v>6594.8749229999994</v>
      </c>
      <c r="I29" s="1239">
        <v>5208.2601955999999</v>
      </c>
      <c r="J29" s="1240">
        <v>7744.7505505999998</v>
      </c>
      <c r="K29" s="1239">
        <v>13697.047917</v>
      </c>
      <c r="L29" s="1240">
        <v>17045.215185600002</v>
      </c>
      <c r="M29" s="1239">
        <v>27969.033647799999</v>
      </c>
      <c r="N29" s="1240">
        <v>25973.661235200001</v>
      </c>
      <c r="O29" s="1239">
        <v>23707.729851399999</v>
      </c>
      <c r="P29" s="1240">
        <v>21509.4382104</v>
      </c>
      <c r="Q29" s="1239">
        <v>3531.3918384600001</v>
      </c>
      <c r="R29" s="1240">
        <v>12390.848556000001</v>
      </c>
      <c r="S29" s="1263">
        <v>12390.848556000001</v>
      </c>
      <c r="T29" s="1240">
        <v>12390.848556000001</v>
      </c>
      <c r="U29" s="1239">
        <v>3283.5748673400008</v>
      </c>
      <c r="V29" s="1240">
        <v>5854.6759427100005</v>
      </c>
      <c r="W29" s="1239">
        <v>13629.933411600001</v>
      </c>
      <c r="X29" s="1240">
        <v>12669.642648510002</v>
      </c>
      <c r="Y29">
        <v>17327</v>
      </c>
      <c r="Z29">
        <v>20565</v>
      </c>
      <c r="AA29">
        <v>22678</v>
      </c>
      <c r="AB29" s="805">
        <v>15768</v>
      </c>
      <c r="AC29">
        <v>14012</v>
      </c>
      <c r="AD29" s="417">
        <v>12882</v>
      </c>
      <c r="AE29">
        <v>8585</v>
      </c>
      <c r="AF29" s="589">
        <v>4818</v>
      </c>
      <c r="AG29">
        <v>5952</v>
      </c>
      <c r="AH29">
        <v>11562</v>
      </c>
      <c r="AI29">
        <v>12368</v>
      </c>
      <c r="AJ29">
        <v>19958</v>
      </c>
      <c r="AK29">
        <v>23378</v>
      </c>
      <c r="AL29">
        <v>18783</v>
      </c>
      <c r="AM29">
        <v>23531</v>
      </c>
      <c r="AN29">
        <v>20101</v>
      </c>
      <c r="AO29">
        <v>15884</v>
      </c>
      <c r="AP29" s="417"/>
      <c r="AQ29" s="441"/>
      <c r="BB29" s="417"/>
    </row>
    <row r="30" spans="1:54" ht="14.45">
      <c r="A30" t="s">
        <v>692</v>
      </c>
      <c r="B30" t="s">
        <v>693</v>
      </c>
      <c r="D30" s="35"/>
      <c r="E30" s="35"/>
      <c r="F30" s="35"/>
      <c r="G30" s="1238">
        <v>0</v>
      </c>
      <c r="H30" s="1238">
        <v>0</v>
      </c>
      <c r="I30" s="1239">
        <v>0</v>
      </c>
      <c r="J30" s="1240">
        <v>0</v>
      </c>
      <c r="K30" s="1239">
        <v>0</v>
      </c>
      <c r="L30" s="1240">
        <v>0</v>
      </c>
      <c r="M30" s="1239">
        <v>0</v>
      </c>
      <c r="N30" s="1240">
        <v>0</v>
      </c>
      <c r="O30" s="1239">
        <v>0</v>
      </c>
      <c r="P30" s="1240">
        <v>0</v>
      </c>
      <c r="Q30" s="1239">
        <v>2173.4262950400002</v>
      </c>
      <c r="R30" s="1245">
        <v>2682.8230829399999</v>
      </c>
      <c r="S30" s="1263">
        <v>27880.984191060001</v>
      </c>
      <c r="T30" s="1245">
        <v>2716.7828688</v>
      </c>
      <c r="U30" s="1239">
        <v>0</v>
      </c>
      <c r="V30" s="1240">
        <v>0</v>
      </c>
      <c r="W30" s="1239">
        <v>0</v>
      </c>
      <c r="X30" s="1240">
        <v>3260.1394425600001</v>
      </c>
      <c r="Y30" s="805">
        <v>1195</v>
      </c>
      <c r="Z30">
        <v>275</v>
      </c>
      <c r="AA30" s="887">
        <v>0</v>
      </c>
      <c r="AB30" s="805">
        <v>0</v>
      </c>
      <c r="AC30">
        <v>0</v>
      </c>
      <c r="AD30" s="417">
        <v>3534</v>
      </c>
      <c r="AE30">
        <v>0</v>
      </c>
      <c r="AF30">
        <v>0</v>
      </c>
      <c r="AG30">
        <v>100</v>
      </c>
      <c r="AH30">
        <v>0</v>
      </c>
      <c r="AI30">
        <v>0</v>
      </c>
      <c r="AJ30">
        <v>2409</v>
      </c>
      <c r="AK30">
        <v>16152</v>
      </c>
      <c r="AL30">
        <v>35001</v>
      </c>
      <c r="AM30">
        <v>41296</v>
      </c>
      <c r="AN30">
        <v>42049</v>
      </c>
      <c r="AO30">
        <v>15485</v>
      </c>
      <c r="AP30" s="417"/>
      <c r="AQ30" s="441"/>
      <c r="BB30" s="417"/>
    </row>
    <row r="31" spans="1:54" ht="14.45">
      <c r="A31" s="35" t="s">
        <v>694</v>
      </c>
      <c r="B31" t="s">
        <v>695</v>
      </c>
      <c r="D31" s="35"/>
      <c r="E31" s="35"/>
      <c r="G31" s="1238">
        <v>0</v>
      </c>
      <c r="H31" s="1238">
        <v>0</v>
      </c>
      <c r="I31" s="1239">
        <v>0</v>
      </c>
      <c r="J31" s="1240">
        <v>0</v>
      </c>
      <c r="K31" s="1239">
        <v>0</v>
      </c>
      <c r="L31" s="1240">
        <v>0</v>
      </c>
      <c r="M31" s="1239">
        <v>11581.474383360001</v>
      </c>
      <c r="N31" s="1240">
        <v>6869.8509465600009</v>
      </c>
      <c r="O31" s="1239">
        <v>7994.5610572800006</v>
      </c>
      <c r="P31" s="1240">
        <v>8237.7416217600003</v>
      </c>
      <c r="Q31" s="1239">
        <v>8450.5246156800004</v>
      </c>
      <c r="R31" s="1240">
        <v>6626.6703820800003</v>
      </c>
      <c r="S31" s="1263">
        <v>2735.7813504000001</v>
      </c>
      <c r="T31" s="1240">
        <v>2978.9619148799998</v>
      </c>
      <c r="U31" s="1239">
        <v>5897.1286886400003</v>
      </c>
      <c r="V31" s="1240">
        <v>7173.8266521600008</v>
      </c>
      <c r="W31" s="1239">
        <v>8055.3561984000007</v>
      </c>
      <c r="X31" s="1240">
        <v>8480.9221862400009</v>
      </c>
      <c r="Y31">
        <v>9167</v>
      </c>
      <c r="Z31">
        <v>8510</v>
      </c>
      <c r="AA31">
        <v>9518</v>
      </c>
      <c r="AB31" s="805">
        <v>8329</v>
      </c>
      <c r="AC31">
        <v>8948</v>
      </c>
      <c r="AD31" s="417">
        <v>7148</v>
      </c>
      <c r="AE31">
        <v>2679</v>
      </c>
      <c r="AF31" s="589">
        <v>3603</v>
      </c>
      <c r="AG31">
        <v>6046</v>
      </c>
      <c r="AH31">
        <v>7512</v>
      </c>
      <c r="AI31">
        <v>8219</v>
      </c>
      <c r="AJ31">
        <v>7804</v>
      </c>
      <c r="AK31">
        <v>8498</v>
      </c>
      <c r="AL31">
        <v>6321</v>
      </c>
      <c r="AM31">
        <v>8897</v>
      </c>
      <c r="AN31">
        <v>8422</v>
      </c>
      <c r="AO31">
        <v>8837</v>
      </c>
      <c r="AP31" s="417"/>
      <c r="AQ31" s="441"/>
      <c r="BB31" s="417"/>
    </row>
    <row r="32" spans="1:54" ht="14.45">
      <c r="A32" s="35" t="s">
        <v>696</v>
      </c>
      <c r="B32" t="s">
        <v>697</v>
      </c>
      <c r="D32" s="35"/>
      <c r="E32" s="35"/>
      <c r="G32" s="1238">
        <v>3304.5247014000001</v>
      </c>
      <c r="H32" s="1238">
        <v>3304.5247014000001</v>
      </c>
      <c r="I32" s="1239">
        <v>8138.0085930000005</v>
      </c>
      <c r="J32" s="1240">
        <v>15338.9131662</v>
      </c>
      <c r="K32" s="1239">
        <v>20320.360850400004</v>
      </c>
      <c r="L32" s="1240">
        <v>20714.930964000003</v>
      </c>
      <c r="M32" s="1239">
        <v>25647.057384</v>
      </c>
      <c r="N32" s="1240">
        <v>17114.478677400002</v>
      </c>
      <c r="O32" s="1241">
        <v>20000</v>
      </c>
      <c r="P32" s="1242">
        <f>43501.3550244-20000</f>
        <v>23501.3550244</v>
      </c>
      <c r="Q32" s="1239">
        <v>22194.568890000002</v>
      </c>
      <c r="R32" s="1240">
        <v>17015.836149000002</v>
      </c>
      <c r="S32" s="1263">
        <v>8335.2936497999999</v>
      </c>
      <c r="T32" s="1240">
        <v>8631.2212350000009</v>
      </c>
      <c r="U32" s="1239">
        <v>8384.6149139999998</v>
      </c>
      <c r="V32" s="1240">
        <v>14895.021788400001</v>
      </c>
      <c r="W32" s="1239">
        <v>16621.2660354</v>
      </c>
      <c r="X32" s="1240">
        <v>22983.709117200004</v>
      </c>
      <c r="Y32">
        <v>16110</v>
      </c>
      <c r="Z32">
        <v>12604</v>
      </c>
      <c r="AA32">
        <v>20616</v>
      </c>
      <c r="AB32" s="805">
        <v>14507</v>
      </c>
      <c r="AC32">
        <v>15591</v>
      </c>
      <c r="AD32" s="417">
        <v>12037</v>
      </c>
      <c r="AE32">
        <v>5065</v>
      </c>
      <c r="AF32" s="589">
        <v>5606</v>
      </c>
      <c r="AG32">
        <v>4271</v>
      </c>
      <c r="AH32">
        <v>10685</v>
      </c>
      <c r="AI32">
        <v>13204</v>
      </c>
      <c r="AJ32">
        <v>14218</v>
      </c>
      <c r="AK32">
        <v>15672</v>
      </c>
      <c r="AL32">
        <v>5987</v>
      </c>
      <c r="AM32">
        <v>20831</v>
      </c>
      <c r="AN32">
        <v>15833</v>
      </c>
      <c r="AO32">
        <v>16875</v>
      </c>
      <c r="AP32" s="417"/>
      <c r="AQ32" s="441"/>
      <c r="BB32" s="417"/>
    </row>
    <row r="33" spans="1:54">
      <c r="A33" t="s">
        <v>698</v>
      </c>
      <c r="AD33" s="417"/>
      <c r="AK33" t="s">
        <v>699</v>
      </c>
      <c r="AL33">
        <v>17871</v>
      </c>
      <c r="AM33">
        <v>18416</v>
      </c>
      <c r="AN33">
        <v>20138</v>
      </c>
      <c r="AO33">
        <v>17010</v>
      </c>
      <c r="AP33" s="417"/>
      <c r="BB33" s="417"/>
    </row>
    <row r="34" spans="1:54" ht="14.45">
      <c r="A34" t="s">
        <v>700</v>
      </c>
      <c r="B34" t="s">
        <v>701</v>
      </c>
      <c r="D34" s="35"/>
      <c r="E34" s="35"/>
      <c r="F34" s="35"/>
      <c r="G34" s="1238">
        <v>13860.560498400002</v>
      </c>
      <c r="H34" s="1238">
        <v>13860.560498400002</v>
      </c>
      <c r="I34" s="1239">
        <v>18351.099231300002</v>
      </c>
      <c r="J34" s="1240">
        <v>17714.644922700001</v>
      </c>
      <c r="K34" s="1239">
        <v>18315.740658600003</v>
      </c>
      <c r="L34" s="1240">
        <v>18740.043531000003</v>
      </c>
      <c r="M34" s="1239">
        <v>20720.123602200001</v>
      </c>
      <c r="N34" s="1240">
        <v>18952.194967200001</v>
      </c>
      <c r="O34" s="1239">
        <v>21674.805065100005</v>
      </c>
      <c r="P34" s="1240">
        <v>19517.9321304</v>
      </c>
      <c r="Q34" s="1239">
        <v>16795.3220325</v>
      </c>
      <c r="R34" s="1240">
        <v>19517.9321304</v>
      </c>
      <c r="S34" s="1263">
        <v>18245.023513200002</v>
      </c>
      <c r="T34" s="1240">
        <v>11809.7632818</v>
      </c>
      <c r="U34" s="1239">
        <v>18174.306367800003</v>
      </c>
      <c r="V34" s="1240">
        <v>18492.533522100002</v>
      </c>
      <c r="W34" s="1239">
        <v>17856.079213500001</v>
      </c>
      <c r="X34" s="1240">
        <v>20048.310720900005</v>
      </c>
      <c r="Y34">
        <v>19670</v>
      </c>
      <c r="Z34">
        <v>20967</v>
      </c>
      <c r="AA34">
        <v>22573</v>
      </c>
      <c r="AB34" s="805">
        <v>21462</v>
      </c>
      <c r="AC34">
        <v>19630</v>
      </c>
      <c r="AD34" s="417">
        <v>19735</v>
      </c>
      <c r="AE34">
        <v>15710</v>
      </c>
      <c r="AF34" s="589">
        <v>13000</v>
      </c>
      <c r="AG34">
        <v>16932</v>
      </c>
      <c r="AH34">
        <v>18482</v>
      </c>
      <c r="AI34">
        <v>16651</v>
      </c>
      <c r="AJ34">
        <v>20445</v>
      </c>
      <c r="AK34">
        <v>21624</v>
      </c>
      <c r="AL34">
        <v>17687</v>
      </c>
      <c r="AM34">
        <v>22802</v>
      </c>
      <c r="AN34">
        <v>22059</v>
      </c>
      <c r="AO34">
        <v>17180</v>
      </c>
      <c r="AP34" s="417"/>
      <c r="AQ34" s="441"/>
      <c r="BB34" s="417"/>
    </row>
    <row r="35" spans="1:54" ht="14.45">
      <c r="A35" t="s">
        <v>702</v>
      </c>
      <c r="B35" t="s">
        <v>703</v>
      </c>
      <c r="D35" s="35"/>
      <c r="E35" s="35"/>
      <c r="F35" s="35"/>
      <c r="G35" s="1243">
        <f>131064.0338627-120000</f>
        <v>11064.033862700002</v>
      </c>
      <c r="H35" s="1243">
        <f>131064.0338627-120000</f>
        <v>11064.033862700002</v>
      </c>
      <c r="I35" s="1241">
        <f>120418.8950544-110000</f>
        <v>10418.895054399996</v>
      </c>
      <c r="J35" s="1244">
        <f>99196.4208697-90000</f>
        <v>9196.4208696999995</v>
      </c>
      <c r="K35" s="1241">
        <f>116893.1165956-100000</f>
        <v>16893.116595600004</v>
      </c>
      <c r="L35" s="1244">
        <f>-494354.8219829+110000+120000+90000+100000+90000</f>
        <v>15645.178017100028</v>
      </c>
      <c r="M35" s="1239">
        <v>10170.514785000001</v>
      </c>
      <c r="N35" s="1240">
        <v>262738.29861250002</v>
      </c>
      <c r="O35" s="1239">
        <v>102722.19932850001</v>
      </c>
      <c r="P35" s="1244">
        <f>163745.2880385-50000</f>
        <v>113745.2880385</v>
      </c>
      <c r="Q35" s="1241">
        <f>40546.4522762-30000</f>
        <v>10546.452276199998</v>
      </c>
      <c r="R35" s="1244">
        <f>37732.60985235-30000</f>
        <v>7732.6098523499968</v>
      </c>
      <c r="S35" s="1264">
        <f>41936.42263015-30000</f>
        <v>11936.422630150002</v>
      </c>
      <c r="T35" s="1244">
        <f>-125673.66102665+(30000*3)+50000</f>
        <v>14326.338973349993</v>
      </c>
      <c r="U35" s="1241">
        <f>45631.7096687-30000</f>
        <v>15631.709668700001</v>
      </c>
      <c r="V35" s="1244">
        <f>-25697.5006901+30000</f>
        <v>4302.4993098999985</v>
      </c>
      <c r="W35" s="1239">
        <v>12645.340049350001</v>
      </c>
      <c r="X35" s="1240">
        <v>12238.51945795</v>
      </c>
      <c r="Y35">
        <v>10455</v>
      </c>
      <c r="Z35">
        <v>10498</v>
      </c>
      <c r="AA35">
        <v>419596</v>
      </c>
      <c r="AB35" s="805">
        <v>129573</v>
      </c>
      <c r="AC35">
        <v>27148</v>
      </c>
      <c r="AD35" s="417">
        <v>139221</v>
      </c>
      <c r="AE35">
        <v>9558</v>
      </c>
      <c r="AF35" s="589">
        <v>11243</v>
      </c>
      <c r="AG35">
        <v>10289</v>
      </c>
      <c r="AH35">
        <v>10170</v>
      </c>
      <c r="AI35">
        <v>11645</v>
      </c>
      <c r="AJ35">
        <v>10277</v>
      </c>
      <c r="AK35">
        <v>10347</v>
      </c>
      <c r="AL35">
        <v>336539</v>
      </c>
      <c r="AM35">
        <v>68660</v>
      </c>
      <c r="AN35">
        <v>115147</v>
      </c>
      <c r="AO35">
        <v>54624</v>
      </c>
      <c r="AP35" s="417"/>
      <c r="AQ35" s="441"/>
      <c r="BB35" s="417"/>
    </row>
    <row r="36" spans="1:54" ht="14.45">
      <c r="A36" t="s">
        <v>704</v>
      </c>
      <c r="B36" t="s">
        <v>705</v>
      </c>
      <c r="D36" s="993"/>
      <c r="E36" s="994"/>
      <c r="G36" s="1238">
        <v>368.44311419999997</v>
      </c>
      <c r="H36" s="1238">
        <v>368.44311419999997</v>
      </c>
      <c r="I36" s="1239">
        <v>736.88622839999994</v>
      </c>
      <c r="J36" s="1240">
        <v>884.26347407999992</v>
      </c>
      <c r="K36" s="1239">
        <v>2394.8802422999997</v>
      </c>
      <c r="L36" s="1240">
        <v>2505.41317656</v>
      </c>
      <c r="M36" s="1239">
        <v>2837.0119793399999</v>
      </c>
      <c r="N36" s="1240">
        <v>773.73053981999999</v>
      </c>
      <c r="O36" s="1239">
        <v>4163.4071904599996</v>
      </c>
      <c r="P36" s="1240">
        <v>2358.0359308799998</v>
      </c>
      <c r="Q36" s="1239">
        <v>1768.5269481599998</v>
      </c>
      <c r="R36" s="1240">
        <v>663.19760556000006</v>
      </c>
      <c r="S36" s="1263">
        <v>589.50898271999995</v>
      </c>
      <c r="T36" s="1240">
        <v>221.06586851999998</v>
      </c>
      <c r="U36" s="1239">
        <v>368.44311419999997</v>
      </c>
      <c r="V36" s="1240">
        <v>921.10778549999986</v>
      </c>
      <c r="W36" s="1239">
        <v>1400.08383396</v>
      </c>
      <c r="X36" s="1240">
        <v>1805.3712595799998</v>
      </c>
      <c r="Y36">
        <v>2630</v>
      </c>
      <c r="Z36">
        <v>2383</v>
      </c>
      <c r="AA36">
        <v>4637</v>
      </c>
      <c r="AB36" s="805">
        <v>1769</v>
      </c>
      <c r="AC36">
        <v>1397</v>
      </c>
      <c r="AD36" s="417">
        <v>1032</v>
      </c>
      <c r="AE36">
        <v>744</v>
      </c>
      <c r="AF36">
        <v>105</v>
      </c>
      <c r="AG36">
        <v>181</v>
      </c>
      <c r="AH36">
        <v>3314</v>
      </c>
      <c r="AI36">
        <v>-696</v>
      </c>
      <c r="AJ36">
        <v>2871</v>
      </c>
      <c r="AK36">
        <v>3557</v>
      </c>
      <c r="AL36">
        <v>3831</v>
      </c>
      <c r="AM36">
        <v>4633</v>
      </c>
      <c r="AN36">
        <v>3023</v>
      </c>
      <c r="AO36">
        <v>405</v>
      </c>
      <c r="AP36" s="417"/>
      <c r="AQ36" s="441"/>
      <c r="BB36" s="417"/>
    </row>
    <row r="37" spans="1:54" ht="14.45">
      <c r="A37" t="s">
        <v>706</v>
      </c>
      <c r="B37" t="s">
        <v>707</v>
      </c>
      <c r="D37" s="993"/>
      <c r="E37" s="994"/>
      <c r="G37" s="1238">
        <v>72668.219027040002</v>
      </c>
      <c r="H37" s="1238">
        <v>72668.219027040002</v>
      </c>
      <c r="I37" s="1239">
        <v>11321.2415232</v>
      </c>
      <c r="J37" s="1240">
        <v>5483.7263627999992</v>
      </c>
      <c r="K37" s="1239">
        <v>118554.62607576</v>
      </c>
      <c r="L37" s="1240">
        <v>150218.72346096</v>
      </c>
      <c r="M37" s="1239">
        <v>50131.872619920003</v>
      </c>
      <c r="N37" s="1240">
        <v>94603.124478239988</v>
      </c>
      <c r="O37" s="1239">
        <v>41393.289319200005</v>
      </c>
      <c r="P37" s="1240">
        <v>50627.176936559998</v>
      </c>
      <c r="Q37" s="1239">
        <v>30496.594353119999</v>
      </c>
      <c r="R37" s="1245">
        <v>19069.21619064</v>
      </c>
      <c r="S37" s="1265">
        <v>17724.818759760001</v>
      </c>
      <c r="T37" s="1260">
        <v>6969.6393127199999</v>
      </c>
      <c r="U37" s="1259">
        <v>3396.3724569599999</v>
      </c>
      <c r="V37" s="1260">
        <v>3927.0556533600002</v>
      </c>
      <c r="W37" s="1259">
        <v>4563.8754890399996</v>
      </c>
      <c r="X37" s="1260">
        <v>3962.4345331200002</v>
      </c>
      <c r="Y37" s="805">
        <v>4125</v>
      </c>
      <c r="Z37">
        <v>4184</v>
      </c>
      <c r="AA37" s="1020">
        <v>4060</v>
      </c>
      <c r="AB37" s="805">
        <v>3502</v>
      </c>
      <c r="AC37">
        <v>2683</v>
      </c>
      <c r="AD37" s="1261">
        <v>4637</v>
      </c>
      <c r="AE37">
        <v>1981</v>
      </c>
      <c r="AF37" s="589">
        <v>1912</v>
      </c>
      <c r="AG37">
        <v>906</v>
      </c>
      <c r="AH37">
        <v>944</v>
      </c>
      <c r="AI37">
        <v>1442</v>
      </c>
      <c r="AJ37">
        <v>990</v>
      </c>
      <c r="AK37">
        <v>1530</v>
      </c>
      <c r="AL37">
        <v>1179</v>
      </c>
      <c r="AM37">
        <v>1068</v>
      </c>
      <c r="AN37">
        <v>1380</v>
      </c>
      <c r="AO37">
        <v>986</v>
      </c>
      <c r="AP37" s="417"/>
      <c r="AQ37" s="441"/>
      <c r="BB37" s="417"/>
    </row>
    <row r="38" spans="1:54" ht="14.45">
      <c r="A38" t="s">
        <v>708</v>
      </c>
      <c r="B38" t="s">
        <v>709</v>
      </c>
      <c r="D38" s="993"/>
      <c r="E38" s="994"/>
      <c r="G38" s="1238">
        <v>148.92260399999998</v>
      </c>
      <c r="H38" s="1238">
        <v>148.92260399999998</v>
      </c>
      <c r="I38" s="1239">
        <v>0</v>
      </c>
      <c r="J38" s="1240">
        <v>8091.4614839999995</v>
      </c>
      <c r="K38" s="1239">
        <v>14098.006512</v>
      </c>
      <c r="L38" s="1240">
        <v>55845.976499999997</v>
      </c>
      <c r="M38" s="1239">
        <v>46017.084636</v>
      </c>
      <c r="N38" s="1240">
        <v>15934.718627999999</v>
      </c>
      <c r="O38" s="1239">
        <v>25763.610492</v>
      </c>
      <c r="P38" s="1240">
        <v>2779.8886080000002</v>
      </c>
      <c r="Q38" s="1241">
        <v>40506.948288</v>
      </c>
      <c r="R38" s="1244">
        <v>6304.3902360000002</v>
      </c>
      <c r="S38" s="1264">
        <v>434059.74979199999</v>
      </c>
      <c r="T38" s="1244">
        <f>190273.447044-150000</f>
        <v>40273.447044</v>
      </c>
      <c r="U38" s="1241">
        <f>-132044.70888+150000</f>
        <v>17955.291120000009</v>
      </c>
      <c r="V38" s="1240">
        <v>3177.0155519999998</v>
      </c>
      <c r="W38" s="1239">
        <v>1092.0990959999999</v>
      </c>
      <c r="X38" s="1240">
        <v>11715.244848</v>
      </c>
      <c r="Y38">
        <v>53925</v>
      </c>
      <c r="Z38">
        <v>18887</v>
      </c>
      <c r="AA38">
        <v>15545</v>
      </c>
      <c r="AB38" s="805">
        <v>237</v>
      </c>
      <c r="AC38">
        <v>609</v>
      </c>
      <c r="AD38" s="417">
        <v>7669</v>
      </c>
      <c r="AE38">
        <v>4944</v>
      </c>
      <c r="AF38" s="589">
        <v>6348</v>
      </c>
      <c r="AG38">
        <v>6412</v>
      </c>
      <c r="AH38">
        <v>-12538</v>
      </c>
      <c r="AI38">
        <v>0</v>
      </c>
      <c r="AJ38">
        <v>4404</v>
      </c>
      <c r="AK38">
        <v>0</v>
      </c>
      <c r="AL38">
        <v>1849</v>
      </c>
      <c r="AM38">
        <v>0</v>
      </c>
      <c r="AN38">
        <v>0</v>
      </c>
      <c r="AO38">
        <v>0</v>
      </c>
      <c r="AP38" s="417"/>
      <c r="AQ38" s="441"/>
      <c r="BB38" s="417"/>
    </row>
    <row r="39" spans="1:54" ht="14.45">
      <c r="A39" t="s">
        <v>710</v>
      </c>
      <c r="B39" t="s">
        <v>711</v>
      </c>
      <c r="D39" s="35"/>
      <c r="E39" s="35"/>
      <c r="F39" s="35"/>
      <c r="G39" s="1238">
        <v>0</v>
      </c>
      <c r="H39" s="1238">
        <v>0</v>
      </c>
      <c r="I39" s="1239">
        <v>1220.3659519200003</v>
      </c>
      <c r="J39" s="1240">
        <v>169.4952711</v>
      </c>
      <c r="K39" s="1239">
        <v>6237.4259764800008</v>
      </c>
      <c r="L39" s="1240">
        <v>14678.290477260001</v>
      </c>
      <c r="M39" s="1239">
        <v>33051.577864500003</v>
      </c>
      <c r="N39" s="1240">
        <v>24610.713363720002</v>
      </c>
      <c r="O39" s="1239">
        <v>9152.7446394000017</v>
      </c>
      <c r="P39" s="1240">
        <v>21627.596592360002</v>
      </c>
      <c r="Q39" s="1239">
        <v>17254.618597980003</v>
      </c>
      <c r="R39" s="1240">
        <v>7254.3976030800004</v>
      </c>
      <c r="S39" s="1263">
        <v>0</v>
      </c>
      <c r="T39" s="1240">
        <v>0</v>
      </c>
      <c r="U39" s="1239">
        <v>0</v>
      </c>
      <c r="V39" s="1240">
        <v>891.9030666000001</v>
      </c>
      <c r="W39" s="1239">
        <v>6140.4095739000004</v>
      </c>
      <c r="X39" s="1240">
        <v>14064.625281000001</v>
      </c>
      <c r="Y39">
        <v>27911</v>
      </c>
      <c r="Z39">
        <v>23807</v>
      </c>
      <c r="AA39">
        <v>23417</v>
      </c>
      <c r="AB39" s="805">
        <v>16271</v>
      </c>
      <c r="AC39">
        <v>16653</v>
      </c>
      <c r="AD39" s="417">
        <v>14165</v>
      </c>
      <c r="AE39">
        <v>0</v>
      </c>
      <c r="AF39">
        <v>0</v>
      </c>
      <c r="AG39">
        <v>0</v>
      </c>
      <c r="AH39">
        <v>0</v>
      </c>
      <c r="AI39">
        <v>10463</v>
      </c>
      <c r="AJ39">
        <v>24926</v>
      </c>
      <c r="AK39">
        <v>32106</v>
      </c>
      <c r="AL39">
        <v>22472</v>
      </c>
      <c r="AM39">
        <v>24521</v>
      </c>
      <c r="AN39">
        <v>22403</v>
      </c>
      <c r="AO39">
        <v>17753</v>
      </c>
      <c r="AP39" s="417"/>
      <c r="AQ39" s="441"/>
      <c r="BB39" s="417"/>
    </row>
    <row r="40" spans="1:54" ht="14.45">
      <c r="A40" t="s">
        <v>712</v>
      </c>
      <c r="B40" t="s">
        <v>713</v>
      </c>
      <c r="D40" s="35"/>
      <c r="E40" s="35"/>
      <c r="F40" s="35"/>
      <c r="G40" s="1238">
        <v>2364.4739834100001</v>
      </c>
      <c r="H40" s="1238">
        <v>2364.4739834100001</v>
      </c>
      <c r="I40" s="1239">
        <v>2610.1336180499998</v>
      </c>
      <c r="J40" s="1240">
        <v>3899.8466999099996</v>
      </c>
      <c r="K40" s="1239">
        <v>3254.9901589799997</v>
      </c>
      <c r="L40" s="1240">
        <v>3347.1125219700002</v>
      </c>
      <c r="M40" s="1239">
        <v>4084.0914258899998</v>
      </c>
      <c r="N40" s="1240">
        <v>3316.4050676400002</v>
      </c>
      <c r="O40" s="1239">
        <v>3807.72433692</v>
      </c>
      <c r="P40" s="1240">
        <v>3285.6976133100002</v>
      </c>
      <c r="Q40" s="1239">
        <v>3838.4317912500001</v>
      </c>
      <c r="R40" s="1240">
        <v>3930.5541542399997</v>
      </c>
      <c r="S40" s="1263">
        <v>31198.773599279997</v>
      </c>
      <c r="T40" s="1240">
        <v>4790.3628754800002</v>
      </c>
      <c r="U40" s="1239">
        <v>2364.4739834100001</v>
      </c>
      <c r="V40" s="1240">
        <v>3408.5274306300003</v>
      </c>
      <c r="W40" s="1239">
        <v>3562.0647022799999</v>
      </c>
      <c r="X40" s="1240">
        <v>4667.5330581600001</v>
      </c>
      <c r="Y40">
        <v>4568</v>
      </c>
      <c r="Z40">
        <v>4283</v>
      </c>
      <c r="AA40">
        <v>4266</v>
      </c>
      <c r="AB40" s="805">
        <v>3593</v>
      </c>
      <c r="AC40">
        <v>3983</v>
      </c>
      <c r="AD40" s="417">
        <v>8081</v>
      </c>
      <c r="AE40">
        <v>13589</v>
      </c>
      <c r="AF40" s="589">
        <v>21312</v>
      </c>
      <c r="AG40">
        <v>20620</v>
      </c>
      <c r="AH40">
        <v>3369</v>
      </c>
      <c r="AI40">
        <v>3663</v>
      </c>
      <c r="AJ40">
        <v>5798</v>
      </c>
      <c r="AK40">
        <v>33903</v>
      </c>
      <c r="AL40">
        <v>33198</v>
      </c>
      <c r="AM40">
        <v>10995</v>
      </c>
      <c r="AN40">
        <v>19932</v>
      </c>
      <c r="AO40">
        <v>27271</v>
      </c>
      <c r="AP40" s="417"/>
      <c r="AQ40" s="441"/>
      <c r="BB40" s="417"/>
    </row>
    <row r="41" spans="1:54" ht="14.45">
      <c r="A41" t="s">
        <v>714</v>
      </c>
      <c r="B41" t="s">
        <v>715</v>
      </c>
      <c r="D41" s="35"/>
      <c r="E41" s="35"/>
      <c r="G41" s="1238">
        <v>39249.131524199998</v>
      </c>
      <c r="H41" s="1238">
        <v>39249.131524199998</v>
      </c>
      <c r="I41" s="1239">
        <v>3019.1639633999998</v>
      </c>
      <c r="J41" s="1240">
        <v>89489.37680279999</v>
      </c>
      <c r="K41" s="1239">
        <v>119036.4758154</v>
      </c>
      <c r="L41" s="1240">
        <v>10109.1107988</v>
      </c>
      <c r="M41" s="1239">
        <v>68762.307346200003</v>
      </c>
      <c r="N41" s="1240">
        <v>75377.329513200006</v>
      </c>
      <c r="O41" s="1239">
        <v>18759.524401799998</v>
      </c>
      <c r="P41" s="1240">
        <v>0</v>
      </c>
      <c r="Q41" s="1239">
        <v>12551.580522</v>
      </c>
      <c r="R41" s="1240">
        <v>46780.079837400001</v>
      </c>
      <c r="S41" s="1263">
        <v>124769.49502680001</v>
      </c>
      <c r="T41" s="1240">
        <v>66319.837622999999</v>
      </c>
      <c r="U41" s="1239">
        <v>55159.107915599998</v>
      </c>
      <c r="V41" s="1240">
        <v>54209.2585788</v>
      </c>
      <c r="W41" s="1239">
        <v>106281.35614979999</v>
      </c>
      <c r="X41" s="1240">
        <v>22491.0753678</v>
      </c>
      <c r="Y41">
        <v>91851</v>
      </c>
      <c r="Z41">
        <v>36294</v>
      </c>
      <c r="AA41">
        <v>51686</v>
      </c>
      <c r="AB41" s="805">
        <v>780</v>
      </c>
      <c r="AC41">
        <v>11980</v>
      </c>
      <c r="AD41" s="417">
        <v>2239</v>
      </c>
      <c r="AE41">
        <v>109448</v>
      </c>
      <c r="AF41" s="589">
        <v>135985</v>
      </c>
      <c r="AG41">
        <v>105993</v>
      </c>
      <c r="AH41">
        <v>67745</v>
      </c>
      <c r="AI41">
        <v>104506</v>
      </c>
      <c r="AJ41">
        <v>8165</v>
      </c>
      <c r="AK41">
        <v>68765</v>
      </c>
      <c r="AL41">
        <v>314414</v>
      </c>
      <c r="AM41">
        <v>613</v>
      </c>
      <c r="AN41">
        <v>2239</v>
      </c>
      <c r="AO41">
        <v>2837</v>
      </c>
      <c r="AP41" s="417"/>
      <c r="AQ41" s="441"/>
      <c r="BB41" s="417"/>
    </row>
    <row r="42" spans="1:54" ht="14.45">
      <c r="A42" t="s">
        <v>716</v>
      </c>
      <c r="B42" t="s">
        <v>717</v>
      </c>
      <c r="D42" s="35"/>
      <c r="E42" s="35"/>
      <c r="F42" s="35"/>
      <c r="G42" s="1243">
        <f>-6951.78337+5100+1900</f>
        <v>48.216629999999896</v>
      </c>
      <c r="H42" s="1243">
        <f>-6951.78337+5100+1900</f>
        <v>48.216629999999896</v>
      </c>
      <c r="I42" s="1239">
        <f>2025.9482964-1900</f>
        <v>125.94829639999989</v>
      </c>
      <c r="J42" s="1240">
        <v>3019.0602064000004</v>
      </c>
      <c r="K42" s="1239">
        <v>3376.5804940000003</v>
      </c>
      <c r="L42" s="1240">
        <v>4171.0700220000008</v>
      </c>
      <c r="M42" s="1239">
        <v>5680.6001252000005</v>
      </c>
      <c r="N42" s="1240">
        <v>3495.7539232000004</v>
      </c>
      <c r="O42" s="1239">
        <v>5124.4574556000007</v>
      </c>
      <c r="P42" s="1240">
        <v>5045.0085028000003</v>
      </c>
      <c r="Q42" s="1239">
        <v>4290.2434512000009</v>
      </c>
      <c r="R42" s="1240">
        <v>4687.4882152000009</v>
      </c>
      <c r="S42" s="1263">
        <v>4528.5903096000011</v>
      </c>
      <c r="T42" s="1244">
        <v>4845.6612992</v>
      </c>
      <c r="U42" s="1241">
        <v>4101.1702387200003</v>
      </c>
      <c r="V42" s="1240">
        <v>9127.1141587200018</v>
      </c>
      <c r="W42" s="1239">
        <v>7559.0196556800011</v>
      </c>
      <c r="X42" s="1240">
        <v>10252.925596800002</v>
      </c>
      <c r="Y42">
        <v>7528</v>
      </c>
      <c r="Z42">
        <v>7559</v>
      </c>
      <c r="AA42">
        <v>9202</v>
      </c>
      <c r="AB42" s="805">
        <v>9337</v>
      </c>
      <c r="AC42">
        <v>9640</v>
      </c>
      <c r="AD42" s="417">
        <v>6728</v>
      </c>
      <c r="AE42">
        <v>4689</v>
      </c>
      <c r="AF42">
        <v>-915</v>
      </c>
      <c r="AG42">
        <v>6773</v>
      </c>
      <c r="AH42">
        <v>9676</v>
      </c>
      <c r="AI42">
        <v>7793</v>
      </c>
      <c r="AJ42">
        <v>11090</v>
      </c>
      <c r="AK42">
        <v>7286</v>
      </c>
      <c r="AL42">
        <v>5099</v>
      </c>
      <c r="AM42">
        <v>11632</v>
      </c>
      <c r="AN42">
        <v>10011</v>
      </c>
      <c r="AO42">
        <v>10246</v>
      </c>
      <c r="AP42" s="417"/>
      <c r="AQ42" s="441"/>
      <c r="BB42" s="417"/>
    </row>
    <row r="43" spans="1:54" ht="14.45">
      <c r="A43" t="s">
        <v>718</v>
      </c>
      <c r="B43" t="s">
        <v>719</v>
      </c>
      <c r="D43" s="35"/>
      <c r="E43" s="35"/>
      <c r="G43" s="1238">
        <v>124805.8461309</v>
      </c>
      <c r="H43" s="1238">
        <v>124805.8461309</v>
      </c>
      <c r="I43" s="1239">
        <v>88032.995156699995</v>
      </c>
      <c r="J43" s="1240">
        <v>95192.608737600007</v>
      </c>
      <c r="K43" s="1239">
        <v>76638.117203999995</v>
      </c>
      <c r="L43" s="1240">
        <v>86486.787528900008</v>
      </c>
      <c r="M43" s="1239">
        <v>72907.050971699995</v>
      </c>
      <c r="N43" s="1240">
        <v>55024.823624099998</v>
      </c>
      <c r="O43" s="1239">
        <v>54621.465112500002</v>
      </c>
      <c r="P43" s="1240">
        <v>45411.445764299999</v>
      </c>
      <c r="Q43" s="1239">
        <v>49310.578043100002</v>
      </c>
      <c r="R43" s="1240">
        <v>67797.843158100004</v>
      </c>
      <c r="S43" s="1263">
        <v>67764.229948799999</v>
      </c>
      <c r="T43" s="1240">
        <v>41064.522912</v>
      </c>
      <c r="U43" s="1239">
        <v>50338.261002959996</v>
      </c>
      <c r="V43" s="1240">
        <v>76243.130873279995</v>
      </c>
      <c r="W43" s="1239">
        <v>88973.132975999994</v>
      </c>
      <c r="X43" s="1240">
        <v>72376.221632399989</v>
      </c>
      <c r="Y43">
        <v>75266</v>
      </c>
      <c r="Z43">
        <v>50601</v>
      </c>
      <c r="AA43">
        <v>61980</v>
      </c>
      <c r="AB43" s="805">
        <v>49483</v>
      </c>
      <c r="AC43">
        <v>50162</v>
      </c>
      <c r="AD43" s="417">
        <v>66873</v>
      </c>
      <c r="AE43">
        <v>57687</v>
      </c>
      <c r="AF43" s="589">
        <v>89911</v>
      </c>
      <c r="AG43">
        <v>69310</v>
      </c>
      <c r="AH43">
        <v>63831</v>
      </c>
      <c r="AI43">
        <v>78917</v>
      </c>
      <c r="AJ43">
        <v>56579</v>
      </c>
      <c r="AK43">
        <v>69992</v>
      </c>
      <c r="AL43">
        <v>70162</v>
      </c>
      <c r="AM43">
        <v>68910</v>
      </c>
      <c r="AN43">
        <v>55175</v>
      </c>
      <c r="AO43">
        <v>67394</v>
      </c>
      <c r="AP43" s="417"/>
      <c r="AQ43" s="441"/>
      <c r="BB43" s="417"/>
    </row>
    <row r="44" spans="1:54" ht="14.45">
      <c r="A44" t="s">
        <v>720</v>
      </c>
      <c r="B44" t="s">
        <v>721</v>
      </c>
      <c r="D44" s="35"/>
      <c r="E44" s="35"/>
      <c r="G44" s="1238">
        <v>1459.9174665599999</v>
      </c>
      <c r="H44" s="1238">
        <v>1459.9174665599999</v>
      </c>
      <c r="I44" s="1239">
        <v>1733.6519915399999</v>
      </c>
      <c r="J44" s="1240">
        <v>1976.9715692999998</v>
      </c>
      <c r="K44" s="1239">
        <v>2828.5900914599997</v>
      </c>
      <c r="L44" s="1240">
        <v>3102.3246164399998</v>
      </c>
      <c r="M44" s="1239">
        <v>4805.5616607599995</v>
      </c>
      <c r="N44" s="1240">
        <v>6539.2136522999999</v>
      </c>
      <c r="O44" s="1239">
        <v>5505.10544682</v>
      </c>
      <c r="P44" s="1240">
        <v>5292.2008162799993</v>
      </c>
      <c r="Q44" s="1239">
        <v>3953.9431385999997</v>
      </c>
      <c r="R44" s="1240">
        <v>2919.8349331199997</v>
      </c>
      <c r="S44" s="1263">
        <v>2281.1210415</v>
      </c>
      <c r="T44" s="1240">
        <v>1003.69325826</v>
      </c>
      <c r="U44" s="1239">
        <v>1155.7679943600001</v>
      </c>
      <c r="V44" s="1240">
        <v>2159.4612526199999</v>
      </c>
      <c r="W44" s="1239">
        <v>4075.6029274799998</v>
      </c>
      <c r="X44" s="1240">
        <v>4531.8271357799995</v>
      </c>
      <c r="Y44">
        <v>4800</v>
      </c>
      <c r="Z44">
        <v>5718</v>
      </c>
      <c r="AA44">
        <v>5450</v>
      </c>
      <c r="AB44" s="805">
        <v>3589</v>
      </c>
      <c r="AC44">
        <v>4097</v>
      </c>
      <c r="AD44" s="417">
        <v>2465</v>
      </c>
      <c r="AE44">
        <v>2150</v>
      </c>
      <c r="AF44" s="589">
        <v>1413</v>
      </c>
      <c r="AG44">
        <v>1018</v>
      </c>
      <c r="AH44">
        <v>1533</v>
      </c>
      <c r="AI44">
        <v>2419</v>
      </c>
      <c r="AJ44">
        <v>3160</v>
      </c>
      <c r="AK44">
        <v>3089</v>
      </c>
      <c r="AL44">
        <v>4360</v>
      </c>
      <c r="AM44">
        <v>4956</v>
      </c>
      <c r="AN44">
        <v>4198</v>
      </c>
      <c r="AO44">
        <v>3361</v>
      </c>
      <c r="AP44" s="417"/>
      <c r="AQ44" s="441"/>
      <c r="BB44" s="417"/>
    </row>
    <row r="45" spans="1:54" ht="14.45">
      <c r="A45" t="s">
        <v>722</v>
      </c>
      <c r="B45" t="s">
        <v>723</v>
      </c>
      <c r="D45" s="35"/>
      <c r="E45" s="35"/>
      <c r="G45" s="1238">
        <v>1964.3503219199999</v>
      </c>
      <c r="H45" s="1238">
        <v>1964.3503219199999</v>
      </c>
      <c r="I45" s="1239">
        <v>3990.0865914000001</v>
      </c>
      <c r="J45" s="1240">
        <v>4450.4811981000003</v>
      </c>
      <c r="K45" s="1239">
        <v>6353.4455724600002</v>
      </c>
      <c r="L45" s="1240">
        <v>7212.8488382999994</v>
      </c>
      <c r="M45" s="1239">
        <v>11724.715983960001</v>
      </c>
      <c r="N45" s="1240">
        <v>10404.91811142</v>
      </c>
      <c r="O45" s="1239">
        <v>11847.487879080001</v>
      </c>
      <c r="P45" s="1240">
        <v>11694.023010180001</v>
      </c>
      <c r="Q45" s="1239">
        <v>7918.78723524</v>
      </c>
      <c r="R45" s="1240">
        <v>4020.7795651800002</v>
      </c>
      <c r="S45" s="1263">
        <v>3345.5341420200002</v>
      </c>
      <c r="T45" s="1240">
        <v>920.78921339999999</v>
      </c>
      <c r="U45" s="1239">
        <v>1227.7189512</v>
      </c>
      <c r="V45" s="1240">
        <v>2117.8151908199998</v>
      </c>
      <c r="W45" s="1239">
        <v>4696.0249883400002</v>
      </c>
      <c r="X45" s="1240">
        <v>5678.2001493000007</v>
      </c>
      <c r="Y45">
        <v>7498</v>
      </c>
      <c r="Z45">
        <v>8593</v>
      </c>
      <c r="AA45">
        <v>9178</v>
      </c>
      <c r="AB45" s="805">
        <v>5770</v>
      </c>
      <c r="AC45">
        <v>5758</v>
      </c>
      <c r="AD45" s="417">
        <v>4300</v>
      </c>
      <c r="AE45">
        <v>3325</v>
      </c>
      <c r="AF45" s="589">
        <v>1863</v>
      </c>
      <c r="AG45">
        <v>1934</v>
      </c>
      <c r="AH45">
        <v>3550</v>
      </c>
      <c r="AI45">
        <v>5156</v>
      </c>
      <c r="AJ45">
        <v>6439</v>
      </c>
      <c r="AK45">
        <v>7747</v>
      </c>
      <c r="AL45">
        <v>6910</v>
      </c>
      <c r="AM45">
        <v>6669</v>
      </c>
      <c r="AN45">
        <v>4329</v>
      </c>
      <c r="AO45">
        <v>3178</v>
      </c>
      <c r="AP45" s="417"/>
      <c r="AQ45" s="441"/>
      <c r="BB45" s="417"/>
    </row>
    <row r="46" spans="1:54" ht="14.45">
      <c r="A46" t="s">
        <v>724</v>
      </c>
      <c r="B46" t="s">
        <v>725</v>
      </c>
      <c r="D46" s="35"/>
      <c r="E46" s="35"/>
      <c r="F46" s="35"/>
      <c r="G46" s="1238">
        <v>42007.997355029998</v>
      </c>
      <c r="H46" s="1238">
        <v>42007.997355029998</v>
      </c>
      <c r="I46" s="1239">
        <v>35532.18823896</v>
      </c>
      <c r="J46" s="1240">
        <v>38481.90233895</v>
      </c>
      <c r="K46" s="1239">
        <v>51501.330090629999</v>
      </c>
      <c r="L46" s="1240">
        <v>58756.948681410002</v>
      </c>
      <c r="M46" s="1239">
        <v>99171.422327250009</v>
      </c>
      <c r="N46" s="1240">
        <v>96357.327266339998</v>
      </c>
      <c r="O46" s="1239">
        <v>85745.137458330006</v>
      </c>
      <c r="P46" s="1240">
        <v>85982.470776720002</v>
      </c>
      <c r="Q46" s="1239">
        <v>78523.423627319993</v>
      </c>
      <c r="R46" s="1240">
        <v>61774.472300940004</v>
      </c>
      <c r="S46" s="1263">
        <v>54925.710827399998</v>
      </c>
      <c r="T46" s="1240">
        <v>46178.282806740004</v>
      </c>
      <c r="U46" s="1239">
        <v>36922.283389529999</v>
      </c>
      <c r="V46" s="1240">
        <v>43703.235343529996</v>
      </c>
      <c r="W46" s="1239">
        <v>65741.329194029997</v>
      </c>
      <c r="X46" s="1240">
        <v>67809.519539999994</v>
      </c>
      <c r="Y46" s="805">
        <v>89873</v>
      </c>
      <c r="Z46">
        <v>113153</v>
      </c>
      <c r="AA46" s="805">
        <v>112043</v>
      </c>
      <c r="AB46" s="805">
        <v>81100</v>
      </c>
      <c r="AC46" s="805">
        <v>74463</v>
      </c>
      <c r="AD46" s="1005">
        <v>65645</v>
      </c>
      <c r="AE46">
        <v>49309</v>
      </c>
      <c r="AF46" s="589">
        <v>48800</v>
      </c>
      <c r="AG46">
        <v>50142</v>
      </c>
      <c r="AH46">
        <v>51578</v>
      </c>
      <c r="AI46">
        <v>62078</v>
      </c>
      <c r="AJ46">
        <v>75430</v>
      </c>
      <c r="AK46">
        <v>97711</v>
      </c>
      <c r="AL46">
        <v>90596</v>
      </c>
      <c r="AM46">
        <v>94123</v>
      </c>
      <c r="AN46">
        <v>80301</v>
      </c>
      <c r="AO46">
        <v>73151</v>
      </c>
      <c r="AP46" s="417"/>
      <c r="AQ46" s="441"/>
      <c r="BB46" s="417"/>
    </row>
    <row r="47" spans="1:54" ht="14.45">
      <c r="A47" t="s">
        <v>726</v>
      </c>
      <c r="B47" t="s">
        <v>727</v>
      </c>
      <c r="D47" s="35"/>
      <c r="E47" s="35"/>
      <c r="F47" s="35"/>
      <c r="G47" s="1238">
        <v>0</v>
      </c>
      <c r="H47" s="1238">
        <v>0</v>
      </c>
      <c r="I47" s="1239">
        <v>395.92140588000001</v>
      </c>
      <c r="J47" s="1240">
        <v>1400.95266696</v>
      </c>
      <c r="K47" s="1239">
        <v>1126.85323212</v>
      </c>
      <c r="L47" s="1240">
        <v>1492.3191452399999</v>
      </c>
      <c r="M47" s="1239">
        <v>1370.4971742</v>
      </c>
      <c r="N47" s="1240">
        <v>1096.3977393600001</v>
      </c>
      <c r="O47" s="1239">
        <v>1492.3191452399999</v>
      </c>
      <c r="P47" s="1240">
        <v>1370.4971742</v>
      </c>
      <c r="Q47" s="1239">
        <v>1461.8636524799999</v>
      </c>
      <c r="R47" s="1240">
        <v>944.12027555999998</v>
      </c>
      <c r="S47" s="1263">
        <v>60.910985520000004</v>
      </c>
      <c r="T47" s="1240">
        <v>121.82197104000001</v>
      </c>
      <c r="U47" s="1239">
        <v>395.92140588000001</v>
      </c>
      <c r="V47" s="1240">
        <v>639.56534796000005</v>
      </c>
      <c r="W47" s="1239">
        <v>730.93182623999996</v>
      </c>
      <c r="X47" s="1240">
        <v>944.12027555999998</v>
      </c>
      <c r="Y47">
        <v>1010</v>
      </c>
      <c r="Z47">
        <v>770</v>
      </c>
      <c r="AA47">
        <v>920</v>
      </c>
      <c r="AB47" s="805">
        <v>761</v>
      </c>
      <c r="AC47">
        <v>881</v>
      </c>
      <c r="AD47" s="417">
        <v>579</v>
      </c>
      <c r="AE47">
        <v>0</v>
      </c>
      <c r="AF47">
        <v>0</v>
      </c>
      <c r="AG47">
        <v>210</v>
      </c>
      <c r="AH47">
        <v>692</v>
      </c>
      <c r="AI47">
        <v>696</v>
      </c>
      <c r="AJ47">
        <v>974</v>
      </c>
      <c r="AK47">
        <v>919</v>
      </c>
      <c r="AL47">
        <v>430</v>
      </c>
      <c r="AM47">
        <v>919</v>
      </c>
      <c r="AN47">
        <v>1097</v>
      </c>
      <c r="AO47">
        <v>910</v>
      </c>
      <c r="AP47" s="417"/>
      <c r="AQ47" s="441"/>
      <c r="BB47" s="417"/>
    </row>
    <row r="48" spans="1:54" ht="14.45">
      <c r="A48" t="s">
        <v>728</v>
      </c>
      <c r="B48" t="s">
        <v>729</v>
      </c>
      <c r="D48" s="35"/>
      <c r="E48" s="35"/>
      <c r="F48" s="35"/>
      <c r="G48" s="1238">
        <v>8116.9246008900009</v>
      </c>
      <c r="H48" s="1238">
        <v>8116.9246008900009</v>
      </c>
      <c r="I48" s="1239">
        <v>5472.0840005999999</v>
      </c>
      <c r="J48" s="1240">
        <v>5593.6858672799999</v>
      </c>
      <c r="K48" s="1239">
        <v>6353.6975340300005</v>
      </c>
      <c r="L48" s="1240">
        <v>6080.0933340000001</v>
      </c>
      <c r="M48" s="1239">
        <v>8208.1260008999998</v>
      </c>
      <c r="N48" s="1240">
        <v>3587.2550670600003</v>
      </c>
      <c r="O48" s="1239">
        <v>7660.91760084</v>
      </c>
      <c r="P48" s="1240">
        <v>7934.5218008700003</v>
      </c>
      <c r="Q48" s="1239">
        <v>7356.9129341400003</v>
      </c>
      <c r="R48" s="1240">
        <v>6840.1050007499998</v>
      </c>
      <c r="S48" s="1263">
        <v>6049.6928673299999</v>
      </c>
      <c r="T48" s="1240">
        <v>6080.0933340000001</v>
      </c>
      <c r="U48" s="1239">
        <v>60.80093334</v>
      </c>
      <c r="V48" s="1240">
        <v>0</v>
      </c>
      <c r="W48" s="1239">
        <v>0</v>
      </c>
      <c r="X48" s="1240">
        <v>3344.0513337000002</v>
      </c>
      <c r="Y48">
        <v>8465</v>
      </c>
      <c r="Z48">
        <v>8880</v>
      </c>
      <c r="AA48">
        <v>8416</v>
      </c>
      <c r="AB48" s="805">
        <v>7175</v>
      </c>
      <c r="AC48">
        <v>7250</v>
      </c>
      <c r="AD48" s="417">
        <v>7818</v>
      </c>
      <c r="AE48">
        <v>5248</v>
      </c>
      <c r="AF48">
        <v>0</v>
      </c>
      <c r="AG48">
        <v>269</v>
      </c>
      <c r="AH48">
        <v>6792</v>
      </c>
      <c r="AI48">
        <v>8371</v>
      </c>
      <c r="AJ48">
        <v>8717</v>
      </c>
      <c r="AK48">
        <v>10700</v>
      </c>
      <c r="AL48">
        <v>9299</v>
      </c>
      <c r="AM48">
        <v>11375</v>
      </c>
      <c r="AN48">
        <v>12133</v>
      </c>
      <c r="AO48">
        <v>11472</v>
      </c>
      <c r="AP48" s="417"/>
      <c r="AQ48" s="441"/>
      <c r="BB48" s="417"/>
    </row>
    <row r="49" spans="1:54" ht="14.45">
      <c r="A49" s="35" t="s">
        <v>730</v>
      </c>
      <c r="B49" t="s">
        <v>731</v>
      </c>
      <c r="D49" s="35"/>
      <c r="E49" s="35"/>
      <c r="F49" s="35"/>
      <c r="G49" s="1238">
        <v>3168.6385244799999</v>
      </c>
      <c r="H49" s="1238">
        <v>3168.6385244799999</v>
      </c>
      <c r="I49" s="1239">
        <v>8226.2730924000007</v>
      </c>
      <c r="J49" s="1240">
        <v>12004.265179279999</v>
      </c>
      <c r="K49" s="1239">
        <v>10237.139848319999</v>
      </c>
      <c r="L49" s="1240">
        <v>14654.95317572</v>
      </c>
      <c r="M49" s="1239">
        <v>12430.812672959999</v>
      </c>
      <c r="N49" s="1240">
        <v>9627.7862859199995</v>
      </c>
      <c r="O49" s="1239">
        <v>10359.010560799999</v>
      </c>
      <c r="P49" s="1240">
        <v>9079.3680797599991</v>
      </c>
      <c r="Q49" s="1239">
        <v>9201.2387922399994</v>
      </c>
      <c r="R49" s="1240">
        <v>5910.7295552799997</v>
      </c>
      <c r="S49" s="1263">
        <v>3534.2506619199999</v>
      </c>
      <c r="T49" s="1244">
        <f>1286</f>
        <v>1286</v>
      </c>
      <c r="U49" s="1241">
        <f>30041.13062632-10000</f>
        <v>20041.130626319999</v>
      </c>
      <c r="V49" s="1240">
        <v>7891.1286330799994</v>
      </c>
      <c r="W49" s="1239">
        <v>9384.0448609600007</v>
      </c>
      <c r="X49" s="1240">
        <v>9323.1095047199997</v>
      </c>
      <c r="Y49">
        <v>9379</v>
      </c>
      <c r="Z49">
        <v>9413</v>
      </c>
      <c r="AA49">
        <v>10068</v>
      </c>
      <c r="AB49" s="805">
        <v>8775</v>
      </c>
      <c r="AC49">
        <v>10152</v>
      </c>
      <c r="AD49" s="417">
        <v>4824</v>
      </c>
      <c r="AE49">
        <v>4748</v>
      </c>
      <c r="AF49" s="1258">
        <v>-4724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 s="417"/>
      <c r="AQ49" s="441"/>
      <c r="BB49" s="417"/>
    </row>
    <row r="50" spans="1:54" ht="14.45">
      <c r="A50" s="35" t="s">
        <v>732</v>
      </c>
      <c r="B50" t="s">
        <v>733</v>
      </c>
      <c r="D50" s="35"/>
      <c r="E50" s="35"/>
      <c r="F50" s="35"/>
      <c r="G50" s="1238">
        <v>0</v>
      </c>
      <c r="H50" s="1238">
        <v>0</v>
      </c>
      <c r="I50" s="1239">
        <v>744.79919887999995</v>
      </c>
      <c r="J50" s="1240">
        <v>1523.4529067999999</v>
      </c>
      <c r="K50" s="1239">
        <v>0</v>
      </c>
      <c r="L50" s="1244">
        <f>18958.5250624-17000</f>
        <v>1958.5250624</v>
      </c>
      <c r="M50" s="1241">
        <f>41979.5912096-40000</f>
        <v>1979.5912096000029</v>
      </c>
      <c r="N50" s="1244">
        <f>-55453.68580752+17000+40000</f>
        <v>1546.3141924800002</v>
      </c>
      <c r="O50" s="1241">
        <f>82943.547148-30000</f>
        <v>52943.547147999998</v>
      </c>
      <c r="P50" s="1244">
        <f>75393.99163208-56000</f>
        <v>19393.991632079997</v>
      </c>
      <c r="Q50" s="1241">
        <f>18619.979972-10000</f>
        <v>8619.979972000001</v>
      </c>
      <c r="R50" s="1240">
        <v>0</v>
      </c>
      <c r="S50" s="1264">
        <f>-88360.2685944+65000+30000</f>
        <v>6639.7314056000032</v>
      </c>
      <c r="T50" s="1244">
        <f>-338.5450904+1000</f>
        <v>661.45490960000006</v>
      </c>
      <c r="U50" s="1239">
        <v>1015.6352711999999</v>
      </c>
      <c r="V50" s="1240">
        <v>1049.4897802400001</v>
      </c>
      <c r="W50" s="1239">
        <v>6026.1026091200001</v>
      </c>
      <c r="X50" s="1240">
        <v>2166.6885785600002</v>
      </c>
      <c r="Y50">
        <v>1983</v>
      </c>
      <c r="Z50">
        <v>4049</v>
      </c>
      <c r="AA50">
        <v>2660</v>
      </c>
      <c r="AB50" s="805">
        <v>2573</v>
      </c>
      <c r="AC50">
        <v>2912</v>
      </c>
      <c r="AD50" s="417">
        <v>2880</v>
      </c>
      <c r="AE50">
        <v>2082</v>
      </c>
      <c r="AF50" s="589">
        <v>2204</v>
      </c>
      <c r="AG50">
        <v>2205</v>
      </c>
      <c r="AH50">
        <v>2082</v>
      </c>
      <c r="AI50">
        <v>-2904</v>
      </c>
      <c r="AJ50">
        <v>1798</v>
      </c>
      <c r="AK50">
        <v>-1333</v>
      </c>
      <c r="AL50">
        <v>240</v>
      </c>
      <c r="AM50">
        <v>239</v>
      </c>
      <c r="AN50">
        <v>1660</v>
      </c>
      <c r="AO50">
        <v>1552</v>
      </c>
      <c r="AP50" s="417"/>
      <c r="AQ50" s="441"/>
      <c r="BB50" s="417"/>
    </row>
    <row r="51" spans="1:54" ht="14.45">
      <c r="A51" s="35" t="s">
        <v>734</v>
      </c>
      <c r="B51" t="s">
        <v>735</v>
      </c>
      <c r="D51" s="35"/>
      <c r="E51" s="35"/>
      <c r="F51" s="35"/>
      <c r="G51" s="1238">
        <v>252499.974552</v>
      </c>
      <c r="H51" s="1238">
        <v>252499.974552</v>
      </c>
      <c r="I51" s="1239">
        <v>252499.974552</v>
      </c>
      <c r="J51" s="1240">
        <v>505845.66039200005</v>
      </c>
      <c r="K51" s="1239">
        <v>259192.124744</v>
      </c>
      <c r="L51" s="1240">
        <v>327952.129464</v>
      </c>
      <c r="M51" s="1239">
        <v>374613.33052800002</v>
      </c>
      <c r="N51" s="1240">
        <v>376782.76383199997</v>
      </c>
      <c r="O51" s="1239">
        <v>399396.34827199997</v>
      </c>
      <c r="P51" s="1240">
        <v>333467.63786399999</v>
      </c>
      <c r="Q51" s="1239">
        <v>358986.056728</v>
      </c>
      <c r="R51" s="1240">
        <v>222679.45913599999</v>
      </c>
      <c r="S51" s="1263">
        <v>261140.93771200001</v>
      </c>
      <c r="T51" s="1240">
        <v>255257.728752</v>
      </c>
      <c r="U51" s="1239">
        <v>216943.33039999998</v>
      </c>
      <c r="V51" s="1240">
        <v>229077.44887999998</v>
      </c>
      <c r="W51" s="1239">
        <v>266877.06644800003</v>
      </c>
      <c r="X51" s="1240">
        <v>272613.19518400001</v>
      </c>
      <c r="Y51">
        <v>293222</v>
      </c>
      <c r="Z51">
        <v>382678</v>
      </c>
      <c r="AA51">
        <v>361583</v>
      </c>
      <c r="AB51" s="805">
        <v>296108</v>
      </c>
      <c r="AC51">
        <v>312208</v>
      </c>
      <c r="AD51" s="417">
        <v>271198</v>
      </c>
      <c r="AE51">
        <v>229596</v>
      </c>
      <c r="AF51" s="589">
        <v>191548</v>
      </c>
      <c r="AG51">
        <v>210008</v>
      </c>
      <c r="AH51">
        <v>225157</v>
      </c>
      <c r="AI51">
        <v>303085</v>
      </c>
      <c r="AJ51">
        <v>321948</v>
      </c>
      <c r="AK51">
        <v>345686</v>
      </c>
      <c r="AL51">
        <v>342506</v>
      </c>
      <c r="AM51">
        <v>390787</v>
      </c>
      <c r="AN51">
        <v>365907</v>
      </c>
      <c r="AO51">
        <v>294191</v>
      </c>
      <c r="AP51" s="417"/>
      <c r="AQ51" s="441"/>
      <c r="BB51" s="417"/>
    </row>
    <row r="52" spans="1:54" ht="14.45">
      <c r="A52" t="s">
        <v>736</v>
      </c>
      <c r="B52" t="s">
        <v>737</v>
      </c>
      <c r="D52" s="35"/>
      <c r="E52" s="35"/>
      <c r="F52" s="35"/>
      <c r="G52" s="1246">
        <v>0</v>
      </c>
      <c r="H52" s="1246">
        <v>0</v>
      </c>
      <c r="I52" s="1247">
        <v>0</v>
      </c>
      <c r="J52" s="1248">
        <v>0</v>
      </c>
      <c r="K52" s="1247">
        <v>61.470044260000002</v>
      </c>
      <c r="L52" s="1248">
        <v>522.49537621000002</v>
      </c>
      <c r="M52" s="1247">
        <v>399.55528769000006</v>
      </c>
      <c r="N52" s="1248">
        <v>30.735022130000001</v>
      </c>
      <c r="O52" s="1247">
        <v>184.41013278000003</v>
      </c>
      <c r="P52" s="1248">
        <v>153.67511065000002</v>
      </c>
      <c r="Q52" s="1247">
        <v>276.61519917000004</v>
      </c>
      <c r="R52" s="1248">
        <v>30.735022130000001</v>
      </c>
      <c r="S52" s="1266">
        <v>0</v>
      </c>
      <c r="T52" s="1240">
        <v>0</v>
      </c>
      <c r="U52" s="1247">
        <v>0</v>
      </c>
      <c r="V52" s="1248">
        <v>0</v>
      </c>
      <c r="W52" s="1247">
        <v>184.41013278000003</v>
      </c>
      <c r="X52" s="1248">
        <v>245.88017704000001</v>
      </c>
      <c r="Y52" s="295">
        <v>1198</v>
      </c>
      <c r="Z52" s="295">
        <v>645</v>
      </c>
      <c r="AA52" s="295">
        <v>489</v>
      </c>
      <c r="AB52" s="1234">
        <v>0</v>
      </c>
      <c r="AC52" s="295">
        <v>92</v>
      </c>
      <c r="AD52" s="494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213</v>
      </c>
      <c r="AK52">
        <v>31</v>
      </c>
      <c r="AL52">
        <v>0</v>
      </c>
      <c r="AM52">
        <v>31</v>
      </c>
      <c r="AN52">
        <v>30</v>
      </c>
      <c r="AO52">
        <v>91</v>
      </c>
      <c r="AP52" s="417"/>
      <c r="AQ52" s="441"/>
      <c r="BB52" s="417"/>
    </row>
    <row r="53" spans="1:54" ht="14.45">
      <c r="A53" t="s">
        <v>738</v>
      </c>
      <c r="B53" t="s">
        <v>739</v>
      </c>
      <c r="D53" s="35"/>
      <c r="E53" s="35"/>
      <c r="F53" s="35"/>
      <c r="G53" s="1238">
        <v>0</v>
      </c>
      <c r="H53" s="1238">
        <v>0</v>
      </c>
      <c r="I53" s="1239">
        <v>0</v>
      </c>
      <c r="J53" s="1240">
        <v>0</v>
      </c>
      <c r="K53" s="1239">
        <v>0</v>
      </c>
      <c r="L53" s="1240">
        <v>0</v>
      </c>
      <c r="M53" s="1239">
        <v>0</v>
      </c>
      <c r="N53" s="1240">
        <v>597.81652259999998</v>
      </c>
      <c r="O53" s="1239">
        <v>39.854434839999996</v>
      </c>
      <c r="P53" s="1240">
        <v>358.68991355999998</v>
      </c>
      <c r="Q53" s="1239">
        <v>597.81652259999998</v>
      </c>
      <c r="R53" s="1240">
        <v>39.854434839999996</v>
      </c>
      <c r="S53" s="1263">
        <v>597.81652259999998</v>
      </c>
      <c r="T53" s="1240">
        <v>79.708869679999992</v>
      </c>
      <c r="U53" s="1239">
        <v>10999.82401584</v>
      </c>
      <c r="V53" s="1240">
        <v>26383.635864080003</v>
      </c>
      <c r="W53" s="1239">
        <v>31564.712393279999</v>
      </c>
      <c r="X53" s="1240">
        <v>7851.3236634799996</v>
      </c>
      <c r="Y53">
        <v>7660</v>
      </c>
      <c r="Z53">
        <v>3569</v>
      </c>
      <c r="AA53">
        <v>4430</v>
      </c>
      <c r="AB53" s="805">
        <v>40</v>
      </c>
      <c r="AC53">
        <v>600</v>
      </c>
      <c r="AD53" s="417">
        <v>13237</v>
      </c>
      <c r="AE53">
        <v>17453</v>
      </c>
      <c r="AF53">
        <v>196</v>
      </c>
      <c r="AG53">
        <v>705</v>
      </c>
      <c r="AH53">
        <v>79</v>
      </c>
      <c r="AI53">
        <v>6697</v>
      </c>
      <c r="AJ53">
        <v>8870</v>
      </c>
      <c r="AK53">
        <v>6366</v>
      </c>
      <c r="AL53">
        <v>3245</v>
      </c>
      <c r="AM53">
        <v>80</v>
      </c>
      <c r="AN53">
        <v>79</v>
      </c>
      <c r="AO53">
        <v>394</v>
      </c>
      <c r="AP53" s="417"/>
      <c r="BB53" s="417"/>
    </row>
    <row r="54" spans="1:54">
      <c r="A54" t="s">
        <v>740</v>
      </c>
      <c r="AD54" s="417"/>
      <c r="AK54" t="s">
        <v>699</v>
      </c>
      <c r="AL54">
        <v>3408</v>
      </c>
      <c r="AM54">
        <v>1612</v>
      </c>
      <c r="AN54">
        <v>1672</v>
      </c>
      <c r="AO54">
        <v>1256</v>
      </c>
      <c r="AP54" s="417"/>
      <c r="BB54" s="417"/>
    </row>
    <row r="55" spans="1:54" ht="14.45">
      <c r="A55" s="35" t="s">
        <v>741</v>
      </c>
      <c r="B55" t="s">
        <v>742</v>
      </c>
      <c r="D55" s="35"/>
      <c r="E55" s="35"/>
      <c r="F55" s="35"/>
      <c r="G55" s="1238">
        <v>2926.78093752</v>
      </c>
      <c r="H55" s="1238">
        <v>2926.78093752</v>
      </c>
      <c r="I55" s="1239">
        <v>4656.2424006000001</v>
      </c>
      <c r="J55" s="1240">
        <v>8602.9621496799991</v>
      </c>
      <c r="K55" s="1239">
        <v>7538.6781724000002</v>
      </c>
      <c r="L55" s="1240">
        <v>12150.575407280001</v>
      </c>
      <c r="M55" s="1239">
        <v>9578.5557955200002</v>
      </c>
      <c r="N55" s="1240">
        <v>10421.1139442</v>
      </c>
      <c r="O55" s="1239">
        <v>12727.062561639999</v>
      </c>
      <c r="P55" s="1240">
        <v>11618.433418640001</v>
      </c>
      <c r="Q55" s="1239">
        <v>11529.7430872</v>
      </c>
      <c r="R55" s="1240">
        <v>5498.8005492800003</v>
      </c>
      <c r="S55" s="1263">
        <v>3503.2680918799997</v>
      </c>
      <c r="T55" s="1240">
        <v>3325.8874289999999</v>
      </c>
      <c r="U55" s="1239">
        <v>4789.2778977600001</v>
      </c>
      <c r="V55" s="1240">
        <v>8602.9621496799991</v>
      </c>
      <c r="W55" s="1239">
        <v>8425.5814867999998</v>
      </c>
      <c r="X55" s="1240">
        <v>9933.3171212800007</v>
      </c>
      <c r="Y55">
        <v>0</v>
      </c>
      <c r="Z55">
        <v>0</v>
      </c>
      <c r="AA55">
        <v>0</v>
      </c>
      <c r="AB55" s="805">
        <v>35872</v>
      </c>
      <c r="AC55">
        <v>13238</v>
      </c>
      <c r="AD55" s="417">
        <v>5341</v>
      </c>
      <c r="AE55">
        <v>1288</v>
      </c>
      <c r="AF55">
        <v>0</v>
      </c>
      <c r="AG55">
        <v>0</v>
      </c>
      <c r="AH55">
        <v>0</v>
      </c>
      <c r="AI55">
        <v>0</v>
      </c>
      <c r="AJ55" s="1257">
        <v>0</v>
      </c>
      <c r="AK55" s="1257">
        <v>0</v>
      </c>
      <c r="AL55">
        <v>0</v>
      </c>
      <c r="AM55">
        <v>0</v>
      </c>
      <c r="AN55">
        <v>0</v>
      </c>
      <c r="AO55">
        <v>0</v>
      </c>
      <c r="AP55" s="417"/>
      <c r="BB55" s="417"/>
    </row>
    <row r="56" spans="1:54" ht="14.45">
      <c r="A56" t="s">
        <v>743</v>
      </c>
      <c r="B56" t="s">
        <v>744</v>
      </c>
      <c r="D56" s="35"/>
      <c r="E56" s="35"/>
      <c r="F56" s="35"/>
      <c r="G56" s="1235">
        <v>343.43396519999999</v>
      </c>
      <c r="H56" s="1235">
        <v>343.43396519999999</v>
      </c>
      <c r="I56" s="1236">
        <v>343.43396519999999</v>
      </c>
      <c r="J56" s="1237">
        <v>343.43396519999999</v>
      </c>
      <c r="K56" s="1236">
        <v>343.43396519999999</v>
      </c>
      <c r="L56" s="1237">
        <v>343.43396519999999</v>
      </c>
      <c r="M56" s="1236">
        <v>343.43396519999999</v>
      </c>
      <c r="N56" s="1237">
        <v>263.29937331999997</v>
      </c>
      <c r="O56" s="1236">
        <v>686.86793039999998</v>
      </c>
      <c r="P56" s="1237">
        <v>480.80755127999998</v>
      </c>
      <c r="Q56" s="1236">
        <v>412.12075823999999</v>
      </c>
      <c r="R56" s="1237">
        <v>503.70314895999996</v>
      </c>
      <c r="S56" s="1262">
        <v>22.895597679999998</v>
      </c>
      <c r="T56" s="1240">
        <v>297.64276983999997</v>
      </c>
      <c r="U56" s="1236">
        <v>57.238994199999993</v>
      </c>
      <c r="V56" s="1237">
        <v>171.71698259999999</v>
      </c>
      <c r="W56" s="1236">
        <v>423.56855707999995</v>
      </c>
      <c r="X56" s="1237">
        <v>297.64276983999997</v>
      </c>
      <c r="Y56" s="1042">
        <v>438</v>
      </c>
      <c r="Z56" s="1042">
        <v>404</v>
      </c>
      <c r="AA56" s="1042">
        <v>609</v>
      </c>
      <c r="AB56" s="1233">
        <v>458</v>
      </c>
      <c r="AC56" s="1042">
        <v>80</v>
      </c>
      <c r="AD56" s="1043">
        <v>247</v>
      </c>
      <c r="AE56">
        <v>67</v>
      </c>
      <c r="AF56">
        <v>201</v>
      </c>
      <c r="AG56">
        <v>-100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 s="417"/>
      <c r="AQ56" s="441"/>
      <c r="BB56" s="417"/>
    </row>
    <row r="57" spans="1:54" ht="14.45">
      <c r="A57" s="992" t="s">
        <v>632</v>
      </c>
      <c r="B57" s="992" t="s">
        <v>633</v>
      </c>
      <c r="C57" s="992"/>
      <c r="D57" s="992"/>
      <c r="E57" s="992"/>
      <c r="F57" s="992"/>
      <c r="G57" s="1015">
        <v>44562</v>
      </c>
      <c r="H57" s="815">
        <v>44593</v>
      </c>
      <c r="I57" s="815">
        <v>44621</v>
      </c>
      <c r="J57" s="815">
        <v>44652</v>
      </c>
      <c r="K57" s="815">
        <v>44682</v>
      </c>
      <c r="L57" s="815">
        <v>44713</v>
      </c>
      <c r="M57" s="815">
        <v>44743</v>
      </c>
      <c r="N57" s="815">
        <v>44774</v>
      </c>
      <c r="O57" s="815">
        <v>44805</v>
      </c>
      <c r="P57" s="814">
        <v>44835</v>
      </c>
      <c r="Q57" s="814">
        <v>44866</v>
      </c>
      <c r="R57" s="1004">
        <v>44896</v>
      </c>
      <c r="S57" s="1003">
        <v>44927</v>
      </c>
      <c r="T57" s="814">
        <v>44958</v>
      </c>
      <c r="U57" s="814">
        <v>44986</v>
      </c>
      <c r="V57" s="814">
        <v>45017</v>
      </c>
      <c r="W57" s="814">
        <v>45047</v>
      </c>
      <c r="X57" s="814">
        <v>45078</v>
      </c>
      <c r="Y57" s="814">
        <v>45108</v>
      </c>
      <c r="Z57" s="814">
        <v>45139</v>
      </c>
      <c r="AA57" s="814">
        <v>45170</v>
      </c>
      <c r="AB57" s="814">
        <v>45200</v>
      </c>
      <c r="AC57" s="814">
        <v>45231</v>
      </c>
      <c r="AD57" s="814">
        <v>45261</v>
      </c>
      <c r="AE57" s="1004">
        <v>45292</v>
      </c>
      <c r="AF57" s="814">
        <v>45323</v>
      </c>
      <c r="AG57" s="814">
        <v>45352</v>
      </c>
      <c r="AH57" s="814">
        <v>45383</v>
      </c>
      <c r="AI57" s="814">
        <v>45413</v>
      </c>
      <c r="AJ57" s="814">
        <v>45444</v>
      </c>
      <c r="AK57" s="814">
        <v>45474</v>
      </c>
      <c r="AL57" s="814">
        <v>45505</v>
      </c>
      <c r="AM57" s="814">
        <v>45536</v>
      </c>
      <c r="AN57" s="814">
        <v>45566</v>
      </c>
      <c r="AO57" s="814">
        <v>45597</v>
      </c>
      <c r="AP57" s="814">
        <v>45627</v>
      </c>
      <c r="AQ57" s="1004">
        <v>45658</v>
      </c>
      <c r="AR57" s="1004">
        <v>45689</v>
      </c>
      <c r="AS57" s="814">
        <v>45717</v>
      </c>
      <c r="AT57" s="814">
        <v>45748</v>
      </c>
      <c r="AU57" s="814">
        <v>45778</v>
      </c>
      <c r="AV57" s="814">
        <v>45809</v>
      </c>
      <c r="AW57" s="814">
        <v>45839</v>
      </c>
      <c r="AX57" s="814">
        <v>45870</v>
      </c>
      <c r="AY57" s="814">
        <v>45901</v>
      </c>
      <c r="AZ57" s="814">
        <v>45931</v>
      </c>
      <c r="BA57" s="814">
        <v>45962</v>
      </c>
      <c r="BB57" s="814">
        <v>45992</v>
      </c>
    </row>
    <row r="58" spans="1:54" ht="14.45">
      <c r="A58" s="1252" t="s">
        <v>745</v>
      </c>
      <c r="B58" s="805"/>
      <c r="D58" s="35"/>
      <c r="E58" s="35">
        <v>1.0625</v>
      </c>
      <c r="F58">
        <v>29.047999999999998</v>
      </c>
      <c r="G58" s="1002">
        <v>352</v>
      </c>
      <c r="H58">
        <v>352</v>
      </c>
      <c r="I58" s="805">
        <v>353.9</v>
      </c>
      <c r="J58">
        <v>354</v>
      </c>
      <c r="K58" s="805">
        <v>354</v>
      </c>
      <c r="L58">
        <v>354</v>
      </c>
      <c r="M58" s="805">
        <v>354</v>
      </c>
      <c r="N58">
        <v>354</v>
      </c>
      <c r="O58" s="805">
        <v>354</v>
      </c>
      <c r="P58">
        <v>354</v>
      </c>
      <c r="Q58" s="805">
        <v>354</v>
      </c>
      <c r="R58" s="417">
        <v>354</v>
      </c>
      <c r="S58" s="1254">
        <v>354.6</v>
      </c>
      <c r="T58" s="35">
        <v>354.7</v>
      </c>
      <c r="U58" s="1252">
        <v>354.87</v>
      </c>
      <c r="V58" s="35">
        <v>355</v>
      </c>
      <c r="W58" s="1252">
        <v>355.18</v>
      </c>
      <c r="X58" s="35">
        <v>355.3</v>
      </c>
      <c r="Y58" s="35">
        <v>355.4</v>
      </c>
      <c r="Z58" s="887">
        <v>355.4</v>
      </c>
      <c r="AA58" s="887">
        <v>355.4</v>
      </c>
      <c r="AB58" s="887">
        <v>356.09</v>
      </c>
      <c r="AC58">
        <v>356.61</v>
      </c>
      <c r="AD58">
        <v>357</v>
      </c>
      <c r="AE58" s="1149">
        <v>357</v>
      </c>
      <c r="AF58" s="1042">
        <v>357</v>
      </c>
      <c r="AG58" s="1042">
        <v>357.12</v>
      </c>
      <c r="AH58" s="1042">
        <v>357.12</v>
      </c>
      <c r="AI58" s="1257">
        <v>357.3</v>
      </c>
      <c r="AJ58" s="1257">
        <v>357</v>
      </c>
      <c r="AK58" s="1257">
        <v>357</v>
      </c>
      <c r="AL58" s="1273">
        <v>357</v>
      </c>
      <c r="AM58" s="1273">
        <v>357</v>
      </c>
      <c r="AN58" s="1273">
        <v>357</v>
      </c>
      <c r="AO58" s="1042"/>
      <c r="AP58" s="1043"/>
      <c r="AQ58" s="1149"/>
      <c r="AR58" s="1042"/>
      <c r="AS58" s="1042"/>
      <c r="AT58" s="1042"/>
      <c r="AU58" s="1042"/>
      <c r="AV58" s="1042"/>
      <c r="AW58" s="1042"/>
      <c r="AX58" s="1042"/>
      <c r="AY58" s="1042"/>
      <c r="AZ58" s="1042"/>
      <c r="BA58" s="1042"/>
      <c r="BB58" s="1043"/>
    </row>
    <row r="59" spans="1:54" ht="14.45">
      <c r="A59" s="1252" t="s">
        <v>746</v>
      </c>
      <c r="B59" s="805"/>
      <c r="D59" s="35"/>
      <c r="E59" s="35"/>
      <c r="G59" s="805"/>
      <c r="I59" s="805"/>
      <c r="K59" s="805"/>
      <c r="M59" s="805"/>
      <c r="O59" s="805"/>
      <c r="Q59" s="805"/>
      <c r="S59" s="1252"/>
      <c r="T59" s="35"/>
      <c r="U59" s="1252"/>
      <c r="V59" s="35"/>
      <c r="W59" s="1252"/>
      <c r="X59" s="35"/>
      <c r="Y59" s="35"/>
      <c r="Z59" s="887"/>
      <c r="AA59" s="887"/>
      <c r="AB59" s="887"/>
      <c r="AE59" s="441"/>
      <c r="AF59" s="508">
        <v>20201.099999999999</v>
      </c>
      <c r="AG59">
        <v>20211.3</v>
      </c>
      <c r="AH59">
        <v>20226.900000000001</v>
      </c>
      <c r="AI59">
        <v>20239.8</v>
      </c>
      <c r="AJ59">
        <v>20240.900000000001</v>
      </c>
      <c r="AK59">
        <v>21808</v>
      </c>
      <c r="AL59">
        <v>21837.4</v>
      </c>
      <c r="AM59">
        <v>21847</v>
      </c>
      <c r="AN59">
        <v>21854</v>
      </c>
      <c r="AP59" s="417"/>
      <c r="AQ59" s="441"/>
      <c r="BB59" s="417"/>
    </row>
    <row r="60" spans="1:54" ht="12.75" customHeight="1">
      <c r="A60" s="1282" t="s">
        <v>724</v>
      </c>
      <c r="B60" s="1252"/>
      <c r="D60" s="35"/>
      <c r="E60" s="35">
        <v>1.1707000000000001</v>
      </c>
      <c r="F60">
        <v>28.961099999999998</v>
      </c>
      <c r="G60" s="805">
        <v>7771</v>
      </c>
      <c r="H60">
        <v>8757</v>
      </c>
      <c r="I60" s="805">
        <v>9902</v>
      </c>
      <c r="J60">
        <v>11483</v>
      </c>
      <c r="K60" s="805">
        <v>13539</v>
      </c>
      <c r="L60">
        <v>16339</v>
      </c>
      <c r="M60" s="805">
        <v>19558</v>
      </c>
      <c r="N60">
        <v>22006</v>
      </c>
      <c r="O60" s="805">
        <v>24714</v>
      </c>
      <c r="P60">
        <v>26943</v>
      </c>
      <c r="Q60" s="805">
        <v>28565</v>
      </c>
      <c r="R60">
        <v>30358</v>
      </c>
      <c r="S60" s="1252">
        <v>31212</v>
      </c>
      <c r="T60" s="35">
        <v>32313</v>
      </c>
      <c r="U60" s="1252">
        <v>33994</v>
      </c>
      <c r="V60" s="35">
        <v>35754</v>
      </c>
      <c r="W60" s="1252">
        <v>38034</v>
      </c>
      <c r="X60" s="35">
        <v>40834</v>
      </c>
      <c r="Y60" s="1252">
        <v>44204</v>
      </c>
      <c r="Z60" s="35">
        <v>47489</v>
      </c>
      <c r="AA60" s="1252">
        <v>49721</v>
      </c>
      <c r="AB60" s="805">
        <v>51953</v>
      </c>
      <c r="AC60" s="805">
        <v>53749</v>
      </c>
      <c r="AD60" s="805">
        <v>54549</v>
      </c>
      <c r="AE60" s="441">
        <v>56500</v>
      </c>
      <c r="AF60">
        <v>58140</v>
      </c>
      <c r="AG60">
        <v>59882</v>
      </c>
      <c r="AH60">
        <v>61527</v>
      </c>
      <c r="AI60">
        <v>64316</v>
      </c>
      <c r="AJ60">
        <v>66685</v>
      </c>
      <c r="AK60">
        <v>69694</v>
      </c>
      <c r="AL60">
        <v>72482</v>
      </c>
      <c r="AM60" s="1257">
        <v>75270</v>
      </c>
      <c r="AN60">
        <v>76777</v>
      </c>
      <c r="AP60" s="417"/>
      <c r="AQ60" s="441"/>
      <c r="BB60" s="417"/>
    </row>
    <row r="61" spans="1:54" ht="15">
      <c r="A61" s="473" t="s">
        <v>728</v>
      </c>
      <c r="B61" s="1252"/>
      <c r="D61" s="35"/>
      <c r="E61" s="35">
        <v>1.0497000000000001</v>
      </c>
      <c r="F61">
        <v>28.961099999999998</v>
      </c>
      <c r="G61" s="1002">
        <v>25258</v>
      </c>
      <c r="H61">
        <v>25427</v>
      </c>
      <c r="I61" s="805">
        <v>25609</v>
      </c>
      <c r="J61">
        <v>25824</v>
      </c>
      <c r="K61" s="805">
        <v>26053</v>
      </c>
      <c r="L61">
        <v>26253</v>
      </c>
      <c r="M61" s="805">
        <v>26458</v>
      </c>
      <c r="N61">
        <v>26713</v>
      </c>
      <c r="O61" s="805">
        <v>26714</v>
      </c>
      <c r="P61">
        <v>27229</v>
      </c>
      <c r="Q61" s="805">
        <v>27435</v>
      </c>
      <c r="R61" s="417">
        <v>27677</v>
      </c>
      <c r="S61" s="1254">
        <v>27765</v>
      </c>
      <c r="T61" s="35">
        <v>27765</v>
      </c>
      <c r="U61" s="1252">
        <v>27765</v>
      </c>
      <c r="V61" s="35">
        <v>27765</v>
      </c>
      <c r="W61" s="1252">
        <v>27950</v>
      </c>
      <c r="X61" s="35">
        <v>28190</v>
      </c>
      <c r="Y61" s="35">
        <v>28530</v>
      </c>
      <c r="Z61" s="1020">
        <v>28779</v>
      </c>
      <c r="AA61" s="35">
        <v>29028</v>
      </c>
      <c r="AB61" s="805">
        <v>29291</v>
      </c>
      <c r="AC61" s="35">
        <v>29531</v>
      </c>
      <c r="AD61" s="35">
        <v>29611</v>
      </c>
      <c r="AE61" s="441">
        <v>29660</v>
      </c>
      <c r="AF61">
        <v>29702</v>
      </c>
      <c r="AG61">
        <v>29967</v>
      </c>
      <c r="AH61">
        <v>30210</v>
      </c>
      <c r="AI61">
        <v>30563</v>
      </c>
      <c r="AJ61">
        <v>30847</v>
      </c>
      <c r="AK61">
        <v>31193</v>
      </c>
      <c r="AL61">
        <v>31610</v>
      </c>
      <c r="AM61" s="1257">
        <v>32000</v>
      </c>
      <c r="AN61">
        <v>32363</v>
      </c>
      <c r="AP61" s="417"/>
      <c r="AQ61" s="441"/>
      <c r="AT61" s="1257"/>
      <c r="BB61" s="417"/>
    </row>
    <row r="62" spans="1:54" s="1020" customFormat="1" ht="14.45">
      <c r="A62" s="975" t="s">
        <v>747</v>
      </c>
      <c r="B62" s="805"/>
      <c r="C62"/>
      <c r="D62" s="35"/>
      <c r="E62" s="35">
        <v>1.27</v>
      </c>
      <c r="F62">
        <v>28.9528</v>
      </c>
      <c r="G62" s="1002">
        <v>123169</v>
      </c>
      <c r="H62">
        <v>129534</v>
      </c>
      <c r="I62" s="805">
        <v>136712</v>
      </c>
      <c r="J62">
        <v>144213</v>
      </c>
      <c r="K62" s="805">
        <v>152646</v>
      </c>
      <c r="L62">
        <v>163178</v>
      </c>
      <c r="M62" s="805">
        <v>174100</v>
      </c>
      <c r="N62">
        <v>184238</v>
      </c>
      <c r="O62" s="805">
        <v>193374</v>
      </c>
      <c r="P62">
        <v>202817</v>
      </c>
      <c r="Q62" s="805">
        <v>209130</v>
      </c>
      <c r="R62" s="417">
        <v>216603</v>
      </c>
      <c r="S62" s="1002">
        <v>223111</v>
      </c>
      <c r="T62">
        <v>228823</v>
      </c>
      <c r="U62" s="805">
        <v>235240</v>
      </c>
      <c r="V62">
        <v>242290</v>
      </c>
      <c r="W62" s="805">
        <v>249705.5</v>
      </c>
      <c r="X62">
        <v>258313.4</v>
      </c>
      <c r="Y62">
        <v>267831.93</v>
      </c>
      <c r="Z62">
        <v>277916.40000000002</v>
      </c>
      <c r="AA62">
        <v>286347.62</v>
      </c>
      <c r="AB62" s="805">
        <v>294175.82</v>
      </c>
      <c r="AC62">
        <v>301258</v>
      </c>
      <c r="AD62">
        <v>308143</v>
      </c>
      <c r="AE62" s="1021">
        <v>313724.46000000002</v>
      </c>
      <c r="AF62" s="1020">
        <v>319671.31</v>
      </c>
      <c r="AG62" s="1020">
        <v>326836.63</v>
      </c>
      <c r="AH62" s="1020">
        <v>334136.78999999998</v>
      </c>
      <c r="AI62" s="1020">
        <v>343402.19</v>
      </c>
      <c r="AJ62" s="1020">
        <v>352199.3</v>
      </c>
      <c r="AK62" s="1020">
        <v>362137.5</v>
      </c>
      <c r="AL62" s="1020">
        <v>372556</v>
      </c>
      <c r="AM62" s="1020">
        <v>382190</v>
      </c>
      <c r="AN62" s="1020">
        <v>390413</v>
      </c>
      <c r="AP62" s="1016"/>
      <c r="AQ62" s="1021"/>
      <c r="BB62" s="1016"/>
    </row>
    <row r="63" spans="1:54" ht="14.45">
      <c r="A63" s="1020" t="s">
        <v>748</v>
      </c>
      <c r="B63" s="1022"/>
      <c r="C63" s="1020"/>
      <c r="D63" s="1020"/>
      <c r="E63" s="1020">
        <v>1.2216</v>
      </c>
      <c r="F63" s="1020">
        <v>28.961099999999998</v>
      </c>
      <c r="G63" s="1023">
        <v>18093</v>
      </c>
      <c r="H63" s="1020">
        <v>18219</v>
      </c>
      <c r="I63" s="1022">
        <v>18387</v>
      </c>
      <c r="J63" s="1020">
        <v>18530</v>
      </c>
      <c r="K63" s="1022">
        <v>18661</v>
      </c>
      <c r="L63" s="1020">
        <v>18808</v>
      </c>
      <c r="M63" s="1022">
        <v>18976</v>
      </c>
      <c r="N63" s="1020">
        <v>19148</v>
      </c>
      <c r="O63" s="1022">
        <v>19295</v>
      </c>
      <c r="P63" s="1020">
        <v>19421</v>
      </c>
      <c r="Q63" s="1022">
        <v>19561</v>
      </c>
      <c r="R63" s="1016">
        <v>19692</v>
      </c>
      <c r="S63" s="1254">
        <v>19803</v>
      </c>
      <c r="T63" s="35">
        <v>19928</v>
      </c>
      <c r="U63" s="1252">
        <v>20080</v>
      </c>
      <c r="V63" s="35">
        <v>20234</v>
      </c>
      <c r="W63" s="35">
        <v>20385</v>
      </c>
      <c r="X63" s="35">
        <v>20535</v>
      </c>
      <c r="Y63" s="35">
        <v>20665</v>
      </c>
      <c r="Z63" s="35">
        <v>20802</v>
      </c>
      <c r="AA63" s="1020">
        <v>20909</v>
      </c>
      <c r="AB63" s="1022">
        <v>21015</v>
      </c>
      <c r="AC63" s="1020">
        <v>21088</v>
      </c>
      <c r="AD63" s="1020">
        <v>21175</v>
      </c>
      <c r="AE63" s="441">
        <v>21222</v>
      </c>
      <c r="AF63">
        <v>21252</v>
      </c>
      <c r="AG63">
        <v>21304</v>
      </c>
      <c r="AH63" s="1257">
        <v>21335</v>
      </c>
      <c r="AI63">
        <v>21383</v>
      </c>
      <c r="AJ63" s="1257">
        <v>21433</v>
      </c>
      <c r="AK63">
        <v>21468</v>
      </c>
      <c r="AL63">
        <v>21512</v>
      </c>
      <c r="AM63">
        <v>21566</v>
      </c>
      <c r="AN63">
        <v>21644</v>
      </c>
      <c r="AP63" s="417"/>
      <c r="AQ63" s="441"/>
      <c r="BB63" s="417"/>
    </row>
    <row r="64" spans="1:54" ht="14.45">
      <c r="A64" s="35" t="s">
        <v>749</v>
      </c>
      <c r="B64" s="1252"/>
      <c r="D64" s="473"/>
      <c r="E64">
        <v>1.1707000000000001</v>
      </c>
      <c r="F64">
        <v>28.958500000000001</v>
      </c>
      <c r="G64" s="1002">
        <v>12656</v>
      </c>
      <c r="H64" s="805">
        <v>12747</v>
      </c>
      <c r="I64" s="805">
        <v>12830</v>
      </c>
      <c r="J64">
        <v>12951</v>
      </c>
      <c r="K64" s="805">
        <v>13057</v>
      </c>
      <c r="L64">
        <v>13157</v>
      </c>
      <c r="M64" s="805">
        <v>13281</v>
      </c>
      <c r="N64">
        <v>13402</v>
      </c>
      <c r="O64" s="805">
        <v>13494</v>
      </c>
      <c r="P64">
        <v>13556</v>
      </c>
      <c r="Q64" s="805">
        <v>13587</v>
      </c>
      <c r="R64" s="1005">
        <v>13617</v>
      </c>
      <c r="S64" s="1254">
        <v>13641</v>
      </c>
      <c r="T64" s="35">
        <v>13666</v>
      </c>
      <c r="U64" s="1252">
        <v>13695</v>
      </c>
      <c r="V64" s="35">
        <v>13726</v>
      </c>
      <c r="W64" s="1252">
        <v>13756</v>
      </c>
      <c r="X64" s="1252">
        <v>13786</v>
      </c>
      <c r="Y64" s="1252">
        <v>13821</v>
      </c>
      <c r="Z64" s="1252">
        <v>13862</v>
      </c>
      <c r="AA64" s="1252">
        <v>13877</v>
      </c>
      <c r="AB64" s="805">
        <v>13911</v>
      </c>
      <c r="AC64" s="805">
        <v>13946</v>
      </c>
      <c r="AD64" s="805">
        <v>13981</v>
      </c>
      <c r="AE64" s="441">
        <v>13998</v>
      </c>
      <c r="AF64">
        <v>14021</v>
      </c>
      <c r="AG64">
        <v>14045</v>
      </c>
      <c r="AH64">
        <v>14969</v>
      </c>
      <c r="AI64" s="1257">
        <v>14999</v>
      </c>
      <c r="AJ64" s="1257">
        <v>15029</v>
      </c>
      <c r="AK64">
        <v>14184.31</v>
      </c>
      <c r="AL64">
        <v>14331</v>
      </c>
      <c r="AM64">
        <v>14490</v>
      </c>
      <c r="AN64" s="1257">
        <v>14690.71</v>
      </c>
      <c r="AO64" s="1314">
        <v>14745.99</v>
      </c>
      <c r="AP64" s="417"/>
      <c r="AQ64" s="441"/>
      <c r="BB64" s="417"/>
    </row>
    <row r="65" spans="1:54" ht="14.45">
      <c r="A65" s="1252" t="s">
        <v>750</v>
      </c>
      <c r="B65" s="805"/>
      <c r="D65" s="35"/>
      <c r="E65" s="35">
        <v>1.1707000000000001</v>
      </c>
      <c r="F65">
        <v>28.958500000000001</v>
      </c>
      <c r="G65" s="1002">
        <v>0</v>
      </c>
      <c r="H65">
        <v>0</v>
      </c>
      <c r="I65" s="805">
        <v>0</v>
      </c>
      <c r="J65">
        <v>0</v>
      </c>
      <c r="K65" s="805">
        <v>0</v>
      </c>
      <c r="L65">
        <v>0</v>
      </c>
      <c r="M65" s="805">
        <v>0</v>
      </c>
      <c r="N65">
        <v>0</v>
      </c>
      <c r="O65" s="805">
        <v>0</v>
      </c>
      <c r="P65">
        <v>0</v>
      </c>
      <c r="Q65" s="805">
        <v>0</v>
      </c>
      <c r="R65" s="417">
        <v>0</v>
      </c>
      <c r="S65" s="1002">
        <v>0</v>
      </c>
      <c r="T65">
        <v>0</v>
      </c>
      <c r="U65" s="805">
        <v>0</v>
      </c>
      <c r="V65">
        <v>0</v>
      </c>
      <c r="W65" s="805">
        <v>0</v>
      </c>
      <c r="X65">
        <v>0</v>
      </c>
      <c r="Y65">
        <v>0</v>
      </c>
      <c r="Z65">
        <v>0</v>
      </c>
      <c r="AA65">
        <v>0</v>
      </c>
      <c r="AB65" s="805">
        <v>0</v>
      </c>
      <c r="AC65">
        <v>708.84</v>
      </c>
      <c r="AD65">
        <v>729.47</v>
      </c>
      <c r="AE65" s="441">
        <v>758.35</v>
      </c>
      <c r="AF65">
        <v>791.92</v>
      </c>
      <c r="AG65">
        <v>823.09</v>
      </c>
      <c r="AH65">
        <v>858.23</v>
      </c>
      <c r="AI65">
        <v>892.2</v>
      </c>
      <c r="AJ65">
        <v>922.82</v>
      </c>
      <c r="AK65">
        <v>963.62</v>
      </c>
      <c r="AL65">
        <v>1003.8</v>
      </c>
      <c r="AM65">
        <v>1038.9000000000001</v>
      </c>
      <c r="AN65">
        <f>521.9+549.53</f>
        <v>1071.4299999999998</v>
      </c>
      <c r="AP65" s="417"/>
      <c r="AQ65" s="441"/>
      <c r="BB65" s="417"/>
    </row>
    <row r="66" spans="1:54" ht="14.45">
      <c r="A66" s="1252" t="s">
        <v>751</v>
      </c>
      <c r="B66" s="805"/>
      <c r="D66" s="35"/>
      <c r="E66" s="35">
        <v>1.1707000000000001</v>
      </c>
      <c r="F66">
        <v>28.958500000000001</v>
      </c>
      <c r="G66" s="1002">
        <v>0</v>
      </c>
      <c r="H66">
        <v>0</v>
      </c>
      <c r="I66" s="805">
        <v>0</v>
      </c>
      <c r="J66">
        <v>0</v>
      </c>
      <c r="K66" s="805">
        <v>0</v>
      </c>
      <c r="L66">
        <v>0</v>
      </c>
      <c r="M66" s="805">
        <v>0</v>
      </c>
      <c r="N66">
        <v>0</v>
      </c>
      <c r="O66" s="805">
        <v>0</v>
      </c>
      <c r="P66">
        <v>0</v>
      </c>
      <c r="Q66" s="805">
        <v>0</v>
      </c>
      <c r="R66" s="417">
        <v>0</v>
      </c>
      <c r="S66" s="1002">
        <v>0</v>
      </c>
      <c r="T66">
        <v>0</v>
      </c>
      <c r="U66" s="805">
        <v>0</v>
      </c>
      <c r="V66">
        <v>0</v>
      </c>
      <c r="W66" s="805">
        <v>0</v>
      </c>
      <c r="X66">
        <v>0</v>
      </c>
      <c r="Y66">
        <v>0</v>
      </c>
      <c r="Z66">
        <v>0</v>
      </c>
      <c r="AA66">
        <v>0</v>
      </c>
      <c r="AB66" s="805">
        <v>0</v>
      </c>
      <c r="AC66">
        <v>67.13</v>
      </c>
      <c r="AD66">
        <v>69.150000000000006</v>
      </c>
      <c r="AE66" s="441">
        <v>71.59</v>
      </c>
      <c r="AF66">
        <v>74.900000000000006</v>
      </c>
      <c r="AG66">
        <v>76.22</v>
      </c>
      <c r="AH66">
        <v>78.62</v>
      </c>
      <c r="AI66">
        <v>81.540000000000006</v>
      </c>
      <c r="AJ66" s="1267">
        <v>85.45</v>
      </c>
      <c r="AK66">
        <v>90.13</v>
      </c>
      <c r="AL66">
        <v>104.76</v>
      </c>
      <c r="AM66">
        <v>118.28</v>
      </c>
      <c r="AN66">
        <f>51+84.68</f>
        <v>135.68</v>
      </c>
      <c r="AP66" s="417"/>
      <c r="AQ66" s="441"/>
      <c r="BB66" s="417"/>
    </row>
    <row r="67" spans="1:54" ht="14.45">
      <c r="A67" s="1252" t="s">
        <v>752</v>
      </c>
      <c r="B67" s="805"/>
      <c r="D67" s="35"/>
      <c r="E67" s="35">
        <v>1.1707000000000001</v>
      </c>
      <c r="F67">
        <v>28.958500000000001</v>
      </c>
      <c r="G67" s="1002">
        <v>0</v>
      </c>
      <c r="H67">
        <v>0</v>
      </c>
      <c r="I67" s="805">
        <v>0</v>
      </c>
      <c r="J67">
        <v>0</v>
      </c>
      <c r="K67" s="805">
        <v>0</v>
      </c>
      <c r="L67">
        <v>0</v>
      </c>
      <c r="M67" s="805">
        <v>0</v>
      </c>
      <c r="N67">
        <v>0</v>
      </c>
      <c r="O67" s="805">
        <v>0</v>
      </c>
      <c r="P67">
        <v>0</v>
      </c>
      <c r="Q67" s="805">
        <v>0</v>
      </c>
      <c r="R67" s="417">
        <v>0</v>
      </c>
      <c r="S67" s="1002">
        <v>0</v>
      </c>
      <c r="T67">
        <v>0</v>
      </c>
      <c r="U67" s="805">
        <v>0</v>
      </c>
      <c r="V67">
        <v>0</v>
      </c>
      <c r="W67" s="805">
        <v>0</v>
      </c>
      <c r="X67">
        <v>0</v>
      </c>
      <c r="Y67">
        <v>0</v>
      </c>
      <c r="Z67">
        <v>0</v>
      </c>
      <c r="AA67">
        <v>0</v>
      </c>
      <c r="AB67" s="805">
        <v>0</v>
      </c>
      <c r="AC67">
        <v>408.05</v>
      </c>
      <c r="AD67">
        <v>408.05</v>
      </c>
      <c r="AE67" s="441">
        <v>408.05</v>
      </c>
      <c r="AF67">
        <v>408.07</v>
      </c>
      <c r="AG67">
        <v>408.08</v>
      </c>
      <c r="AH67">
        <v>408.09</v>
      </c>
      <c r="AI67" s="1267">
        <v>444</v>
      </c>
      <c r="AJ67" s="1267">
        <v>479</v>
      </c>
      <c r="AK67">
        <v>504.9</v>
      </c>
      <c r="AL67">
        <v>524</v>
      </c>
      <c r="AM67">
        <v>544.35</v>
      </c>
      <c r="AN67">
        <f>451+106.93</f>
        <v>557.93000000000006</v>
      </c>
      <c r="AP67" s="417"/>
      <c r="AQ67" s="441"/>
      <c r="BB67" s="417"/>
    </row>
    <row r="68" spans="1:54" ht="14.45">
      <c r="A68" s="35" t="s">
        <v>753</v>
      </c>
      <c r="B68" s="1252"/>
      <c r="E68">
        <v>1.1707000000000001</v>
      </c>
      <c r="F68">
        <v>28.958500000000001</v>
      </c>
      <c r="G68" s="1002">
        <v>43053</v>
      </c>
      <c r="H68">
        <v>43313</v>
      </c>
      <c r="I68" s="805">
        <v>43563</v>
      </c>
      <c r="J68">
        <v>43903</v>
      </c>
      <c r="K68" s="805">
        <v>44256</v>
      </c>
      <c r="L68">
        <v>44606</v>
      </c>
      <c r="M68" s="805">
        <v>44977</v>
      </c>
      <c r="N68">
        <v>45387</v>
      </c>
      <c r="O68" s="805">
        <v>45777</v>
      </c>
      <c r="P68">
        <v>46183</v>
      </c>
      <c r="Q68" s="805">
        <v>46495</v>
      </c>
      <c r="R68" s="1016">
        <v>46765</v>
      </c>
      <c r="S68" s="1254">
        <v>46963</v>
      </c>
      <c r="T68" s="1252">
        <v>47200</v>
      </c>
      <c r="U68" s="1252">
        <v>47510</v>
      </c>
      <c r="V68" s="35">
        <v>47824</v>
      </c>
      <c r="W68" s="1252">
        <v>48124</v>
      </c>
      <c r="X68" s="35">
        <v>48464</v>
      </c>
      <c r="Y68" s="35">
        <v>48877</v>
      </c>
      <c r="Z68" s="887">
        <v>49343</v>
      </c>
      <c r="AA68" s="887">
        <v>49740</v>
      </c>
      <c r="AB68" s="178">
        <v>50107</v>
      </c>
      <c r="AC68">
        <v>50437</v>
      </c>
      <c r="AD68" s="35">
        <v>50802</v>
      </c>
      <c r="AE68" s="441">
        <v>51014</v>
      </c>
      <c r="AF68">
        <v>51334</v>
      </c>
      <c r="AG68">
        <v>51685</v>
      </c>
      <c r="AH68">
        <v>52032</v>
      </c>
      <c r="AI68">
        <v>52375</v>
      </c>
      <c r="AJ68" s="1257">
        <v>52705</v>
      </c>
      <c r="AK68">
        <v>53060</v>
      </c>
      <c r="AL68">
        <v>53477</v>
      </c>
      <c r="AM68">
        <v>53892</v>
      </c>
      <c r="AN68" s="1257">
        <v>54162.3</v>
      </c>
      <c r="AO68" s="1314">
        <v>54510.53</v>
      </c>
      <c r="AP68" s="417"/>
      <c r="AQ68" s="441"/>
      <c r="BB68" s="417"/>
    </row>
    <row r="69" spans="1:54" ht="14.45">
      <c r="A69" s="1252" t="s">
        <v>754</v>
      </c>
      <c r="B69" s="1252"/>
      <c r="G69" s="1002"/>
      <c r="I69" s="805"/>
      <c r="K69" s="805"/>
      <c r="M69" s="805"/>
      <c r="O69" s="805"/>
      <c r="Q69" s="805"/>
      <c r="R69" s="1016"/>
      <c r="S69" s="1254"/>
      <c r="T69" s="1252"/>
      <c r="U69" s="1252"/>
      <c r="V69" s="35"/>
      <c r="W69" s="1252"/>
      <c r="X69" s="35"/>
      <c r="Y69" s="35"/>
      <c r="Z69" s="887"/>
      <c r="AA69" s="887"/>
      <c r="AB69" s="178"/>
      <c r="AD69" s="35">
        <v>31175</v>
      </c>
      <c r="AE69" s="441">
        <v>31406</v>
      </c>
      <c r="AF69">
        <v>31754</v>
      </c>
      <c r="AG69">
        <v>32130</v>
      </c>
      <c r="AH69">
        <v>32503</v>
      </c>
      <c r="AI69" s="1257">
        <v>32820</v>
      </c>
      <c r="AJ69" s="1257">
        <v>33100</v>
      </c>
      <c r="AK69">
        <v>43387.9</v>
      </c>
      <c r="AL69">
        <v>45926</v>
      </c>
      <c r="AM69">
        <v>49001</v>
      </c>
      <c r="AN69" s="1257">
        <v>47102.64</v>
      </c>
      <c r="AO69" s="1314">
        <v>49063.07</v>
      </c>
      <c r="AP69" s="417"/>
      <c r="AQ69" s="441"/>
      <c r="BB69" s="417"/>
    </row>
    <row r="70" spans="1:54" ht="14.45">
      <c r="A70" s="1252" t="s">
        <v>755</v>
      </c>
      <c r="B70" s="1252"/>
      <c r="G70" s="1002"/>
      <c r="I70" s="805"/>
      <c r="K70" s="805"/>
      <c r="M70" s="805"/>
      <c r="O70" s="805"/>
      <c r="Q70" s="805"/>
      <c r="R70" s="1016"/>
      <c r="S70" s="1254"/>
      <c r="T70" s="1252"/>
      <c r="U70" s="1252"/>
      <c r="V70" s="35"/>
      <c r="W70" s="1252"/>
      <c r="X70" s="35"/>
      <c r="Y70" s="35"/>
      <c r="Z70" s="887"/>
      <c r="AA70" s="887"/>
      <c r="AB70" s="178"/>
      <c r="AD70" s="35">
        <v>65863</v>
      </c>
      <c r="AE70" s="441">
        <v>65864</v>
      </c>
      <c r="AF70">
        <v>65865</v>
      </c>
      <c r="AG70">
        <v>65866</v>
      </c>
      <c r="AH70">
        <v>65867</v>
      </c>
      <c r="AI70" s="1257">
        <v>65668</v>
      </c>
      <c r="AJ70" s="1257">
        <v>65669</v>
      </c>
      <c r="AK70">
        <v>75596</v>
      </c>
      <c r="AL70">
        <v>77574</v>
      </c>
      <c r="AM70">
        <v>80061</v>
      </c>
      <c r="AN70" s="1257">
        <v>77976.53</v>
      </c>
      <c r="AO70" s="1314">
        <v>79537.850000000006</v>
      </c>
      <c r="AP70" s="417"/>
      <c r="AQ70" s="441"/>
      <c r="BB70" s="417"/>
    </row>
    <row r="71" spans="1:54" ht="15" customHeight="1">
      <c r="A71" s="35" t="s">
        <v>756</v>
      </c>
      <c r="E71">
        <v>1.2210000000000001</v>
      </c>
      <c r="F71">
        <v>28.9587</v>
      </c>
      <c r="G71" s="441">
        <v>1796</v>
      </c>
      <c r="H71">
        <v>1796</v>
      </c>
      <c r="I71">
        <v>1798</v>
      </c>
      <c r="J71">
        <v>1800</v>
      </c>
      <c r="K71">
        <v>1802</v>
      </c>
      <c r="L71">
        <v>1803</v>
      </c>
      <c r="M71">
        <v>1807</v>
      </c>
      <c r="N71">
        <v>1809</v>
      </c>
      <c r="O71">
        <v>1812</v>
      </c>
      <c r="P71">
        <v>1813</v>
      </c>
      <c r="Q71">
        <v>1816</v>
      </c>
      <c r="R71" s="417">
        <v>1817</v>
      </c>
      <c r="S71" s="441">
        <v>1818</v>
      </c>
      <c r="T71">
        <v>1819.4</v>
      </c>
      <c r="U71">
        <v>1820.59</v>
      </c>
      <c r="V71">
        <v>1821.53</v>
      </c>
      <c r="W71">
        <v>1823.29</v>
      </c>
      <c r="X71" s="508">
        <v>1824.49</v>
      </c>
      <c r="Y71">
        <v>1825</v>
      </c>
      <c r="Z71">
        <v>1827</v>
      </c>
      <c r="AA71">
        <v>1828.2</v>
      </c>
      <c r="AB71">
        <v>1829.11</v>
      </c>
      <c r="AC71">
        <v>1831.56</v>
      </c>
      <c r="AD71">
        <v>1834.9</v>
      </c>
      <c r="AE71" s="441">
        <v>1836.4</v>
      </c>
      <c r="AF71">
        <v>1837.2</v>
      </c>
      <c r="AG71">
        <v>1837.94</v>
      </c>
      <c r="AH71">
        <v>1839</v>
      </c>
      <c r="AI71" s="1257">
        <v>1841</v>
      </c>
      <c r="AJ71" s="1257">
        <v>1842</v>
      </c>
      <c r="AK71">
        <v>1842.18</v>
      </c>
      <c r="AL71">
        <v>2017.2</v>
      </c>
      <c r="AM71">
        <v>2572</v>
      </c>
      <c r="AN71">
        <v>3190</v>
      </c>
      <c r="AP71" s="417"/>
      <c r="AQ71" s="441"/>
      <c r="BB71" s="417"/>
    </row>
    <row r="72" spans="1:54" ht="14.45">
      <c r="A72" s="35" t="s">
        <v>757</v>
      </c>
      <c r="B72" s="1252"/>
      <c r="E72">
        <v>1.2210000000000001</v>
      </c>
      <c r="F72">
        <v>28.9587</v>
      </c>
      <c r="G72" s="1002">
        <v>86545</v>
      </c>
      <c r="H72">
        <v>87017</v>
      </c>
      <c r="I72" s="805">
        <v>87589</v>
      </c>
      <c r="J72">
        <v>88089</v>
      </c>
      <c r="K72" s="805">
        <v>88565</v>
      </c>
      <c r="L72">
        <v>89053</v>
      </c>
      <c r="M72" s="805">
        <v>89641</v>
      </c>
      <c r="N72">
        <v>90181</v>
      </c>
      <c r="O72" s="805">
        <v>90671</v>
      </c>
      <c r="P72">
        <v>91150</v>
      </c>
      <c r="Q72" s="805">
        <v>91662</v>
      </c>
      <c r="R72" s="1005">
        <v>92023</v>
      </c>
      <c r="S72" s="1254">
        <v>92421</v>
      </c>
      <c r="T72" s="35">
        <v>92861</v>
      </c>
      <c r="U72" s="1252">
        <v>93420.3</v>
      </c>
      <c r="V72" s="35">
        <v>93852</v>
      </c>
      <c r="W72" s="35">
        <v>94448</v>
      </c>
      <c r="X72" s="35">
        <v>94923</v>
      </c>
      <c r="Y72" s="35">
        <v>95475</v>
      </c>
      <c r="Z72" s="35">
        <v>96059</v>
      </c>
      <c r="AA72" s="35">
        <v>96627</v>
      </c>
      <c r="AB72" s="35">
        <v>97132.6</v>
      </c>
      <c r="AC72" s="35">
        <v>97632</v>
      </c>
      <c r="AD72" s="35">
        <v>98051</v>
      </c>
      <c r="AE72" s="441">
        <v>98439</v>
      </c>
      <c r="AF72">
        <v>98947</v>
      </c>
      <c r="AG72">
        <v>99388</v>
      </c>
      <c r="AH72">
        <v>99890</v>
      </c>
      <c r="AI72" s="1257">
        <v>100400</v>
      </c>
      <c r="AJ72" s="1257">
        <v>100875</v>
      </c>
      <c r="AK72">
        <v>101425</v>
      </c>
      <c r="AL72" s="1267">
        <v>184283</v>
      </c>
      <c r="AM72">
        <v>184338</v>
      </c>
      <c r="AN72">
        <v>184401</v>
      </c>
      <c r="AP72" s="417"/>
      <c r="AQ72" s="441"/>
      <c r="BB72" s="417"/>
    </row>
    <row r="73" spans="1:54" ht="14.45">
      <c r="A73" s="35" t="s">
        <v>758</v>
      </c>
      <c r="B73" s="1252"/>
      <c r="E73">
        <v>1.2210000000000001</v>
      </c>
      <c r="F73">
        <v>28.9587</v>
      </c>
      <c r="G73" s="1002">
        <v>16431</v>
      </c>
      <c r="H73">
        <v>16447</v>
      </c>
      <c r="I73" s="805">
        <v>16470</v>
      </c>
      <c r="J73">
        <v>16490</v>
      </c>
      <c r="K73" s="805">
        <v>16533</v>
      </c>
      <c r="L73">
        <v>16568</v>
      </c>
      <c r="M73" s="805">
        <v>16627</v>
      </c>
      <c r="N73">
        <v>16677</v>
      </c>
      <c r="O73" s="805">
        <v>16720</v>
      </c>
      <c r="P73">
        <v>16772</v>
      </c>
      <c r="Q73" s="805">
        <v>16815</v>
      </c>
      <c r="R73" s="417">
        <v>16833</v>
      </c>
      <c r="S73" s="1254">
        <v>16839</v>
      </c>
      <c r="T73" s="35">
        <v>16857</v>
      </c>
      <c r="U73" s="1252">
        <v>16885</v>
      </c>
      <c r="V73" s="35">
        <v>16910</v>
      </c>
      <c r="W73" s="1102">
        <v>16952</v>
      </c>
      <c r="X73" s="1102">
        <v>17001</v>
      </c>
      <c r="Y73" s="35">
        <v>17050</v>
      </c>
      <c r="Z73" s="35">
        <v>17114</v>
      </c>
      <c r="AA73" s="35">
        <v>17156</v>
      </c>
      <c r="AB73" s="805">
        <v>17195</v>
      </c>
      <c r="AC73" s="35">
        <v>17234</v>
      </c>
      <c r="AD73" s="1102">
        <v>17258</v>
      </c>
      <c r="AE73" s="441">
        <v>17267</v>
      </c>
      <c r="AF73">
        <v>17286</v>
      </c>
      <c r="AG73">
        <v>17321</v>
      </c>
      <c r="AH73">
        <v>17353.597000000002</v>
      </c>
      <c r="AI73" s="1257">
        <v>17393</v>
      </c>
      <c r="AJ73" s="1257">
        <v>17442</v>
      </c>
      <c r="AK73">
        <v>17493</v>
      </c>
      <c r="AL73">
        <v>17552</v>
      </c>
      <c r="AM73">
        <v>17599</v>
      </c>
      <c r="AN73">
        <v>17656.826000000001</v>
      </c>
      <c r="AP73" s="417"/>
      <c r="AQ73" s="441"/>
      <c r="BB73" s="417"/>
    </row>
    <row r="74" spans="1:54" ht="14.45">
      <c r="A74" s="35"/>
      <c r="B74" s="1252"/>
      <c r="G74" s="1002"/>
      <c r="I74" s="805"/>
      <c r="K74" s="805"/>
      <c r="M74" s="805"/>
      <c r="O74" s="805"/>
      <c r="Q74" s="805"/>
      <c r="R74" s="417"/>
      <c r="S74" s="1254"/>
      <c r="T74" s="35"/>
      <c r="U74" s="1252"/>
      <c r="V74" s="35"/>
      <c r="W74" s="1102"/>
      <c r="X74" s="1102"/>
      <c r="Y74" s="35"/>
      <c r="Z74" s="35"/>
      <c r="AA74" s="35"/>
      <c r="AB74" s="805"/>
      <c r="AC74" s="35"/>
      <c r="AD74" s="1102"/>
      <c r="AE74" s="441"/>
      <c r="AP74" s="417"/>
      <c r="AQ74" s="441"/>
      <c r="BB74" s="417"/>
    </row>
    <row r="75" spans="1:54" ht="14.45">
      <c r="B75" s="805"/>
      <c r="D75" s="35"/>
      <c r="E75" s="35"/>
      <c r="G75" s="1002"/>
      <c r="I75" s="805"/>
      <c r="K75" s="805"/>
      <c r="M75" s="805"/>
      <c r="O75" s="805"/>
      <c r="Q75" s="805"/>
      <c r="R75" s="417"/>
      <c r="S75" s="1002"/>
      <c r="U75" s="805"/>
      <c r="W75" s="805"/>
      <c r="X75"/>
      <c r="AB75" s="805"/>
      <c r="AE75" s="441"/>
      <c r="AP75" s="417"/>
      <c r="AQ75" s="441"/>
      <c r="BB75" s="417"/>
    </row>
    <row r="76" spans="1:54" ht="14.45">
      <c r="A76" s="1252"/>
      <c r="B76" s="805"/>
      <c r="D76" s="35"/>
      <c r="E76" s="35"/>
      <c r="G76" s="1002"/>
      <c r="I76" s="805"/>
      <c r="K76" s="805"/>
      <c r="M76" s="805"/>
      <c r="O76" s="805"/>
      <c r="Q76" s="805"/>
      <c r="R76" s="417"/>
      <c r="S76" s="1002"/>
      <c r="U76" s="805"/>
      <c r="W76" s="805"/>
      <c r="X76"/>
      <c r="AB76" s="805"/>
      <c r="AE76" s="1047"/>
      <c r="AF76" s="295"/>
      <c r="AG76" s="295"/>
      <c r="AH76" s="295"/>
      <c r="AI76" s="295"/>
      <c r="AJ76" s="295"/>
      <c r="AK76" s="295"/>
      <c r="AL76" s="295"/>
      <c r="AM76" s="295"/>
      <c r="AN76" s="295"/>
      <c r="AO76" s="295"/>
      <c r="AP76" s="494"/>
      <c r="AQ76" s="1047"/>
      <c r="AR76" s="295"/>
      <c r="AS76" s="295"/>
      <c r="AT76" s="295"/>
      <c r="AU76" s="295"/>
      <c r="AV76" s="295"/>
      <c r="AW76" s="295"/>
      <c r="AX76" s="295"/>
      <c r="AY76" s="295"/>
      <c r="AZ76" s="295"/>
      <c r="BA76" s="295"/>
      <c r="BB76" s="494"/>
    </row>
    <row r="77" spans="1:54" ht="14.45">
      <c r="A77" s="992" t="s">
        <v>649</v>
      </c>
      <c r="B77" s="992" t="s">
        <v>650</v>
      </c>
      <c r="C77" s="992"/>
      <c r="D77" s="992"/>
      <c r="E77" s="992"/>
      <c r="F77" s="992"/>
      <c r="G77" s="1015">
        <v>44562</v>
      </c>
      <c r="H77" s="815">
        <v>44593</v>
      </c>
      <c r="I77" s="815">
        <v>44621</v>
      </c>
      <c r="J77" s="815">
        <v>44652</v>
      </c>
      <c r="K77" s="815">
        <v>44682</v>
      </c>
      <c r="L77" s="815">
        <v>44713</v>
      </c>
      <c r="M77" s="815">
        <v>44743</v>
      </c>
      <c r="N77" s="815">
        <v>44774</v>
      </c>
      <c r="O77" s="815">
        <v>44805</v>
      </c>
      <c r="P77" s="814">
        <v>44835</v>
      </c>
      <c r="Q77" s="814">
        <v>44866</v>
      </c>
      <c r="R77" s="1004">
        <v>44896</v>
      </c>
      <c r="S77" s="1003">
        <v>44927</v>
      </c>
      <c r="T77" s="814">
        <v>44958</v>
      </c>
      <c r="U77" s="814">
        <v>44986</v>
      </c>
      <c r="V77" s="814">
        <v>45017</v>
      </c>
      <c r="W77" s="814">
        <v>45047</v>
      </c>
      <c r="X77" s="814">
        <v>45078</v>
      </c>
      <c r="Y77" s="814">
        <v>45108</v>
      </c>
      <c r="Z77" s="814">
        <v>45139</v>
      </c>
      <c r="AA77" s="814">
        <v>45170</v>
      </c>
      <c r="AB77" s="814">
        <v>45200</v>
      </c>
      <c r="AC77" s="814">
        <v>45231</v>
      </c>
      <c r="AD77" s="814">
        <v>45261</v>
      </c>
      <c r="AE77" s="1004">
        <v>45292</v>
      </c>
      <c r="AF77" s="814">
        <v>45323</v>
      </c>
      <c r="AG77" s="814">
        <v>45352</v>
      </c>
      <c r="AH77" s="814">
        <v>45383</v>
      </c>
      <c r="AI77" s="814">
        <v>45413</v>
      </c>
      <c r="AJ77" s="814">
        <v>45444</v>
      </c>
      <c r="AK77" s="814">
        <v>45474</v>
      </c>
      <c r="AL77" s="814">
        <v>45505</v>
      </c>
      <c r="AM77" s="814">
        <v>45536</v>
      </c>
      <c r="AN77" s="814">
        <v>45566</v>
      </c>
      <c r="AO77" s="814">
        <v>45597</v>
      </c>
      <c r="AP77" s="814">
        <v>45627</v>
      </c>
      <c r="AQ77" s="1004">
        <v>45658</v>
      </c>
      <c r="AR77" s="1004">
        <v>45689</v>
      </c>
      <c r="AS77" s="814">
        <v>45717</v>
      </c>
      <c r="AT77" s="814">
        <v>45748</v>
      </c>
      <c r="AU77" s="814">
        <v>45778</v>
      </c>
      <c r="AV77" s="814">
        <v>45809</v>
      </c>
      <c r="AW77" s="814">
        <v>45839</v>
      </c>
      <c r="AX77" s="814">
        <v>45870</v>
      </c>
      <c r="AY77" s="814">
        <v>45901</v>
      </c>
      <c r="AZ77" s="814">
        <v>45931</v>
      </c>
      <c r="BA77" s="814">
        <v>45962</v>
      </c>
      <c r="BB77" s="814">
        <v>45992</v>
      </c>
    </row>
    <row r="78" spans="1:54" ht="13.9">
      <c r="A78" s="35" t="s">
        <v>759</v>
      </c>
      <c r="B78" s="360">
        <f ca="1">OFFSET(F78,0,COUNT(G78:AP78))</f>
        <v>309866</v>
      </c>
      <c r="C78" t="s">
        <v>74</v>
      </c>
      <c r="G78" s="845">
        <f t="shared" ref="G78:AB78" si="0">SUM(G47:G56)</f>
        <v>267055.75258008996</v>
      </c>
      <c r="H78" s="846">
        <f t="shared" si="0"/>
        <v>267055.75258008996</v>
      </c>
      <c r="I78" s="846">
        <f t="shared" si="0"/>
        <v>272338.72861555999</v>
      </c>
      <c r="J78" s="846">
        <f t="shared" si="0"/>
        <v>535314.41312719998</v>
      </c>
      <c r="K78" s="846">
        <f t="shared" si="0"/>
        <v>284853.39754032996</v>
      </c>
      <c r="L78" s="846">
        <f t="shared" si="0"/>
        <v>365154.52493005001</v>
      </c>
      <c r="M78" s="846">
        <f t="shared" si="0"/>
        <v>408923.90263407002</v>
      </c>
      <c r="N78" s="846">
        <f t="shared" si="0"/>
        <v>403953.48197907</v>
      </c>
      <c r="O78" s="846">
        <f t="shared" si="0"/>
        <v>485490.33778653992</v>
      </c>
      <c r="P78" s="846">
        <f t="shared" si="0"/>
        <v>383857.62254503998</v>
      </c>
      <c r="Q78" s="846">
        <f t="shared" si="0"/>
        <v>398442.34764607</v>
      </c>
      <c r="R78" s="1249">
        <f t="shared" si="0"/>
        <v>242447.50712279996</v>
      </c>
      <c r="S78" s="1315">
        <f>SUM(S47:S56)</f>
        <v>281549.50384453003</v>
      </c>
      <c r="T78" s="846">
        <f t="shared" si="0"/>
        <v>267110.33803516004</v>
      </c>
      <c r="U78" s="846">
        <f t="shared" si="0"/>
        <v>254303.15954453999</v>
      </c>
      <c r="V78" s="846">
        <f t="shared" si="0"/>
        <v>273815.94763764</v>
      </c>
      <c r="W78" s="846">
        <f t="shared" si="0"/>
        <v>323616.41831425996</v>
      </c>
      <c r="X78" s="846">
        <f t="shared" si="0"/>
        <v>306719.32860818005</v>
      </c>
      <c r="Y78" s="846">
        <f t="shared" si="0"/>
        <v>323355</v>
      </c>
      <c r="Z78" s="846">
        <f t="shared" si="0"/>
        <v>410408</v>
      </c>
      <c r="AA78" s="846">
        <f t="shared" si="0"/>
        <v>389175</v>
      </c>
      <c r="AB78" s="846">
        <f t="shared" si="0"/>
        <v>351762</v>
      </c>
      <c r="AC78" s="847">
        <f t="shared" ref="AC78:AP78" si="1">IF(ISNUMBER(AC47),SUM(AC47:AC56)," ")</f>
        <v>347413</v>
      </c>
      <c r="AD78" s="846">
        <f t="shared" si="1"/>
        <v>306124</v>
      </c>
      <c r="AE78" s="845">
        <f t="shared" si="1"/>
        <v>260482</v>
      </c>
      <c r="AF78" s="846">
        <f t="shared" si="1"/>
        <v>189425</v>
      </c>
      <c r="AG78" s="846">
        <f t="shared" si="1"/>
        <v>213297</v>
      </c>
      <c r="AH78" s="846">
        <f t="shared" si="1"/>
        <v>234802</v>
      </c>
      <c r="AI78" s="846">
        <f t="shared" si="1"/>
        <v>315945</v>
      </c>
      <c r="AJ78" s="846">
        <f t="shared" si="1"/>
        <v>342520</v>
      </c>
      <c r="AK78" s="846">
        <f t="shared" si="1"/>
        <v>362369</v>
      </c>
      <c r="AL78" s="846">
        <f t="shared" si="1"/>
        <v>359128</v>
      </c>
      <c r="AM78" s="846">
        <f t="shared" si="1"/>
        <v>405043</v>
      </c>
      <c r="AN78" s="846">
        <f t="shared" si="1"/>
        <v>382578</v>
      </c>
      <c r="AO78" s="846">
        <f t="shared" si="1"/>
        <v>309866</v>
      </c>
      <c r="AP78" s="846" t="str">
        <f t="shared" si="1"/>
        <v xml:space="preserve"> </v>
      </c>
      <c r="AQ78" s="1149"/>
      <c r="AR78" s="1042"/>
      <c r="AS78" s="1042"/>
      <c r="AT78" s="1042"/>
      <c r="AU78" s="1042"/>
      <c r="AV78" s="1042"/>
      <c r="AW78" s="1042"/>
      <c r="AX78" s="1042"/>
      <c r="AY78" s="1042"/>
      <c r="AZ78" s="1042"/>
      <c r="BA78" s="1042"/>
      <c r="BB78" s="1043"/>
    </row>
    <row r="79" spans="1:54" ht="13.9">
      <c r="A79" s="35" t="s">
        <v>760</v>
      </c>
      <c r="B79" s="360">
        <f t="shared" ref="B79" ca="1" si="2">OFFSET(F79,0,COUNT(G79:AP79))</f>
        <v>69378</v>
      </c>
      <c r="C79" t="s">
        <v>74</v>
      </c>
      <c r="G79" s="848">
        <f t="shared" ref="G79:AC79" si="3">G47+G31+G32+G40+G30+G49+G55</f>
        <v>11764.41814681</v>
      </c>
      <c r="H79" s="35">
        <f t="shared" si="3"/>
        <v>11764.41814681</v>
      </c>
      <c r="I79" s="35">
        <f t="shared" si="3"/>
        <v>24026.579109930004</v>
      </c>
      <c r="J79" s="35">
        <f t="shared" si="3"/>
        <v>41246.939862029998</v>
      </c>
      <c r="K79" s="35">
        <f t="shared" si="3"/>
        <v>42478.022262220009</v>
      </c>
      <c r="L79" s="35">
        <f t="shared" si="3"/>
        <v>52359.891214210002</v>
      </c>
      <c r="M79" s="35">
        <f t="shared" si="3"/>
        <v>64692.488835929995</v>
      </c>
      <c r="N79" s="35">
        <f t="shared" si="3"/>
        <v>48446.032661079997</v>
      </c>
      <c r="O79" s="35">
        <f t="shared" si="3"/>
        <v>56380.67766188</v>
      </c>
      <c r="P79" s="35">
        <f t="shared" si="3"/>
        <v>57093.092932070002</v>
      </c>
      <c r="Q79" s="35">
        <f t="shared" si="3"/>
        <v>58849.797123890006</v>
      </c>
      <c r="R79" s="506">
        <f t="shared" si="3"/>
        <v>42609.53414838</v>
      </c>
      <c r="S79" s="1245">
        <f>S47+S31+S32+S40+S30+S49+S55</f>
        <v>77249.262529860003</v>
      </c>
      <c r="T79" s="1245">
        <f t="shared" si="3"/>
        <v>23851.0382942</v>
      </c>
      <c r="U79" s="35">
        <f t="shared" si="3"/>
        <v>41872.547516009996</v>
      </c>
      <c r="V79" s="35">
        <f t="shared" si="3"/>
        <v>42611.032001910004</v>
      </c>
      <c r="W79" s="35">
        <f t="shared" si="3"/>
        <v>46779.245110080003</v>
      </c>
      <c r="X79" s="35">
        <f t="shared" si="3"/>
        <v>59592.850705720004</v>
      </c>
      <c r="Y79" s="35">
        <f t="shared" si="3"/>
        <v>41429</v>
      </c>
      <c r="Z79" s="35">
        <f t="shared" si="3"/>
        <v>35855</v>
      </c>
      <c r="AA79" s="35">
        <f t="shared" si="3"/>
        <v>45388</v>
      </c>
      <c r="AB79" s="35">
        <f t="shared" si="3"/>
        <v>71837</v>
      </c>
      <c r="AC79" s="35">
        <f t="shared" si="3"/>
        <v>52793</v>
      </c>
      <c r="AD79" s="35">
        <f t="shared" ref="AD79:AP79" si="4">IF(ISNUMBER(AD49),AD47+AD31+AD32+AD40+AD30+AD49+AD55," ")</f>
        <v>41544</v>
      </c>
      <c r="AE79" s="848">
        <f t="shared" si="4"/>
        <v>27369</v>
      </c>
      <c r="AF79" s="35">
        <f t="shared" si="4"/>
        <v>25797</v>
      </c>
      <c r="AG79" s="35">
        <f t="shared" si="4"/>
        <v>31247</v>
      </c>
      <c r="AH79" s="35">
        <f t="shared" si="4"/>
        <v>22258</v>
      </c>
      <c r="AI79" s="35">
        <f t="shared" si="4"/>
        <v>25782</v>
      </c>
      <c r="AJ79" s="35">
        <f t="shared" si="4"/>
        <v>31203</v>
      </c>
      <c r="AK79" s="35">
        <f t="shared" si="4"/>
        <v>75144</v>
      </c>
      <c r="AL79" s="35">
        <f t="shared" si="4"/>
        <v>80937</v>
      </c>
      <c r="AM79" s="35">
        <f t="shared" si="4"/>
        <v>82938</v>
      </c>
      <c r="AN79" s="35">
        <f t="shared" si="4"/>
        <v>87333</v>
      </c>
      <c r="AO79" s="35">
        <f t="shared" si="4"/>
        <v>69378</v>
      </c>
      <c r="AP79" s="35" t="str">
        <f t="shared" si="4"/>
        <v xml:space="preserve"> </v>
      </c>
      <c r="AQ79" s="441"/>
      <c r="BB79" s="417"/>
    </row>
    <row r="80" spans="1:54" ht="14.45">
      <c r="A80" s="1252" t="s">
        <v>745</v>
      </c>
      <c r="B80" s="360">
        <f t="shared" ref="B80:B90" ca="1" si="5">OFFSET(F80,0,COUNT(G80:AQ80))</f>
        <v>0</v>
      </c>
      <c r="D80" s="1020"/>
      <c r="E80" s="1020"/>
      <c r="F80" s="1020">
        <v>1</v>
      </c>
      <c r="G80" s="848"/>
      <c r="H80" s="35">
        <f t="shared" ref="H80:AK80" si="6">IF(ISNUMBER(H58),(H58-G58)*$F58*$E58," ")</f>
        <v>0</v>
      </c>
      <c r="I80" s="35">
        <f t="shared" si="6"/>
        <v>58.64064999999929</v>
      </c>
      <c r="J80" s="35">
        <f t="shared" si="6"/>
        <v>3.0863500000007016</v>
      </c>
      <c r="K80" s="35">
        <f t="shared" si="6"/>
        <v>0</v>
      </c>
      <c r="L80" s="35">
        <f t="shared" si="6"/>
        <v>0</v>
      </c>
      <c r="M80" s="35">
        <f t="shared" si="6"/>
        <v>0</v>
      </c>
      <c r="N80" s="35">
        <f t="shared" si="6"/>
        <v>0</v>
      </c>
      <c r="O80" s="35">
        <f t="shared" si="6"/>
        <v>0</v>
      </c>
      <c r="P80" s="35">
        <f t="shared" si="6"/>
        <v>0</v>
      </c>
      <c r="Q80" s="35">
        <f t="shared" si="6"/>
        <v>0</v>
      </c>
      <c r="R80" s="506">
        <f t="shared" si="6"/>
        <v>0</v>
      </c>
      <c r="S80" s="35">
        <f t="shared" si="6"/>
        <v>18.5181000000007</v>
      </c>
      <c r="T80" s="35">
        <f t="shared" si="6"/>
        <v>3.086349999998947</v>
      </c>
      <c r="U80" s="35">
        <f t="shared" si="6"/>
        <v>5.2467950000004908</v>
      </c>
      <c r="V80" s="35">
        <f t="shared" si="6"/>
        <v>4.0122549999998594</v>
      </c>
      <c r="W80" s="35">
        <f t="shared" si="6"/>
        <v>5.5554300000002099</v>
      </c>
      <c r="X80" s="35">
        <f t="shared" si="6"/>
        <v>3.7036200000001402</v>
      </c>
      <c r="Y80" s="35">
        <f t="shared" si="6"/>
        <v>3.086349999998947</v>
      </c>
      <c r="Z80" s="35">
        <f t="shared" si="6"/>
        <v>0</v>
      </c>
      <c r="AA80" s="35">
        <f t="shared" si="6"/>
        <v>0</v>
      </c>
      <c r="AB80" s="35">
        <f t="shared" si="6"/>
        <v>21.29581499999993</v>
      </c>
      <c r="AC80" s="35">
        <f t="shared" si="6"/>
        <v>16.049020000001192</v>
      </c>
      <c r="AD80" s="35">
        <f t="shared" si="6"/>
        <v>12.036764999999578</v>
      </c>
      <c r="AE80" s="848">
        <f t="shared" si="6"/>
        <v>0</v>
      </c>
      <c r="AF80" s="35">
        <f t="shared" si="6"/>
        <v>0</v>
      </c>
      <c r="AG80" s="35">
        <f t="shared" si="6"/>
        <v>3.7036200000001402</v>
      </c>
      <c r="AH80" s="35">
        <f t="shared" si="6"/>
        <v>0</v>
      </c>
      <c r="AI80" s="35">
        <f t="shared" si="6"/>
        <v>5.5554300000002099</v>
      </c>
      <c r="AJ80" s="35">
        <f t="shared" si="6"/>
        <v>-9.2590500000003502</v>
      </c>
      <c r="AK80" s="35">
        <f t="shared" si="6"/>
        <v>0</v>
      </c>
      <c r="AL80" s="35">
        <f t="shared" ref="AL80" si="7">IF(ISNUMBER(AL58),(AL58-AK58)*$F58*$E58," ")</f>
        <v>0</v>
      </c>
      <c r="AM80" s="35">
        <f t="shared" ref="AM80" si="8">IF(ISNUMBER(AM58),(AM58-AL58)*$F58*$E58," ")</f>
        <v>0</v>
      </c>
      <c r="AN80" s="35">
        <f t="shared" ref="AN80" si="9">IF(ISNUMBER(AN58),(AN58-AM58)*$F58*$E58," ")</f>
        <v>0</v>
      </c>
      <c r="AO80" s="35" t="str">
        <f t="shared" ref="AO80" si="10">IF(ISNUMBER(AO58),(AO58-AN58)*$F58*$E58," ")</f>
        <v xml:space="preserve"> </v>
      </c>
      <c r="AP80" s="35" t="str">
        <f t="shared" ref="AP80" si="11">IF(ISNUMBER(AP58),(AP58-AO58)*$F58*$E58," ")</f>
        <v xml:space="preserve"> </v>
      </c>
      <c r="AQ80" s="848"/>
      <c r="BB80" s="417"/>
    </row>
    <row r="81" spans="1:54" ht="13.9">
      <c r="A81" t="s">
        <v>724</v>
      </c>
      <c r="B81" s="360">
        <f t="shared" ca="1" si="5"/>
        <v>94526.470238759997</v>
      </c>
      <c r="C81" t="s">
        <v>74</v>
      </c>
      <c r="D81" s="1020"/>
      <c r="E81" s="1020"/>
      <c r="F81" s="1020">
        <v>1</v>
      </c>
      <c r="G81" s="848"/>
      <c r="H81" s="35">
        <f t="shared" ref="H81:AK81" si="12">IF(ISNUMBER(H60),(H60-G60)*$F60*$E60," ")</f>
        <v>33430.093133220005</v>
      </c>
      <c r="I81" s="35">
        <f t="shared" si="12"/>
        <v>38820.949936650002</v>
      </c>
      <c r="J81" s="35">
        <f t="shared" si="12"/>
        <v>53603.425196370008</v>
      </c>
      <c r="K81" s="35">
        <f t="shared" si="12"/>
        <v>69708.186087120004</v>
      </c>
      <c r="L81" s="35">
        <f t="shared" si="12"/>
        <v>94933.327356000009</v>
      </c>
      <c r="M81" s="35">
        <f t="shared" si="12"/>
        <v>109139.42169963001</v>
      </c>
      <c r="N81" s="35">
        <f t="shared" si="12"/>
        <v>82998.851916959989</v>
      </c>
      <c r="O81" s="35">
        <f t="shared" si="12"/>
        <v>91814.089457159993</v>
      </c>
      <c r="P81" s="35">
        <f t="shared" si="12"/>
        <v>75573.709527330007</v>
      </c>
      <c r="Q81" s="35">
        <f t="shared" si="12"/>
        <v>54993.52034694</v>
      </c>
      <c r="R81" s="506">
        <f t="shared" si="12"/>
        <v>60791.234267610002</v>
      </c>
      <c r="S81" s="35">
        <f t="shared" si="12"/>
        <v>28954.664843580002</v>
      </c>
      <c r="T81" s="35">
        <f t="shared" si="12"/>
        <v>37329.140506770003</v>
      </c>
      <c r="U81" s="35">
        <f t="shared" si="12"/>
        <v>56993.901173369995</v>
      </c>
      <c r="V81" s="35">
        <f t="shared" si="12"/>
        <v>59672.377195200002</v>
      </c>
      <c r="W81" s="35">
        <f t="shared" si="12"/>
        <v>77302.852275599987</v>
      </c>
      <c r="X81" s="35">
        <f t="shared" si="12"/>
        <v>94933.327356000009</v>
      </c>
      <c r="Y81" s="35">
        <f t="shared" si="12"/>
        <v>114259.0404249</v>
      </c>
      <c r="Z81" s="35">
        <f t="shared" si="12"/>
        <v>111377.13584445001</v>
      </c>
      <c r="AA81" s="35">
        <f t="shared" si="12"/>
        <v>75675.423806639999</v>
      </c>
      <c r="AB81" s="35">
        <f t="shared" si="12"/>
        <v>75675.423806639999</v>
      </c>
      <c r="AC81" s="35">
        <f t="shared" si="12"/>
        <v>60892.948546919994</v>
      </c>
      <c r="AD81" s="35">
        <f t="shared" si="12"/>
        <v>27123.807816</v>
      </c>
      <c r="AE81" s="848">
        <f t="shared" si="12"/>
        <v>66148.186311269994</v>
      </c>
      <c r="AF81" s="35">
        <f t="shared" si="12"/>
        <v>55603.806022800003</v>
      </c>
      <c r="AG81" s="35">
        <f t="shared" si="12"/>
        <v>59062.09151934</v>
      </c>
      <c r="AH81" s="35">
        <f t="shared" si="12"/>
        <v>55773.329821650004</v>
      </c>
      <c r="AI81" s="35">
        <f t="shared" si="12"/>
        <v>94560.374998530009</v>
      </c>
      <c r="AJ81" s="35">
        <f t="shared" si="12"/>
        <v>80320.375895130011</v>
      </c>
      <c r="AK81" s="35">
        <f t="shared" si="12"/>
        <v>102019.42214793</v>
      </c>
      <c r="AL81" s="35">
        <f t="shared" ref="AL81" si="13">IF(ISNUMBER(AL60),(AL60-AK60)*$F60*$E60," ")</f>
        <v>94526.470238759997</v>
      </c>
      <c r="AM81" s="35">
        <f t="shared" ref="AM81" si="14">IF(ISNUMBER(AM60),(AM60-AL60)*$F60*$E60," ")</f>
        <v>94526.470238759997</v>
      </c>
      <c r="AN81" s="35">
        <f t="shared" ref="AN81" si="15">IF(ISNUMBER(AN60),(AN60-AM60)*$F60*$E60," ")</f>
        <v>51094.472973390002</v>
      </c>
      <c r="AO81" s="35" t="str">
        <f t="shared" ref="AO81" si="16">IF(ISNUMBER(AO60),(AO60-AN60)*$F60*$E60," ")</f>
        <v xml:space="preserve"> </v>
      </c>
      <c r="AP81" s="35" t="str">
        <f t="shared" ref="AP81" si="17">IF(ISNUMBER(AP60),(AP60-AO60)*$F60*$E60," ")</f>
        <v xml:space="preserve"> </v>
      </c>
      <c r="AQ81" s="848"/>
      <c r="BB81" s="417"/>
    </row>
    <row r="82" spans="1:54" ht="13.9">
      <c r="A82" s="35" t="s">
        <v>728</v>
      </c>
      <c r="B82" s="360">
        <f t="shared" ca="1" si="5"/>
        <v>1327284.3748122</v>
      </c>
      <c r="C82" t="s">
        <v>74</v>
      </c>
      <c r="D82" s="1020"/>
      <c r="E82" s="1020"/>
      <c r="F82" s="1020">
        <v>1</v>
      </c>
      <c r="G82" s="848"/>
      <c r="H82" s="35">
        <f t="shared" ref="H82:AJ82" si="18">IF(ISNUMBER(H61),(H61-G61)*$F61*$E61," ")</f>
        <v>5137.6788672299999</v>
      </c>
      <c r="I82" s="35">
        <f t="shared" si="18"/>
        <v>5532.8849339400003</v>
      </c>
      <c r="J82" s="35">
        <f t="shared" si="18"/>
        <v>6536.1003340500001</v>
      </c>
      <c r="K82" s="35">
        <f t="shared" si="18"/>
        <v>6961.7068674299999</v>
      </c>
      <c r="L82" s="35">
        <f t="shared" si="18"/>
        <v>6080.0933340000001</v>
      </c>
      <c r="M82" s="35">
        <f t="shared" si="18"/>
        <v>6232.0956673500004</v>
      </c>
      <c r="N82" s="35">
        <f t="shared" si="18"/>
        <v>7752.1190008499998</v>
      </c>
      <c r="O82" s="35">
        <f t="shared" si="18"/>
        <v>30.40046667</v>
      </c>
      <c r="P82" s="35">
        <f t="shared" si="18"/>
        <v>15656.240335049999</v>
      </c>
      <c r="Q82" s="35">
        <f t="shared" si="18"/>
        <v>6262.4961340199998</v>
      </c>
      <c r="R82" s="506">
        <f t="shared" si="18"/>
        <v>7356.9129341400003</v>
      </c>
      <c r="S82" s="35">
        <f t="shared" si="18"/>
        <v>2675.2410669599999</v>
      </c>
      <c r="T82" s="35">
        <f t="shared" si="18"/>
        <v>0</v>
      </c>
      <c r="U82" s="35">
        <f t="shared" si="18"/>
        <v>0</v>
      </c>
      <c r="V82" s="35">
        <f t="shared" si="18"/>
        <v>0</v>
      </c>
      <c r="W82" s="35">
        <f t="shared" si="18"/>
        <v>5624.0863339500002</v>
      </c>
      <c r="X82" s="35">
        <f t="shared" si="18"/>
        <v>7296.1120008000007</v>
      </c>
      <c r="Y82" s="35">
        <f t="shared" si="18"/>
        <v>10336.1586678</v>
      </c>
      <c r="Z82" s="35">
        <f t="shared" si="18"/>
        <v>7569.7162008300002</v>
      </c>
      <c r="AA82" s="35">
        <f t="shared" si="18"/>
        <v>7569.7162008300002</v>
      </c>
      <c r="AB82" s="35">
        <f t="shared" si="18"/>
        <v>7995.3227342100008</v>
      </c>
      <c r="AC82" s="35">
        <f t="shared" si="18"/>
        <v>7296.1120008000007</v>
      </c>
      <c r="AD82" s="35">
        <f t="shared" si="18"/>
        <v>2432.0373336000002</v>
      </c>
      <c r="AE82" s="848">
        <f t="shared" si="18"/>
        <v>1489.62286683</v>
      </c>
      <c r="AF82" s="35">
        <f t="shared" si="18"/>
        <v>1276.8196001399999</v>
      </c>
      <c r="AG82" s="35">
        <f t="shared" si="18"/>
        <v>8056.1236675500004</v>
      </c>
      <c r="AH82" s="35">
        <f t="shared" si="18"/>
        <v>7387.3134008099996</v>
      </c>
      <c r="AI82" s="35">
        <f t="shared" si="18"/>
        <v>10731.36473451</v>
      </c>
      <c r="AJ82" s="35">
        <f t="shared" si="18"/>
        <v>8633.7325342800013</v>
      </c>
      <c r="AK82" s="35">
        <f>IF(ISNUMBER(AK60),(AK60-AJ61)*$F61*$E61," ")</f>
        <v>1180966.9287294901</v>
      </c>
      <c r="AL82" s="35">
        <f t="shared" ref="AL82:AP82" si="19">IF(ISNUMBER(AL60),(AL60-AK61)*$F61*$E61," ")</f>
        <v>1255204.8683376301</v>
      </c>
      <c r="AM82" s="35">
        <f t="shared" si="19"/>
        <v>1327284.3748122</v>
      </c>
      <c r="AN82" s="35">
        <f t="shared" si="19"/>
        <v>1361241.6960825899</v>
      </c>
      <c r="AO82" s="35" t="str">
        <f t="shared" si="19"/>
        <v xml:space="preserve"> </v>
      </c>
      <c r="AP82" s="35" t="str">
        <f t="shared" si="19"/>
        <v xml:space="preserve"> </v>
      </c>
      <c r="AQ82" s="848" t="str">
        <f>IF(ISNUMBER(AQ58),AQ58-AP58," ")</f>
        <v xml:space="preserve"> </v>
      </c>
      <c r="BB82" s="417"/>
    </row>
    <row r="83" spans="1:54" s="1020" customFormat="1" ht="14.45">
      <c r="A83" s="1252" t="s">
        <v>747</v>
      </c>
      <c r="B83" s="360">
        <f t="shared" ca="1" si="5"/>
        <v>354242.71950399998</v>
      </c>
      <c r="C83" t="s">
        <v>74</v>
      </c>
      <c r="F83" s="1020">
        <v>1</v>
      </c>
      <c r="G83" s="848"/>
      <c r="H83" s="35">
        <f t="shared" ref="H83:AK83" si="20">IF(ISNUMBER(H62),(H62-G62)*$F62*$E62," ")</f>
        <v>234041.40643999999</v>
      </c>
      <c r="I83" s="35">
        <f t="shared" si="20"/>
        <v>263935.46196799999</v>
      </c>
      <c r="J83" s="35">
        <f t="shared" si="20"/>
        <v>275812.19005600002</v>
      </c>
      <c r="K83" s="35">
        <f t="shared" si="20"/>
        <v>310081.88224800001</v>
      </c>
      <c r="L83" s="35">
        <f t="shared" si="20"/>
        <v>387262.22979200003</v>
      </c>
      <c r="M83" s="35">
        <f t="shared" si="20"/>
        <v>401602.55163200002</v>
      </c>
      <c r="N83" s="35">
        <f t="shared" si="20"/>
        <v>372774.827728</v>
      </c>
      <c r="O83" s="35">
        <f t="shared" si="20"/>
        <v>335931.231616</v>
      </c>
      <c r="P83" s="35">
        <f t="shared" si="20"/>
        <v>347219.63880800002</v>
      </c>
      <c r="Q83" s="35">
        <f t="shared" si="20"/>
        <v>232129.36352800002</v>
      </c>
      <c r="R83" s="506">
        <f t="shared" si="20"/>
        <v>274782.62848800002</v>
      </c>
      <c r="S83" s="35">
        <f t="shared" si="20"/>
        <v>239299.52444800001</v>
      </c>
      <c r="T83" s="35">
        <f t="shared" si="20"/>
        <v>210030.55987200001</v>
      </c>
      <c r="U83" s="35">
        <f t="shared" si="20"/>
        <v>235953.449352</v>
      </c>
      <c r="V83" s="35">
        <f t="shared" si="20"/>
        <v>259228.89479999998</v>
      </c>
      <c r="W83" s="35">
        <f t="shared" si="20"/>
        <v>272668.35026799998</v>
      </c>
      <c r="X83" s="35">
        <f t="shared" si="20"/>
        <v>316512.96504239982</v>
      </c>
      <c r="Y83" s="35">
        <f t="shared" si="20"/>
        <v>349996.88113767997</v>
      </c>
      <c r="Z83" s="35">
        <f t="shared" si="20"/>
        <v>370806.52663032111</v>
      </c>
      <c r="AA83" s="35">
        <f t="shared" si="20"/>
        <v>310016.431548319</v>
      </c>
      <c r="AB83" s="35">
        <f t="shared" si="20"/>
        <v>287843.35237920046</v>
      </c>
      <c r="AC83" s="35">
        <f t="shared" si="20"/>
        <v>260412.15520207974</v>
      </c>
      <c r="AD83" s="35">
        <f t="shared" si="20"/>
        <v>253161.83556000001</v>
      </c>
      <c r="AE83" s="848">
        <f t="shared" si="20"/>
        <v>205230.59676176077</v>
      </c>
      <c r="AF83" s="35">
        <f t="shared" si="20"/>
        <v>218666.00752359914</v>
      </c>
      <c r="AG83" s="35">
        <f t="shared" si="20"/>
        <v>263469.21765792026</v>
      </c>
      <c r="AH83" s="35">
        <f t="shared" si="20"/>
        <v>268427.29200895905</v>
      </c>
      <c r="AI83" s="35">
        <f t="shared" si="20"/>
        <v>340689.27686240087</v>
      </c>
      <c r="AJ83" s="35">
        <f t="shared" si="20"/>
        <v>323470.22733815952</v>
      </c>
      <c r="AK83" s="35">
        <f t="shared" si="20"/>
        <v>365428.17053920042</v>
      </c>
      <c r="AL83" s="35">
        <f t="shared" ref="AL83:AL84" si="21">IF(ISNUMBER(AL62),(AL62-AK62)*$F62*$E62," ")</f>
        <v>383088.82843600004</v>
      </c>
      <c r="AM83" s="35">
        <f t="shared" ref="AM83:AM84" si="22">IF(ISNUMBER(AM62),(AM62-AL62)*$F62*$E62," ")</f>
        <v>354242.71950399998</v>
      </c>
      <c r="AN83" s="35">
        <f t="shared" ref="AN83:AN84" si="23">IF(ISNUMBER(AN62),(AN62-AM62)*$F62*$E62," ")</f>
        <v>302360.17048800003</v>
      </c>
      <c r="AO83" s="35" t="str">
        <f t="shared" ref="AO83:AO84" si="24">IF(ISNUMBER(AO62),(AO62-AN62)*$F62*$E62," ")</f>
        <v xml:space="preserve"> </v>
      </c>
      <c r="AP83" s="35" t="str">
        <f t="shared" ref="AP83:AP84" si="25">IF(ISNUMBER(AP62),(AP62-AO62)*$F62*$E62," ")</f>
        <v xml:space="preserve"> </v>
      </c>
      <c r="AQ83" s="848" t="str">
        <f>IF(ISNUMBER(AQ46),AQ46-AP46," ")</f>
        <v xml:space="preserve"> </v>
      </c>
      <c r="BB83" s="1016"/>
    </row>
    <row r="84" spans="1:54" s="1020" customFormat="1" ht="13.9">
      <c r="A84" s="1020" t="s">
        <v>748</v>
      </c>
      <c r="B84" s="360">
        <f t="shared" ca="1" si="5"/>
        <v>1910.4595070400001</v>
      </c>
      <c r="C84" t="s">
        <v>74</v>
      </c>
      <c r="F84" s="1020">
        <v>1</v>
      </c>
      <c r="G84" s="848"/>
      <c r="H84" s="35">
        <f t="shared" ref="H84:AK84" si="26">IF(ISNUMBER(H63),(H63-G63)*$F63*$E63," ")</f>
        <v>4457.7388497599995</v>
      </c>
      <c r="I84" s="35">
        <f t="shared" si="26"/>
        <v>5943.6517996799994</v>
      </c>
      <c r="J84" s="35">
        <f t="shared" si="26"/>
        <v>5059.1798056799998</v>
      </c>
      <c r="K84" s="35">
        <f t="shared" si="26"/>
        <v>4634.6332485599996</v>
      </c>
      <c r="L84" s="35">
        <f t="shared" si="26"/>
        <v>5200.6953247199999</v>
      </c>
      <c r="M84" s="35">
        <f t="shared" si="26"/>
        <v>5943.6517996799994</v>
      </c>
      <c r="N84" s="35">
        <f t="shared" si="26"/>
        <v>6085.1673187199995</v>
      </c>
      <c r="O84" s="35">
        <f t="shared" si="26"/>
        <v>5200.6953247199999</v>
      </c>
      <c r="P84" s="35">
        <f t="shared" si="26"/>
        <v>4457.7388497599995</v>
      </c>
      <c r="Q84" s="35">
        <f t="shared" si="26"/>
        <v>4953.0431663999998</v>
      </c>
      <c r="R84" s="506">
        <f t="shared" si="26"/>
        <v>4634.6332485599996</v>
      </c>
      <c r="S84" s="35">
        <f t="shared" si="26"/>
        <v>3927.0556533600002</v>
      </c>
      <c r="T84" s="35">
        <f t="shared" si="26"/>
        <v>4422.3599699999995</v>
      </c>
      <c r="U84" s="35">
        <f t="shared" si="26"/>
        <v>5377.58972352</v>
      </c>
      <c r="V84" s="35">
        <f t="shared" si="26"/>
        <v>5448.34748304</v>
      </c>
      <c r="W84" s="35">
        <f t="shared" si="26"/>
        <v>5342.2108437599991</v>
      </c>
      <c r="X84" s="35">
        <f t="shared" si="26"/>
        <v>5306.831964</v>
      </c>
      <c r="Y84" s="35">
        <f t="shared" si="26"/>
        <v>4599.2543687999996</v>
      </c>
      <c r="Z84" s="35">
        <f t="shared" si="26"/>
        <v>4846.9065271199997</v>
      </c>
      <c r="AA84" s="35">
        <f t="shared" si="26"/>
        <v>3785.5401343200001</v>
      </c>
      <c r="AB84" s="35">
        <f t="shared" si="26"/>
        <v>3750.1612545599996</v>
      </c>
      <c r="AC84" s="35">
        <f t="shared" si="26"/>
        <v>2582.6582224799999</v>
      </c>
      <c r="AD84" s="35">
        <f t="shared" si="26"/>
        <v>3077.9625391199997</v>
      </c>
      <c r="AE84" s="848">
        <f t="shared" si="26"/>
        <v>1662.8073487199999</v>
      </c>
      <c r="AF84" s="35">
        <f t="shared" si="26"/>
        <v>1061.3663928000001</v>
      </c>
      <c r="AG84" s="35">
        <f t="shared" si="26"/>
        <v>1839.7017475199998</v>
      </c>
      <c r="AH84" s="35">
        <f t="shared" si="26"/>
        <v>1096.7452725599999</v>
      </c>
      <c r="AI84" s="35">
        <f t="shared" si="26"/>
        <v>1698.18622848</v>
      </c>
      <c r="AJ84" s="35">
        <f t="shared" si="26"/>
        <v>1768.9439879999998</v>
      </c>
      <c r="AK84" s="35">
        <f t="shared" si="26"/>
        <v>1238.2607915999999</v>
      </c>
      <c r="AL84" s="35">
        <f t="shared" si="21"/>
        <v>1556.6707094399999</v>
      </c>
      <c r="AM84" s="35">
        <f t="shared" si="22"/>
        <v>1910.4595070400001</v>
      </c>
      <c r="AN84" s="35">
        <f t="shared" si="23"/>
        <v>2759.55262128</v>
      </c>
      <c r="AO84" s="35" t="str">
        <f t="shared" si="24"/>
        <v xml:space="preserve"> </v>
      </c>
      <c r="AP84" s="35" t="str">
        <f t="shared" si="25"/>
        <v xml:space="preserve"> </v>
      </c>
      <c r="AQ84" s="848" t="str">
        <f>IF(ISNUMBER(AQ48),AQ48-AP48," ")</f>
        <v xml:space="preserve"> </v>
      </c>
      <c r="BB84" s="1016"/>
    </row>
    <row r="85" spans="1:54" s="1020" customFormat="1" ht="13.9">
      <c r="A85" s="35" t="s">
        <v>749</v>
      </c>
      <c r="B85" s="360">
        <f t="shared" ca="1" si="5"/>
        <v>1017.0514785</v>
      </c>
      <c r="C85" t="s">
        <v>74</v>
      </c>
      <c r="F85" s="1020">
        <v>1</v>
      </c>
      <c r="G85" s="848"/>
      <c r="H85" s="35">
        <f t="shared" ref="H85:AK85" si="27">IF(ISNUMBER(H64),(H64-G64)*$F64*$E64," ")</f>
        <v>3085.0561514500005</v>
      </c>
      <c r="I85" s="35">
        <f t="shared" si="27"/>
        <v>2813.8424238500002</v>
      </c>
      <c r="J85" s="35">
        <f t="shared" si="27"/>
        <v>4102.10762995</v>
      </c>
      <c r="K85" s="35">
        <f t="shared" si="27"/>
        <v>3593.5818907000003</v>
      </c>
      <c r="L85" s="35">
        <f t="shared" si="27"/>
        <v>3390.1715950000003</v>
      </c>
      <c r="M85" s="35">
        <f t="shared" si="27"/>
        <v>4203.8127778000007</v>
      </c>
      <c r="N85" s="35">
        <f t="shared" si="27"/>
        <v>4102.10762995</v>
      </c>
      <c r="O85" s="35">
        <f t="shared" si="27"/>
        <v>3118.9578674000004</v>
      </c>
      <c r="P85" s="35">
        <f t="shared" si="27"/>
        <v>2101.9063889000004</v>
      </c>
      <c r="Q85" s="35">
        <f t="shared" si="27"/>
        <v>1050.9531944500002</v>
      </c>
      <c r="R85" s="506">
        <f t="shared" si="27"/>
        <v>1017.0514785</v>
      </c>
      <c r="S85" s="35">
        <f t="shared" si="27"/>
        <v>813.64118280000002</v>
      </c>
      <c r="T85" s="35">
        <f t="shared" si="27"/>
        <v>847.54289875000006</v>
      </c>
      <c r="U85" s="35">
        <f t="shared" si="27"/>
        <v>983.1497625500001</v>
      </c>
      <c r="V85" s="35">
        <f t="shared" si="27"/>
        <v>1050.9531944500002</v>
      </c>
      <c r="W85" s="35">
        <f t="shared" si="27"/>
        <v>1017.0514785</v>
      </c>
      <c r="X85" s="35">
        <f t="shared" si="27"/>
        <v>1017.0514785</v>
      </c>
      <c r="Y85" s="35">
        <f t="shared" si="27"/>
        <v>1186.5600582500001</v>
      </c>
      <c r="Z85" s="35">
        <f t="shared" si="27"/>
        <v>1389.9703539500001</v>
      </c>
      <c r="AA85" s="35">
        <f t="shared" si="27"/>
        <v>508.52573925000002</v>
      </c>
      <c r="AB85" s="35">
        <f t="shared" si="27"/>
        <v>1152.6583423000002</v>
      </c>
      <c r="AC85" s="35">
        <f t="shared" si="27"/>
        <v>1186.5600582500001</v>
      </c>
      <c r="AD85" s="35">
        <f t="shared" si="27"/>
        <v>1186.5600582500001</v>
      </c>
      <c r="AE85" s="848">
        <f t="shared" si="27"/>
        <v>576.32917115000009</v>
      </c>
      <c r="AF85" s="35">
        <f t="shared" si="27"/>
        <v>779.7394668500001</v>
      </c>
      <c r="AG85" s="35">
        <f t="shared" si="27"/>
        <v>813.64118280000002</v>
      </c>
      <c r="AH85" s="35">
        <f t="shared" si="27"/>
        <v>31325.185537800004</v>
      </c>
      <c r="AI85" s="35">
        <f t="shared" si="27"/>
        <v>1017.0514785</v>
      </c>
      <c r="AJ85" s="35">
        <f t="shared" si="27"/>
        <v>1017.0514785</v>
      </c>
      <c r="AK85" s="35">
        <f t="shared" si="27"/>
        <v>-28636.440445805521</v>
      </c>
      <c r="AL85" s="35" t="str">
        <f>IF(ISNUMBER(#REF!),(#REF!-AK64)*$F64*$E64," ")</f>
        <v xml:space="preserve"> </v>
      </c>
      <c r="AM85" s="35" t="str">
        <f>IF(ISNUMBER(#REF!),(#REF!-AL64)*$F64*$E64," ")</f>
        <v xml:space="preserve"> </v>
      </c>
      <c r="AN85" s="35" t="str">
        <f>IF(ISNUMBER(#REF!),(#REF!-AM64)*$F64*$E64," ")</f>
        <v xml:space="preserve"> </v>
      </c>
      <c r="AO85" s="35" t="str">
        <f>IF(ISNUMBER(#REF!),(#REF!-AN64)*$F64*$E64," ")</f>
        <v xml:space="preserve"> </v>
      </c>
      <c r="AP85" s="35" t="str">
        <f>IF(ISNUMBER(#REF!),(#REF!-AO64)*$F64*$E64," ")</f>
        <v xml:space="preserve"> </v>
      </c>
      <c r="AQ85" s="848" t="str">
        <f>IF(ISNUMBER(AQ29),AQ29-AP29," ")</f>
        <v xml:space="preserve"> </v>
      </c>
      <c r="BB85" s="1016"/>
    </row>
    <row r="86" spans="1:54" s="1020" customFormat="1" ht="14.45">
      <c r="A86" s="1252" t="s">
        <v>761</v>
      </c>
      <c r="B86" s="360">
        <f t="shared" ca="1" si="5"/>
        <v>1189.9502298450047</v>
      </c>
      <c r="C86" s="35" t="s">
        <v>74</v>
      </c>
      <c r="D86" s="35"/>
      <c r="E86" s="35"/>
      <c r="F86" s="1020">
        <v>1</v>
      </c>
      <c r="G86" s="848"/>
      <c r="H86" s="35">
        <v>0</v>
      </c>
      <c r="I86" s="35">
        <v>0</v>
      </c>
      <c r="J86" s="35">
        <v>0</v>
      </c>
      <c r="K86" s="35">
        <v>0</v>
      </c>
      <c r="L86" s="35">
        <v>0</v>
      </c>
      <c r="M86" s="35">
        <v>0</v>
      </c>
      <c r="N86" s="35">
        <v>0</v>
      </c>
      <c r="O86" s="35">
        <v>0</v>
      </c>
      <c r="P86" s="35">
        <v>0</v>
      </c>
      <c r="Q86" s="35">
        <v>0</v>
      </c>
      <c r="R86" s="506">
        <v>0</v>
      </c>
      <c r="S86" s="35">
        <v>0</v>
      </c>
      <c r="T86" s="35">
        <v>0</v>
      </c>
      <c r="U86" s="35">
        <v>0</v>
      </c>
      <c r="V86" s="35">
        <v>0</v>
      </c>
      <c r="W86" s="35">
        <v>0</v>
      </c>
      <c r="X86" s="35">
        <v>0</v>
      </c>
      <c r="Y86" s="35">
        <v>0</v>
      </c>
      <c r="Z86" s="35">
        <v>0</v>
      </c>
      <c r="AA86" s="35">
        <v>0</v>
      </c>
      <c r="AB86" s="35">
        <v>0</v>
      </c>
      <c r="AC86" s="35">
        <f t="shared" ref="AC86:AK86" si="28">IF(ISNUMBER(AC65),(AC65-AB65)*$F65*$E65," ")</f>
        <v>24030.892333998007</v>
      </c>
      <c r="AD86" s="35">
        <f t="shared" si="28"/>
        <v>699.39240004849989</v>
      </c>
      <c r="AE86" s="848">
        <f t="shared" si="28"/>
        <v>979.08155663599985</v>
      </c>
      <c r="AF86" s="35">
        <f t="shared" si="28"/>
        <v>1138.0806044414978</v>
      </c>
      <c r="AG86" s="35">
        <f t="shared" si="28"/>
        <v>1056.7164861615026</v>
      </c>
      <c r="AH86" s="35">
        <f t="shared" si="28"/>
        <v>1191.3062984829996</v>
      </c>
      <c r="AI86" s="35">
        <f t="shared" si="28"/>
        <v>1151.6412908215009</v>
      </c>
      <c r="AJ86" s="35">
        <f t="shared" si="28"/>
        <v>1038.0705423890004</v>
      </c>
      <c r="AK86" s="35">
        <f t="shared" si="28"/>
        <v>1383.1900107599986</v>
      </c>
      <c r="AL86" s="35">
        <f t="shared" ref="AL86:AL89" si="29">IF(ISNUMBER(AL65),(AL65-AK65)*$F65*$E65," ")</f>
        <v>1362.1709468709985</v>
      </c>
      <c r="AM86" s="35">
        <f t="shared" ref="AM86:AM89" si="30">IF(ISNUMBER(AM65),(AM65-AL65)*$F65*$E65," ")</f>
        <v>1189.9502298450047</v>
      </c>
      <c r="AN86" s="35">
        <f t="shared" ref="AN86:AN89" si="31">IF(ISNUMBER(AN65),(AN65-AM65)*$F65*$E65," ")</f>
        <v>1102.8228198534914</v>
      </c>
      <c r="AO86" s="35" t="str">
        <f t="shared" ref="AO86:AO89" si="32">IF(ISNUMBER(AO65),(AO65-AN65)*$F65*$E65," ")</f>
        <v xml:space="preserve"> </v>
      </c>
      <c r="AP86" s="35" t="str">
        <f t="shared" ref="AP86:AP89" si="33">IF(ISNUMBER(AP65),(AP65-AO65)*$F65*$E65," ")</f>
        <v xml:space="preserve"> </v>
      </c>
      <c r="AQ86" s="848" t="str">
        <f>IF(ISNUMBER(AQ50),AQ50-AP50," ")</f>
        <v xml:space="preserve"> </v>
      </c>
      <c r="BB86" s="1016"/>
    </row>
    <row r="87" spans="1:54" s="1020" customFormat="1" ht="14.45">
      <c r="A87" s="1252" t="s">
        <v>762</v>
      </c>
      <c r="B87" s="360">
        <f t="shared" ca="1" si="5"/>
        <v>458.35119964399996</v>
      </c>
      <c r="C87" s="473" t="s">
        <v>74</v>
      </c>
      <c r="D87" s="473"/>
      <c r="E87" s="473"/>
      <c r="F87" s="473">
        <v>1</v>
      </c>
      <c r="G87" s="1008"/>
      <c r="H87" s="35">
        <v>0</v>
      </c>
      <c r="I87" s="35">
        <v>0</v>
      </c>
      <c r="J87" s="35">
        <v>0</v>
      </c>
      <c r="K87" s="35">
        <v>0</v>
      </c>
      <c r="L87" s="35">
        <v>0</v>
      </c>
      <c r="M87" s="35">
        <v>0</v>
      </c>
      <c r="N87" s="35">
        <v>0</v>
      </c>
      <c r="O87" s="35">
        <v>0</v>
      </c>
      <c r="P87" s="35">
        <v>0</v>
      </c>
      <c r="Q87" s="35">
        <v>0</v>
      </c>
      <c r="R87" s="506">
        <v>0</v>
      </c>
      <c r="S87" s="35">
        <v>0</v>
      </c>
      <c r="T87" s="35">
        <v>0</v>
      </c>
      <c r="U87" s="35">
        <v>0</v>
      </c>
      <c r="V87" s="35">
        <v>0</v>
      </c>
      <c r="W87" s="35">
        <v>0</v>
      </c>
      <c r="X87" s="35">
        <v>0</v>
      </c>
      <c r="Y87" s="35">
        <v>0</v>
      </c>
      <c r="Z87" s="35">
        <v>0</v>
      </c>
      <c r="AA87" s="35">
        <v>0</v>
      </c>
      <c r="AB87" s="35">
        <v>0</v>
      </c>
      <c r="AC87" s="35">
        <f t="shared" ref="AC87:AK87" si="34">IF(ISNUMBER(AC66),(AC66-AB66)*$F66*$E66," ")</f>
        <v>2275.8221917235001</v>
      </c>
      <c r="AD87" s="35">
        <f t="shared" si="34"/>
        <v>68.481466219000353</v>
      </c>
      <c r="AE87" s="848">
        <f t="shared" si="34"/>
        <v>82.720186917999939</v>
      </c>
      <c r="AF87" s="35">
        <f t="shared" si="34"/>
        <v>112.21467979450009</v>
      </c>
      <c r="AG87" s="35">
        <f t="shared" si="34"/>
        <v>44.750265053999769</v>
      </c>
      <c r="AH87" s="35">
        <f t="shared" si="34"/>
        <v>81.364118280000199</v>
      </c>
      <c r="AI87" s="35">
        <f t="shared" si="34"/>
        <v>98.993010574000067</v>
      </c>
      <c r="AJ87" s="35">
        <f t="shared" si="34"/>
        <v>132.5557093644999</v>
      </c>
      <c r="AK87" s="35">
        <f t="shared" si="34"/>
        <v>158.66003064599977</v>
      </c>
      <c r="AL87" s="35">
        <f t="shared" si="29"/>
        <v>495.98210434850034</v>
      </c>
      <c r="AM87" s="35">
        <f t="shared" si="30"/>
        <v>458.35119964399996</v>
      </c>
      <c r="AN87" s="35">
        <f t="shared" si="31"/>
        <v>589.8898575300002</v>
      </c>
      <c r="AO87" s="35" t="str">
        <f t="shared" si="32"/>
        <v xml:space="preserve"> </v>
      </c>
      <c r="AP87" s="35" t="str">
        <f t="shared" si="33"/>
        <v xml:space="preserve"> </v>
      </c>
      <c r="AQ87" s="848" t="str">
        <f>IF(ISNUMBER(AQ51),AQ51-AP51," ")</f>
        <v xml:space="preserve"> </v>
      </c>
      <c r="BB87" s="1016"/>
    </row>
    <row r="88" spans="1:54" s="1020" customFormat="1" ht="14.45">
      <c r="A88" s="1252" t="s">
        <v>763</v>
      </c>
      <c r="B88" s="360">
        <f t="shared" ca="1" si="5"/>
        <v>689.89991958250084</v>
      </c>
      <c r="C88" t="s">
        <v>74</v>
      </c>
      <c r="D88"/>
      <c r="E88"/>
      <c r="F88" s="1020">
        <v>1</v>
      </c>
      <c r="G88" s="441"/>
      <c r="H88" s="35">
        <v>0</v>
      </c>
      <c r="I88" s="35">
        <v>0</v>
      </c>
      <c r="J88" s="35">
        <v>0</v>
      </c>
      <c r="K88" s="35">
        <v>0</v>
      </c>
      <c r="L88" s="35">
        <v>0</v>
      </c>
      <c r="M88" s="35">
        <v>0</v>
      </c>
      <c r="N88" s="35">
        <v>0</v>
      </c>
      <c r="O88" s="35">
        <v>0</v>
      </c>
      <c r="P88" s="35">
        <v>0</v>
      </c>
      <c r="Q88" s="35">
        <v>0</v>
      </c>
      <c r="R88" s="506">
        <v>0</v>
      </c>
      <c r="S88" s="35">
        <v>0</v>
      </c>
      <c r="T88" s="35">
        <v>0</v>
      </c>
      <c r="U88" s="35">
        <v>0</v>
      </c>
      <c r="V88" s="35">
        <v>0</v>
      </c>
      <c r="W88" s="35">
        <v>0</v>
      </c>
      <c r="X88" s="35">
        <v>0</v>
      </c>
      <c r="Y88" s="35">
        <v>0</v>
      </c>
      <c r="Z88" s="35">
        <v>0</v>
      </c>
      <c r="AA88" s="35">
        <v>0</v>
      </c>
      <c r="AB88" s="35">
        <v>0</v>
      </c>
      <c r="AC88" s="35">
        <f t="shared" ref="AC88:AK88" si="35">IF(ISNUMBER(AC67),(AC67-AB67)*$F67*$E67," ")</f>
        <v>13833.595193397503</v>
      </c>
      <c r="AD88" s="35">
        <f t="shared" si="35"/>
        <v>0</v>
      </c>
      <c r="AE88" s="848">
        <f t="shared" si="35"/>
        <v>0</v>
      </c>
      <c r="AF88" s="35">
        <f t="shared" si="35"/>
        <v>0.67803431899938338</v>
      </c>
      <c r="AG88" s="35">
        <f t="shared" si="35"/>
        <v>0.33901715949969169</v>
      </c>
      <c r="AH88" s="35">
        <f t="shared" si="35"/>
        <v>0.33901715949969169</v>
      </c>
      <c r="AI88" s="35">
        <f t="shared" si="35"/>
        <v>1217.4106197645008</v>
      </c>
      <c r="AJ88" s="35">
        <f t="shared" si="35"/>
        <v>1186.5600582500001</v>
      </c>
      <c r="AK88" s="35">
        <f t="shared" si="35"/>
        <v>878.05444310499934</v>
      </c>
      <c r="AL88" s="35">
        <f t="shared" si="29"/>
        <v>647.52277464500082</v>
      </c>
      <c r="AM88" s="35">
        <f t="shared" si="30"/>
        <v>689.89991958250084</v>
      </c>
      <c r="AN88" s="35">
        <f t="shared" si="31"/>
        <v>460.38530260100146</v>
      </c>
      <c r="AO88" s="35" t="str">
        <f t="shared" si="32"/>
        <v xml:space="preserve"> </v>
      </c>
      <c r="AP88" s="35" t="str">
        <f t="shared" si="33"/>
        <v xml:space="preserve"> </v>
      </c>
      <c r="AQ88" s="848" t="str">
        <f>IF(ISNUMBER(AQ53),AQ53-AP53," ")</f>
        <v xml:space="preserve"> </v>
      </c>
      <c r="BB88" s="1016"/>
    </row>
    <row r="89" spans="1:54" s="1020" customFormat="1" ht="13.9">
      <c r="A89" s="35" t="s">
        <v>753</v>
      </c>
      <c r="B89" s="360">
        <f t="shared" ca="1" si="5"/>
        <v>9163.6338212850987</v>
      </c>
      <c r="C89" t="s">
        <v>74</v>
      </c>
      <c r="F89" s="1020">
        <v>1</v>
      </c>
      <c r="G89" s="848"/>
      <c r="H89" s="35">
        <f t="shared" ref="H89:AB89" si="36">IF(ISNUMBER(H68),(H68-G68)*$F68*$E68," ")</f>
        <v>8814.4461470000006</v>
      </c>
      <c r="I89" s="35">
        <f t="shared" si="36"/>
        <v>8475.4289875000013</v>
      </c>
      <c r="J89" s="35">
        <f t="shared" si="36"/>
        <v>11526.583423</v>
      </c>
      <c r="K89" s="35">
        <f t="shared" si="36"/>
        <v>11967.305730350001</v>
      </c>
      <c r="L89" s="35">
        <f t="shared" si="36"/>
        <v>11865.600582500001</v>
      </c>
      <c r="M89" s="35">
        <f t="shared" si="36"/>
        <v>12577.536617450001</v>
      </c>
      <c r="N89" s="35">
        <f t="shared" si="36"/>
        <v>13899.703539500002</v>
      </c>
      <c r="O89" s="35">
        <f t="shared" si="36"/>
        <v>13221.669220500002</v>
      </c>
      <c r="P89" s="35">
        <f t="shared" si="36"/>
        <v>13764.096675700001</v>
      </c>
      <c r="Q89" s="35">
        <f t="shared" si="36"/>
        <v>10577.3353764</v>
      </c>
      <c r="R89" s="506">
        <f t="shared" si="36"/>
        <v>9153.4633064999998</v>
      </c>
      <c r="S89" s="35">
        <f t="shared" si="36"/>
        <v>6712.5397581000007</v>
      </c>
      <c r="T89" s="35">
        <f t="shared" si="36"/>
        <v>8034.7066801500005</v>
      </c>
      <c r="U89" s="35">
        <f t="shared" si="36"/>
        <v>10509.5319445</v>
      </c>
      <c r="V89" s="35">
        <f t="shared" si="36"/>
        <v>10645.138808300002</v>
      </c>
      <c r="W89" s="35">
        <f t="shared" si="36"/>
        <v>10170.514785000001</v>
      </c>
      <c r="X89" s="35">
        <f t="shared" si="36"/>
        <v>11526.583423</v>
      </c>
      <c r="Y89" s="35">
        <f t="shared" si="36"/>
        <v>14001.408687350002</v>
      </c>
      <c r="Z89" s="35">
        <f t="shared" si="36"/>
        <v>15798.199632700002</v>
      </c>
      <c r="AA89" s="35">
        <f t="shared" si="36"/>
        <v>13458.981232149999</v>
      </c>
      <c r="AB89" s="35">
        <f t="shared" si="36"/>
        <v>12441.929753650002</v>
      </c>
      <c r="AC89" s="35">
        <f t="shared" ref="AC89:AK89" si="37">IF(ISNUMBER(AC68),(AC68-AB68)*$F68*$E68," ")</f>
        <v>11187.566263500001</v>
      </c>
      <c r="AD89" s="35">
        <f t="shared" si="37"/>
        <v>12374.126321750002</v>
      </c>
      <c r="AE89" s="848">
        <f t="shared" si="37"/>
        <v>7187.1637814000005</v>
      </c>
      <c r="AF89" s="35">
        <f t="shared" si="37"/>
        <v>10848.549104000002</v>
      </c>
      <c r="AG89" s="35">
        <f t="shared" si="37"/>
        <v>11899.502298450001</v>
      </c>
      <c r="AH89" s="35">
        <f t="shared" si="37"/>
        <v>11763.895434650001</v>
      </c>
      <c r="AI89" s="35">
        <f t="shared" si="37"/>
        <v>11628.28857085</v>
      </c>
      <c r="AJ89" s="35">
        <f t="shared" si="37"/>
        <v>11187.566263500001</v>
      </c>
      <c r="AK89" s="35">
        <f t="shared" si="37"/>
        <v>12035.109162250001</v>
      </c>
      <c r="AL89" s="35">
        <f t="shared" si="29"/>
        <v>14137.01555115</v>
      </c>
      <c r="AM89" s="35">
        <f t="shared" si="30"/>
        <v>14069.212119250002</v>
      </c>
      <c r="AN89" s="35">
        <f t="shared" si="31"/>
        <v>9163.6338212850987</v>
      </c>
      <c r="AO89" s="35">
        <f t="shared" si="32"/>
        <v>11805.594545268363</v>
      </c>
      <c r="AP89" s="35" t="str">
        <f t="shared" si="33"/>
        <v xml:space="preserve"> </v>
      </c>
      <c r="AQ89" s="848" t="str">
        <f>IF(ISNUMBER(AQ49),AQ49-AP49," ")</f>
        <v xml:space="preserve"> </v>
      </c>
      <c r="BB89" s="1016"/>
    </row>
    <row r="90" spans="1:54" s="35" customFormat="1" ht="13.9">
      <c r="A90" s="35" t="s">
        <v>756</v>
      </c>
      <c r="B90" s="360">
        <f t="shared" ca="1" si="5"/>
        <v>19616.93613396</v>
      </c>
      <c r="C90" t="s">
        <v>74</v>
      </c>
      <c r="D90"/>
      <c r="E90"/>
      <c r="F90">
        <v>1</v>
      </c>
      <c r="G90" s="848"/>
      <c r="H90" s="35">
        <f t="shared" ref="H90:AK90" si="38">IF(ISNUMBER(H71),(H71-G71)*$F71*$E71," ")</f>
        <v>0</v>
      </c>
      <c r="I90" s="35">
        <f t="shared" si="38"/>
        <v>70.717145400000007</v>
      </c>
      <c r="J90" s="35">
        <f t="shared" si="38"/>
        <v>70.717145400000007</v>
      </c>
      <c r="K90" s="35">
        <f t="shared" si="38"/>
        <v>70.717145400000007</v>
      </c>
      <c r="L90" s="35">
        <f t="shared" si="38"/>
        <v>35.358572700000003</v>
      </c>
      <c r="M90" s="35">
        <f t="shared" si="38"/>
        <v>141.43429080000001</v>
      </c>
      <c r="N90" s="35">
        <f t="shared" si="38"/>
        <v>70.717145400000007</v>
      </c>
      <c r="O90" s="35">
        <f t="shared" si="38"/>
        <v>106.07571810000002</v>
      </c>
      <c r="P90" s="35">
        <f t="shared" si="38"/>
        <v>35.358572700000003</v>
      </c>
      <c r="Q90" s="35">
        <f t="shared" si="38"/>
        <v>106.07571810000002</v>
      </c>
      <c r="R90" s="506">
        <f t="shared" si="38"/>
        <v>35.358572700000003</v>
      </c>
      <c r="S90" s="35">
        <f t="shared" si="38"/>
        <v>35.358572700000003</v>
      </c>
      <c r="T90" s="35">
        <f t="shared" si="38"/>
        <v>49.502001780003219</v>
      </c>
      <c r="U90" s="35">
        <f t="shared" si="38"/>
        <v>42.076701512993893</v>
      </c>
      <c r="V90" s="35">
        <f t="shared" si="38"/>
        <v>33.23705833800193</v>
      </c>
      <c r="W90" s="35">
        <f t="shared" si="38"/>
        <v>62.231087951999683</v>
      </c>
      <c r="X90" s="35">
        <f t="shared" si="38"/>
        <v>42.430287240001611</v>
      </c>
      <c r="Y90" s="35">
        <f t="shared" si="38"/>
        <v>18.032872076999681</v>
      </c>
      <c r="Z90" s="35">
        <f t="shared" si="38"/>
        <v>70.717145400000007</v>
      </c>
      <c r="AA90" s="35">
        <f t="shared" si="38"/>
        <v>42.430287240001611</v>
      </c>
      <c r="AB90" s="35">
        <f t="shared" si="38"/>
        <v>32.176301156994853</v>
      </c>
      <c r="AC90" s="35">
        <f t="shared" si="38"/>
        <v>86.628503115001621</v>
      </c>
      <c r="AD90" s="35">
        <f t="shared" si="38"/>
        <v>118.09763281800515</v>
      </c>
      <c r="AE90" s="848">
        <f t="shared" si="38"/>
        <v>53.037859050000009</v>
      </c>
      <c r="AF90" s="35">
        <f t="shared" si="38"/>
        <v>28.286858159998395</v>
      </c>
      <c r="AG90" s="35">
        <f t="shared" si="38"/>
        <v>26.165343798000325</v>
      </c>
      <c r="AH90" s="35">
        <f t="shared" si="38"/>
        <v>37.480087061998077</v>
      </c>
      <c r="AI90" s="35">
        <f t="shared" si="38"/>
        <v>70.717145400000007</v>
      </c>
      <c r="AJ90" s="35">
        <f t="shared" si="38"/>
        <v>35.358572700000003</v>
      </c>
      <c r="AK90" s="35">
        <f t="shared" si="38"/>
        <v>6.3645430860022518</v>
      </c>
      <c r="AL90" s="35">
        <f t="shared" ref="AL90:AL92" si="39">IF(ISNUMBER(AL71),(AL71-AK71)*$F71*$E71," ")</f>
        <v>6188.4573939539996</v>
      </c>
      <c r="AM90" s="35">
        <f t="shared" ref="AM90:AM92" si="40">IF(ISNUMBER(AM71),(AM71-AL71)*$F71*$E71," ")</f>
        <v>19616.93613396</v>
      </c>
      <c r="AN90" s="35">
        <f t="shared" ref="AN90:AN92" si="41">IF(ISNUMBER(AN71),(AN71-AM71)*$F71*$E71," ")</f>
        <v>21851.597928600004</v>
      </c>
      <c r="AO90" s="35" t="str">
        <f t="shared" ref="AO90:AO92" si="42">IF(ISNUMBER(AO71),(AO71-AN71)*$F71*$E71," ")</f>
        <v xml:space="preserve"> </v>
      </c>
      <c r="AP90" s="35" t="str">
        <f t="shared" ref="AP90:AP92" si="43">IF(ISNUMBER(AP71),(AP71-AO71)*$F71*$E71," ")</f>
        <v xml:space="preserve"> </v>
      </c>
      <c r="AQ90" s="848" t="str">
        <f>IF(ISNUMBER(AQ56),AQ56-AP56," ")</f>
        <v xml:space="preserve"> </v>
      </c>
      <c r="BB90" s="506"/>
    </row>
    <row r="91" spans="1:54" ht="13.9">
      <c r="A91" s="35" t="s">
        <v>757</v>
      </c>
      <c r="B91" s="360">
        <f ca="1">OFFSET(F91,0,COUNT(G91:AP91))</f>
        <v>1944.7214985000001</v>
      </c>
      <c r="C91" t="s">
        <v>74</v>
      </c>
      <c r="F91">
        <v>1</v>
      </c>
      <c r="G91" s="848"/>
      <c r="H91" s="35">
        <f t="shared" ref="H91:AK91" si="44">IF(ISNUMBER(H72),(H72-G72)*$F72*$E72," ")</f>
        <v>16689.246314400003</v>
      </c>
      <c r="I91" s="35">
        <f t="shared" si="44"/>
        <v>20225.103584400003</v>
      </c>
      <c r="J91" s="35">
        <f t="shared" si="44"/>
        <v>17679.286350000002</v>
      </c>
      <c r="K91" s="35">
        <f t="shared" si="44"/>
        <v>16830.680605200003</v>
      </c>
      <c r="L91" s="35">
        <f t="shared" si="44"/>
        <v>17254.983477600003</v>
      </c>
      <c r="M91" s="35">
        <f t="shared" si="44"/>
        <v>20790.840747599999</v>
      </c>
      <c r="N91" s="35">
        <f t="shared" si="44"/>
        <v>19093.629258000001</v>
      </c>
      <c r="O91" s="35">
        <f t="shared" si="44"/>
        <v>17325.700623000001</v>
      </c>
      <c r="P91" s="35">
        <f t="shared" si="44"/>
        <v>16936.7563233</v>
      </c>
      <c r="Q91" s="35">
        <f t="shared" si="44"/>
        <v>18103.589222400002</v>
      </c>
      <c r="R91" s="506">
        <f t="shared" si="44"/>
        <v>12764.444744700002</v>
      </c>
      <c r="S91" s="35">
        <f t="shared" si="44"/>
        <v>14072.7119346</v>
      </c>
      <c r="T91" s="35">
        <f t="shared" si="44"/>
        <v>15557.771988</v>
      </c>
      <c r="U91" s="35">
        <f t="shared" si="44"/>
        <v>19776.049711110103</v>
      </c>
      <c r="V91" s="35">
        <f t="shared" si="44"/>
        <v>15264.295834589899</v>
      </c>
      <c r="W91" s="35">
        <f t="shared" si="44"/>
        <v>21073.709329200003</v>
      </c>
      <c r="X91" s="35">
        <f t="shared" si="44"/>
        <v>16795.3220325</v>
      </c>
      <c r="Y91" s="35">
        <f t="shared" si="44"/>
        <v>19517.9321304</v>
      </c>
      <c r="Z91" s="35">
        <f t="shared" si="44"/>
        <v>20649.406456799999</v>
      </c>
      <c r="AA91" s="35">
        <f t="shared" si="44"/>
        <v>20083.669293600004</v>
      </c>
      <c r="AB91" s="35">
        <f t="shared" si="44"/>
        <v>17877.294357120209</v>
      </c>
      <c r="AC91" s="35">
        <f t="shared" si="44"/>
        <v>17658.071206379795</v>
      </c>
      <c r="AD91" s="35">
        <f t="shared" si="44"/>
        <v>14815.2419613</v>
      </c>
      <c r="AE91" s="848">
        <f t="shared" si="44"/>
        <v>13719.1262076</v>
      </c>
      <c r="AF91" s="35">
        <f t="shared" si="44"/>
        <v>17962.154931600002</v>
      </c>
      <c r="AG91" s="35">
        <f t="shared" si="44"/>
        <v>15593.130560700001</v>
      </c>
      <c r="AH91" s="35">
        <f t="shared" si="44"/>
        <v>17750.0034954</v>
      </c>
      <c r="AI91" s="35">
        <f t="shared" si="44"/>
        <v>18032.872077</v>
      </c>
      <c r="AJ91" s="35">
        <f t="shared" si="44"/>
        <v>16795.3220325</v>
      </c>
      <c r="AK91" s="35">
        <f t="shared" si="44"/>
        <v>19447.214985000002</v>
      </c>
      <c r="AL91" s="35">
        <f t="shared" si="39"/>
        <v>2929740.6167766005</v>
      </c>
      <c r="AM91" s="35">
        <f t="shared" si="40"/>
        <v>1944.7214985000001</v>
      </c>
      <c r="AN91" s="35">
        <f t="shared" si="41"/>
        <v>2227.5900801000003</v>
      </c>
      <c r="AO91" s="35" t="str">
        <f t="shared" si="42"/>
        <v xml:space="preserve"> </v>
      </c>
      <c r="AP91" s="35" t="str">
        <f t="shared" si="43"/>
        <v xml:space="preserve"> </v>
      </c>
      <c r="AQ91" s="848" t="str">
        <f>IF(ISNUMBER(AQ47),((AQ47-AP47)*1000)," ")</f>
        <v xml:space="preserve"> </v>
      </c>
      <c r="BB91" s="417"/>
    </row>
    <row r="92" spans="1:54" s="473" customFormat="1" ht="14.45" thickBot="1">
      <c r="A92" s="35" t="s">
        <v>758</v>
      </c>
      <c r="B92" s="360">
        <f ca="1">OFFSET(F92,0,COUNT(G92:AQ92))</f>
        <v>1661.8529169000001</v>
      </c>
      <c r="C92" t="s">
        <v>74</v>
      </c>
      <c r="D92"/>
      <c r="E92"/>
      <c r="F92">
        <v>1</v>
      </c>
      <c r="G92" s="1232"/>
      <c r="H92" s="965">
        <f t="shared" ref="H92:AB92" si="45">IF(ISNUMBER(H73),(H73-G73)*$F73*$E73," ")</f>
        <v>565.73716320000005</v>
      </c>
      <c r="I92" s="965">
        <f t="shared" si="45"/>
        <v>813.24717210000006</v>
      </c>
      <c r="J92" s="965">
        <f t="shared" si="45"/>
        <v>707.17145400000004</v>
      </c>
      <c r="K92" s="965">
        <f t="shared" si="45"/>
        <v>1520.4186261</v>
      </c>
      <c r="L92" s="965">
        <f t="shared" si="45"/>
        <v>1237.5500445</v>
      </c>
      <c r="M92" s="965">
        <f t="shared" si="45"/>
        <v>2086.1557893000004</v>
      </c>
      <c r="N92" s="965">
        <f t="shared" si="45"/>
        <v>1767.928635</v>
      </c>
      <c r="O92" s="965">
        <f t="shared" si="45"/>
        <v>1520.4186261</v>
      </c>
      <c r="P92" s="965">
        <f t="shared" si="45"/>
        <v>1838.6457804000001</v>
      </c>
      <c r="Q92" s="965">
        <f t="shared" si="45"/>
        <v>1520.4186261</v>
      </c>
      <c r="R92" s="933">
        <f t="shared" si="45"/>
        <v>636.4543086000001</v>
      </c>
      <c r="S92" s="965">
        <f t="shared" si="45"/>
        <v>212.15143620000003</v>
      </c>
      <c r="T92" s="965">
        <f t="shared" si="45"/>
        <v>636.4543086000001</v>
      </c>
      <c r="U92" s="965">
        <f t="shared" si="45"/>
        <v>990.04003560000012</v>
      </c>
      <c r="V92" s="965">
        <f t="shared" si="45"/>
        <v>883.96431749999999</v>
      </c>
      <c r="W92" s="965">
        <f t="shared" si="45"/>
        <v>1485.0600534</v>
      </c>
      <c r="X92" s="965">
        <f t="shared" si="45"/>
        <v>1732.5700623000002</v>
      </c>
      <c r="Y92" s="965">
        <f t="shared" si="45"/>
        <v>1732.5700623000002</v>
      </c>
      <c r="Z92" s="965">
        <f t="shared" si="45"/>
        <v>2262.9486528000002</v>
      </c>
      <c r="AA92" s="965">
        <f t="shared" si="45"/>
        <v>1485.0600534</v>
      </c>
      <c r="AB92" s="965">
        <f t="shared" si="45"/>
        <v>1378.9843353000001</v>
      </c>
      <c r="AC92" s="965">
        <f>IF(ISNUMBER(AC73),(AC73-AB73)*$F73*$E73," ")</f>
        <v>1378.9843353000001</v>
      </c>
      <c r="AD92" s="965">
        <f>IF(ISNUMBER(AD73),(AD73-AC73)*$F73*$E73," ")</f>
        <v>848.60574480000014</v>
      </c>
      <c r="AE92" s="1232">
        <f t="shared" ref="AE92:AK92" si="46">IF(ISNUMBER(AE73),(AE73-AD73)*$F73*$E73," ")</f>
        <v>318.22715430000005</v>
      </c>
      <c r="AF92" s="965">
        <f t="shared" si="46"/>
        <v>671.81288129999996</v>
      </c>
      <c r="AG92" s="965">
        <f t="shared" si="46"/>
        <v>1237.5500445</v>
      </c>
      <c r="AH92" s="965">
        <f t="shared" si="46"/>
        <v>1152.5833943019557</v>
      </c>
      <c r="AI92" s="965">
        <f t="shared" si="46"/>
        <v>1393.2338400980445</v>
      </c>
      <c r="AJ92" s="965">
        <f t="shared" si="46"/>
        <v>1732.5700623000002</v>
      </c>
      <c r="AK92" s="965">
        <f t="shared" si="46"/>
        <v>1803.2872077000002</v>
      </c>
      <c r="AL92" s="965">
        <f t="shared" si="39"/>
        <v>2086.1557893000004</v>
      </c>
      <c r="AM92" s="965">
        <f t="shared" si="40"/>
        <v>1661.8529169000001</v>
      </c>
      <c r="AN92" s="965">
        <f t="shared" si="41"/>
        <v>2044.644824950233</v>
      </c>
      <c r="AO92" s="965" t="str">
        <f t="shared" si="42"/>
        <v xml:space="preserve"> </v>
      </c>
      <c r="AP92" s="965" t="str">
        <f t="shared" si="43"/>
        <v xml:space="preserve"> </v>
      </c>
      <c r="AQ92" s="1047" t="str">
        <f>IF(ISNUMBER(AQ35),((AQ35-AP35)*1)," ")</f>
        <v xml:space="preserve"> </v>
      </c>
      <c r="AR92" s="1011"/>
      <c r="AS92" s="1011"/>
      <c r="AT92" s="1011"/>
      <c r="AU92" s="1011"/>
      <c r="AV92" s="1011"/>
      <c r="AW92" s="1011"/>
      <c r="AX92" s="1011"/>
      <c r="AY92" s="1011"/>
      <c r="AZ92" s="1011"/>
      <c r="BA92" s="1011"/>
      <c r="BB92" s="1012"/>
    </row>
    <row r="93" spans="1:54" ht="13.9">
      <c r="B93" s="360"/>
      <c r="G93" s="441"/>
      <c r="H93" s="35" t="str">
        <f t="shared" ref="H93:AB93" si="47">IF(ISNUMBER(H75),(H75-G75)*$F75*$E75," ")</f>
        <v xml:space="preserve"> </v>
      </c>
      <c r="I93" s="35" t="str">
        <f t="shared" si="47"/>
        <v xml:space="preserve"> </v>
      </c>
      <c r="J93" s="35" t="str">
        <f t="shared" si="47"/>
        <v xml:space="preserve"> </v>
      </c>
      <c r="K93" s="35" t="str">
        <f t="shared" si="47"/>
        <v xml:space="preserve"> </v>
      </c>
      <c r="L93" s="35" t="str">
        <f t="shared" si="47"/>
        <v xml:space="preserve"> </v>
      </c>
      <c r="M93" s="35" t="str">
        <f t="shared" si="47"/>
        <v xml:space="preserve"> </v>
      </c>
      <c r="N93" s="35" t="str">
        <f t="shared" si="47"/>
        <v xml:space="preserve"> </v>
      </c>
      <c r="O93" s="35" t="str">
        <f t="shared" si="47"/>
        <v xml:space="preserve"> </v>
      </c>
      <c r="P93" s="35" t="str">
        <f t="shared" si="47"/>
        <v xml:space="preserve"> </v>
      </c>
      <c r="Q93" s="35" t="str">
        <f t="shared" si="47"/>
        <v xml:space="preserve"> </v>
      </c>
      <c r="R93" s="35" t="str">
        <f t="shared" si="47"/>
        <v xml:space="preserve"> </v>
      </c>
      <c r="S93" s="845" t="str">
        <f t="shared" si="47"/>
        <v xml:space="preserve"> </v>
      </c>
      <c r="T93" s="846" t="str">
        <f t="shared" si="47"/>
        <v xml:space="preserve"> </v>
      </c>
      <c r="U93" s="846" t="str">
        <f t="shared" si="47"/>
        <v xml:space="preserve"> </v>
      </c>
      <c r="V93" s="846" t="str">
        <f t="shared" si="47"/>
        <v xml:space="preserve"> </v>
      </c>
      <c r="W93" s="846" t="str">
        <f t="shared" si="47"/>
        <v xml:space="preserve"> </v>
      </c>
      <c r="X93" s="846" t="str">
        <f t="shared" si="47"/>
        <v xml:space="preserve"> </v>
      </c>
      <c r="Y93" s="846" t="str">
        <f t="shared" si="47"/>
        <v xml:space="preserve"> </v>
      </c>
      <c r="Z93" s="846" t="str">
        <f t="shared" si="47"/>
        <v xml:space="preserve"> </v>
      </c>
      <c r="AA93" s="846" t="str">
        <f t="shared" si="47"/>
        <v xml:space="preserve"> </v>
      </c>
      <c r="AB93" s="846" t="str">
        <f t="shared" si="47"/>
        <v xml:space="preserve"> </v>
      </c>
      <c r="AC93" s="846" t="str">
        <f t="shared" ref="AC93:AP93" si="48">IF(ISNUMBER(AC75),(AC75-AB75)*$F75*$E75," ")</f>
        <v xml:space="preserve"> </v>
      </c>
      <c r="AD93" s="847" t="str">
        <f t="shared" si="48"/>
        <v xml:space="preserve"> </v>
      </c>
      <c r="AE93" s="35" t="str">
        <f t="shared" si="48"/>
        <v xml:space="preserve"> </v>
      </c>
      <c r="AF93" s="35" t="str">
        <f t="shared" si="48"/>
        <v xml:space="preserve"> </v>
      </c>
      <c r="AG93" s="35" t="str">
        <f t="shared" si="48"/>
        <v xml:space="preserve"> </v>
      </c>
      <c r="AH93" s="35" t="str">
        <f t="shared" si="48"/>
        <v xml:space="preserve"> </v>
      </c>
      <c r="AI93" s="35" t="str">
        <f t="shared" si="48"/>
        <v xml:space="preserve"> </v>
      </c>
      <c r="AJ93" s="35" t="str">
        <f t="shared" si="48"/>
        <v xml:space="preserve"> </v>
      </c>
      <c r="AK93" s="35" t="str">
        <f t="shared" si="48"/>
        <v xml:space="preserve"> </v>
      </c>
      <c r="AL93" s="35" t="str">
        <f t="shared" si="48"/>
        <v xml:space="preserve"> </v>
      </c>
      <c r="AM93" s="35" t="str">
        <f t="shared" si="48"/>
        <v xml:space="preserve"> </v>
      </c>
      <c r="AN93" s="35" t="str">
        <f t="shared" si="48"/>
        <v xml:space="preserve"> </v>
      </c>
      <c r="AO93" s="35" t="str">
        <f t="shared" si="48"/>
        <v xml:space="preserve"> </v>
      </c>
      <c r="AP93" s="35" t="str">
        <f t="shared" si="48"/>
        <v xml:space="preserve"> </v>
      </c>
      <c r="AQ93" t="str">
        <f>IF(ISNUMBER(AQ34),((AQ34-AP34)*1)," ")</f>
        <v xml:space="preserve"> </v>
      </c>
    </row>
  </sheetData>
  <protectedRanges>
    <protectedRange sqref="V26" name="Range1_5"/>
  </protectedRanges>
  <sortState ref="A80:AD92">
    <sortCondition ref="A80"/>
  </sortState>
  <conditionalFormatting sqref="G78:AQ78">
    <cfRule type="colorScale" priority="2">
      <colorScale>
        <cfvo type="min"/>
        <cfvo type="max"/>
        <color rgb="FFFCFCFF"/>
        <color rgb="FFF8696B"/>
      </colorScale>
    </cfRule>
  </conditionalFormatting>
  <conditionalFormatting sqref="G79:AQ79">
    <cfRule type="colorScale" priority="1">
      <colorScale>
        <cfvo type="min"/>
        <cfvo type="max"/>
        <color rgb="FFFCFCFF"/>
        <color rgb="FF63BE7B"/>
      </colorScale>
    </cfRule>
  </conditionalFormatting>
  <conditionalFormatting sqref="G92 AQ9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Q602"/>
  <sheetViews>
    <sheetView topLeftCell="A544" zoomScaleNormal="100" workbookViewId="0" xr3:uid="{33642244-9AC9-5136-AF77-195C889548CE}">
      <pane xSplit="2" topLeftCell="Z500" activePane="topRight" state="frozen"/>
      <selection pane="topRight" activeCell="AD514" sqref="AD514"/>
    </sheetView>
  </sheetViews>
  <sheetFormatPr defaultColWidth="9.140625" defaultRowHeight="13.15"/>
  <cols>
    <col min="1" max="1" width="18.5703125" style="35" bestFit="1" customWidth="1"/>
    <col min="2" max="2" width="56.28515625" style="35" customWidth="1"/>
    <col min="3" max="8" width="10.7109375" style="35" customWidth="1"/>
    <col min="9" max="11" width="10.140625" style="35" customWidth="1"/>
    <col min="12" max="12" width="11.5703125" style="35" bestFit="1" customWidth="1"/>
    <col min="13" max="13" width="12.85546875" style="35" bestFit="1" customWidth="1"/>
    <col min="14" max="14" width="11.5703125" style="35" bestFit="1" customWidth="1"/>
    <col min="15" max="15" width="12.85546875" style="35" bestFit="1" customWidth="1"/>
    <col min="16" max="16" width="11.5703125" style="35" bestFit="1" customWidth="1"/>
    <col min="17" max="17" width="12.85546875" style="35" bestFit="1" customWidth="1"/>
    <col min="18" max="18" width="11.5703125" style="35" bestFit="1" customWidth="1"/>
    <col min="19" max="19" width="12.85546875" style="35" bestFit="1" customWidth="1"/>
    <col min="20" max="20" width="11.5703125" style="35" bestFit="1" customWidth="1"/>
    <col min="21" max="21" width="12.85546875" style="35" bestFit="1" customWidth="1"/>
    <col min="22" max="22" width="11.5703125" style="35" bestFit="1" customWidth="1"/>
    <col min="23" max="23" width="12.85546875" style="35" bestFit="1" customWidth="1"/>
    <col min="24" max="24" width="11.5703125" style="35" bestFit="1" customWidth="1"/>
    <col min="25" max="25" width="12.85546875" style="35" bestFit="1" customWidth="1"/>
    <col min="26" max="26" width="11.5703125" style="35" bestFit="1" customWidth="1"/>
    <col min="27" max="27" width="12.85546875" style="35" bestFit="1" customWidth="1"/>
    <col min="28" max="28" width="11" style="35" customWidth="1"/>
    <col min="29" max="29" width="9.85546875" style="35" customWidth="1"/>
    <col min="30" max="30" width="12.7109375" style="35" customWidth="1"/>
    <col min="31" max="31" width="12.28515625" style="35" customWidth="1"/>
    <col min="32" max="32" width="11.28515625" style="35" customWidth="1"/>
    <col min="33" max="33" width="10" style="35" customWidth="1"/>
    <col min="34" max="34" width="10.42578125" style="35" customWidth="1"/>
    <col min="35" max="35" width="11.28515625" style="35" customWidth="1"/>
    <col min="36" max="36" width="12.28515625" style="35" customWidth="1"/>
    <col min="37" max="16384" width="9.140625" style="35"/>
  </cols>
  <sheetData>
    <row r="1" spans="2:43" ht="39.6">
      <c r="B1" s="813" t="s">
        <v>764</v>
      </c>
      <c r="C1" s="815">
        <v>44562</v>
      </c>
      <c r="D1" s="815">
        <v>44593</v>
      </c>
      <c r="E1" s="815">
        <v>44621</v>
      </c>
      <c r="F1" s="815">
        <v>44652</v>
      </c>
      <c r="G1" s="815">
        <v>44682</v>
      </c>
      <c r="H1" s="815">
        <v>44713</v>
      </c>
      <c r="I1" s="815">
        <v>44743</v>
      </c>
      <c r="J1" s="815">
        <v>44774</v>
      </c>
      <c r="K1" s="815">
        <v>44805</v>
      </c>
      <c r="L1" s="814">
        <v>44835</v>
      </c>
      <c r="M1" s="814">
        <v>44866</v>
      </c>
      <c r="N1" s="814">
        <v>44896</v>
      </c>
      <c r="O1" s="814">
        <v>44927</v>
      </c>
      <c r="P1" s="814">
        <v>44958</v>
      </c>
      <c r="Q1" s="814">
        <v>44986</v>
      </c>
      <c r="R1" s="814">
        <v>45017</v>
      </c>
      <c r="S1" s="814">
        <v>45047</v>
      </c>
      <c r="T1" s="814">
        <v>45078</v>
      </c>
      <c r="U1" s="814">
        <v>45108</v>
      </c>
      <c r="V1" s="814">
        <v>45139</v>
      </c>
      <c r="W1" s="814">
        <v>45170</v>
      </c>
      <c r="X1" s="814">
        <v>45200</v>
      </c>
      <c r="Y1" s="814">
        <v>45231</v>
      </c>
      <c r="Z1" s="814">
        <v>45261</v>
      </c>
      <c r="AA1" s="814">
        <v>45292</v>
      </c>
      <c r="AB1" s="814">
        <v>45323</v>
      </c>
      <c r="AC1" s="814">
        <v>45352</v>
      </c>
      <c r="AD1" s="814">
        <v>45383</v>
      </c>
      <c r="AE1" s="814">
        <v>45413</v>
      </c>
      <c r="AF1" s="814">
        <v>45444</v>
      </c>
      <c r="AG1" s="814">
        <v>45474</v>
      </c>
      <c r="AH1" s="814">
        <v>45505</v>
      </c>
      <c r="AI1" s="814">
        <v>45536</v>
      </c>
      <c r="AJ1" s="814">
        <v>45566</v>
      </c>
      <c r="AK1" s="814">
        <v>45597</v>
      </c>
      <c r="AL1" s="814">
        <v>45627</v>
      </c>
      <c r="AM1" s="814">
        <v>45658</v>
      </c>
      <c r="AN1" s="814">
        <v>45689</v>
      </c>
      <c r="AO1" s="814">
        <v>45717</v>
      </c>
      <c r="AP1" s="814">
        <v>45748</v>
      </c>
      <c r="AQ1" s="814">
        <v>45778</v>
      </c>
    </row>
    <row r="2" spans="2:43" s="473" customFormat="1">
      <c r="B2" s="820" t="s">
        <v>765</v>
      </c>
      <c r="C2" s="820">
        <v>327299</v>
      </c>
      <c r="D2" s="820">
        <v>334299</v>
      </c>
      <c r="E2" s="820">
        <v>374104</v>
      </c>
      <c r="F2" s="820">
        <v>362627</v>
      </c>
      <c r="G2" s="820">
        <v>409346</v>
      </c>
      <c r="H2" s="820">
        <v>376717</v>
      </c>
      <c r="I2" s="820">
        <v>409956</v>
      </c>
      <c r="J2" s="820">
        <v>403055</v>
      </c>
      <c r="K2" s="820">
        <v>384319</v>
      </c>
      <c r="L2" s="821">
        <v>385204.21875</v>
      </c>
      <c r="M2" s="821">
        <v>334962.6875</v>
      </c>
      <c r="N2" s="821">
        <v>305528.84000000003</v>
      </c>
      <c r="O2" s="821">
        <v>315457.53000000003</v>
      </c>
      <c r="P2" s="821">
        <v>312586.25</v>
      </c>
      <c r="Q2" s="821">
        <v>368697.34</v>
      </c>
      <c r="R2" s="821">
        <v>354820.09</v>
      </c>
      <c r="S2" s="821">
        <v>392712.19</v>
      </c>
      <c r="T2" s="821">
        <v>384548.88</v>
      </c>
      <c r="U2" s="821">
        <v>387186.69</v>
      </c>
      <c r="V2" s="821">
        <v>401924.09</v>
      </c>
      <c r="W2" s="821">
        <v>363180.03</v>
      </c>
      <c r="X2" s="821">
        <v>358387.72</v>
      </c>
      <c r="Y2" s="821">
        <v>329834.5</v>
      </c>
      <c r="Z2" s="821">
        <v>304795.65999999997</v>
      </c>
      <c r="AA2" s="821">
        <v>317841.40999999997</v>
      </c>
      <c r="AB2" s="821">
        <v>316592.13</v>
      </c>
      <c r="AC2" s="821">
        <v>346120.19</v>
      </c>
      <c r="AD2" s="821">
        <v>341229.56</v>
      </c>
      <c r="AE2" s="821">
        <v>384794.63</v>
      </c>
      <c r="AF2" s="821">
        <v>357027.84000000003</v>
      </c>
      <c r="AG2" s="821">
        <v>398360.56</v>
      </c>
      <c r="AH2" s="821">
        <v>399708.15999999997</v>
      </c>
      <c r="AI2" s="821">
        <v>368099.31</v>
      </c>
      <c r="AJ2" s="821">
        <v>95965.19</v>
      </c>
      <c r="AK2" s="821"/>
      <c r="AL2" s="821"/>
      <c r="AM2" s="821"/>
      <c r="AN2" s="821"/>
    </row>
    <row r="3" spans="2:43" s="473" customFormat="1">
      <c r="B3" s="818" t="s">
        <v>766</v>
      </c>
      <c r="C3" s="818">
        <v>92787</v>
      </c>
      <c r="D3" s="818">
        <v>98409</v>
      </c>
      <c r="E3" s="818">
        <v>107459</v>
      </c>
      <c r="F3" s="818">
        <v>103336</v>
      </c>
      <c r="G3" s="818">
        <v>113451</v>
      </c>
      <c r="H3" s="818">
        <v>111325</v>
      </c>
      <c r="I3" s="818">
        <v>112916</v>
      </c>
      <c r="J3" s="818">
        <v>111086</v>
      </c>
      <c r="K3" s="818">
        <v>106810</v>
      </c>
      <c r="L3" s="819">
        <v>109025.28125</v>
      </c>
      <c r="M3" s="819">
        <v>89550.8515625</v>
      </c>
      <c r="N3" s="819">
        <v>78039.039999999994</v>
      </c>
      <c r="O3" s="819">
        <v>84571.13</v>
      </c>
      <c r="P3" s="819">
        <v>90240</v>
      </c>
      <c r="Q3" s="819">
        <v>109840.38</v>
      </c>
      <c r="R3" s="819">
        <v>102045.7</v>
      </c>
      <c r="S3" s="819">
        <v>115225.60000000001</v>
      </c>
      <c r="T3" s="819">
        <v>115674.11</v>
      </c>
      <c r="U3" s="819">
        <v>113861.63</v>
      </c>
      <c r="V3" s="819">
        <v>118433.79</v>
      </c>
      <c r="W3" s="819">
        <v>104881.15</v>
      </c>
      <c r="X3" s="819">
        <v>106258.43</v>
      </c>
      <c r="Y3" s="819">
        <v>91697.15</v>
      </c>
      <c r="Z3" s="819">
        <v>80225.279999999999</v>
      </c>
      <c r="AA3" s="819">
        <v>89223.17</v>
      </c>
      <c r="AB3" s="819">
        <v>92341.25</v>
      </c>
      <c r="AC3" s="819">
        <v>100363.27</v>
      </c>
      <c r="AD3" s="819">
        <v>102641.66</v>
      </c>
      <c r="AE3" s="819">
        <v>115576.83</v>
      </c>
      <c r="AF3" s="819">
        <v>106402.81</v>
      </c>
      <c r="AG3" s="819">
        <v>119118.85</v>
      </c>
      <c r="AH3" s="819">
        <v>118827.01</v>
      </c>
      <c r="AI3" s="819">
        <v>108305.41</v>
      </c>
      <c r="AJ3" s="819">
        <v>28542.98</v>
      </c>
      <c r="AK3" s="819"/>
      <c r="AL3" s="819"/>
      <c r="AM3" s="819"/>
      <c r="AN3" s="819"/>
    </row>
    <row r="4" spans="2:43">
      <c r="B4" s="811" t="s">
        <v>767</v>
      </c>
      <c r="C4" s="811">
        <v>91963</v>
      </c>
      <c r="D4" s="811">
        <v>97255</v>
      </c>
      <c r="E4" s="811">
        <v>106805</v>
      </c>
      <c r="F4" s="811">
        <v>102709</v>
      </c>
      <c r="G4" s="811">
        <v>112553</v>
      </c>
      <c r="H4" s="811">
        <v>110685</v>
      </c>
      <c r="I4" s="811">
        <v>112293</v>
      </c>
      <c r="J4" s="811">
        <v>113200</v>
      </c>
      <c r="K4" s="811">
        <v>106221</v>
      </c>
      <c r="L4" s="812">
        <v>108422.65625</v>
      </c>
      <c r="M4" s="812">
        <v>89097.7265625</v>
      </c>
      <c r="N4" s="812">
        <v>77693.440000000002</v>
      </c>
      <c r="O4" s="812">
        <v>84166.14</v>
      </c>
      <c r="P4" s="812">
        <v>89754.63</v>
      </c>
      <c r="Q4" s="812">
        <v>109201.92</v>
      </c>
      <c r="R4" s="812">
        <v>101480.96000000001</v>
      </c>
      <c r="S4" s="812">
        <v>114368</v>
      </c>
      <c r="T4" s="812">
        <v>114982.39999999999</v>
      </c>
      <c r="U4" s="812">
        <v>113202.69</v>
      </c>
      <c r="V4" s="812">
        <v>117722.63</v>
      </c>
      <c r="W4" s="812">
        <v>105953.28</v>
      </c>
      <c r="X4" s="812">
        <v>109537.79</v>
      </c>
      <c r="Y4" s="812">
        <v>89532.93</v>
      </c>
      <c r="Z4" s="812">
        <v>80552.960000000006</v>
      </c>
      <c r="AA4" s="812">
        <v>87916.55</v>
      </c>
      <c r="AB4" s="812">
        <v>91888.13</v>
      </c>
      <c r="AC4" s="812">
        <v>100194.81</v>
      </c>
      <c r="AD4" s="812">
        <v>101898.24000000001</v>
      </c>
      <c r="AE4" s="812">
        <v>114905.09</v>
      </c>
      <c r="AF4" s="812">
        <v>106110.46</v>
      </c>
      <c r="AG4" s="812">
        <v>119635.45</v>
      </c>
      <c r="AH4" s="812">
        <v>116915.2</v>
      </c>
      <c r="AI4" s="812">
        <v>108339.2</v>
      </c>
      <c r="AJ4" s="812">
        <v>105785.86</v>
      </c>
      <c r="AK4" s="812"/>
      <c r="AL4" s="812"/>
      <c r="AM4" s="812"/>
      <c r="AN4" s="812"/>
    </row>
    <row r="5" spans="2:43">
      <c r="B5" s="809" t="s">
        <v>768</v>
      </c>
      <c r="C5" s="809">
        <v>11451</v>
      </c>
      <c r="D5" s="809">
        <v>10752</v>
      </c>
      <c r="E5" s="809">
        <v>13348</v>
      </c>
      <c r="F5" s="809">
        <v>13057</v>
      </c>
      <c r="G5" s="809">
        <v>13848</v>
      </c>
      <c r="H5" s="809">
        <v>13419</v>
      </c>
      <c r="I5" s="809">
        <v>12548</v>
      </c>
      <c r="J5" s="809">
        <v>12567</v>
      </c>
      <c r="K5" s="809">
        <v>12959</v>
      </c>
      <c r="L5" s="810">
        <v>13173.568359375</v>
      </c>
      <c r="M5" s="810">
        <v>11768.4482421875</v>
      </c>
      <c r="N5" s="810">
        <v>12811.71</v>
      </c>
      <c r="O5" s="810">
        <v>14229.06</v>
      </c>
      <c r="P5" s="810">
        <v>13243.84</v>
      </c>
      <c r="Q5" s="810">
        <v>14382.08</v>
      </c>
      <c r="R5" s="810">
        <v>13327.74</v>
      </c>
      <c r="S5" s="810">
        <v>14224.26</v>
      </c>
      <c r="T5" s="810">
        <v>13416.96</v>
      </c>
      <c r="U5" s="810">
        <v>13738.18</v>
      </c>
      <c r="V5" s="810">
        <v>13735.3</v>
      </c>
      <c r="W5" s="810">
        <v>13220.16</v>
      </c>
      <c r="X5" s="810">
        <v>13699.9</v>
      </c>
      <c r="Y5" s="810">
        <v>13120.58</v>
      </c>
      <c r="Z5" s="810">
        <v>13133.44</v>
      </c>
      <c r="AA5" s="810">
        <v>14035.65</v>
      </c>
      <c r="AB5" s="810">
        <v>12685.89</v>
      </c>
      <c r="AC5" s="810">
        <v>13911.55</v>
      </c>
      <c r="AD5" s="810">
        <v>14444.8</v>
      </c>
      <c r="AE5" s="810">
        <v>14895.49</v>
      </c>
      <c r="AF5" s="810">
        <v>14329.73</v>
      </c>
      <c r="AG5" s="810">
        <v>13288.45</v>
      </c>
      <c r="AH5" s="810">
        <v>12860.74</v>
      </c>
      <c r="AI5" s="810">
        <v>12333.76</v>
      </c>
      <c r="AJ5" s="810">
        <v>13416.96</v>
      </c>
      <c r="AK5" s="810"/>
      <c r="AL5" s="810"/>
      <c r="AM5" s="810"/>
      <c r="AN5" s="810"/>
    </row>
    <row r="6" spans="2:43">
      <c r="B6" s="811" t="s">
        <v>769</v>
      </c>
      <c r="C6" s="811">
        <v>11469</v>
      </c>
      <c r="D6" s="811">
        <v>10134</v>
      </c>
      <c r="E6" s="811">
        <v>11889</v>
      </c>
      <c r="F6" s="811">
        <v>12093</v>
      </c>
      <c r="G6" s="811">
        <v>12089</v>
      </c>
      <c r="H6" s="811">
        <v>11393</v>
      </c>
      <c r="I6" s="811">
        <v>11522</v>
      </c>
      <c r="J6" s="811">
        <v>10871</v>
      </c>
      <c r="K6" s="811">
        <v>11083</v>
      </c>
      <c r="L6" s="812">
        <v>11531.328125</v>
      </c>
      <c r="M6" s="812">
        <v>10817.7919921875</v>
      </c>
      <c r="N6" s="812">
        <v>11385.86</v>
      </c>
      <c r="O6" s="812">
        <v>11051.39</v>
      </c>
      <c r="P6" s="812">
        <v>10700.03</v>
      </c>
      <c r="Q6" s="812">
        <v>12458.3</v>
      </c>
      <c r="R6" s="812">
        <v>11041.22</v>
      </c>
      <c r="S6" s="812">
        <v>12129.86</v>
      </c>
      <c r="T6" s="812">
        <v>10886.4</v>
      </c>
      <c r="U6" s="812">
        <v>10821.89</v>
      </c>
      <c r="V6" s="812">
        <v>11171.84</v>
      </c>
      <c r="W6" s="812">
        <v>10650.88</v>
      </c>
      <c r="X6" s="812">
        <v>10820.35</v>
      </c>
      <c r="Y6" s="812">
        <v>10859.46</v>
      </c>
      <c r="Z6" s="812">
        <v>11688.51</v>
      </c>
      <c r="AA6" s="812">
        <v>11527.42</v>
      </c>
      <c r="AB6" s="812">
        <v>11255.87</v>
      </c>
      <c r="AC6" s="812">
        <v>11627.78</v>
      </c>
      <c r="AD6" s="812">
        <v>10958.08</v>
      </c>
      <c r="AE6" s="812">
        <v>11451.84</v>
      </c>
      <c r="AF6" s="812">
        <v>10740.42</v>
      </c>
      <c r="AG6" s="812">
        <v>11563.26</v>
      </c>
      <c r="AH6" s="812">
        <v>11592.9</v>
      </c>
      <c r="AI6" s="812">
        <v>11029.57</v>
      </c>
      <c r="AJ6" s="812">
        <v>11792.45</v>
      </c>
      <c r="AK6" s="812"/>
      <c r="AL6" s="812"/>
      <c r="AM6" s="812"/>
      <c r="AN6" s="812"/>
    </row>
    <row r="7" spans="2:43">
      <c r="B7" s="809" t="s">
        <v>770</v>
      </c>
      <c r="C7" s="809">
        <v>1524</v>
      </c>
      <c r="D7" s="809">
        <v>1590</v>
      </c>
      <c r="E7" s="809">
        <v>1921</v>
      </c>
      <c r="F7" s="809">
        <v>1536</v>
      </c>
      <c r="G7" s="809">
        <v>2100</v>
      </c>
      <c r="H7" s="809">
        <v>1663</v>
      </c>
      <c r="I7" s="809">
        <v>1776</v>
      </c>
      <c r="J7" s="809">
        <v>1952</v>
      </c>
      <c r="K7" s="809">
        <v>1758</v>
      </c>
      <c r="L7" s="810">
        <v>876.10400390625</v>
      </c>
      <c r="M7" s="810">
        <v>1839.4560546875</v>
      </c>
      <c r="N7" s="810">
        <v>1410.9</v>
      </c>
      <c r="O7" s="810">
        <v>1409.47</v>
      </c>
      <c r="P7" s="810">
        <v>1529.61</v>
      </c>
      <c r="Q7" s="810">
        <v>2076.42</v>
      </c>
      <c r="R7" s="810">
        <v>2141.33</v>
      </c>
      <c r="S7" s="810">
        <v>2127.1799999999998</v>
      </c>
      <c r="T7" s="810">
        <v>1759.96</v>
      </c>
      <c r="U7" s="810">
        <v>1877.98</v>
      </c>
      <c r="V7" s="810">
        <v>2106.7399999999998</v>
      </c>
      <c r="W7" s="810">
        <v>1936.1</v>
      </c>
      <c r="X7" s="810">
        <v>1847.46</v>
      </c>
      <c r="Y7" s="810">
        <v>1660.21</v>
      </c>
      <c r="Z7" s="810">
        <v>1355.9</v>
      </c>
      <c r="AA7" s="810">
        <v>1414.1</v>
      </c>
      <c r="AB7" s="810">
        <v>1684.41</v>
      </c>
      <c r="AC7" s="810">
        <v>1830.1</v>
      </c>
      <c r="AD7" s="810">
        <v>1733.06</v>
      </c>
      <c r="AE7" s="810">
        <v>2054.19</v>
      </c>
      <c r="AF7" s="810">
        <v>1698.83</v>
      </c>
      <c r="AG7" s="810">
        <v>1912.02</v>
      </c>
      <c r="AH7" s="810">
        <v>2082.34</v>
      </c>
      <c r="AI7" s="810">
        <v>2071.3000000000002</v>
      </c>
      <c r="AJ7" s="810">
        <v>2140.48</v>
      </c>
      <c r="AK7" s="810"/>
      <c r="AL7" s="810"/>
      <c r="AM7" s="810"/>
      <c r="AN7" s="810"/>
    </row>
    <row r="8" spans="2:43">
      <c r="B8" s="811" t="s">
        <v>771</v>
      </c>
      <c r="C8" s="811">
        <v>14587</v>
      </c>
      <c r="D8" s="811">
        <v>14911</v>
      </c>
      <c r="E8" s="811">
        <v>14992</v>
      </c>
      <c r="F8" s="811">
        <v>14070</v>
      </c>
      <c r="G8" s="811">
        <v>17734</v>
      </c>
      <c r="H8" s="811">
        <v>19694</v>
      </c>
      <c r="I8" s="811">
        <v>23227</v>
      </c>
      <c r="J8" s="811">
        <v>21571</v>
      </c>
      <c r="K8" s="811">
        <v>19958</v>
      </c>
      <c r="L8" s="812">
        <v>19646.52734375</v>
      </c>
      <c r="M8" s="812">
        <v>15384.064453125</v>
      </c>
      <c r="N8" s="812">
        <v>14723.65</v>
      </c>
      <c r="O8" s="812">
        <v>13668.35</v>
      </c>
      <c r="P8" s="812">
        <v>14090.18</v>
      </c>
      <c r="Q8" s="812">
        <v>18803.78</v>
      </c>
      <c r="R8" s="812">
        <v>17882.82</v>
      </c>
      <c r="S8" s="812">
        <v>23062.53</v>
      </c>
      <c r="T8" s="812">
        <v>23881.73</v>
      </c>
      <c r="U8" s="812">
        <v>24000.38</v>
      </c>
      <c r="V8" s="812">
        <v>25418.240000000002</v>
      </c>
      <c r="W8" s="812">
        <v>20071.68</v>
      </c>
      <c r="X8" s="812">
        <v>19206.78</v>
      </c>
      <c r="Y8" s="812">
        <v>17596.669999999998</v>
      </c>
      <c r="Z8" s="812">
        <v>14762.62</v>
      </c>
      <c r="AA8" s="812">
        <v>15166.59</v>
      </c>
      <c r="AB8" s="812">
        <v>14274.3</v>
      </c>
      <c r="AC8" s="812">
        <v>15725.31</v>
      </c>
      <c r="AD8" s="812">
        <v>17119.490000000002</v>
      </c>
      <c r="AE8" s="812">
        <v>21596.29</v>
      </c>
      <c r="AF8" s="812">
        <v>19275.259999999998</v>
      </c>
      <c r="AG8" s="812">
        <v>20567.04</v>
      </c>
      <c r="AH8" s="812">
        <v>19696.38</v>
      </c>
      <c r="AI8" s="812">
        <v>15828.1</v>
      </c>
      <c r="AJ8" s="812">
        <v>15411.33</v>
      </c>
      <c r="AK8" s="812"/>
      <c r="AL8" s="812"/>
      <c r="AM8" s="812"/>
      <c r="AN8" s="812"/>
    </row>
    <row r="9" spans="2:43">
      <c r="B9" s="809" t="s">
        <v>772</v>
      </c>
      <c r="C9" s="809">
        <v>34052</v>
      </c>
      <c r="D9" s="809">
        <v>35765</v>
      </c>
      <c r="E9" s="809">
        <v>37406</v>
      </c>
      <c r="F9" s="809">
        <v>36843</v>
      </c>
      <c r="G9" s="809">
        <v>38592</v>
      </c>
      <c r="H9" s="809">
        <v>37011</v>
      </c>
      <c r="I9" s="809">
        <v>36091</v>
      </c>
      <c r="J9" s="809">
        <v>35705</v>
      </c>
      <c r="K9" s="809">
        <v>33055</v>
      </c>
      <c r="L9" s="810">
        <v>20718.46484375</v>
      </c>
      <c r="M9" s="810">
        <v>29848.576171875</v>
      </c>
      <c r="N9" s="810">
        <v>25713.279999999999</v>
      </c>
      <c r="O9" s="810">
        <v>25813.38</v>
      </c>
      <c r="P9" s="810">
        <v>26859.65</v>
      </c>
      <c r="Q9" s="810">
        <v>33378.43</v>
      </c>
      <c r="R9" s="810">
        <v>31614.21</v>
      </c>
      <c r="S9" s="810">
        <v>34442.239999999998</v>
      </c>
      <c r="T9" s="810">
        <v>36393.21</v>
      </c>
      <c r="U9" s="810">
        <v>35331.33</v>
      </c>
      <c r="V9" s="810">
        <v>37427.46</v>
      </c>
      <c r="W9" s="810">
        <v>31015.17</v>
      </c>
      <c r="X9" s="810">
        <v>31265.79</v>
      </c>
      <c r="Y9" s="810">
        <v>28047.360000000001</v>
      </c>
      <c r="Z9" s="810">
        <v>25273.09</v>
      </c>
      <c r="AA9" s="810">
        <v>26732.03</v>
      </c>
      <c r="AB9" s="810">
        <v>27025.919999999998</v>
      </c>
      <c r="AC9" s="810">
        <v>30293.5</v>
      </c>
      <c r="AD9" s="810">
        <v>31981.06</v>
      </c>
      <c r="AE9" s="810">
        <v>36874.5</v>
      </c>
      <c r="AF9" s="810">
        <v>33641.730000000003</v>
      </c>
      <c r="AG9" s="810">
        <v>43234.3</v>
      </c>
      <c r="AH9" s="810">
        <v>43072</v>
      </c>
      <c r="AI9" s="810">
        <v>39928.06</v>
      </c>
      <c r="AJ9" s="810">
        <v>33831.94</v>
      </c>
      <c r="AK9" s="810"/>
      <c r="AL9" s="810"/>
      <c r="AM9" s="810"/>
      <c r="AN9" s="810"/>
    </row>
    <row r="10" spans="2:43">
      <c r="B10" s="811" t="s">
        <v>773</v>
      </c>
      <c r="C10" s="811">
        <v>24926</v>
      </c>
      <c r="D10" s="811">
        <v>25682</v>
      </c>
      <c r="E10" s="811">
        <v>26736</v>
      </c>
      <c r="F10" s="811">
        <v>27265</v>
      </c>
      <c r="G10" s="811">
        <v>30835</v>
      </c>
      <c r="H10" s="811">
        <v>31766</v>
      </c>
      <c r="I10" s="811">
        <v>29716</v>
      </c>
      <c r="J10" s="811">
        <v>24678</v>
      </c>
      <c r="K10" s="811">
        <v>21033</v>
      </c>
      <c r="L10" s="812">
        <v>22224.384765625</v>
      </c>
      <c r="M10" s="812">
        <v>19474.943359375</v>
      </c>
      <c r="N10" s="812">
        <v>15166.72</v>
      </c>
      <c r="O10" s="812">
        <v>15520.26</v>
      </c>
      <c r="P10" s="812">
        <v>15487.23</v>
      </c>
      <c r="Q10" s="812">
        <v>17915.39</v>
      </c>
      <c r="R10" s="812">
        <v>16895.490000000002</v>
      </c>
      <c r="S10" s="812">
        <v>19286.53</v>
      </c>
      <c r="T10" s="812">
        <v>18815.23</v>
      </c>
      <c r="U10" s="812">
        <v>20961.54</v>
      </c>
      <c r="V10" s="812">
        <v>23029.759999999998</v>
      </c>
      <c r="W10" s="812">
        <v>18920.96</v>
      </c>
      <c r="X10" s="812">
        <v>19170.560000000001</v>
      </c>
      <c r="Y10" s="812">
        <v>17495.55</v>
      </c>
      <c r="Z10" s="812">
        <v>16301.82</v>
      </c>
      <c r="AA10" s="812">
        <v>16020.74</v>
      </c>
      <c r="AB10" s="812">
        <v>16261.12</v>
      </c>
      <c r="AC10" s="812">
        <v>20052.48</v>
      </c>
      <c r="AD10" s="812">
        <v>20973.06</v>
      </c>
      <c r="AE10" s="812">
        <v>22841.599999999999</v>
      </c>
      <c r="AF10" s="812">
        <v>20963.07</v>
      </c>
      <c r="AG10" s="812">
        <v>20694.02</v>
      </c>
      <c r="AH10" s="812">
        <v>23576.58</v>
      </c>
      <c r="AI10" s="812">
        <v>24952.58</v>
      </c>
      <c r="AJ10" s="812">
        <v>7078.4</v>
      </c>
      <c r="AK10" s="812"/>
      <c r="AL10" s="812"/>
      <c r="AM10" s="812"/>
      <c r="AN10" s="812"/>
    </row>
    <row r="11" spans="2:43">
      <c r="B11" s="809" t="s">
        <v>774</v>
      </c>
      <c r="C11" s="809">
        <v>19027</v>
      </c>
      <c r="D11" s="809">
        <v>24614</v>
      </c>
      <c r="E11" s="809">
        <v>27198</v>
      </c>
      <c r="F11" s="809">
        <v>25092</v>
      </c>
      <c r="G11" s="809">
        <v>28334</v>
      </c>
      <c r="H11" s="809">
        <v>27372</v>
      </c>
      <c r="I11" s="809">
        <v>27052</v>
      </c>
      <c r="J11" s="809">
        <v>27505</v>
      </c>
      <c r="K11" s="809">
        <v>25932</v>
      </c>
      <c r="L11" s="810">
        <v>25789.3125</v>
      </c>
      <c r="M11" s="810">
        <v>19667.072265625</v>
      </c>
      <c r="N11" s="810">
        <v>11486.59</v>
      </c>
      <c r="O11" s="810">
        <v>17846.53</v>
      </c>
      <c r="P11" s="810">
        <v>22985.47</v>
      </c>
      <c r="Q11" s="810">
        <v>27366.400000000001</v>
      </c>
      <c r="R11" s="810">
        <v>24957.57</v>
      </c>
      <c r="S11" s="810">
        <v>28025.09</v>
      </c>
      <c r="T11" s="810">
        <v>28355.200000000001</v>
      </c>
      <c r="U11" s="810">
        <v>27177.47</v>
      </c>
      <c r="V11" s="810">
        <v>27700.35</v>
      </c>
      <c r="W11" s="810">
        <v>27282.43</v>
      </c>
      <c r="X11" s="810">
        <v>28267.78</v>
      </c>
      <c r="Y11" s="810">
        <v>19661.310000000001</v>
      </c>
      <c r="Z11" s="810">
        <v>13290.62</v>
      </c>
      <c r="AA11" s="810">
        <v>19424.77</v>
      </c>
      <c r="AB11" s="810">
        <v>24473.86</v>
      </c>
      <c r="AC11" s="810">
        <v>26240.77</v>
      </c>
      <c r="AD11" s="810">
        <v>25672.959999999999</v>
      </c>
      <c r="AE11" s="810">
        <v>27847.68</v>
      </c>
      <c r="AF11" s="810">
        <v>25988.48</v>
      </c>
      <c r="AG11" s="810">
        <v>27605.119999999999</v>
      </c>
      <c r="AH11" s="810">
        <v>28539.01</v>
      </c>
      <c r="AI11" s="810">
        <v>27241.22</v>
      </c>
      <c r="AJ11" s="810">
        <v>28818.05</v>
      </c>
      <c r="AK11" s="810"/>
      <c r="AL11" s="810"/>
      <c r="AM11" s="810"/>
      <c r="AN11" s="810"/>
    </row>
    <row r="12" spans="2:43" s="473" customFormat="1">
      <c r="B12" s="816" t="s">
        <v>775</v>
      </c>
      <c r="C12" s="816">
        <v>83003</v>
      </c>
      <c r="D12" s="816">
        <v>91273</v>
      </c>
      <c r="E12" s="816">
        <v>105411</v>
      </c>
      <c r="F12" s="816">
        <v>103240</v>
      </c>
      <c r="G12" s="816">
        <v>123336</v>
      </c>
      <c r="H12" s="816">
        <v>119763</v>
      </c>
      <c r="I12" s="816">
        <v>128629</v>
      </c>
      <c r="J12" s="816">
        <v>129350</v>
      </c>
      <c r="K12" s="816">
        <v>121421</v>
      </c>
      <c r="L12" s="817">
        <v>122362.8828125</v>
      </c>
      <c r="M12" s="817">
        <v>103203.84375</v>
      </c>
      <c r="N12" s="817">
        <v>91644.93</v>
      </c>
      <c r="O12" s="817">
        <v>94995.45</v>
      </c>
      <c r="P12" s="817">
        <v>94465.02</v>
      </c>
      <c r="Q12" s="817">
        <v>111723.52</v>
      </c>
      <c r="R12" s="817">
        <v>112121.86</v>
      </c>
      <c r="S12" s="817">
        <v>130594.81</v>
      </c>
      <c r="T12" s="817">
        <v>130812.93</v>
      </c>
      <c r="U12" s="817">
        <v>136863.75</v>
      </c>
      <c r="V12" s="817">
        <v>140831.75</v>
      </c>
      <c r="W12" s="817">
        <v>125416.45</v>
      </c>
      <c r="X12" s="817">
        <v>121571.33</v>
      </c>
      <c r="Y12" s="817">
        <v>113524.73</v>
      </c>
      <c r="Z12" s="817">
        <v>105088</v>
      </c>
      <c r="AA12" s="817">
        <v>110136.32000000001</v>
      </c>
      <c r="AB12" s="817">
        <v>109375.48</v>
      </c>
      <c r="AC12" s="817">
        <v>120841.22</v>
      </c>
      <c r="AD12" s="817">
        <v>118115.33</v>
      </c>
      <c r="AE12" s="817">
        <v>137077.76999999999</v>
      </c>
      <c r="AF12" s="817">
        <v>123285.51</v>
      </c>
      <c r="AG12" s="817">
        <v>142147.57999999999</v>
      </c>
      <c r="AH12" s="817">
        <v>139694.07999999999</v>
      </c>
      <c r="AI12" s="817">
        <v>124954.63</v>
      </c>
      <c r="AJ12" s="817">
        <v>32757.759999999998</v>
      </c>
      <c r="AK12" s="817"/>
      <c r="AL12" s="817"/>
      <c r="AM12" s="817"/>
      <c r="AN12" s="817"/>
    </row>
    <row r="13" spans="2:43">
      <c r="B13" s="822" t="s">
        <v>776</v>
      </c>
      <c r="C13" s="822">
        <v>0</v>
      </c>
      <c r="D13" s="822">
        <v>0</v>
      </c>
      <c r="E13" s="822">
        <v>0</v>
      </c>
      <c r="F13" s="822">
        <v>0</v>
      </c>
      <c r="G13" s="822">
        <v>0</v>
      </c>
      <c r="H13" s="822">
        <v>0</v>
      </c>
      <c r="I13" s="822">
        <v>0</v>
      </c>
      <c r="J13" s="822">
        <v>0</v>
      </c>
      <c r="K13" s="822">
        <v>0</v>
      </c>
      <c r="L13" s="823">
        <v>0</v>
      </c>
      <c r="M13" s="823">
        <v>0</v>
      </c>
      <c r="N13" s="823">
        <v>0</v>
      </c>
      <c r="O13" s="823">
        <v>0</v>
      </c>
      <c r="P13" s="823">
        <v>0</v>
      </c>
      <c r="Q13" s="823">
        <v>0</v>
      </c>
      <c r="R13" s="823">
        <v>0</v>
      </c>
      <c r="S13" s="823">
        <v>0</v>
      </c>
      <c r="T13" s="823">
        <v>0</v>
      </c>
      <c r="U13" s="823">
        <v>0</v>
      </c>
      <c r="V13" s="823">
        <v>0</v>
      </c>
      <c r="W13" s="823">
        <v>0</v>
      </c>
      <c r="X13" s="823">
        <v>0</v>
      </c>
      <c r="Y13" s="823">
        <v>0</v>
      </c>
      <c r="Z13" s="823">
        <v>4895.8500000000004</v>
      </c>
      <c r="AA13" s="823">
        <v>13794.24</v>
      </c>
      <c r="AB13" s="823">
        <v>11699.3</v>
      </c>
      <c r="AC13" s="823">
        <v>8110.29</v>
      </c>
      <c r="AD13" s="823">
        <v>6189.95</v>
      </c>
      <c r="AE13" s="823">
        <v>4087.46</v>
      </c>
      <c r="AF13" s="823">
        <v>4114.75</v>
      </c>
      <c r="AG13" s="823">
        <v>4182.07</v>
      </c>
      <c r="AH13" s="823">
        <v>4894.58</v>
      </c>
      <c r="AI13" s="823">
        <v>5666.28</v>
      </c>
      <c r="AJ13" s="823">
        <v>7065.52</v>
      </c>
      <c r="AK13" s="823"/>
      <c r="AL13" s="823"/>
      <c r="AM13" s="823"/>
      <c r="AN13" s="823"/>
    </row>
    <row r="14" spans="2:43">
      <c r="B14" s="825" t="s">
        <v>777</v>
      </c>
      <c r="C14" s="825">
        <v>11703</v>
      </c>
      <c r="D14" s="825">
        <v>10623</v>
      </c>
      <c r="E14" s="825">
        <v>11253</v>
      </c>
      <c r="F14" s="825">
        <v>13695</v>
      </c>
      <c r="G14" s="825">
        <v>18200</v>
      </c>
      <c r="H14" s="825">
        <v>18941</v>
      </c>
      <c r="I14" s="825">
        <v>17091</v>
      </c>
      <c r="J14" s="825">
        <v>17440</v>
      </c>
      <c r="K14" s="825">
        <v>16687</v>
      </c>
      <c r="L14" s="826">
        <v>16619.583984375</v>
      </c>
      <c r="M14" s="826">
        <v>12742.4638671875</v>
      </c>
      <c r="N14" s="826">
        <v>10770.69</v>
      </c>
      <c r="O14" s="826">
        <v>10536.64</v>
      </c>
      <c r="P14" s="826">
        <v>9877.06</v>
      </c>
      <c r="Q14" s="826">
        <v>12927.81</v>
      </c>
      <c r="R14" s="826">
        <v>13676.1</v>
      </c>
      <c r="S14" s="826">
        <v>14821.12</v>
      </c>
      <c r="T14" s="826">
        <v>14753.15</v>
      </c>
      <c r="U14" s="826">
        <v>15556.48</v>
      </c>
      <c r="V14" s="826">
        <v>17542.849999999999</v>
      </c>
      <c r="W14" s="826">
        <v>15780.16</v>
      </c>
      <c r="X14" s="826">
        <v>16303.49</v>
      </c>
      <c r="Y14" s="826">
        <v>13885.31</v>
      </c>
      <c r="Z14" s="826">
        <v>11024.32</v>
      </c>
      <c r="AA14" s="826">
        <v>11646.91</v>
      </c>
      <c r="AB14" s="826">
        <v>12006.72</v>
      </c>
      <c r="AC14" s="826">
        <v>15070.66</v>
      </c>
      <c r="AD14" s="826">
        <v>14411.78</v>
      </c>
      <c r="AE14" s="826">
        <v>16211.07</v>
      </c>
      <c r="AF14" s="826">
        <v>15457.86</v>
      </c>
      <c r="AG14" s="826">
        <v>16937.02</v>
      </c>
      <c r="AH14" s="826">
        <v>16937.86</v>
      </c>
      <c r="AI14" s="826">
        <v>15350.78</v>
      </c>
      <c r="AJ14" s="826">
        <v>15135.49</v>
      </c>
      <c r="AK14" s="826"/>
      <c r="AL14" s="826"/>
      <c r="AM14" s="826"/>
      <c r="AN14" s="826"/>
    </row>
    <row r="15" spans="2:43">
      <c r="B15" s="822" t="s">
        <v>778</v>
      </c>
      <c r="C15" s="822">
        <v>3744</v>
      </c>
      <c r="D15" s="822">
        <v>3373</v>
      </c>
      <c r="E15" s="822">
        <v>3629</v>
      </c>
      <c r="F15" s="822">
        <v>4140</v>
      </c>
      <c r="G15" s="822">
        <v>4936</v>
      </c>
      <c r="H15" s="822">
        <v>4878</v>
      </c>
      <c r="I15" s="822">
        <v>5154</v>
      </c>
      <c r="J15" s="822">
        <v>5081</v>
      </c>
      <c r="K15" s="822">
        <v>4814</v>
      </c>
      <c r="L15" s="823">
        <v>4897.423828125</v>
      </c>
      <c r="M15" s="823">
        <v>4677.759765625</v>
      </c>
      <c r="N15" s="823">
        <v>4299.34</v>
      </c>
      <c r="O15" s="823">
        <v>4724.74</v>
      </c>
      <c r="P15" s="823">
        <v>4498.1400000000003</v>
      </c>
      <c r="Q15" s="823">
        <v>5080.3999999999996</v>
      </c>
      <c r="R15" s="823">
        <v>4597.8100000000004</v>
      </c>
      <c r="S15" s="823">
        <v>4798.37</v>
      </c>
      <c r="T15" s="823">
        <v>4891.3900000000003</v>
      </c>
      <c r="U15" s="823">
        <v>5127.0200000000004</v>
      </c>
      <c r="V15" s="823">
        <v>4860.1899999999996</v>
      </c>
      <c r="W15" s="823">
        <v>5237.34</v>
      </c>
      <c r="X15" s="823">
        <v>4725.6000000000004</v>
      </c>
      <c r="Y15" s="823">
        <v>4801.95</v>
      </c>
      <c r="Z15" s="823">
        <v>4566.18</v>
      </c>
      <c r="AA15" s="823">
        <v>4536.03</v>
      </c>
      <c r="AB15" s="823">
        <v>4391.42</v>
      </c>
      <c r="AC15" s="823">
        <v>4568.42</v>
      </c>
      <c r="AD15" s="823">
        <v>4698.53</v>
      </c>
      <c r="AE15" s="823">
        <v>4910.05</v>
      </c>
      <c r="AF15" s="823">
        <v>4624.58</v>
      </c>
      <c r="AG15" s="823">
        <v>5345.06</v>
      </c>
      <c r="AH15" s="823">
        <v>5557.57</v>
      </c>
      <c r="AI15" s="823">
        <v>4921.92</v>
      </c>
      <c r="AJ15" s="823">
        <v>5066.43</v>
      </c>
      <c r="AK15" s="823"/>
      <c r="AL15" s="823"/>
      <c r="AM15" s="823"/>
      <c r="AN15" s="823"/>
    </row>
    <row r="16" spans="2:43">
      <c r="B16" s="825" t="s">
        <v>779</v>
      </c>
      <c r="C16" s="825">
        <v>5114</v>
      </c>
      <c r="D16" s="825">
        <v>5381</v>
      </c>
      <c r="E16" s="825">
        <v>6335</v>
      </c>
      <c r="F16" s="825">
        <v>6787</v>
      </c>
      <c r="G16" s="825">
        <v>7498</v>
      </c>
      <c r="H16" s="825">
        <v>6408</v>
      </c>
      <c r="I16" s="825">
        <v>6561</v>
      </c>
      <c r="J16" s="825">
        <v>6472</v>
      </c>
      <c r="K16" s="825">
        <v>5902</v>
      </c>
      <c r="L16" s="826">
        <v>6249.1201171875</v>
      </c>
      <c r="M16" s="826">
        <v>5517.087890625</v>
      </c>
      <c r="N16" s="826">
        <v>5376.42</v>
      </c>
      <c r="O16" s="826">
        <v>4513.5</v>
      </c>
      <c r="P16" s="826">
        <v>4432.96</v>
      </c>
      <c r="Q16" s="826">
        <v>4795.49</v>
      </c>
      <c r="R16" s="826">
        <v>5481.79</v>
      </c>
      <c r="S16" s="826">
        <v>6556.61</v>
      </c>
      <c r="T16" s="826">
        <v>6935.39</v>
      </c>
      <c r="U16" s="826">
        <v>6326.3</v>
      </c>
      <c r="V16" s="826">
        <v>6427.78</v>
      </c>
      <c r="W16" s="826">
        <v>5212.54</v>
      </c>
      <c r="X16" s="826">
        <v>5428.58</v>
      </c>
      <c r="Y16" s="826">
        <v>5150.75</v>
      </c>
      <c r="Z16" s="826">
        <v>4830.82</v>
      </c>
      <c r="AA16" s="826">
        <v>4856.1000000000004</v>
      </c>
      <c r="AB16" s="826">
        <v>4842.0200000000004</v>
      </c>
      <c r="AC16" s="826">
        <v>5746.62</v>
      </c>
      <c r="AD16" s="826">
        <v>5640.54</v>
      </c>
      <c r="AE16" s="826">
        <v>6599.87</v>
      </c>
      <c r="AF16" s="826">
        <v>5937.92</v>
      </c>
      <c r="AG16" s="826">
        <v>6432.9</v>
      </c>
      <c r="AH16" s="826">
        <v>6718.34</v>
      </c>
      <c r="AI16" s="826">
        <v>5989.86</v>
      </c>
      <c r="AJ16" s="826">
        <v>5994.37</v>
      </c>
      <c r="AK16" s="826"/>
      <c r="AL16" s="826"/>
      <c r="AM16" s="826"/>
      <c r="AN16" s="826"/>
    </row>
    <row r="17" spans="2:40">
      <c r="B17" s="822" t="s">
        <v>780</v>
      </c>
      <c r="C17" s="822">
        <v>8879</v>
      </c>
      <c r="D17" s="822">
        <v>8670</v>
      </c>
      <c r="E17" s="822">
        <v>9454</v>
      </c>
      <c r="F17" s="822">
        <v>9096</v>
      </c>
      <c r="G17" s="822">
        <v>10103</v>
      </c>
      <c r="H17" s="822">
        <v>10012</v>
      </c>
      <c r="I17" s="822">
        <v>9492</v>
      </c>
      <c r="J17" s="822">
        <v>9798</v>
      </c>
      <c r="K17" s="822">
        <v>9206</v>
      </c>
      <c r="L17" s="823">
        <v>9364.0322265625</v>
      </c>
      <c r="M17" s="823">
        <v>9035.51953125</v>
      </c>
      <c r="N17" s="823">
        <v>8808.9</v>
      </c>
      <c r="O17" s="823">
        <v>8855.65</v>
      </c>
      <c r="P17" s="823">
        <v>8601.5400000000009</v>
      </c>
      <c r="Q17" s="823">
        <v>10455.94</v>
      </c>
      <c r="R17" s="823">
        <v>9755.9</v>
      </c>
      <c r="S17" s="823">
        <v>10627.1</v>
      </c>
      <c r="T17" s="823">
        <v>10734.82</v>
      </c>
      <c r="U17" s="823">
        <v>11402.02</v>
      </c>
      <c r="V17" s="823">
        <v>8788</v>
      </c>
      <c r="W17" s="823">
        <v>8499.7800000000007</v>
      </c>
      <c r="X17" s="823">
        <v>9807.6200000000008</v>
      </c>
      <c r="Y17" s="823">
        <v>10440.450000000001</v>
      </c>
      <c r="Z17" s="823">
        <v>9813.18</v>
      </c>
      <c r="AA17" s="823">
        <v>10289.25</v>
      </c>
      <c r="AB17" s="823">
        <v>10022.08</v>
      </c>
      <c r="AC17" s="823">
        <v>10525.44</v>
      </c>
      <c r="AD17" s="823">
        <v>10182.14</v>
      </c>
      <c r="AE17" s="823">
        <v>10639.23</v>
      </c>
      <c r="AF17" s="823">
        <v>9949.3799999999992</v>
      </c>
      <c r="AG17" s="823">
        <v>10963.33</v>
      </c>
      <c r="AH17" s="823">
        <v>10538.24</v>
      </c>
      <c r="AI17" s="823">
        <v>10371.33</v>
      </c>
      <c r="AJ17" s="823">
        <v>10032.32</v>
      </c>
      <c r="AK17" s="823"/>
      <c r="AL17" s="823"/>
      <c r="AM17" s="823"/>
      <c r="AN17" s="823"/>
    </row>
    <row r="18" spans="2:40">
      <c r="B18" s="825" t="s">
        <v>781</v>
      </c>
      <c r="C18" s="825">
        <v>12104</v>
      </c>
      <c r="D18" s="825">
        <v>14404</v>
      </c>
      <c r="E18" s="825">
        <v>17455</v>
      </c>
      <c r="F18" s="825">
        <v>17140</v>
      </c>
      <c r="G18" s="825">
        <v>22274</v>
      </c>
      <c r="H18" s="825">
        <v>21314</v>
      </c>
      <c r="I18" s="825">
        <v>24613</v>
      </c>
      <c r="J18" s="825">
        <v>9897</v>
      </c>
      <c r="K18" s="825">
        <v>756</v>
      </c>
      <c r="L18" s="826">
        <v>937.02398681640625</v>
      </c>
      <c r="M18" s="826">
        <v>13437.4404296875</v>
      </c>
      <c r="N18" s="826">
        <v>13413.7</v>
      </c>
      <c r="O18" s="826">
        <v>14031.49</v>
      </c>
      <c r="P18" s="826">
        <v>14929.47</v>
      </c>
      <c r="Q18" s="826">
        <v>19036.54</v>
      </c>
      <c r="R18" s="826">
        <v>19597.82</v>
      </c>
      <c r="S18" s="826">
        <v>24000.38</v>
      </c>
      <c r="T18" s="826">
        <v>24622.85</v>
      </c>
      <c r="U18" s="826">
        <v>25710.080000000002</v>
      </c>
      <c r="V18" s="826">
        <v>27080.32</v>
      </c>
      <c r="W18" s="826">
        <v>21895.68</v>
      </c>
      <c r="X18" s="826">
        <v>18818.43</v>
      </c>
      <c r="Y18" s="826">
        <v>17333.12</v>
      </c>
      <c r="Z18" s="826">
        <v>13928.45</v>
      </c>
      <c r="AA18" s="826">
        <v>13746.3</v>
      </c>
      <c r="AB18" s="826">
        <v>15735.68</v>
      </c>
      <c r="AC18" s="826">
        <v>19375.36</v>
      </c>
      <c r="AD18" s="826">
        <v>19452.54</v>
      </c>
      <c r="AE18" s="826">
        <v>25680.38</v>
      </c>
      <c r="AF18" s="826">
        <v>23465.47</v>
      </c>
      <c r="AG18" s="826">
        <v>28154.62</v>
      </c>
      <c r="AH18" s="826">
        <v>25993.73</v>
      </c>
      <c r="AI18" s="826">
        <v>23692.03</v>
      </c>
      <c r="AJ18" s="826">
        <v>24419.58</v>
      </c>
      <c r="AK18" s="826"/>
      <c r="AL18" s="826"/>
      <c r="AM18" s="826"/>
      <c r="AN18" s="826"/>
    </row>
    <row r="19" spans="2:40">
      <c r="B19" s="822" t="s">
        <v>782</v>
      </c>
      <c r="C19" s="822">
        <v>14369</v>
      </c>
      <c r="D19" s="822">
        <v>14861</v>
      </c>
      <c r="E19" s="822">
        <v>17637</v>
      </c>
      <c r="F19" s="824">
        <v>18882</v>
      </c>
      <c r="G19" s="822">
        <v>25238</v>
      </c>
      <c r="H19" s="822">
        <v>27678</v>
      </c>
      <c r="I19" s="822">
        <v>30053</v>
      </c>
      <c r="J19" s="822">
        <v>27627</v>
      </c>
      <c r="K19" s="822">
        <v>24910</v>
      </c>
      <c r="L19" s="823">
        <v>22742.720703125</v>
      </c>
      <c r="M19" s="823">
        <v>17897.408203125</v>
      </c>
      <c r="N19" s="823">
        <v>14253.76</v>
      </c>
      <c r="O19" s="823">
        <v>14235.46</v>
      </c>
      <c r="P19" s="823">
        <v>15069.89</v>
      </c>
      <c r="Q19" s="823">
        <v>20122.240000000002</v>
      </c>
      <c r="R19" s="823">
        <v>20698.689999999999</v>
      </c>
      <c r="S19" s="823">
        <v>25485.63</v>
      </c>
      <c r="T19" s="823">
        <v>27192.959999999999</v>
      </c>
      <c r="U19" s="823">
        <v>30105.599999999999</v>
      </c>
      <c r="V19" s="823">
        <v>31673.09</v>
      </c>
      <c r="W19" s="823">
        <v>25206.14</v>
      </c>
      <c r="X19" s="823">
        <v>22557.18</v>
      </c>
      <c r="Y19" s="823">
        <v>18572.54</v>
      </c>
      <c r="Z19" s="823">
        <v>14704.9</v>
      </c>
      <c r="AA19" s="823">
        <v>14780.93</v>
      </c>
      <c r="AB19" s="823">
        <v>15950.08</v>
      </c>
      <c r="AC19" s="823">
        <v>20766.21</v>
      </c>
      <c r="AD19" s="823">
        <v>23775.62</v>
      </c>
      <c r="AE19" s="823">
        <v>32501.5</v>
      </c>
      <c r="AF19" s="823">
        <v>28111.74</v>
      </c>
      <c r="AG19" s="823">
        <v>32086.78</v>
      </c>
      <c r="AH19" s="823">
        <v>30530.05</v>
      </c>
      <c r="AI19" s="823">
        <v>25539.84</v>
      </c>
      <c r="AJ19" s="823">
        <v>22097.66</v>
      </c>
      <c r="AK19" s="823"/>
      <c r="AL19" s="823"/>
      <c r="AM19" s="823"/>
      <c r="AN19" s="823"/>
    </row>
    <row r="20" spans="2:40">
      <c r="B20" s="825" t="s">
        <v>783</v>
      </c>
      <c r="C20" s="825">
        <v>21091</v>
      </c>
      <c r="D20" s="825">
        <v>20059</v>
      </c>
      <c r="E20" s="825">
        <v>22396</v>
      </c>
      <c r="F20" s="825">
        <v>20254</v>
      </c>
      <c r="G20" s="825">
        <v>22365</v>
      </c>
      <c r="H20" s="825">
        <v>22003</v>
      </c>
      <c r="I20" s="825">
        <v>24817</v>
      </c>
      <c r="J20" s="825">
        <v>9024</v>
      </c>
      <c r="K20" s="825">
        <v>417</v>
      </c>
      <c r="L20" s="826">
        <v>509.5679931640625</v>
      </c>
      <c r="M20" s="826">
        <v>20268.80078125</v>
      </c>
      <c r="N20" s="826">
        <v>22713.22</v>
      </c>
      <c r="O20" s="826">
        <v>23798.14</v>
      </c>
      <c r="P20" s="826">
        <v>21360.13</v>
      </c>
      <c r="Q20" s="826">
        <v>23179.78</v>
      </c>
      <c r="R20" s="826">
        <v>23175.040000000001</v>
      </c>
      <c r="S20" s="826">
        <v>26956.42</v>
      </c>
      <c r="T20" s="826">
        <v>26894.34</v>
      </c>
      <c r="U20" s="826">
        <v>28259.07</v>
      </c>
      <c r="V20" s="826">
        <v>29161.34</v>
      </c>
      <c r="W20" s="826">
        <v>26877.31</v>
      </c>
      <c r="X20" s="826">
        <v>26764.16</v>
      </c>
      <c r="Y20" s="826">
        <v>25636.35</v>
      </c>
      <c r="Z20" s="826">
        <v>25141.119999999999</v>
      </c>
      <c r="AA20" s="826">
        <v>25527.94</v>
      </c>
      <c r="AB20" s="826">
        <v>24535.3</v>
      </c>
      <c r="AC20" s="826">
        <v>25483.9</v>
      </c>
      <c r="AD20" s="826">
        <v>23337.98</v>
      </c>
      <c r="AE20" s="826">
        <v>25795.97</v>
      </c>
      <c r="AF20" s="826">
        <v>24505.599999999999</v>
      </c>
      <c r="AG20" s="826">
        <v>27120.9</v>
      </c>
      <c r="AH20" s="826">
        <v>27272.32</v>
      </c>
      <c r="AI20" s="826">
        <v>23467.9</v>
      </c>
      <c r="AJ20" s="826">
        <v>22226.05</v>
      </c>
      <c r="AK20" s="826"/>
      <c r="AL20" s="826"/>
      <c r="AM20" s="826"/>
      <c r="AN20" s="826"/>
    </row>
    <row r="21" spans="2:40" s="473" customFormat="1">
      <c r="B21" s="818" t="s">
        <v>784</v>
      </c>
      <c r="C21" s="818">
        <v>28653</v>
      </c>
      <c r="D21" s="818">
        <v>25394</v>
      </c>
      <c r="E21" s="818">
        <v>29344</v>
      </c>
      <c r="F21" s="818">
        <v>28250</v>
      </c>
      <c r="G21" s="818">
        <v>32252</v>
      </c>
      <c r="H21" s="818">
        <v>32241</v>
      </c>
      <c r="I21" s="818">
        <v>33959</v>
      </c>
      <c r="J21" s="818">
        <v>35078</v>
      </c>
      <c r="K21" s="818">
        <v>32077</v>
      </c>
      <c r="L21" s="819">
        <v>29914.3671875</v>
      </c>
      <c r="M21" s="819">
        <v>28917.50390625</v>
      </c>
      <c r="N21" s="819">
        <v>27600.639999999999</v>
      </c>
      <c r="O21" s="819">
        <v>28985.34</v>
      </c>
      <c r="P21" s="819">
        <v>27613.95</v>
      </c>
      <c r="Q21" s="819">
        <v>31138.05</v>
      </c>
      <c r="R21" s="819">
        <v>29485.31</v>
      </c>
      <c r="S21" s="819">
        <v>33795.07</v>
      </c>
      <c r="T21" s="819">
        <v>33431.040000000001</v>
      </c>
      <c r="U21" s="819">
        <v>32887.550000000003</v>
      </c>
      <c r="V21" s="819">
        <v>33755.39</v>
      </c>
      <c r="W21" s="819">
        <v>31286.02</v>
      </c>
      <c r="X21" s="819">
        <v>31156.99</v>
      </c>
      <c r="Y21" s="819">
        <v>29353.22</v>
      </c>
      <c r="Z21" s="819">
        <v>27314.94</v>
      </c>
      <c r="AA21" s="819">
        <v>28573.7</v>
      </c>
      <c r="AB21" s="819">
        <v>27503.1</v>
      </c>
      <c r="AC21" s="819">
        <v>29511.42</v>
      </c>
      <c r="AD21" s="819">
        <v>28188.67</v>
      </c>
      <c r="AE21" s="819">
        <v>32103.17</v>
      </c>
      <c r="AF21" s="819">
        <v>29213.7</v>
      </c>
      <c r="AG21" s="819">
        <v>32130.82</v>
      </c>
      <c r="AH21" s="819">
        <v>30730.75</v>
      </c>
      <c r="AI21" s="819">
        <v>28861.7</v>
      </c>
      <c r="AJ21" s="819">
        <v>7539.2</v>
      </c>
      <c r="AK21" s="819"/>
      <c r="AL21" s="819"/>
      <c r="AM21" s="819"/>
      <c r="AN21" s="819"/>
    </row>
    <row r="22" spans="2:40" s="473" customFormat="1">
      <c r="B22" s="816" t="s">
        <v>785</v>
      </c>
      <c r="C22" s="816">
        <v>91748</v>
      </c>
      <c r="D22" s="816">
        <v>87307</v>
      </c>
      <c r="E22" s="816">
        <v>98113</v>
      </c>
      <c r="F22" s="816">
        <v>95227</v>
      </c>
      <c r="G22" s="816">
        <v>100893</v>
      </c>
      <c r="H22" s="816">
        <v>95433</v>
      </c>
      <c r="I22" s="816">
        <v>97888</v>
      </c>
      <c r="J22" s="816">
        <v>97029</v>
      </c>
      <c r="K22" s="816">
        <v>94352</v>
      </c>
      <c r="L22" s="817">
        <v>93953.0234375</v>
      </c>
      <c r="M22" s="817">
        <v>86806.53125</v>
      </c>
      <c r="N22" s="817">
        <v>85681.15</v>
      </c>
      <c r="O22" s="817">
        <v>85189.63</v>
      </c>
      <c r="P22" s="817">
        <v>78675.97</v>
      </c>
      <c r="Q22" s="817">
        <v>90477.57</v>
      </c>
      <c r="R22" s="817">
        <v>87940.09</v>
      </c>
      <c r="S22" s="817">
        <v>85538.81</v>
      </c>
      <c r="T22" s="817">
        <v>78493.7</v>
      </c>
      <c r="U22" s="817">
        <v>77831.17</v>
      </c>
      <c r="V22" s="817">
        <v>81759.23</v>
      </c>
      <c r="W22" s="817">
        <v>75276.289999999994</v>
      </c>
      <c r="X22" s="817">
        <v>73930.75</v>
      </c>
      <c r="Y22" s="817">
        <v>72136.7</v>
      </c>
      <c r="Z22" s="817">
        <v>68659.199999999997</v>
      </c>
      <c r="AA22" s="817">
        <v>66164.73</v>
      </c>
      <c r="AB22" s="817">
        <v>64257.02</v>
      </c>
      <c r="AC22" s="817">
        <v>68914.179999999993</v>
      </c>
      <c r="AD22" s="817">
        <v>65534.98</v>
      </c>
      <c r="AE22" s="817">
        <v>70169.600000000006</v>
      </c>
      <c r="AF22" s="817">
        <v>69675.009999999995</v>
      </c>
      <c r="AG22" s="817">
        <v>77119.48</v>
      </c>
      <c r="AH22" s="817">
        <v>80035.839999999997</v>
      </c>
      <c r="AI22" s="817">
        <v>73387.009999999995</v>
      </c>
      <c r="AJ22" s="817">
        <v>19621.89</v>
      </c>
      <c r="AK22" s="817"/>
      <c r="AL22" s="817"/>
      <c r="AM22" s="817"/>
      <c r="AN22" s="817"/>
    </row>
    <row r="23" spans="2:40">
      <c r="B23" s="809" t="s">
        <v>786</v>
      </c>
      <c r="C23" s="809">
        <v>76</v>
      </c>
      <c r="D23" s="809">
        <v>52</v>
      </c>
      <c r="E23" s="809">
        <v>98</v>
      </c>
      <c r="F23" s="809">
        <v>41</v>
      </c>
      <c r="G23" s="809">
        <v>36</v>
      </c>
      <c r="H23" s="809">
        <v>19881</v>
      </c>
      <c r="I23" s="809">
        <v>58</v>
      </c>
      <c r="J23" s="809">
        <v>1529</v>
      </c>
      <c r="K23" s="809">
        <v>78</v>
      </c>
      <c r="L23" s="810">
        <v>150.32000732421875</v>
      </c>
      <c r="M23" s="810">
        <v>27.856000900268555</v>
      </c>
      <c r="N23" s="810">
        <v>156.72</v>
      </c>
      <c r="O23" s="810">
        <v>865.2</v>
      </c>
      <c r="P23" s="810">
        <v>142.94</v>
      </c>
      <c r="Q23" s="810">
        <v>128.02000000000001</v>
      </c>
      <c r="R23" s="810">
        <v>25.36</v>
      </c>
      <c r="S23" s="810">
        <v>42.02</v>
      </c>
      <c r="T23" s="810">
        <v>72.19</v>
      </c>
      <c r="U23" s="810">
        <v>2058.98</v>
      </c>
      <c r="V23" s="810">
        <v>2994.59</v>
      </c>
      <c r="W23" s="810">
        <v>135.41</v>
      </c>
      <c r="X23" s="810">
        <v>105.89</v>
      </c>
      <c r="Y23" s="810">
        <v>1000.69</v>
      </c>
      <c r="Z23" s="810">
        <v>1.39</v>
      </c>
      <c r="AA23" s="810">
        <v>52.83</v>
      </c>
      <c r="AB23" s="810">
        <v>55.36</v>
      </c>
      <c r="AC23" s="810">
        <v>798.13</v>
      </c>
      <c r="AD23" s="810">
        <v>1107.47</v>
      </c>
      <c r="AE23" s="810">
        <v>439.49</v>
      </c>
      <c r="AF23" s="810">
        <v>89.33</v>
      </c>
      <c r="AG23" s="810">
        <v>1901.39</v>
      </c>
      <c r="AH23" s="810">
        <v>1905.63</v>
      </c>
      <c r="AI23" s="810">
        <v>788.67</v>
      </c>
      <c r="AJ23" s="810">
        <v>1307.01</v>
      </c>
      <c r="AK23" s="810"/>
      <c r="AL23" s="810"/>
      <c r="AM23" s="810"/>
      <c r="AN23" s="810"/>
    </row>
    <row r="24" spans="2:40">
      <c r="B24" s="811" t="s">
        <v>787</v>
      </c>
      <c r="C24" s="811">
        <v>3807</v>
      </c>
      <c r="D24" s="811">
        <v>4199</v>
      </c>
      <c r="E24" s="811">
        <v>4627</v>
      </c>
      <c r="F24" s="811">
        <v>3029</v>
      </c>
      <c r="G24" s="811">
        <v>4520</v>
      </c>
      <c r="H24" s="811">
        <v>3696</v>
      </c>
      <c r="I24" s="811">
        <v>3802</v>
      </c>
      <c r="J24" s="811">
        <v>4439</v>
      </c>
      <c r="K24" s="811">
        <v>5923</v>
      </c>
      <c r="L24" s="812">
        <v>5098.81591796875</v>
      </c>
      <c r="M24" s="812">
        <v>4171.8720703125</v>
      </c>
      <c r="N24" s="812">
        <v>4651.58</v>
      </c>
      <c r="O24" s="812">
        <v>4522.82</v>
      </c>
      <c r="P24" s="812">
        <v>4121.92</v>
      </c>
      <c r="Q24" s="812">
        <v>5116.7700000000004</v>
      </c>
      <c r="R24" s="812">
        <v>3887.36</v>
      </c>
      <c r="S24" s="812">
        <v>5770.27</v>
      </c>
      <c r="T24" s="812">
        <v>4726.3999999999996</v>
      </c>
      <c r="U24" s="812">
        <v>4289.92</v>
      </c>
      <c r="V24" s="812">
        <v>4499.58</v>
      </c>
      <c r="W24" s="812">
        <v>4995.78</v>
      </c>
      <c r="X24" s="812">
        <v>3754.75</v>
      </c>
      <c r="Y24" s="812">
        <v>3849.54</v>
      </c>
      <c r="Z24" s="812">
        <v>4334.66</v>
      </c>
      <c r="AA24" s="812">
        <v>4945.34</v>
      </c>
      <c r="AB24" s="812">
        <v>4467.78</v>
      </c>
      <c r="AC24" s="812">
        <v>4418.5600000000004</v>
      </c>
      <c r="AD24" s="812">
        <v>4222.9799999999996</v>
      </c>
      <c r="AE24" s="812">
        <v>4613.76</v>
      </c>
      <c r="AF24" s="812">
        <v>4994.6899999999996</v>
      </c>
      <c r="AG24" s="812">
        <v>6460.16</v>
      </c>
      <c r="AH24" s="812">
        <v>6169.79</v>
      </c>
      <c r="AI24" s="812">
        <v>5917.7</v>
      </c>
      <c r="AJ24" s="812">
        <v>6097.09</v>
      </c>
      <c r="AK24" s="812"/>
      <c r="AL24" s="812"/>
      <c r="AM24" s="812"/>
      <c r="AN24" s="812"/>
    </row>
    <row r="25" spans="2:40">
      <c r="B25" s="809" t="s">
        <v>788</v>
      </c>
      <c r="C25" s="809">
        <v>253</v>
      </c>
      <c r="D25" s="809">
        <v>219</v>
      </c>
      <c r="E25" s="809">
        <v>778</v>
      </c>
      <c r="F25" s="809">
        <v>273</v>
      </c>
      <c r="G25" s="809">
        <v>335</v>
      </c>
      <c r="H25" s="809">
        <v>444</v>
      </c>
      <c r="I25" s="809">
        <v>685</v>
      </c>
      <c r="J25" s="809">
        <v>654</v>
      </c>
      <c r="K25" s="809">
        <v>812</v>
      </c>
      <c r="L25" s="810">
        <v>310.60000610351563</v>
      </c>
      <c r="M25" s="810">
        <v>350.2239990234375</v>
      </c>
      <c r="N25" s="810">
        <v>273.88</v>
      </c>
      <c r="O25" s="810">
        <v>309.07</v>
      </c>
      <c r="P25" s="810">
        <v>262.36</v>
      </c>
      <c r="Q25" s="810">
        <v>284.05</v>
      </c>
      <c r="R25" s="810">
        <v>226.69</v>
      </c>
      <c r="S25" s="810">
        <v>375.68</v>
      </c>
      <c r="T25" s="810">
        <v>273.5</v>
      </c>
      <c r="U25" s="810">
        <v>348.15</v>
      </c>
      <c r="V25" s="810">
        <v>377.45</v>
      </c>
      <c r="W25" s="810">
        <v>262.98</v>
      </c>
      <c r="X25" s="810">
        <v>255.2</v>
      </c>
      <c r="Y25" s="810">
        <v>267.87</v>
      </c>
      <c r="Z25" s="810">
        <v>224.4</v>
      </c>
      <c r="AA25" s="810">
        <v>253.62</v>
      </c>
      <c r="AB25" s="810">
        <v>274.64999999999998</v>
      </c>
      <c r="AC25" s="810">
        <v>237.96</v>
      </c>
      <c r="AD25" s="810">
        <v>227.48</v>
      </c>
      <c r="AE25" s="810">
        <v>434.5</v>
      </c>
      <c r="AF25" s="810">
        <v>266.54000000000002</v>
      </c>
      <c r="AG25" s="810">
        <v>351.5</v>
      </c>
      <c r="AH25" s="810">
        <v>323.14</v>
      </c>
      <c r="AI25" s="810">
        <v>221.95</v>
      </c>
      <c r="AJ25" s="810">
        <v>64.040000000000006</v>
      </c>
      <c r="AK25" s="810"/>
      <c r="AL25" s="810"/>
      <c r="AM25" s="810"/>
      <c r="AN25" s="810"/>
    </row>
    <row r="26" spans="2:40">
      <c r="B26" s="811" t="s">
        <v>789</v>
      </c>
      <c r="C26" s="811">
        <v>3502</v>
      </c>
      <c r="D26" s="811">
        <v>3241</v>
      </c>
      <c r="E26" s="811">
        <v>3249</v>
      </c>
      <c r="F26" s="811">
        <v>3462</v>
      </c>
      <c r="G26" s="811">
        <v>3678</v>
      </c>
      <c r="H26" s="811">
        <v>3688</v>
      </c>
      <c r="I26" s="811">
        <v>4011</v>
      </c>
      <c r="J26" s="811">
        <v>3809</v>
      </c>
      <c r="K26" s="811">
        <v>3419</v>
      </c>
      <c r="L26" s="812">
        <v>3825.60009765625</v>
      </c>
      <c r="M26" s="812">
        <v>3688.864013671875</v>
      </c>
      <c r="N26" s="812">
        <v>3674.59</v>
      </c>
      <c r="O26" s="812">
        <v>3276.35</v>
      </c>
      <c r="P26" s="812">
        <v>3185.5</v>
      </c>
      <c r="Q26" s="812">
        <v>3617.34</v>
      </c>
      <c r="R26" s="812">
        <v>3566.82</v>
      </c>
      <c r="S26" s="812">
        <v>3671.68</v>
      </c>
      <c r="T26" s="812">
        <v>3821.34</v>
      </c>
      <c r="U26" s="812">
        <v>3728.1</v>
      </c>
      <c r="V26" s="812">
        <v>3730.02</v>
      </c>
      <c r="W26" s="812">
        <v>3571.71</v>
      </c>
      <c r="X26" s="812">
        <v>3663.49</v>
      </c>
      <c r="Y26" s="812">
        <v>3620.48</v>
      </c>
      <c r="Z26" s="812">
        <v>3678.05</v>
      </c>
      <c r="AA26" s="812">
        <v>3712.8</v>
      </c>
      <c r="AB26" s="812">
        <v>3313.47</v>
      </c>
      <c r="AC26" s="812">
        <v>3761.02</v>
      </c>
      <c r="AD26" s="812">
        <v>3582.24</v>
      </c>
      <c r="AE26" s="812">
        <v>3757.6</v>
      </c>
      <c r="AF26" s="812">
        <v>3591.71</v>
      </c>
      <c r="AG26" s="812">
        <v>3707.01</v>
      </c>
      <c r="AH26" s="812">
        <v>3730.56</v>
      </c>
      <c r="AI26" s="812">
        <v>3621.15</v>
      </c>
      <c r="AJ26" s="812">
        <v>950.82</v>
      </c>
      <c r="AK26" s="812"/>
      <c r="AL26" s="812"/>
      <c r="AM26" s="812"/>
      <c r="AN26" s="812"/>
    </row>
    <row r="27" spans="2:40" s="473" customFormat="1">
      <c r="B27" s="818" t="s">
        <v>790</v>
      </c>
      <c r="C27" s="818">
        <v>164180</v>
      </c>
      <c r="D27" s="818">
        <v>149602</v>
      </c>
      <c r="E27" s="818">
        <v>177818</v>
      </c>
      <c r="F27" s="818">
        <v>155541</v>
      </c>
      <c r="G27" s="818">
        <v>167472</v>
      </c>
      <c r="H27" s="818">
        <v>145685</v>
      </c>
      <c r="I27" s="818">
        <v>169574</v>
      </c>
      <c r="J27" s="818">
        <v>165825</v>
      </c>
      <c r="K27" s="818">
        <v>158437</v>
      </c>
      <c r="L27" s="819">
        <v>161771.015625</v>
      </c>
      <c r="M27" s="819">
        <v>166179.84375</v>
      </c>
      <c r="N27" s="819">
        <v>170644.98</v>
      </c>
      <c r="O27" s="819">
        <v>190557.7</v>
      </c>
      <c r="P27" s="819">
        <v>184961.03</v>
      </c>
      <c r="Q27" s="819">
        <v>188635.64</v>
      </c>
      <c r="R27" s="819">
        <v>165298.69</v>
      </c>
      <c r="S27" s="819">
        <v>178835.45</v>
      </c>
      <c r="T27" s="819">
        <v>164442.10999999999</v>
      </c>
      <c r="U27" s="819">
        <v>177967.61</v>
      </c>
      <c r="V27" s="819">
        <v>184457.73</v>
      </c>
      <c r="W27" s="819">
        <v>179001.34</v>
      </c>
      <c r="X27" s="819">
        <v>183073.8</v>
      </c>
      <c r="Y27" s="819">
        <v>153398.78</v>
      </c>
      <c r="Z27" s="819">
        <v>148269.06</v>
      </c>
      <c r="AA27" s="819">
        <v>158046.20000000001</v>
      </c>
      <c r="AB27" s="819">
        <v>160465.41</v>
      </c>
      <c r="AC27" s="819">
        <v>173361.16</v>
      </c>
      <c r="AD27" s="819">
        <v>173564.92</v>
      </c>
      <c r="AE27" s="819">
        <v>178383.88</v>
      </c>
      <c r="AF27" s="819">
        <v>154830.84</v>
      </c>
      <c r="AG27" s="819">
        <v>168794.11</v>
      </c>
      <c r="AH27" s="819">
        <v>168142.84</v>
      </c>
      <c r="AI27" s="819">
        <v>165310.47</v>
      </c>
      <c r="AJ27" s="819">
        <v>180589.56</v>
      </c>
      <c r="AK27" s="819"/>
      <c r="AL27" s="819"/>
      <c r="AM27" s="819"/>
      <c r="AN27" s="819"/>
    </row>
    <row r="28" spans="2:40">
      <c r="B28" s="811" t="s">
        <v>791</v>
      </c>
      <c r="C28" s="811">
        <v>16498</v>
      </c>
      <c r="D28" s="811">
        <v>16500</v>
      </c>
      <c r="E28" s="811">
        <v>20115</v>
      </c>
      <c r="F28" s="811">
        <v>18237</v>
      </c>
      <c r="G28" s="811">
        <v>20832</v>
      </c>
      <c r="H28" s="811">
        <v>20080</v>
      </c>
      <c r="I28" s="811">
        <v>21741</v>
      </c>
      <c r="J28" s="811">
        <v>21851</v>
      </c>
      <c r="K28" s="811">
        <v>20036</v>
      </c>
      <c r="L28" s="812">
        <v>19509.18359375</v>
      </c>
      <c r="M28" s="812">
        <v>18446.9765625</v>
      </c>
      <c r="N28" s="812">
        <v>16926.78</v>
      </c>
      <c r="O28" s="812">
        <v>16632.32</v>
      </c>
      <c r="P28" s="812">
        <v>17217.28</v>
      </c>
      <c r="Q28" s="812">
        <v>20357.38</v>
      </c>
      <c r="R28" s="812">
        <v>19226.88</v>
      </c>
      <c r="S28" s="812">
        <v>20958.53</v>
      </c>
      <c r="T28" s="812">
        <v>19799.62</v>
      </c>
      <c r="U28" s="812">
        <v>21539.58</v>
      </c>
      <c r="V28" s="812">
        <v>22526.21</v>
      </c>
      <c r="W28" s="812">
        <v>21125.7</v>
      </c>
      <c r="X28" s="812">
        <v>21416.58</v>
      </c>
      <c r="Y28" s="812">
        <v>19281.73</v>
      </c>
      <c r="Z28" s="812">
        <v>18332.48</v>
      </c>
      <c r="AA28" s="812">
        <v>18643.2</v>
      </c>
      <c r="AB28" s="812">
        <v>18689.22</v>
      </c>
      <c r="AC28" s="812">
        <v>20537.34</v>
      </c>
      <c r="AD28" s="812">
        <v>19504.7</v>
      </c>
      <c r="AE28" s="812">
        <v>22572.86</v>
      </c>
      <c r="AF28" s="812">
        <v>20206.080000000002</v>
      </c>
      <c r="AG28" s="812">
        <v>22438.53</v>
      </c>
      <c r="AH28" s="812">
        <v>22280.06</v>
      </c>
      <c r="AI28" s="812">
        <v>21206.02</v>
      </c>
      <c r="AJ28" s="812">
        <v>21792.77</v>
      </c>
      <c r="AK28" s="812"/>
      <c r="AL28" s="812"/>
      <c r="AM28" s="812"/>
      <c r="AN28" s="812"/>
    </row>
    <row r="29" spans="2:40">
      <c r="B29" s="822" t="s">
        <v>792</v>
      </c>
      <c r="C29" s="822">
        <v>7477</v>
      </c>
      <c r="D29" s="822">
        <v>7532</v>
      </c>
      <c r="E29" s="822">
        <v>9643</v>
      </c>
      <c r="F29" s="822">
        <v>8543</v>
      </c>
      <c r="G29" s="822">
        <v>9954</v>
      </c>
      <c r="H29" s="822">
        <v>9004</v>
      </c>
      <c r="I29" s="822">
        <v>9639</v>
      </c>
      <c r="J29" s="822">
        <v>10331</v>
      </c>
      <c r="K29" s="822">
        <v>9754</v>
      </c>
      <c r="L29" s="823">
        <v>9666.240234375</v>
      </c>
      <c r="M29" s="823">
        <v>8584.2880859375</v>
      </c>
      <c r="N29" s="823">
        <v>7986.69</v>
      </c>
      <c r="O29" s="823">
        <v>7375.68</v>
      </c>
      <c r="P29" s="823">
        <v>7689.66</v>
      </c>
      <c r="Q29" s="823">
        <v>9766.7199999999993</v>
      </c>
      <c r="R29" s="823">
        <v>8987.5499999999993</v>
      </c>
      <c r="S29" s="823">
        <v>9893.25</v>
      </c>
      <c r="T29" s="823">
        <v>8774.91</v>
      </c>
      <c r="U29" s="823">
        <v>9946.6200000000008</v>
      </c>
      <c r="V29" s="823">
        <v>10495.23</v>
      </c>
      <c r="W29" s="823">
        <v>10231.33</v>
      </c>
      <c r="X29" s="823">
        <v>10286.11</v>
      </c>
      <c r="Y29" s="823">
        <v>8823.84</v>
      </c>
      <c r="Z29" s="823">
        <v>8553.4699999999993</v>
      </c>
      <c r="AA29" s="823">
        <v>8099.81</v>
      </c>
      <c r="AB29" s="823">
        <v>8900.42</v>
      </c>
      <c r="AC29" s="823">
        <v>10108.51</v>
      </c>
      <c r="AD29" s="823">
        <v>9984.7000000000007</v>
      </c>
      <c r="AE29" s="823">
        <v>10873.86</v>
      </c>
      <c r="AF29" s="823">
        <v>9164.0300000000007</v>
      </c>
      <c r="AG29" s="823">
        <v>10127.200000000001</v>
      </c>
      <c r="AH29" s="823">
        <v>10591.55</v>
      </c>
      <c r="AI29" s="823">
        <v>9880.83</v>
      </c>
      <c r="AJ29" s="823">
        <v>10139.14</v>
      </c>
      <c r="AK29" s="823"/>
      <c r="AL29" s="823"/>
      <c r="AM29" s="823"/>
      <c r="AN29" s="823"/>
    </row>
    <row r="30" spans="2:40">
      <c r="B30" s="825" t="s">
        <v>793</v>
      </c>
      <c r="C30" s="825">
        <v>10041</v>
      </c>
      <c r="D30" s="825">
        <v>6817</v>
      </c>
      <c r="E30" s="825">
        <v>13943</v>
      </c>
      <c r="F30" s="825">
        <v>6960</v>
      </c>
      <c r="G30" s="825">
        <v>12405</v>
      </c>
      <c r="H30" s="825">
        <v>9932</v>
      </c>
      <c r="I30" s="825">
        <v>11114</v>
      </c>
      <c r="J30" s="825">
        <v>11903</v>
      </c>
      <c r="K30" s="825">
        <v>11093</v>
      </c>
      <c r="L30" s="826">
        <v>11257.7275390625</v>
      </c>
      <c r="M30" s="826">
        <v>7026.97607421875</v>
      </c>
      <c r="N30" s="826">
        <v>7107.42</v>
      </c>
      <c r="O30" s="826">
        <v>4910.6899999999996</v>
      </c>
      <c r="P30" s="826">
        <v>2367.84</v>
      </c>
      <c r="Q30" s="826">
        <v>5991.81</v>
      </c>
      <c r="R30" s="826">
        <v>3267.81</v>
      </c>
      <c r="S30" s="826">
        <v>7529.86</v>
      </c>
      <c r="T30" s="826">
        <v>8101.34</v>
      </c>
      <c r="U30" s="826">
        <v>11984.74</v>
      </c>
      <c r="V30" s="826">
        <v>12776.99</v>
      </c>
      <c r="W30" s="826">
        <v>11111.04</v>
      </c>
      <c r="X30" s="826">
        <v>11029.7</v>
      </c>
      <c r="Y30" s="826">
        <v>6548.64</v>
      </c>
      <c r="Z30" s="826">
        <v>2186.21</v>
      </c>
      <c r="AA30" s="826">
        <v>1642.72</v>
      </c>
      <c r="AB30" s="826">
        <v>2708.54</v>
      </c>
      <c r="AC30" s="826">
        <v>3976.7</v>
      </c>
      <c r="AD30" s="826">
        <v>3775.87</v>
      </c>
      <c r="AE30" s="826">
        <v>4930.8500000000004</v>
      </c>
      <c r="AF30" s="826">
        <v>3267.01</v>
      </c>
      <c r="AG30" s="826">
        <v>4135.58</v>
      </c>
      <c r="AH30" s="826">
        <v>4775.5200000000004</v>
      </c>
      <c r="AI30" s="826">
        <v>4111.62</v>
      </c>
      <c r="AJ30" s="826">
        <v>6683.2</v>
      </c>
      <c r="AK30" s="826"/>
      <c r="AL30" s="826"/>
      <c r="AM30" s="826"/>
      <c r="AN30" s="826"/>
    </row>
    <row r="31" spans="2:40">
      <c r="B31" s="822" t="s">
        <v>794</v>
      </c>
      <c r="C31" s="822">
        <v>1480</v>
      </c>
      <c r="D31" s="822">
        <v>1613</v>
      </c>
      <c r="E31" s="822">
        <v>1913</v>
      </c>
      <c r="F31" s="822">
        <v>1708</v>
      </c>
      <c r="G31" s="822">
        <v>2345</v>
      </c>
      <c r="H31" s="822">
        <v>2338</v>
      </c>
      <c r="I31" s="822">
        <v>2309</v>
      </c>
      <c r="J31" s="822">
        <v>2932</v>
      </c>
      <c r="K31" s="822">
        <v>2547</v>
      </c>
      <c r="L31" s="823">
        <v>2259.30810546875</v>
      </c>
      <c r="M31" s="823">
        <v>2062.89990234375</v>
      </c>
      <c r="N31" s="823">
        <v>1511.36</v>
      </c>
      <c r="O31" s="823">
        <v>1147.6099999999999</v>
      </c>
      <c r="P31" s="823">
        <v>1623.08</v>
      </c>
      <c r="Q31" s="823">
        <v>2174.34</v>
      </c>
      <c r="R31" s="823">
        <v>1674.28</v>
      </c>
      <c r="S31" s="823">
        <v>2301.6799999999998</v>
      </c>
      <c r="T31" s="823">
        <v>2245.09</v>
      </c>
      <c r="U31" s="823">
        <v>2262.46</v>
      </c>
      <c r="V31" s="823">
        <v>2753.65</v>
      </c>
      <c r="W31" s="823">
        <v>2267.9699999999998</v>
      </c>
      <c r="X31" s="823">
        <v>2389.31</v>
      </c>
      <c r="Y31" s="823">
        <v>1752.18</v>
      </c>
      <c r="Z31" s="823">
        <v>1179.06</v>
      </c>
      <c r="AA31" s="823">
        <v>1038.23</v>
      </c>
      <c r="AB31" s="823">
        <v>1265.1099999999999</v>
      </c>
      <c r="AC31" s="823">
        <v>1518</v>
      </c>
      <c r="AD31" s="823">
        <v>1825.18</v>
      </c>
      <c r="AE31" s="823">
        <v>2202.7399999999998</v>
      </c>
      <c r="AF31" s="823">
        <v>1749.58</v>
      </c>
      <c r="AG31" s="823">
        <v>1985.77</v>
      </c>
      <c r="AH31" s="823">
        <v>2376.9299999999998</v>
      </c>
      <c r="AI31" s="823">
        <v>2119.1799999999998</v>
      </c>
      <c r="AJ31" s="823">
        <v>2276.62</v>
      </c>
      <c r="AK31" s="823"/>
      <c r="AL31" s="823"/>
      <c r="AM31" s="823"/>
      <c r="AN31" s="823"/>
    </row>
    <row r="32" spans="2:40">
      <c r="B32" s="825" t="s">
        <v>795</v>
      </c>
      <c r="C32" s="825">
        <v>3663</v>
      </c>
      <c r="D32" s="825">
        <v>3149</v>
      </c>
      <c r="E32" s="825">
        <v>4388</v>
      </c>
      <c r="F32" s="825">
        <v>4215</v>
      </c>
      <c r="G32" s="825">
        <v>4655</v>
      </c>
      <c r="H32" s="825">
        <v>4388</v>
      </c>
      <c r="I32" s="825">
        <v>5003</v>
      </c>
      <c r="J32" s="825">
        <v>5168</v>
      </c>
      <c r="K32" s="825">
        <v>4673</v>
      </c>
      <c r="L32" s="826">
        <v>4961.416015625</v>
      </c>
      <c r="M32" s="826">
        <v>4157.2958984375</v>
      </c>
      <c r="N32" s="826">
        <v>3627.49</v>
      </c>
      <c r="O32" s="826">
        <v>3475.92</v>
      </c>
      <c r="P32" s="826">
        <v>3450.27</v>
      </c>
      <c r="Q32" s="826">
        <v>4956.43</v>
      </c>
      <c r="R32" s="826">
        <v>3638.98</v>
      </c>
      <c r="S32" s="826">
        <v>4680.03</v>
      </c>
      <c r="T32" s="826">
        <v>4088.13</v>
      </c>
      <c r="U32" s="826">
        <v>4616.4799999999996</v>
      </c>
      <c r="V32" s="826">
        <v>4356.05</v>
      </c>
      <c r="W32" s="826">
        <v>4239.5</v>
      </c>
      <c r="X32" s="826">
        <v>4977.54</v>
      </c>
      <c r="Y32" s="826">
        <v>3685.02</v>
      </c>
      <c r="Z32" s="826">
        <v>3550.08</v>
      </c>
      <c r="AA32" s="826">
        <v>3879.47</v>
      </c>
      <c r="AB32" s="826">
        <v>4118.93</v>
      </c>
      <c r="AC32" s="826">
        <v>4744.96</v>
      </c>
      <c r="AD32" s="826">
        <v>4777.8100000000004</v>
      </c>
      <c r="AE32" s="826">
        <v>5582.59</v>
      </c>
      <c r="AF32" s="826">
        <v>4587.01</v>
      </c>
      <c r="AG32" s="826">
        <v>5287.63</v>
      </c>
      <c r="AH32" s="826">
        <v>5642.43</v>
      </c>
      <c r="AI32" s="826">
        <v>5284.59</v>
      </c>
      <c r="AJ32" s="826">
        <v>5450.35</v>
      </c>
      <c r="AK32" s="826"/>
      <c r="AL32" s="826"/>
      <c r="AM32" s="826"/>
      <c r="AN32" s="826"/>
    </row>
    <row r="33" spans="2:40">
      <c r="B33" s="822" t="s">
        <v>796</v>
      </c>
      <c r="C33" s="822">
        <v>42775</v>
      </c>
      <c r="D33" s="822">
        <v>38312</v>
      </c>
      <c r="E33" s="822">
        <v>42086</v>
      </c>
      <c r="F33" s="822">
        <v>40570</v>
      </c>
      <c r="G33" s="822">
        <v>41281</v>
      </c>
      <c r="H33" s="822">
        <v>41348</v>
      </c>
      <c r="I33" s="822">
        <v>52924</v>
      </c>
      <c r="J33" s="822">
        <v>44361</v>
      </c>
      <c r="K33" s="822">
        <v>41295</v>
      </c>
      <c r="L33" s="823">
        <v>40200.57421875</v>
      </c>
      <c r="M33" s="823">
        <v>48480.640625</v>
      </c>
      <c r="N33" s="823">
        <v>62689.41</v>
      </c>
      <c r="O33" s="823">
        <v>89843.97</v>
      </c>
      <c r="P33" s="823">
        <v>73717.89</v>
      </c>
      <c r="Q33" s="823">
        <v>65578.490000000005</v>
      </c>
      <c r="R33" s="823">
        <v>62458.75</v>
      </c>
      <c r="S33" s="823">
        <v>63534.21</v>
      </c>
      <c r="T33" s="823">
        <v>63189.89</v>
      </c>
      <c r="U33" s="823">
        <v>65925.119999999995</v>
      </c>
      <c r="V33" s="823">
        <v>66580.09</v>
      </c>
      <c r="W33" s="823">
        <v>61810.69</v>
      </c>
      <c r="X33" s="823">
        <v>61390.21</v>
      </c>
      <c r="Y33" s="823">
        <v>39871.620000000003</v>
      </c>
      <c r="Z33" s="823">
        <v>36242.18</v>
      </c>
      <c r="AA33" s="823">
        <v>40289.15</v>
      </c>
      <c r="AB33" s="823">
        <v>45650.18</v>
      </c>
      <c r="AC33" s="823">
        <v>52236.29</v>
      </c>
      <c r="AD33" s="823">
        <v>60773.89</v>
      </c>
      <c r="AE33" s="823">
        <v>58973.440000000002</v>
      </c>
      <c r="AF33" s="823">
        <v>45013.760000000002</v>
      </c>
      <c r="AG33" s="823">
        <v>53472.77</v>
      </c>
      <c r="AH33" s="823">
        <v>48980.480000000003</v>
      </c>
      <c r="AI33" s="823">
        <v>47719.68</v>
      </c>
      <c r="AJ33" s="823">
        <v>53675.519999999997</v>
      </c>
      <c r="AK33" s="823"/>
      <c r="AL33" s="823"/>
      <c r="AM33" s="823"/>
      <c r="AN33" s="823"/>
    </row>
    <row r="34" spans="2:40">
      <c r="B34" s="825" t="s">
        <v>797</v>
      </c>
      <c r="C34" s="825">
        <v>17665</v>
      </c>
      <c r="D34" s="825">
        <v>16694</v>
      </c>
      <c r="E34" s="825">
        <v>19248</v>
      </c>
      <c r="F34" s="825">
        <v>19773</v>
      </c>
      <c r="G34" s="825">
        <v>20725</v>
      </c>
      <c r="H34" s="825">
        <v>19638</v>
      </c>
      <c r="I34" s="825">
        <v>22788</v>
      </c>
      <c r="J34" s="825">
        <v>19705</v>
      </c>
      <c r="K34" s="825">
        <v>19592</v>
      </c>
      <c r="L34" s="826">
        <v>19175.0390625</v>
      </c>
      <c r="M34" s="826">
        <v>18737.087890625</v>
      </c>
      <c r="N34" s="826">
        <v>18983.87</v>
      </c>
      <c r="O34" s="826">
        <v>18698.939999999999</v>
      </c>
      <c r="P34" s="826">
        <v>17422.53</v>
      </c>
      <c r="Q34" s="826">
        <v>18966.72</v>
      </c>
      <c r="R34" s="826">
        <v>18244.22</v>
      </c>
      <c r="S34" s="826">
        <v>19925.25</v>
      </c>
      <c r="T34" s="826">
        <v>20005.38</v>
      </c>
      <c r="U34" s="826">
        <v>22600.38</v>
      </c>
      <c r="V34" s="826">
        <v>24012.42</v>
      </c>
      <c r="W34" s="826">
        <v>21889.22</v>
      </c>
      <c r="X34" s="826">
        <v>21513.98</v>
      </c>
      <c r="Y34" s="826">
        <v>19712.509999999998</v>
      </c>
      <c r="Z34" s="826">
        <v>18827.84</v>
      </c>
      <c r="AA34" s="826">
        <v>18480.830000000002</v>
      </c>
      <c r="AB34" s="826">
        <v>18093.12</v>
      </c>
      <c r="AC34" s="826">
        <v>22619.65</v>
      </c>
      <c r="AD34" s="826">
        <v>23244.54</v>
      </c>
      <c r="AE34" s="826">
        <v>24523.26</v>
      </c>
      <c r="AF34" s="826">
        <v>21910.21</v>
      </c>
      <c r="AG34" s="826">
        <v>21063.1</v>
      </c>
      <c r="AH34" s="826">
        <v>21603.9</v>
      </c>
      <c r="AI34" s="826">
        <v>20285.759999999998</v>
      </c>
      <c r="AJ34" s="826">
        <v>21465.73</v>
      </c>
      <c r="AK34" s="826"/>
      <c r="AL34" s="826"/>
      <c r="AM34" s="826"/>
      <c r="AN34" s="826"/>
    </row>
    <row r="35" spans="2:40">
      <c r="B35" s="822" t="s">
        <v>798</v>
      </c>
      <c r="C35" s="822">
        <v>17239</v>
      </c>
      <c r="D35" s="822">
        <v>12659</v>
      </c>
      <c r="E35" s="822">
        <v>14255</v>
      </c>
      <c r="F35" s="822">
        <v>13540</v>
      </c>
      <c r="G35" s="822">
        <v>14435</v>
      </c>
      <c r="H35" s="822">
        <v>16621</v>
      </c>
      <c r="I35" s="822">
        <v>17823</v>
      </c>
      <c r="J35" s="822">
        <v>16470</v>
      </c>
      <c r="K35" s="822">
        <v>15875</v>
      </c>
      <c r="L35" s="823">
        <v>16351.0078125</v>
      </c>
      <c r="M35" s="823">
        <v>15987.51953125</v>
      </c>
      <c r="N35" s="823">
        <v>15575.55</v>
      </c>
      <c r="O35" s="823">
        <v>15754.91</v>
      </c>
      <c r="P35" s="823">
        <v>16730.939999999999</v>
      </c>
      <c r="Q35" s="823">
        <v>19379.900000000001</v>
      </c>
      <c r="R35" s="823">
        <v>16043.01</v>
      </c>
      <c r="S35" s="823">
        <v>14359.36</v>
      </c>
      <c r="T35" s="823">
        <v>12933.06</v>
      </c>
      <c r="U35" s="823">
        <v>13632.19</v>
      </c>
      <c r="V35" s="823">
        <v>14078.59</v>
      </c>
      <c r="W35" s="823">
        <v>14443.78</v>
      </c>
      <c r="X35" s="823">
        <v>15046.78</v>
      </c>
      <c r="Y35" s="823">
        <v>12667.71</v>
      </c>
      <c r="Z35" s="823">
        <v>12302.78</v>
      </c>
      <c r="AA35" s="823">
        <v>12217.09</v>
      </c>
      <c r="AB35" s="823">
        <v>12360.26</v>
      </c>
      <c r="AC35" s="823">
        <v>13802.75</v>
      </c>
      <c r="AD35" s="823">
        <v>14107.71</v>
      </c>
      <c r="AE35" s="823">
        <v>14602.05</v>
      </c>
      <c r="AF35" s="823">
        <v>13366.46</v>
      </c>
      <c r="AG35" s="823">
        <v>14423.1</v>
      </c>
      <c r="AH35" s="823">
        <v>15866.37</v>
      </c>
      <c r="AI35" s="823">
        <v>15406.08</v>
      </c>
      <c r="AJ35" s="823">
        <v>15457.22</v>
      </c>
      <c r="AK35" s="823"/>
      <c r="AL35" s="823"/>
      <c r="AM35" s="823"/>
      <c r="AN35" s="823"/>
    </row>
    <row r="36" spans="2:40">
      <c r="B36" s="811" t="s">
        <v>799</v>
      </c>
      <c r="C36" s="811">
        <v>94193</v>
      </c>
      <c r="D36" s="811">
        <v>87269</v>
      </c>
      <c r="E36" s="811">
        <v>104386</v>
      </c>
      <c r="F36" s="811">
        <v>96526</v>
      </c>
      <c r="G36" s="811">
        <v>105881</v>
      </c>
      <c r="H36" s="811">
        <v>101539</v>
      </c>
      <c r="I36" s="811">
        <v>115655</v>
      </c>
      <c r="J36" s="811">
        <v>109001</v>
      </c>
      <c r="K36" s="811">
        <v>103111</v>
      </c>
      <c r="L36" s="812">
        <v>102185.7265625</v>
      </c>
      <c r="M36" s="812">
        <v>100377.6015625</v>
      </c>
      <c r="N36" s="812">
        <v>105616.9</v>
      </c>
      <c r="O36" s="812">
        <v>115876.87</v>
      </c>
      <c r="P36" s="812">
        <v>105579.52</v>
      </c>
      <c r="Q36" s="812">
        <v>114396.67</v>
      </c>
      <c r="R36" s="812">
        <v>107533.31</v>
      </c>
      <c r="S36" s="812">
        <v>114156.55</v>
      </c>
      <c r="T36" s="812">
        <v>110455.8</v>
      </c>
      <c r="U36" s="812">
        <v>121251.33</v>
      </c>
      <c r="V36" s="812">
        <v>125526.02</v>
      </c>
      <c r="W36" s="812">
        <v>117347.84</v>
      </c>
      <c r="X36" s="812">
        <v>118254.08</v>
      </c>
      <c r="Y36" s="812">
        <v>96736.26</v>
      </c>
      <c r="Z36" s="812">
        <v>90157.57</v>
      </c>
      <c r="AA36" s="812">
        <v>91942.91</v>
      </c>
      <c r="AB36" s="812">
        <v>94981.119999999995</v>
      </c>
      <c r="AC36" s="812">
        <v>108935.17</v>
      </c>
      <c r="AD36" s="812">
        <v>112403.45</v>
      </c>
      <c r="AE36" s="812">
        <v>118947.33</v>
      </c>
      <c r="AF36" s="812">
        <v>102268.41</v>
      </c>
      <c r="AG36" s="812">
        <v>111298.56</v>
      </c>
      <c r="AH36" s="812">
        <v>110901.25</v>
      </c>
      <c r="AI36" s="812">
        <v>105555.45</v>
      </c>
      <c r="AJ36" s="812">
        <v>112825.86</v>
      </c>
      <c r="AK36" s="812"/>
      <c r="AL36" s="812"/>
      <c r="AM36" s="812"/>
      <c r="AN36" s="812"/>
    </row>
    <row r="37" spans="2:40">
      <c r="B37" s="809" t="s">
        <v>800</v>
      </c>
      <c r="C37" s="809">
        <v>69617</v>
      </c>
      <c r="D37" s="809">
        <v>62328</v>
      </c>
      <c r="E37" s="809">
        <v>73181</v>
      </c>
      <c r="F37" s="809">
        <v>59194</v>
      </c>
      <c r="G37" s="809">
        <v>61029</v>
      </c>
      <c r="H37" s="809">
        <v>51066</v>
      </c>
      <c r="I37" s="809">
        <v>54071</v>
      </c>
      <c r="J37" s="809">
        <v>57648</v>
      </c>
      <c r="K37" s="809">
        <v>55840</v>
      </c>
      <c r="L37" s="810">
        <v>60484.9921875</v>
      </c>
      <c r="M37" s="810">
        <v>65502.59375</v>
      </c>
      <c r="N37" s="810">
        <v>64977.15</v>
      </c>
      <c r="O37" s="810">
        <v>74281.34</v>
      </c>
      <c r="P37" s="810">
        <v>79227.27</v>
      </c>
      <c r="Q37" s="810">
        <v>74117.759999999995</v>
      </c>
      <c r="R37" s="810">
        <v>59681.66</v>
      </c>
      <c r="S37" s="810">
        <v>64562.82</v>
      </c>
      <c r="T37" s="810">
        <v>53677.31</v>
      </c>
      <c r="U37" s="810">
        <v>57417.86</v>
      </c>
      <c r="V37" s="810">
        <v>59601.66</v>
      </c>
      <c r="W37" s="810">
        <v>61312</v>
      </c>
      <c r="X37" s="810">
        <v>64481.919999999998</v>
      </c>
      <c r="Y37" s="810">
        <v>56480</v>
      </c>
      <c r="Z37" s="810">
        <v>58275.59</v>
      </c>
      <c r="AA37" s="810">
        <v>65930.240000000005</v>
      </c>
      <c r="AB37" s="810">
        <v>65321.47</v>
      </c>
      <c r="AC37" s="810">
        <v>64157.7</v>
      </c>
      <c r="AD37" s="810">
        <v>61250.05</v>
      </c>
      <c r="AE37" s="810">
        <v>60316.160000000003</v>
      </c>
      <c r="AF37" s="810">
        <v>52356.86</v>
      </c>
      <c r="AG37" s="810">
        <v>59760.38</v>
      </c>
      <c r="AH37" s="810">
        <v>59952.639999999999</v>
      </c>
      <c r="AI37" s="810">
        <v>59666.18</v>
      </c>
      <c r="AJ37" s="810">
        <v>67555.33</v>
      </c>
      <c r="AK37" s="810"/>
      <c r="AL37" s="810"/>
      <c r="AM37" s="810"/>
      <c r="AN37" s="810"/>
    </row>
    <row r="38" spans="2:40">
      <c r="B38" s="811" t="s">
        <v>801</v>
      </c>
      <c r="C38" s="811">
        <v>1281</v>
      </c>
      <c r="D38" s="811">
        <v>1070</v>
      </c>
      <c r="E38" s="811">
        <v>1273</v>
      </c>
      <c r="F38" s="811">
        <v>1155</v>
      </c>
      <c r="G38" s="811">
        <v>1272</v>
      </c>
      <c r="H38" s="811">
        <v>1144</v>
      </c>
      <c r="I38" s="811">
        <v>1144</v>
      </c>
      <c r="J38" s="811">
        <v>1216</v>
      </c>
      <c r="K38" s="811">
        <v>1162</v>
      </c>
      <c r="L38" s="812">
        <v>1169.2010498046875</v>
      </c>
      <c r="M38" s="812">
        <v>1097.5579833984375</v>
      </c>
      <c r="N38" s="812">
        <v>1054.5899999999999</v>
      </c>
      <c r="O38" s="812">
        <v>929.38</v>
      </c>
      <c r="P38" s="812">
        <v>970.76</v>
      </c>
      <c r="Q38" s="812">
        <v>1217.3399999999999</v>
      </c>
      <c r="R38" s="812">
        <v>1123.78</v>
      </c>
      <c r="S38" s="812">
        <v>1374.72</v>
      </c>
      <c r="T38" s="812">
        <v>1483.36</v>
      </c>
      <c r="U38" s="812">
        <v>1268.99</v>
      </c>
      <c r="V38" s="812">
        <v>1097.8699999999999</v>
      </c>
      <c r="W38" s="812">
        <v>1147.9100000000001</v>
      </c>
      <c r="X38" s="812">
        <v>1290.92</v>
      </c>
      <c r="Y38" s="812">
        <v>876.26</v>
      </c>
      <c r="Z38" s="812">
        <v>788.39</v>
      </c>
      <c r="AA38" s="812">
        <v>757.49</v>
      </c>
      <c r="AB38" s="812">
        <v>792.99</v>
      </c>
      <c r="AC38" s="812">
        <v>954.65</v>
      </c>
      <c r="AD38" s="812">
        <v>914.4</v>
      </c>
      <c r="AE38" s="812">
        <v>1166.6300000000001</v>
      </c>
      <c r="AF38" s="812">
        <v>1307.05</v>
      </c>
      <c r="AG38" s="812">
        <v>1419.75</v>
      </c>
      <c r="AH38" s="812">
        <v>1212.21</v>
      </c>
      <c r="AI38" s="812">
        <v>1096.26</v>
      </c>
      <c r="AJ38" s="812">
        <v>1242.25</v>
      </c>
      <c r="AK38" s="812"/>
      <c r="AL38" s="812"/>
      <c r="AM38" s="812"/>
      <c r="AN38" s="812"/>
    </row>
    <row r="39" spans="2:40">
      <c r="B39" s="809" t="s">
        <v>802</v>
      </c>
      <c r="C39" s="809">
        <v>144</v>
      </c>
      <c r="D39" s="809">
        <v>191</v>
      </c>
      <c r="E39" s="809">
        <v>1064</v>
      </c>
      <c r="F39" s="809">
        <v>738</v>
      </c>
      <c r="G39" s="809">
        <v>1573</v>
      </c>
      <c r="H39" s="809">
        <v>431</v>
      </c>
      <c r="I39" s="809">
        <v>700</v>
      </c>
      <c r="J39" s="809">
        <v>1017</v>
      </c>
      <c r="K39" s="809">
        <v>1046</v>
      </c>
      <c r="L39" s="810">
        <v>1115.383056640625</v>
      </c>
      <c r="M39" s="810">
        <v>218.90899658203125</v>
      </c>
      <c r="N39" s="810">
        <v>103.61</v>
      </c>
      <c r="O39" s="810">
        <v>47.84</v>
      </c>
      <c r="P39" s="810">
        <v>162.38</v>
      </c>
      <c r="Q39" s="810">
        <v>898.4</v>
      </c>
      <c r="R39" s="810">
        <v>1015.72</v>
      </c>
      <c r="S39" s="810">
        <v>974.68</v>
      </c>
      <c r="T39" s="810">
        <v>382.61</v>
      </c>
      <c r="U39" s="810">
        <v>656.81</v>
      </c>
      <c r="V39" s="810">
        <v>847.31</v>
      </c>
      <c r="W39" s="810">
        <v>749.51</v>
      </c>
      <c r="X39" s="810">
        <v>457.32</v>
      </c>
      <c r="Y39" s="810">
        <v>287.63</v>
      </c>
      <c r="Z39" s="810">
        <v>124.92</v>
      </c>
      <c r="AA39" s="810">
        <v>254.19</v>
      </c>
      <c r="AB39" s="810">
        <v>332.95</v>
      </c>
      <c r="AC39" s="810">
        <v>921.09</v>
      </c>
      <c r="AD39" s="810">
        <v>892.03</v>
      </c>
      <c r="AE39" s="810">
        <v>1134.2</v>
      </c>
      <c r="AF39" s="810">
        <v>501.56</v>
      </c>
      <c r="AG39" s="810">
        <v>810.96</v>
      </c>
      <c r="AH39" s="810">
        <v>1092.49</v>
      </c>
      <c r="AI39" s="810">
        <v>791.8</v>
      </c>
      <c r="AJ39" s="810">
        <v>1323</v>
      </c>
      <c r="AK39" s="810"/>
      <c r="AL39" s="810"/>
      <c r="AM39" s="810"/>
      <c r="AN39" s="810"/>
    </row>
    <row r="40" spans="2:40">
      <c r="B40" s="811" t="s">
        <v>803</v>
      </c>
      <c r="C40" s="811">
        <v>31321</v>
      </c>
      <c r="D40" s="811">
        <v>24287</v>
      </c>
      <c r="E40" s="811">
        <v>26361</v>
      </c>
      <c r="F40" s="811">
        <v>16399</v>
      </c>
      <c r="G40" s="811">
        <v>13071</v>
      </c>
      <c r="H40" s="811">
        <v>7803</v>
      </c>
      <c r="I40" s="811">
        <v>7689</v>
      </c>
      <c r="J40" s="811">
        <v>10702</v>
      </c>
      <c r="K40" s="811">
        <v>9941</v>
      </c>
      <c r="L40" s="812">
        <v>13842.4482421875</v>
      </c>
      <c r="M40" s="812">
        <v>23551.888671875</v>
      </c>
      <c r="N40" s="812">
        <v>25867.17</v>
      </c>
      <c r="O40" s="812">
        <v>34991.46</v>
      </c>
      <c r="P40" s="812">
        <v>37530.75</v>
      </c>
      <c r="Q40" s="812">
        <v>26229.02</v>
      </c>
      <c r="R40" s="812">
        <v>15513.12</v>
      </c>
      <c r="S40" s="812">
        <v>15739.23</v>
      </c>
      <c r="T40" s="812">
        <v>10745.76</v>
      </c>
      <c r="U40" s="812">
        <v>10652.38</v>
      </c>
      <c r="V40" s="812">
        <v>10921.95</v>
      </c>
      <c r="W40" s="812">
        <v>14699.62</v>
      </c>
      <c r="X40" s="812">
        <v>17786.66</v>
      </c>
      <c r="Y40" s="812">
        <v>14869.31</v>
      </c>
      <c r="Z40" s="812">
        <v>18230.560000000001</v>
      </c>
      <c r="AA40" s="812">
        <v>24433.57</v>
      </c>
      <c r="AB40" s="812">
        <v>21807.33</v>
      </c>
      <c r="AC40" s="812">
        <v>16020.99</v>
      </c>
      <c r="AD40" s="812">
        <v>14248.58</v>
      </c>
      <c r="AE40" s="812">
        <v>8018.11</v>
      </c>
      <c r="AF40" s="812">
        <v>6591.74</v>
      </c>
      <c r="AG40" s="812">
        <v>9471.94</v>
      </c>
      <c r="AH40" s="812">
        <v>8972.67</v>
      </c>
      <c r="AI40" s="812">
        <v>10406.98</v>
      </c>
      <c r="AJ40" s="812">
        <v>15157.76</v>
      </c>
      <c r="AK40" s="812"/>
      <c r="AL40" s="812"/>
      <c r="AM40" s="812"/>
      <c r="AN40" s="812"/>
    </row>
    <row r="41" spans="2:40">
      <c r="B41" s="809" t="s">
        <v>804</v>
      </c>
      <c r="C41" s="809">
        <v>6585</v>
      </c>
      <c r="D41" s="809">
        <v>6020</v>
      </c>
      <c r="E41" s="809">
        <v>6611</v>
      </c>
      <c r="F41" s="809">
        <v>6137</v>
      </c>
      <c r="G41" s="809">
        <v>6186</v>
      </c>
      <c r="H41" s="809">
        <v>5739</v>
      </c>
      <c r="I41" s="809">
        <v>5879</v>
      </c>
      <c r="J41" s="809">
        <v>6072</v>
      </c>
      <c r="K41" s="809">
        <v>5934</v>
      </c>
      <c r="L41" s="810">
        <v>6249.77587890625</v>
      </c>
      <c r="M41" s="810">
        <v>6107.14404296875</v>
      </c>
      <c r="N41" s="810">
        <v>6360.14</v>
      </c>
      <c r="O41" s="810">
        <v>6569.46</v>
      </c>
      <c r="P41" s="810">
        <v>6128.04</v>
      </c>
      <c r="Q41" s="810">
        <v>6868.63</v>
      </c>
      <c r="R41" s="810">
        <v>6563.83</v>
      </c>
      <c r="S41" s="810">
        <v>6667.1</v>
      </c>
      <c r="T41" s="810">
        <v>6226.08</v>
      </c>
      <c r="U41" s="810">
        <v>6374.34</v>
      </c>
      <c r="V41" s="810">
        <v>6430.43</v>
      </c>
      <c r="W41" s="810">
        <v>6177.26</v>
      </c>
      <c r="X41" s="810">
        <v>6328.94</v>
      </c>
      <c r="Y41" s="810">
        <v>6546.48</v>
      </c>
      <c r="Z41" s="810">
        <v>7074.91</v>
      </c>
      <c r="AA41" s="810">
        <v>7076.11</v>
      </c>
      <c r="AB41" s="810">
        <v>6596.86</v>
      </c>
      <c r="AC41" s="810">
        <v>6829.17</v>
      </c>
      <c r="AD41" s="810">
        <v>6513.89</v>
      </c>
      <c r="AE41" s="810">
        <v>6369.44</v>
      </c>
      <c r="AF41" s="810">
        <v>6148.93</v>
      </c>
      <c r="AG41" s="810">
        <v>6476.37</v>
      </c>
      <c r="AH41" s="810">
        <v>6530.34</v>
      </c>
      <c r="AI41" s="810">
        <v>6452.27</v>
      </c>
      <c r="AJ41" s="810">
        <v>6842.99</v>
      </c>
      <c r="AK41" s="810"/>
      <c r="AL41" s="810"/>
      <c r="AM41" s="810"/>
      <c r="AN41" s="810"/>
    </row>
    <row r="42" spans="2:40">
      <c r="B42" s="811" t="s">
        <v>805</v>
      </c>
      <c r="C42" s="811">
        <v>13596</v>
      </c>
      <c r="D42" s="811">
        <v>12978</v>
      </c>
      <c r="E42" s="811">
        <v>15785</v>
      </c>
      <c r="F42" s="811">
        <v>15240</v>
      </c>
      <c r="G42" s="811">
        <v>16626</v>
      </c>
      <c r="H42" s="811">
        <v>15410</v>
      </c>
      <c r="I42" s="811">
        <v>16760</v>
      </c>
      <c r="J42" s="811">
        <v>16918</v>
      </c>
      <c r="K42" s="811">
        <v>16610</v>
      </c>
      <c r="L42" s="812">
        <v>17053.392578125</v>
      </c>
      <c r="M42" s="812">
        <v>15379.408203125</v>
      </c>
      <c r="N42" s="812">
        <v>14136.67</v>
      </c>
      <c r="O42" s="812">
        <v>13904.66</v>
      </c>
      <c r="P42" s="812">
        <v>14874.16</v>
      </c>
      <c r="Q42" s="812">
        <v>16676.88</v>
      </c>
      <c r="R42" s="812">
        <v>14716.58</v>
      </c>
      <c r="S42" s="812">
        <v>16822.11</v>
      </c>
      <c r="T42" s="812">
        <v>14623.55</v>
      </c>
      <c r="U42" s="812">
        <v>15529.15</v>
      </c>
      <c r="V42" s="812">
        <v>16360.77</v>
      </c>
      <c r="W42" s="812">
        <v>15199.46</v>
      </c>
      <c r="X42" s="812">
        <v>15686.3</v>
      </c>
      <c r="Y42" s="812">
        <v>13197.98</v>
      </c>
      <c r="Z42" s="812">
        <v>12053.79</v>
      </c>
      <c r="AA42" s="812">
        <v>13472.35</v>
      </c>
      <c r="AB42" s="812">
        <v>14054.98</v>
      </c>
      <c r="AC42" s="812">
        <v>16469.28</v>
      </c>
      <c r="AD42" s="812">
        <v>16193.76</v>
      </c>
      <c r="AE42" s="812">
        <v>17678.46</v>
      </c>
      <c r="AF42" s="812">
        <v>15262.66</v>
      </c>
      <c r="AG42" s="812">
        <v>17347.490000000002</v>
      </c>
      <c r="AH42" s="812">
        <v>16939.84</v>
      </c>
      <c r="AI42" s="812">
        <v>16085.44</v>
      </c>
      <c r="AJ42" s="812">
        <v>17585.73</v>
      </c>
      <c r="AK42" s="812"/>
      <c r="AL42" s="812"/>
      <c r="AM42" s="812"/>
      <c r="AN42" s="812"/>
    </row>
    <row r="43" spans="2:40">
      <c r="B43" s="809" t="s">
        <v>806</v>
      </c>
      <c r="C43" s="809">
        <v>10529</v>
      </c>
      <c r="D43" s="809">
        <v>12597</v>
      </c>
      <c r="E43" s="809">
        <v>15835</v>
      </c>
      <c r="F43" s="809">
        <v>13944</v>
      </c>
      <c r="G43" s="809">
        <v>16583</v>
      </c>
      <c r="H43" s="809">
        <v>15061</v>
      </c>
      <c r="I43" s="809">
        <v>16048</v>
      </c>
      <c r="J43" s="809">
        <v>15889</v>
      </c>
      <c r="K43" s="809">
        <v>15562</v>
      </c>
      <c r="L43" s="810">
        <v>15095.82421875</v>
      </c>
      <c r="M43" s="810">
        <v>13715.8876953125</v>
      </c>
      <c r="N43" s="810">
        <v>11877.94</v>
      </c>
      <c r="O43" s="810">
        <v>12233.63</v>
      </c>
      <c r="P43" s="810">
        <v>13890.85</v>
      </c>
      <c r="Q43" s="810">
        <v>16659.14</v>
      </c>
      <c r="R43" s="810">
        <v>14955.73</v>
      </c>
      <c r="S43" s="810">
        <v>17234.72</v>
      </c>
      <c r="T43" s="810">
        <v>14408.64</v>
      </c>
      <c r="U43" s="810">
        <v>16833.919999999998</v>
      </c>
      <c r="V43" s="810">
        <v>17815.97</v>
      </c>
      <c r="W43" s="810">
        <v>17418.14</v>
      </c>
      <c r="X43" s="810">
        <v>16779.580000000002</v>
      </c>
      <c r="Y43" s="810">
        <v>14694.62</v>
      </c>
      <c r="Z43" s="810">
        <v>13467.74</v>
      </c>
      <c r="AA43" s="810">
        <v>13292.45</v>
      </c>
      <c r="AB43" s="810">
        <v>15657.6</v>
      </c>
      <c r="AC43" s="810">
        <v>16825.54</v>
      </c>
      <c r="AD43" s="810">
        <v>16350.02</v>
      </c>
      <c r="AE43" s="810">
        <v>19560.38</v>
      </c>
      <c r="AF43" s="810">
        <v>16545.439999999999</v>
      </c>
      <c r="AG43" s="810">
        <v>17841.02</v>
      </c>
      <c r="AH43" s="810">
        <v>18679.68</v>
      </c>
      <c r="AI43" s="810">
        <v>18472.740000000002</v>
      </c>
      <c r="AJ43" s="810">
        <v>18825.73</v>
      </c>
      <c r="AK43" s="810"/>
      <c r="AL43" s="810"/>
      <c r="AM43" s="810"/>
      <c r="AN43" s="810"/>
    </row>
    <row r="44" spans="2:40" s="473" customFormat="1">
      <c r="B44" s="820" t="s">
        <v>807</v>
      </c>
      <c r="C44" s="820">
        <v>68939</v>
      </c>
      <c r="D44" s="820">
        <v>61325</v>
      </c>
      <c r="E44" s="820">
        <v>71092</v>
      </c>
      <c r="F44" s="820">
        <v>65658</v>
      </c>
      <c r="G44" s="820">
        <v>71186</v>
      </c>
      <c r="H44" s="820">
        <v>72432</v>
      </c>
      <c r="I44" s="820">
        <v>78334</v>
      </c>
      <c r="J44" s="820">
        <v>77359</v>
      </c>
      <c r="K44" s="820">
        <v>76093</v>
      </c>
      <c r="L44" s="821">
        <v>74203.6484375</v>
      </c>
      <c r="M44" s="821">
        <v>67271.6796875</v>
      </c>
      <c r="N44" s="821">
        <v>68214.27</v>
      </c>
      <c r="O44" s="821">
        <v>68709.89</v>
      </c>
      <c r="P44" s="821">
        <v>65343.49</v>
      </c>
      <c r="Q44" s="821">
        <v>71593.98</v>
      </c>
      <c r="R44" s="821">
        <v>67376.13</v>
      </c>
      <c r="S44" s="821">
        <v>70440.960000000006</v>
      </c>
      <c r="T44" s="821">
        <v>67592.2</v>
      </c>
      <c r="U44" s="821">
        <v>71817.22</v>
      </c>
      <c r="V44" s="821">
        <v>75611.649999999994</v>
      </c>
      <c r="W44" s="821">
        <v>70140.41</v>
      </c>
      <c r="X44" s="821">
        <v>70515.199999999997</v>
      </c>
      <c r="Y44" s="821">
        <v>66847.23</v>
      </c>
      <c r="Z44" s="821">
        <v>67720.7</v>
      </c>
      <c r="AA44" s="821">
        <v>71308.800000000003</v>
      </c>
      <c r="AB44" s="821">
        <v>68215.8</v>
      </c>
      <c r="AC44" s="821">
        <v>68503.039999999994</v>
      </c>
      <c r="AD44" s="821">
        <v>66613.25</v>
      </c>
      <c r="AE44" s="821">
        <v>72144.38</v>
      </c>
      <c r="AF44" s="821">
        <v>65764.87</v>
      </c>
      <c r="AG44" s="821">
        <v>70384.13</v>
      </c>
      <c r="AH44" s="821">
        <v>72072.7</v>
      </c>
      <c r="AI44" s="821">
        <v>70238.720000000001</v>
      </c>
      <c r="AJ44" s="821">
        <v>71775.740000000005</v>
      </c>
      <c r="AK44" s="821"/>
      <c r="AL44" s="821"/>
      <c r="AM44" s="821"/>
      <c r="AN44" s="821"/>
    </row>
    <row r="45" spans="2:40">
      <c r="B45" s="822" t="s">
        <v>808</v>
      </c>
      <c r="C45" s="822">
        <v>16634</v>
      </c>
      <c r="D45" s="822">
        <v>15790</v>
      </c>
      <c r="E45" s="822">
        <v>19969</v>
      </c>
      <c r="F45" s="822">
        <v>18571</v>
      </c>
      <c r="G45" s="822">
        <v>21909</v>
      </c>
      <c r="H45" s="822">
        <v>22878</v>
      </c>
      <c r="I45" s="822">
        <v>26818</v>
      </c>
      <c r="J45" s="822">
        <v>25908</v>
      </c>
      <c r="K45" s="822">
        <v>25087</v>
      </c>
      <c r="L45" s="823">
        <v>22399.87109375</v>
      </c>
      <c r="M45" s="823">
        <v>17240.3203125</v>
      </c>
      <c r="N45" s="823">
        <v>15197.57</v>
      </c>
      <c r="O45" s="823">
        <v>12444.16</v>
      </c>
      <c r="P45" s="823">
        <v>12331.26</v>
      </c>
      <c r="Q45" s="823">
        <v>15157.5</v>
      </c>
      <c r="R45" s="823">
        <v>15472.64</v>
      </c>
      <c r="S45" s="823">
        <v>18434.3</v>
      </c>
      <c r="T45" s="823">
        <v>17960.580000000002</v>
      </c>
      <c r="U45" s="823">
        <v>19276.29</v>
      </c>
      <c r="V45" s="823">
        <v>20465.02</v>
      </c>
      <c r="W45" s="823">
        <v>18115.46</v>
      </c>
      <c r="X45" s="823">
        <v>16984.45</v>
      </c>
      <c r="Y45" s="823">
        <v>15260.16</v>
      </c>
      <c r="Z45" s="823">
        <v>12803.46</v>
      </c>
      <c r="AA45" s="823">
        <v>13183.87</v>
      </c>
      <c r="AB45" s="823">
        <v>14156.29</v>
      </c>
      <c r="AC45" s="823">
        <v>17629.439999999999</v>
      </c>
      <c r="AD45" s="823">
        <v>18262.91</v>
      </c>
      <c r="AE45" s="823">
        <v>20807.68</v>
      </c>
      <c r="AF45" s="823">
        <v>17103.740000000002</v>
      </c>
      <c r="AG45" s="823">
        <v>20336.509999999998</v>
      </c>
      <c r="AH45" s="823">
        <v>20950.02</v>
      </c>
      <c r="AI45" s="823">
        <v>19475.97</v>
      </c>
      <c r="AJ45" s="823">
        <v>4911.3599999999997</v>
      </c>
      <c r="AK45" s="823"/>
      <c r="AL45" s="823"/>
      <c r="AM45" s="823"/>
      <c r="AN45" s="823"/>
    </row>
    <row r="46" spans="2:40">
      <c r="B46" s="811" t="s">
        <v>809</v>
      </c>
      <c r="C46" s="811">
        <v>2074</v>
      </c>
      <c r="D46" s="811">
        <v>2263</v>
      </c>
      <c r="E46" s="811">
        <v>2343</v>
      </c>
      <c r="F46" s="811">
        <v>2968</v>
      </c>
      <c r="G46" s="811">
        <v>3569</v>
      </c>
      <c r="H46" s="811">
        <v>4558</v>
      </c>
      <c r="I46" s="811">
        <v>6283</v>
      </c>
      <c r="J46" s="811">
        <v>5806</v>
      </c>
      <c r="K46" s="811">
        <v>5722</v>
      </c>
      <c r="L46" s="812">
        <v>5184.43212890625</v>
      </c>
      <c r="M46" s="812">
        <v>3251.8720703125</v>
      </c>
      <c r="N46" s="812">
        <v>2053.36</v>
      </c>
      <c r="O46" s="812">
        <v>775.33</v>
      </c>
      <c r="P46" s="812">
        <v>254.56</v>
      </c>
      <c r="Q46" s="812">
        <v>203.5</v>
      </c>
      <c r="R46" s="812">
        <v>162.46</v>
      </c>
      <c r="S46" s="812">
        <v>297.36</v>
      </c>
      <c r="T46" s="812">
        <v>524.69000000000005</v>
      </c>
      <c r="U46" s="812">
        <v>606.70000000000005</v>
      </c>
      <c r="V46" s="812">
        <v>686.08</v>
      </c>
      <c r="W46" s="812">
        <v>612.92999999999995</v>
      </c>
      <c r="X46" s="812">
        <v>356.88</v>
      </c>
      <c r="Y46" s="812">
        <v>428.75</v>
      </c>
      <c r="Z46" s="812">
        <v>189.55</v>
      </c>
      <c r="AA46" s="812">
        <v>657.39</v>
      </c>
      <c r="AB46" s="812">
        <v>989.6</v>
      </c>
      <c r="AC46" s="812">
        <v>1503.15</v>
      </c>
      <c r="AD46" s="812">
        <v>1715.79</v>
      </c>
      <c r="AE46" s="812">
        <v>2335.89</v>
      </c>
      <c r="AF46" s="812">
        <v>1066.3399999999999</v>
      </c>
      <c r="AG46" s="812">
        <v>2221.6</v>
      </c>
      <c r="AH46" s="812">
        <v>2531.2199999999998</v>
      </c>
      <c r="AI46" s="812">
        <v>2215.92</v>
      </c>
      <c r="AJ46" s="812">
        <v>497.31</v>
      </c>
      <c r="AK46" s="812"/>
      <c r="AL46" s="812"/>
      <c r="AM46" s="812"/>
      <c r="AN46" s="812"/>
    </row>
    <row r="47" spans="2:40">
      <c r="B47" s="809" t="s">
        <v>810</v>
      </c>
      <c r="C47" s="809">
        <v>3684</v>
      </c>
      <c r="D47" s="809">
        <v>3509</v>
      </c>
      <c r="E47" s="809">
        <v>3978</v>
      </c>
      <c r="F47" s="809">
        <v>4521</v>
      </c>
      <c r="G47" s="809">
        <v>5153</v>
      </c>
      <c r="H47" s="809">
        <v>5334</v>
      </c>
      <c r="I47" s="809">
        <v>5400</v>
      </c>
      <c r="J47" s="809">
        <v>5707</v>
      </c>
      <c r="K47" s="809">
        <v>5328</v>
      </c>
      <c r="L47" s="810">
        <v>5279.16796875</v>
      </c>
      <c r="M47" s="810">
        <v>4430.080078125</v>
      </c>
      <c r="N47" s="810">
        <v>4233.47</v>
      </c>
      <c r="O47" s="810">
        <v>3289.68</v>
      </c>
      <c r="P47" s="810">
        <v>3320.78</v>
      </c>
      <c r="Q47" s="810">
        <v>3257.28</v>
      </c>
      <c r="R47" s="810">
        <v>4069.07</v>
      </c>
      <c r="S47" s="810">
        <v>4339.8900000000003</v>
      </c>
      <c r="T47" s="810">
        <v>4454.8599999999997</v>
      </c>
      <c r="U47" s="810">
        <v>4426.7700000000004</v>
      </c>
      <c r="V47" s="810">
        <v>4709.38</v>
      </c>
      <c r="W47" s="810">
        <v>4377.25</v>
      </c>
      <c r="X47" s="810">
        <v>4566.5</v>
      </c>
      <c r="Y47" s="810">
        <v>4289.95</v>
      </c>
      <c r="Z47" s="810">
        <v>3719.65</v>
      </c>
      <c r="AA47" s="810">
        <v>3180.8</v>
      </c>
      <c r="AB47" s="810">
        <v>2741.38</v>
      </c>
      <c r="AC47" s="810">
        <v>4227.78</v>
      </c>
      <c r="AD47" s="810">
        <v>4531.07</v>
      </c>
      <c r="AE47" s="810">
        <v>4828.13</v>
      </c>
      <c r="AF47" s="810">
        <v>4489.76</v>
      </c>
      <c r="AG47" s="810">
        <v>4812.3500000000004</v>
      </c>
      <c r="AH47" s="810">
        <v>4821.92</v>
      </c>
      <c r="AI47" s="810">
        <v>4402.2700000000004</v>
      </c>
      <c r="AJ47" s="810">
        <v>1136.93</v>
      </c>
      <c r="AK47" s="810"/>
      <c r="AL47" s="810"/>
      <c r="AM47" s="810"/>
      <c r="AN47" s="810"/>
    </row>
    <row r="48" spans="2:40">
      <c r="B48" s="825" t="s">
        <v>811</v>
      </c>
      <c r="C48" s="825">
        <v>14536</v>
      </c>
      <c r="D48" s="825">
        <v>13171</v>
      </c>
      <c r="E48" s="825">
        <v>14418</v>
      </c>
      <c r="F48" s="825">
        <v>14312</v>
      </c>
      <c r="G48" s="825">
        <v>15584</v>
      </c>
      <c r="H48" s="825">
        <v>17409</v>
      </c>
      <c r="I48" s="825">
        <v>18481</v>
      </c>
      <c r="J48" s="825">
        <v>16094</v>
      </c>
      <c r="K48" s="825">
        <v>14788</v>
      </c>
      <c r="L48" s="826">
        <v>14518.5283203125</v>
      </c>
      <c r="M48" s="826">
        <v>13236.8642578125</v>
      </c>
      <c r="N48" s="826">
        <v>14005.89</v>
      </c>
      <c r="O48" s="826">
        <v>14956.29</v>
      </c>
      <c r="P48" s="826">
        <v>15404.93</v>
      </c>
      <c r="Q48" s="826">
        <v>16426.37</v>
      </c>
      <c r="R48" s="826">
        <v>16214.02</v>
      </c>
      <c r="S48" s="826">
        <v>15262.34</v>
      </c>
      <c r="T48" s="826">
        <v>14541.31</v>
      </c>
      <c r="U48" s="826">
        <v>15721.47</v>
      </c>
      <c r="V48" s="826">
        <v>16763.009999999998</v>
      </c>
      <c r="W48" s="826">
        <v>14626.56</v>
      </c>
      <c r="X48" s="826">
        <v>14330.75</v>
      </c>
      <c r="Y48" s="826">
        <v>13536.13</v>
      </c>
      <c r="Z48" s="826">
        <v>15684.61</v>
      </c>
      <c r="AA48" s="826">
        <v>17016.96</v>
      </c>
      <c r="AB48" s="826">
        <v>15766.66</v>
      </c>
      <c r="AC48" s="826">
        <v>16360.19</v>
      </c>
      <c r="AD48" s="826">
        <v>15856.77</v>
      </c>
      <c r="AE48" s="826">
        <v>16742.02</v>
      </c>
      <c r="AF48" s="826">
        <v>16264.45</v>
      </c>
      <c r="AG48" s="826">
        <v>15050.5</v>
      </c>
      <c r="AH48" s="826">
        <v>18430.72</v>
      </c>
      <c r="AI48" s="826">
        <v>16752.64</v>
      </c>
      <c r="AJ48" s="826">
        <v>4628.74</v>
      </c>
      <c r="AK48" s="826"/>
      <c r="AL48" s="826"/>
      <c r="AM48" s="826"/>
      <c r="AN48" s="826"/>
    </row>
    <row r="49" spans="2:40" s="473" customFormat="1">
      <c r="B49" s="818" t="s">
        <v>812</v>
      </c>
      <c r="C49" s="818">
        <v>144766</v>
      </c>
      <c r="D49" s="818">
        <v>135177</v>
      </c>
      <c r="E49" s="818">
        <v>156041</v>
      </c>
      <c r="F49" s="818">
        <v>149607</v>
      </c>
      <c r="G49" s="818">
        <v>162692</v>
      </c>
      <c r="H49" s="818">
        <v>163106</v>
      </c>
      <c r="I49" s="818">
        <v>167652</v>
      </c>
      <c r="J49" s="818">
        <v>164350</v>
      </c>
      <c r="K49" s="818">
        <v>152730</v>
      </c>
      <c r="L49" s="819">
        <v>156156.921875</v>
      </c>
      <c r="M49" s="819">
        <v>148409.34375</v>
      </c>
      <c r="N49" s="819">
        <v>151717.89000000001</v>
      </c>
      <c r="O49" s="819">
        <v>157411.32999999999</v>
      </c>
      <c r="P49" s="819">
        <v>144988.16</v>
      </c>
      <c r="Q49" s="819">
        <v>167715.84</v>
      </c>
      <c r="R49" s="819">
        <v>157297.66</v>
      </c>
      <c r="S49" s="819">
        <v>166341.63</v>
      </c>
      <c r="T49" s="819">
        <v>168643.58</v>
      </c>
      <c r="U49" s="819">
        <v>174352.39</v>
      </c>
      <c r="V49" s="819">
        <v>173496.31</v>
      </c>
      <c r="W49" s="819">
        <v>163222.53</v>
      </c>
      <c r="X49" s="819">
        <v>161936.39000000001</v>
      </c>
      <c r="Y49" s="819">
        <v>165067.78</v>
      </c>
      <c r="Z49" s="819">
        <v>168750.07999999999</v>
      </c>
      <c r="AA49" s="819">
        <v>167402.5</v>
      </c>
      <c r="AB49" s="819">
        <v>156158.97</v>
      </c>
      <c r="AC49" s="819">
        <v>166820.85999999999</v>
      </c>
      <c r="AD49" s="819">
        <v>162790.41</v>
      </c>
      <c r="AE49" s="819">
        <v>174148.61</v>
      </c>
      <c r="AF49" s="819">
        <v>167731.20000000001</v>
      </c>
      <c r="AG49" s="819">
        <v>178936.83</v>
      </c>
      <c r="AH49" s="819">
        <v>178402.3</v>
      </c>
      <c r="AI49" s="819">
        <v>169021.44</v>
      </c>
      <c r="AJ49" s="819">
        <v>174530.56</v>
      </c>
      <c r="AK49" s="819"/>
      <c r="AL49" s="819"/>
      <c r="AM49" s="819"/>
      <c r="AN49" s="819"/>
    </row>
    <row r="50" spans="2:40">
      <c r="B50" s="811" t="s">
        <v>813</v>
      </c>
      <c r="C50" s="811">
        <v>17018</v>
      </c>
      <c r="D50" s="811">
        <v>18031</v>
      </c>
      <c r="E50" s="811">
        <v>21186</v>
      </c>
      <c r="F50" s="811">
        <v>20140</v>
      </c>
      <c r="G50" s="811">
        <v>25463</v>
      </c>
      <c r="H50" s="811">
        <v>29156</v>
      </c>
      <c r="I50" s="811">
        <v>31791</v>
      </c>
      <c r="J50" s="811">
        <v>29279</v>
      </c>
      <c r="K50" s="811">
        <v>24787</v>
      </c>
      <c r="L50" s="812">
        <v>20698.880859375</v>
      </c>
      <c r="M50" s="812">
        <v>16445.18359375</v>
      </c>
      <c r="N50" s="812">
        <v>15522.3</v>
      </c>
      <c r="O50" s="812">
        <v>14908.67</v>
      </c>
      <c r="P50" s="812">
        <v>14994.69</v>
      </c>
      <c r="Q50" s="812">
        <v>18892.8</v>
      </c>
      <c r="R50" s="812">
        <v>17336.060000000001</v>
      </c>
      <c r="S50" s="812">
        <v>20287.490000000002</v>
      </c>
      <c r="T50" s="812">
        <v>26217.73</v>
      </c>
      <c r="U50" s="812">
        <v>28550.14</v>
      </c>
      <c r="V50" s="812">
        <v>29927.17</v>
      </c>
      <c r="W50" s="812">
        <v>22114.3</v>
      </c>
      <c r="X50" s="812">
        <v>20811.009999999998</v>
      </c>
      <c r="Y50" s="812">
        <v>19259.39</v>
      </c>
      <c r="Z50" s="812">
        <v>15597.82</v>
      </c>
      <c r="AA50" s="812">
        <v>15017.73</v>
      </c>
      <c r="AB50" s="812">
        <v>14398.21</v>
      </c>
      <c r="AC50" s="812">
        <v>16729.86</v>
      </c>
      <c r="AD50" s="812">
        <v>18967.3</v>
      </c>
      <c r="AE50" s="812">
        <v>24427.01</v>
      </c>
      <c r="AF50" s="812">
        <v>22372.61</v>
      </c>
      <c r="AG50" s="812">
        <v>25731.33</v>
      </c>
      <c r="AH50" s="812">
        <v>26103.040000000001</v>
      </c>
      <c r="AI50" s="812">
        <v>22313.73</v>
      </c>
      <c r="AJ50" s="812">
        <v>6135.04</v>
      </c>
      <c r="AK50" s="812"/>
      <c r="AL50" s="812"/>
      <c r="AM50" s="812"/>
      <c r="AN50" s="812"/>
    </row>
    <row r="51" spans="2:40">
      <c r="B51" s="822" t="s">
        <v>814</v>
      </c>
      <c r="C51" s="822">
        <v>2951</v>
      </c>
      <c r="D51" s="822">
        <v>2790</v>
      </c>
      <c r="E51" s="822">
        <v>2846</v>
      </c>
      <c r="F51" s="822">
        <v>2635</v>
      </c>
      <c r="G51" s="822">
        <v>3236</v>
      </c>
      <c r="H51" s="822">
        <v>3253</v>
      </c>
      <c r="I51" s="822">
        <v>2782</v>
      </c>
      <c r="J51" s="822">
        <v>2630</v>
      </c>
      <c r="K51" s="822">
        <v>2329</v>
      </c>
      <c r="L51" s="823">
        <v>2665.672119140625</v>
      </c>
      <c r="M51" s="823">
        <v>3911.719970703125</v>
      </c>
      <c r="N51" s="823">
        <v>4562.12</v>
      </c>
      <c r="O51" s="823">
        <v>6418.16</v>
      </c>
      <c r="P51" s="823">
        <v>6951.7</v>
      </c>
      <c r="Q51" s="823">
        <v>7449.7</v>
      </c>
      <c r="R51" s="823">
        <v>6954.67</v>
      </c>
      <c r="S51" s="823">
        <v>7661.62</v>
      </c>
      <c r="T51" s="823">
        <v>6461.24</v>
      </c>
      <c r="U51" s="823">
        <v>6093.3</v>
      </c>
      <c r="V51" s="823">
        <v>4812.1000000000004</v>
      </c>
      <c r="W51" s="823">
        <v>6564.35</v>
      </c>
      <c r="X51" s="823">
        <v>5207.62</v>
      </c>
      <c r="Y51" s="823">
        <v>2942.4</v>
      </c>
      <c r="Z51" s="823">
        <v>4673.99</v>
      </c>
      <c r="AA51" s="823">
        <v>4571.8900000000003</v>
      </c>
      <c r="AB51" s="823">
        <v>6752.4</v>
      </c>
      <c r="AC51" s="823">
        <v>6608.69</v>
      </c>
      <c r="AD51" s="823">
        <v>5754.85</v>
      </c>
      <c r="AE51" s="823">
        <v>3716.88</v>
      </c>
      <c r="AF51" s="823">
        <v>3372.59</v>
      </c>
      <c r="AG51" s="823">
        <v>4863.87</v>
      </c>
      <c r="AH51" s="823">
        <v>4562.34</v>
      </c>
      <c r="AI51" s="823">
        <v>4219.1400000000003</v>
      </c>
      <c r="AJ51" s="823">
        <v>5088.43</v>
      </c>
      <c r="AK51" s="823"/>
      <c r="AL51" s="823"/>
      <c r="AM51" s="823"/>
      <c r="AN51" s="823"/>
    </row>
    <row r="52" spans="2:40">
      <c r="B52" s="825" t="s">
        <v>815</v>
      </c>
      <c r="C52" s="825">
        <v>8531</v>
      </c>
      <c r="D52" s="825">
        <v>7153</v>
      </c>
      <c r="E52" s="825">
        <v>10246</v>
      </c>
      <c r="F52" s="825">
        <v>9480</v>
      </c>
      <c r="G52" s="825">
        <v>10586</v>
      </c>
      <c r="H52" s="825">
        <v>9822</v>
      </c>
      <c r="I52" s="825">
        <v>8189</v>
      </c>
      <c r="J52" s="825">
        <v>9110</v>
      </c>
      <c r="K52" s="825">
        <v>8779</v>
      </c>
      <c r="L52" s="826">
        <v>8073.5361328125</v>
      </c>
      <c r="M52" s="826">
        <v>5309.2158203125</v>
      </c>
      <c r="N52" s="826">
        <v>4611.8100000000004</v>
      </c>
      <c r="O52" s="826">
        <v>5775.12</v>
      </c>
      <c r="P52" s="826">
        <v>3367.6</v>
      </c>
      <c r="Q52" s="826">
        <v>5102.18</v>
      </c>
      <c r="R52" s="826">
        <v>6061.3</v>
      </c>
      <c r="S52" s="826">
        <v>119.2</v>
      </c>
      <c r="T52" s="826">
        <v>130.99</v>
      </c>
      <c r="U52" s="826">
        <v>119.7</v>
      </c>
      <c r="V52" s="826">
        <v>118.42</v>
      </c>
      <c r="W52" s="826">
        <v>113.78</v>
      </c>
      <c r="X52" s="826">
        <v>1596.96</v>
      </c>
      <c r="Y52" s="826">
        <v>7568.59</v>
      </c>
      <c r="Z52" s="826">
        <v>6582.38</v>
      </c>
      <c r="AA52" s="826">
        <v>7250.8</v>
      </c>
      <c r="AB52" s="826">
        <v>548.41999999999996</v>
      </c>
      <c r="AC52" s="826">
        <v>116.21</v>
      </c>
      <c r="AD52" s="826">
        <v>121.09</v>
      </c>
      <c r="AE52" s="826">
        <v>508.62</v>
      </c>
      <c r="AF52" s="826">
        <v>2983.14</v>
      </c>
      <c r="AG52" s="826">
        <v>333.6</v>
      </c>
      <c r="AH52" s="826">
        <v>118.02</v>
      </c>
      <c r="AI52" s="826">
        <v>113.02</v>
      </c>
      <c r="AJ52" s="826">
        <v>116.37</v>
      </c>
      <c r="AK52" s="826"/>
      <c r="AL52" s="826"/>
      <c r="AM52" s="826"/>
      <c r="AN52" s="826"/>
    </row>
    <row r="53" spans="2:40">
      <c r="B53" s="822" t="s">
        <v>816</v>
      </c>
      <c r="C53" s="822">
        <v>7551</v>
      </c>
      <c r="D53" s="822">
        <v>7270</v>
      </c>
      <c r="E53" s="822">
        <v>8272</v>
      </c>
      <c r="F53" s="822">
        <v>7167</v>
      </c>
      <c r="G53" s="822">
        <v>5102</v>
      </c>
      <c r="H53" s="822">
        <v>3700</v>
      </c>
      <c r="I53" s="822">
        <v>3271</v>
      </c>
      <c r="J53" s="822">
        <v>3827</v>
      </c>
      <c r="K53" s="822">
        <v>2932</v>
      </c>
      <c r="L53" s="823">
        <v>4247.50390625</v>
      </c>
      <c r="M53" s="823">
        <v>6234.68017578125</v>
      </c>
      <c r="N53" s="823">
        <v>6808.4</v>
      </c>
      <c r="O53" s="823">
        <v>7727.74</v>
      </c>
      <c r="P53" s="823">
        <v>7974.69</v>
      </c>
      <c r="Q53" s="823">
        <v>8704.98</v>
      </c>
      <c r="R53" s="823">
        <v>6949.47</v>
      </c>
      <c r="S53" s="823">
        <v>7454.92</v>
      </c>
      <c r="T53" s="823">
        <v>4761.42</v>
      </c>
      <c r="U53" s="823">
        <v>3807.7</v>
      </c>
      <c r="V53" s="823">
        <v>3499.06</v>
      </c>
      <c r="W53" s="823">
        <v>4597.3900000000003</v>
      </c>
      <c r="X53" s="823">
        <v>4911.63</v>
      </c>
      <c r="Y53" s="823">
        <v>3848.94</v>
      </c>
      <c r="Z53" s="823">
        <v>4745.3599999999997</v>
      </c>
      <c r="AA53" s="823">
        <v>5669.44</v>
      </c>
      <c r="AB53" s="823">
        <v>6608.56</v>
      </c>
      <c r="AC53" s="823">
        <v>6717.17</v>
      </c>
      <c r="AD53" s="823">
        <v>6294.1</v>
      </c>
      <c r="AE53" s="823">
        <v>4794.78</v>
      </c>
      <c r="AF53" s="823">
        <v>3387.33</v>
      </c>
      <c r="AG53" s="823">
        <v>3739.41</v>
      </c>
      <c r="AH53" s="823">
        <v>4256.6899999999996</v>
      </c>
      <c r="AI53" s="823">
        <v>4322.0200000000004</v>
      </c>
      <c r="AJ53" s="823">
        <v>4822.6099999999997</v>
      </c>
      <c r="AK53" s="823"/>
      <c r="AL53" s="823"/>
      <c r="AM53" s="823"/>
      <c r="AN53" s="823"/>
    </row>
    <row r="54" spans="2:40">
      <c r="B54" s="825" t="s">
        <v>817</v>
      </c>
      <c r="C54" s="825">
        <v>2784</v>
      </c>
      <c r="D54" s="825">
        <v>2088</v>
      </c>
      <c r="E54" s="825">
        <v>2334</v>
      </c>
      <c r="F54" s="825">
        <v>2175</v>
      </c>
      <c r="G54" s="825">
        <v>2743</v>
      </c>
      <c r="H54" s="825">
        <v>2663</v>
      </c>
      <c r="I54" s="825">
        <v>2490</v>
      </c>
      <c r="J54" s="825">
        <v>2587</v>
      </c>
      <c r="K54" s="825">
        <v>2569</v>
      </c>
      <c r="L54" s="826">
        <v>3054.360107421875</v>
      </c>
      <c r="M54" s="826">
        <v>4469.47607421875</v>
      </c>
      <c r="N54" s="826">
        <v>6041.82</v>
      </c>
      <c r="O54" s="826">
        <v>6479.56</v>
      </c>
      <c r="P54" s="826">
        <v>3932.32</v>
      </c>
      <c r="Q54" s="826">
        <v>5837.06</v>
      </c>
      <c r="R54" s="826">
        <v>4227.05</v>
      </c>
      <c r="S54" s="826">
        <v>6214.39</v>
      </c>
      <c r="T54" s="826">
        <v>8108.14</v>
      </c>
      <c r="U54" s="826">
        <v>7950.3</v>
      </c>
      <c r="V54" s="826">
        <v>8083.05</v>
      </c>
      <c r="W54" s="826">
        <v>9611.49</v>
      </c>
      <c r="X54" s="826">
        <v>10335.540000000001</v>
      </c>
      <c r="Y54" s="826">
        <v>9966.52</v>
      </c>
      <c r="Z54" s="826">
        <v>11743.81</v>
      </c>
      <c r="AA54" s="826">
        <v>12397.76</v>
      </c>
      <c r="AB54" s="826">
        <v>11672.94</v>
      </c>
      <c r="AC54" s="826">
        <v>11401.23</v>
      </c>
      <c r="AD54" s="826">
        <v>10703.58</v>
      </c>
      <c r="AE54" s="826">
        <v>8449.2199999999993</v>
      </c>
      <c r="AF54" s="826">
        <v>7543.84</v>
      </c>
      <c r="AG54" s="826">
        <v>8291.6</v>
      </c>
      <c r="AH54" s="826">
        <v>7346.34</v>
      </c>
      <c r="AI54" s="826">
        <v>7343.47</v>
      </c>
      <c r="AJ54" s="826">
        <v>8547.23</v>
      </c>
      <c r="AK54" s="826"/>
      <c r="AL54" s="826"/>
      <c r="AM54" s="826"/>
      <c r="AN54" s="826"/>
    </row>
    <row r="55" spans="2:40">
      <c r="B55" s="822" t="s">
        <v>818</v>
      </c>
      <c r="C55" s="822">
        <v>1434</v>
      </c>
      <c r="D55" s="822">
        <v>1304</v>
      </c>
      <c r="E55" s="822">
        <v>1494</v>
      </c>
      <c r="F55" s="822">
        <v>1525</v>
      </c>
      <c r="G55" s="822">
        <v>1819</v>
      </c>
      <c r="H55" s="822">
        <v>1862</v>
      </c>
      <c r="I55" s="822">
        <v>1555</v>
      </c>
      <c r="J55" s="822">
        <v>1525</v>
      </c>
      <c r="K55" s="822">
        <v>1403</v>
      </c>
      <c r="L55" s="823">
        <v>1622.468017578125</v>
      </c>
      <c r="M55" s="823">
        <v>1845.18798828125</v>
      </c>
      <c r="N55" s="823">
        <v>1949.63</v>
      </c>
      <c r="O55" s="823">
        <v>3070.04</v>
      </c>
      <c r="P55" s="823">
        <v>4102.2</v>
      </c>
      <c r="Q55" s="823">
        <v>2179.85</v>
      </c>
      <c r="R55" s="823">
        <v>889.7</v>
      </c>
      <c r="S55" s="823">
        <v>2451.2399999999998</v>
      </c>
      <c r="T55" s="823">
        <v>1371.13</v>
      </c>
      <c r="U55" s="823">
        <v>1409.08</v>
      </c>
      <c r="V55" s="823">
        <v>1459.14</v>
      </c>
      <c r="W55" s="823">
        <v>1770.94</v>
      </c>
      <c r="X55" s="823">
        <v>1864.08</v>
      </c>
      <c r="Y55" s="823">
        <v>1685.19</v>
      </c>
      <c r="Z55" s="823">
        <v>2805.88</v>
      </c>
      <c r="AA55" s="823">
        <v>2591.14</v>
      </c>
      <c r="AB55" s="823">
        <v>4204.18</v>
      </c>
      <c r="AC55" s="823">
        <v>3804.17</v>
      </c>
      <c r="AD55" s="823">
        <v>2974.62</v>
      </c>
      <c r="AE55" s="823">
        <v>3465.93</v>
      </c>
      <c r="AF55" s="823">
        <v>3343.91</v>
      </c>
      <c r="AG55" s="823">
        <v>4091.92</v>
      </c>
      <c r="AH55" s="823">
        <v>3983.54</v>
      </c>
      <c r="AI55" s="823">
        <v>4469.95</v>
      </c>
      <c r="AJ55" s="823">
        <v>4893.58</v>
      </c>
      <c r="AK55" s="823"/>
      <c r="AL55" s="823"/>
      <c r="AM55" s="823"/>
      <c r="AN55" s="823"/>
    </row>
    <row r="56" spans="2:40">
      <c r="B56" s="825" t="s">
        <v>819</v>
      </c>
      <c r="C56" s="825">
        <v>6870</v>
      </c>
      <c r="D56" s="825">
        <v>7820</v>
      </c>
      <c r="E56" s="825">
        <v>9295</v>
      </c>
      <c r="F56" s="825">
        <v>11303</v>
      </c>
      <c r="G56" s="825">
        <v>20466</v>
      </c>
      <c r="H56" s="825">
        <v>24005</v>
      </c>
      <c r="I56" s="825">
        <v>26470</v>
      </c>
      <c r="J56" s="825">
        <v>27920</v>
      </c>
      <c r="K56" s="825">
        <v>24384</v>
      </c>
      <c r="L56" s="826">
        <v>19158.271484375</v>
      </c>
      <c r="M56" s="826">
        <v>9323.583984375</v>
      </c>
      <c r="N56" s="826">
        <v>9694.4599999999991</v>
      </c>
      <c r="O56" s="826">
        <v>7358.85</v>
      </c>
      <c r="P56" s="826">
        <v>6912.9</v>
      </c>
      <c r="Q56" s="826">
        <v>10572.22</v>
      </c>
      <c r="R56" s="826">
        <v>11960</v>
      </c>
      <c r="S56" s="826">
        <v>17779.900000000001</v>
      </c>
      <c r="T56" s="826">
        <v>25637.06</v>
      </c>
      <c r="U56" s="826">
        <v>30180.16</v>
      </c>
      <c r="V56" s="826">
        <v>32131.33</v>
      </c>
      <c r="W56" s="826">
        <v>20672.509999999998</v>
      </c>
      <c r="X56" s="826">
        <v>17035.07</v>
      </c>
      <c r="Y56" s="826">
        <v>15071.55</v>
      </c>
      <c r="Z56" s="826">
        <v>10589.12</v>
      </c>
      <c r="AA56" s="826">
        <v>9619.14</v>
      </c>
      <c r="AB56" s="826">
        <v>9625.34</v>
      </c>
      <c r="AC56" s="826">
        <v>15590.02</v>
      </c>
      <c r="AD56" s="826">
        <v>18782.849999999999</v>
      </c>
      <c r="AE56" s="826">
        <v>31821.57</v>
      </c>
      <c r="AF56" s="826">
        <v>27753.599999999999</v>
      </c>
      <c r="AG56" s="826">
        <v>32741.38</v>
      </c>
      <c r="AH56" s="826">
        <v>32333.759999999998</v>
      </c>
      <c r="AI56" s="826">
        <v>25001.73</v>
      </c>
      <c r="AJ56" s="826">
        <v>18721.09</v>
      </c>
      <c r="AK56" s="826"/>
      <c r="AL56" s="826"/>
      <c r="AM56" s="826"/>
      <c r="AN56" s="826"/>
    </row>
    <row r="57" spans="2:40" s="473" customFormat="1">
      <c r="B57" s="818" t="s">
        <v>820</v>
      </c>
      <c r="C57" s="818">
        <v>99281</v>
      </c>
      <c r="D57" s="818">
        <v>87614</v>
      </c>
      <c r="E57" s="818">
        <v>101867</v>
      </c>
      <c r="F57" s="818">
        <v>90905</v>
      </c>
      <c r="G57" s="818">
        <v>95245</v>
      </c>
      <c r="H57" s="818">
        <v>94547</v>
      </c>
      <c r="I57" s="818">
        <v>81149</v>
      </c>
      <c r="J57" s="818">
        <v>90479</v>
      </c>
      <c r="K57" s="818">
        <v>92471</v>
      </c>
      <c r="L57" s="819">
        <v>100374.2734375</v>
      </c>
      <c r="M57" s="819">
        <v>135999.75</v>
      </c>
      <c r="N57" s="819">
        <v>104441.60000000001</v>
      </c>
      <c r="O57" s="819">
        <v>110138.11</v>
      </c>
      <c r="P57" s="819">
        <v>108091.39</v>
      </c>
      <c r="Q57" s="819">
        <v>105197.57</v>
      </c>
      <c r="R57" s="819">
        <v>99039.74</v>
      </c>
      <c r="S57" s="819">
        <v>100496.9</v>
      </c>
      <c r="T57" s="819">
        <v>98004.99</v>
      </c>
      <c r="U57" s="819">
        <v>98439.679999999993</v>
      </c>
      <c r="V57" s="819">
        <v>104721.66</v>
      </c>
      <c r="W57" s="819">
        <v>94280.45</v>
      </c>
      <c r="X57" s="819">
        <v>119765.51</v>
      </c>
      <c r="Y57" s="819">
        <v>113734.66</v>
      </c>
      <c r="Z57" s="819">
        <v>117110.53</v>
      </c>
      <c r="AA57" s="819">
        <v>148580.35999999999</v>
      </c>
      <c r="AB57" s="819">
        <v>102839.3</v>
      </c>
      <c r="AC57" s="819">
        <v>106365.19</v>
      </c>
      <c r="AD57" s="819">
        <v>103396.87</v>
      </c>
      <c r="AE57" s="819">
        <v>106544.64</v>
      </c>
      <c r="AF57" s="819">
        <v>106797.57</v>
      </c>
      <c r="AG57" s="819">
        <v>107563.01</v>
      </c>
      <c r="AH57" s="819">
        <v>105120.77</v>
      </c>
      <c r="AI57" s="819">
        <v>90998.27</v>
      </c>
      <c r="AJ57" s="819">
        <v>109484.03</v>
      </c>
      <c r="AK57" s="819"/>
      <c r="AL57" s="819"/>
      <c r="AM57" s="819"/>
      <c r="AN57" s="819"/>
    </row>
    <row r="58" spans="2:40">
      <c r="B58" s="811" t="s">
        <v>821</v>
      </c>
      <c r="C58" s="811">
        <v>0</v>
      </c>
      <c r="D58" s="811">
        <v>0</v>
      </c>
      <c r="E58" s="811">
        <v>0</v>
      </c>
      <c r="F58" s="811">
        <v>0</v>
      </c>
      <c r="G58" s="811">
        <v>0</v>
      </c>
      <c r="H58" s="811">
        <v>0</v>
      </c>
      <c r="I58" s="811">
        <v>0</v>
      </c>
      <c r="J58" s="811">
        <v>0</v>
      </c>
      <c r="K58" s="811">
        <v>0</v>
      </c>
      <c r="L58" s="812">
        <v>0</v>
      </c>
      <c r="M58" s="812">
        <v>0</v>
      </c>
      <c r="N58" s="812">
        <v>0</v>
      </c>
      <c r="O58" s="812">
        <v>0</v>
      </c>
      <c r="P58" s="812">
        <v>0</v>
      </c>
      <c r="Q58" s="812">
        <v>0</v>
      </c>
      <c r="R58" s="812">
        <v>0</v>
      </c>
      <c r="S58" s="812">
        <v>0</v>
      </c>
      <c r="T58" s="812">
        <v>0</v>
      </c>
      <c r="U58" s="812">
        <v>0</v>
      </c>
      <c r="V58" s="812">
        <v>0</v>
      </c>
      <c r="W58" s="812">
        <v>0</v>
      </c>
      <c r="X58" s="812">
        <v>0</v>
      </c>
      <c r="Y58" s="812">
        <v>0</v>
      </c>
      <c r="Z58" s="812">
        <v>0</v>
      </c>
      <c r="AA58" s="812">
        <v>0</v>
      </c>
      <c r="AB58" s="812">
        <v>0</v>
      </c>
      <c r="AC58" s="812">
        <v>0</v>
      </c>
      <c r="AD58" s="812">
        <v>0</v>
      </c>
      <c r="AE58" s="812">
        <v>0</v>
      </c>
      <c r="AF58" s="812">
        <v>0</v>
      </c>
      <c r="AG58" s="812">
        <v>0</v>
      </c>
      <c r="AH58" s="812">
        <v>0</v>
      </c>
      <c r="AI58" s="812">
        <v>0</v>
      </c>
      <c r="AJ58" s="812">
        <v>0</v>
      </c>
      <c r="AK58" s="812"/>
      <c r="AL58" s="812"/>
      <c r="AM58" s="812"/>
      <c r="AN58" s="812"/>
    </row>
    <row r="59" spans="2:40">
      <c r="B59" s="809" t="s">
        <v>822</v>
      </c>
      <c r="C59" s="809">
        <v>0</v>
      </c>
      <c r="D59" s="809">
        <v>0</v>
      </c>
      <c r="E59" s="809">
        <v>0</v>
      </c>
      <c r="F59" s="809">
        <v>0</v>
      </c>
      <c r="G59" s="809">
        <v>119</v>
      </c>
      <c r="H59" s="809">
        <v>0</v>
      </c>
      <c r="I59" s="809">
        <v>0</v>
      </c>
      <c r="J59" s="809">
        <v>0</v>
      </c>
      <c r="K59" s="809">
        <v>0</v>
      </c>
      <c r="L59" s="810">
        <v>0</v>
      </c>
      <c r="M59" s="810">
        <v>0</v>
      </c>
      <c r="N59" s="810">
        <v>0</v>
      </c>
      <c r="O59" s="810">
        <v>0</v>
      </c>
      <c r="P59" s="810">
        <v>0</v>
      </c>
      <c r="Q59" s="810">
        <v>0</v>
      </c>
      <c r="R59" s="810">
        <v>0</v>
      </c>
      <c r="S59" s="810">
        <v>290.47000000000003</v>
      </c>
      <c r="T59" s="810">
        <v>0</v>
      </c>
      <c r="U59" s="810">
        <v>1307.82</v>
      </c>
      <c r="V59" s="810">
        <v>1487.83</v>
      </c>
      <c r="W59" s="810">
        <v>150.77000000000001</v>
      </c>
      <c r="X59" s="810">
        <v>200.39</v>
      </c>
      <c r="Y59" s="810">
        <v>146.47999999999999</v>
      </c>
      <c r="Z59" s="810">
        <v>194.63</v>
      </c>
      <c r="AA59" s="810">
        <v>135.59</v>
      </c>
      <c r="AB59" s="810">
        <v>126.8</v>
      </c>
      <c r="AC59" s="810">
        <v>177.39</v>
      </c>
      <c r="AD59" s="810">
        <v>736.8</v>
      </c>
      <c r="AE59" s="810">
        <v>0</v>
      </c>
      <c r="AF59" s="810">
        <v>214.41</v>
      </c>
      <c r="AG59" s="810">
        <v>2826.28</v>
      </c>
      <c r="AH59" s="810">
        <v>6303.22</v>
      </c>
      <c r="AI59" s="810">
        <v>190.05</v>
      </c>
      <c r="AJ59" s="810">
        <v>148.71</v>
      </c>
      <c r="AK59" s="810"/>
      <c r="AL59" s="810"/>
      <c r="AM59" s="810"/>
      <c r="AN59" s="810"/>
    </row>
    <row r="60" spans="2:40">
      <c r="B60" s="811" t="s">
        <v>823</v>
      </c>
      <c r="C60" s="811">
        <v>2382</v>
      </c>
      <c r="D60" s="811">
        <v>2186</v>
      </c>
      <c r="E60" s="811">
        <v>2570</v>
      </c>
      <c r="F60" s="811">
        <v>2446</v>
      </c>
      <c r="G60" s="811">
        <v>2733</v>
      </c>
      <c r="H60" s="811">
        <v>2825</v>
      </c>
      <c r="I60" s="811">
        <v>2939</v>
      </c>
      <c r="J60" s="811">
        <v>2805</v>
      </c>
      <c r="K60" s="811">
        <v>2719</v>
      </c>
      <c r="L60" s="812">
        <v>2878.303955078125</v>
      </c>
      <c r="M60" s="812">
        <v>2897.73193359375</v>
      </c>
      <c r="N60" s="812">
        <v>2850.76</v>
      </c>
      <c r="O60" s="812">
        <v>2870.56</v>
      </c>
      <c r="P60" s="812">
        <v>2791.17</v>
      </c>
      <c r="Q60" s="812">
        <v>3040.27</v>
      </c>
      <c r="R60" s="812">
        <v>2952.58</v>
      </c>
      <c r="S60" s="812">
        <v>3127.65</v>
      </c>
      <c r="T60" s="812">
        <v>3055.15</v>
      </c>
      <c r="U60" s="812">
        <v>3119.52</v>
      </c>
      <c r="V60" s="812">
        <v>3116.67</v>
      </c>
      <c r="W60" s="812">
        <v>3146.63</v>
      </c>
      <c r="X60" s="812">
        <v>3257.1</v>
      </c>
      <c r="Y60" s="812">
        <v>2979.73</v>
      </c>
      <c r="Z60" s="812">
        <v>3131.16</v>
      </c>
      <c r="AA60" s="812">
        <v>3334.51</v>
      </c>
      <c r="AB60" s="812">
        <v>3308.89</v>
      </c>
      <c r="AC60" s="812">
        <v>3719.5</v>
      </c>
      <c r="AD60" s="812">
        <v>3817.94</v>
      </c>
      <c r="AE60" s="812">
        <v>3992.03</v>
      </c>
      <c r="AF60" s="812">
        <v>3780.94</v>
      </c>
      <c r="AG60" s="812">
        <v>4135.7700000000004</v>
      </c>
      <c r="AH60" s="812">
        <v>4318.8599999999997</v>
      </c>
      <c r="AI60" s="812">
        <v>4271.93</v>
      </c>
      <c r="AJ60" s="812">
        <v>4385.38</v>
      </c>
      <c r="AK60" s="812"/>
      <c r="AL60" s="812"/>
      <c r="AM60" s="812"/>
      <c r="AN60" s="812"/>
    </row>
    <row r="61" spans="2:40">
      <c r="B61" s="809" t="s">
        <v>824</v>
      </c>
      <c r="C61" s="809">
        <v>2679</v>
      </c>
      <c r="D61" s="809">
        <v>2207</v>
      </c>
      <c r="E61" s="809">
        <v>2891</v>
      </c>
      <c r="F61" s="809">
        <v>3028</v>
      </c>
      <c r="G61" s="809">
        <v>3365</v>
      </c>
      <c r="H61" s="809">
        <v>3416</v>
      </c>
      <c r="I61" s="809">
        <v>3235</v>
      </c>
      <c r="J61" s="809">
        <v>2627</v>
      </c>
      <c r="K61" s="809">
        <v>2772</v>
      </c>
      <c r="L61" s="810">
        <v>2780.6279296875</v>
      </c>
      <c r="M61" s="810">
        <v>2682.887939453125</v>
      </c>
      <c r="N61" s="810">
        <v>2828.27</v>
      </c>
      <c r="O61" s="810">
        <v>2853.44</v>
      </c>
      <c r="P61" s="810">
        <v>2608.2800000000002</v>
      </c>
      <c r="Q61" s="810">
        <v>2929.24</v>
      </c>
      <c r="R61" s="810">
        <v>2628.43</v>
      </c>
      <c r="S61" s="810">
        <v>3034.38</v>
      </c>
      <c r="T61" s="810">
        <v>2802.34</v>
      </c>
      <c r="U61" s="810">
        <v>3028.01</v>
      </c>
      <c r="V61" s="810">
        <v>3055.62</v>
      </c>
      <c r="W61" s="810">
        <v>2970.26</v>
      </c>
      <c r="X61" s="810">
        <v>3124.13</v>
      </c>
      <c r="Y61" s="810">
        <v>3043.58</v>
      </c>
      <c r="Z61" s="810">
        <v>2854.83</v>
      </c>
      <c r="AA61" s="810">
        <v>2777.46</v>
      </c>
      <c r="AB61" s="810">
        <v>2782.97</v>
      </c>
      <c r="AC61" s="810">
        <v>2921.67</v>
      </c>
      <c r="AD61" s="810">
        <v>2902.91</v>
      </c>
      <c r="AE61" s="810">
        <v>3103.9</v>
      </c>
      <c r="AF61" s="810">
        <v>2979.3</v>
      </c>
      <c r="AG61" s="810">
        <v>3124.33</v>
      </c>
      <c r="AH61" s="810">
        <v>3050.87</v>
      </c>
      <c r="AI61" s="810">
        <v>2902.83</v>
      </c>
      <c r="AJ61" s="810">
        <v>3077.03</v>
      </c>
      <c r="AK61" s="810"/>
      <c r="AL61" s="810"/>
      <c r="AM61" s="810"/>
      <c r="AN61" s="810"/>
    </row>
    <row r="62" spans="2:40">
      <c r="B62" s="811" t="s">
        <v>825</v>
      </c>
      <c r="C62" s="811">
        <v>3110</v>
      </c>
      <c r="D62" s="811">
        <v>3102</v>
      </c>
      <c r="E62" s="811">
        <v>3371</v>
      </c>
      <c r="F62" s="811">
        <v>3103</v>
      </c>
      <c r="G62" s="811">
        <v>3372</v>
      </c>
      <c r="H62" s="811">
        <v>3117</v>
      </c>
      <c r="I62" s="811">
        <v>3352</v>
      </c>
      <c r="J62" s="811">
        <v>3526</v>
      </c>
      <c r="K62" s="811">
        <v>3386</v>
      </c>
      <c r="L62" s="812">
        <v>3433.971923828125</v>
      </c>
      <c r="M62" s="812">
        <v>3418.280029296875</v>
      </c>
      <c r="N62" s="812">
        <v>3448.88</v>
      </c>
      <c r="O62" s="812">
        <v>3642.64</v>
      </c>
      <c r="P62" s="812">
        <v>3261.96</v>
      </c>
      <c r="Q62" s="812">
        <v>3684.19</v>
      </c>
      <c r="R62" s="812">
        <v>3371.74</v>
      </c>
      <c r="S62" s="812">
        <v>3637.85</v>
      </c>
      <c r="T62" s="812">
        <v>3449.79</v>
      </c>
      <c r="U62" s="812">
        <v>3614.26</v>
      </c>
      <c r="V62" s="812">
        <v>3729.27</v>
      </c>
      <c r="W62" s="812">
        <v>3419.94</v>
      </c>
      <c r="X62" s="812">
        <v>3518.98</v>
      </c>
      <c r="Y62" s="812">
        <v>3332.86</v>
      </c>
      <c r="Z62" s="812">
        <v>3367.3</v>
      </c>
      <c r="AA62" s="812">
        <v>3463.87</v>
      </c>
      <c r="AB62" s="812">
        <v>3220.6</v>
      </c>
      <c r="AC62" s="812">
        <v>3315.45</v>
      </c>
      <c r="AD62" s="812">
        <v>3282.02</v>
      </c>
      <c r="AE62" s="812">
        <v>3487.42</v>
      </c>
      <c r="AF62" s="812">
        <v>3093.41</v>
      </c>
      <c r="AG62" s="812">
        <v>3189.99</v>
      </c>
      <c r="AH62" s="812">
        <v>3131.95</v>
      </c>
      <c r="AI62" s="812">
        <v>3040.99</v>
      </c>
      <c r="AJ62" s="812">
        <v>3090.26</v>
      </c>
      <c r="AK62" s="812"/>
      <c r="AL62" s="812"/>
      <c r="AM62" s="812"/>
      <c r="AN62" s="812"/>
    </row>
    <row r="63" spans="2:40">
      <c r="B63" s="809" t="s">
        <v>826</v>
      </c>
      <c r="C63" s="809">
        <v>1321</v>
      </c>
      <c r="D63" s="809">
        <v>1380</v>
      </c>
      <c r="E63" s="809">
        <v>1685</v>
      </c>
      <c r="F63" s="809">
        <v>1527</v>
      </c>
      <c r="G63" s="809">
        <v>1776</v>
      </c>
      <c r="H63" s="809">
        <v>1747</v>
      </c>
      <c r="I63" s="809">
        <v>2007</v>
      </c>
      <c r="J63" s="809">
        <v>2010</v>
      </c>
      <c r="K63" s="809">
        <v>1795</v>
      </c>
      <c r="L63" s="810">
        <v>1768.8580322265625</v>
      </c>
      <c r="M63" s="810">
        <v>1733.1719970703125</v>
      </c>
      <c r="N63" s="810">
        <v>1503.24</v>
      </c>
      <c r="O63" s="810">
        <v>1733.67</v>
      </c>
      <c r="P63" s="810">
        <v>1590.15</v>
      </c>
      <c r="Q63" s="810">
        <v>1790.15</v>
      </c>
      <c r="R63" s="810">
        <v>1452.9</v>
      </c>
      <c r="S63" s="810">
        <v>1825.71</v>
      </c>
      <c r="T63" s="810">
        <v>1941.49</v>
      </c>
      <c r="U63" s="810">
        <v>1798.79</v>
      </c>
      <c r="V63" s="810">
        <v>1767</v>
      </c>
      <c r="W63" s="810">
        <v>1735.02</v>
      </c>
      <c r="X63" s="810">
        <v>1571.2</v>
      </c>
      <c r="Y63" s="810">
        <v>1690.86</v>
      </c>
      <c r="Z63" s="810">
        <v>1647.1</v>
      </c>
      <c r="AA63" s="810">
        <v>1648.93</v>
      </c>
      <c r="AB63" s="810">
        <v>1529.14</v>
      </c>
      <c r="AC63" s="810">
        <v>1413.56</v>
      </c>
      <c r="AD63" s="810">
        <v>1533.39</v>
      </c>
      <c r="AE63" s="810">
        <v>1462.62</v>
      </c>
      <c r="AF63" s="810">
        <v>1169.26</v>
      </c>
      <c r="AG63" s="810">
        <v>1270.33</v>
      </c>
      <c r="AH63" s="810">
        <v>1344.01</v>
      </c>
      <c r="AI63" s="810">
        <v>1475.92</v>
      </c>
      <c r="AJ63" s="810">
        <v>1432.34</v>
      </c>
      <c r="AK63" s="810"/>
      <c r="AL63" s="810"/>
      <c r="AM63" s="810"/>
      <c r="AN63" s="810"/>
    </row>
    <row r="64" spans="2:40">
      <c r="B64" s="811" t="s">
        <v>827</v>
      </c>
      <c r="C64" s="811">
        <v>1459</v>
      </c>
      <c r="D64" s="811">
        <v>223</v>
      </c>
      <c r="E64" s="811">
        <v>275</v>
      </c>
      <c r="F64" s="811">
        <v>1528</v>
      </c>
      <c r="G64" s="811">
        <v>1896</v>
      </c>
      <c r="H64" s="811">
        <v>1873</v>
      </c>
      <c r="I64" s="811">
        <v>1921</v>
      </c>
      <c r="J64" s="811">
        <v>1962</v>
      </c>
      <c r="K64" s="811">
        <v>1865</v>
      </c>
      <c r="L64" s="812">
        <v>1886.58203125</v>
      </c>
      <c r="M64" s="812">
        <v>2053.387939453125</v>
      </c>
      <c r="N64" s="812">
        <v>1937.53</v>
      </c>
      <c r="O64" s="812">
        <v>2196.7399999999998</v>
      </c>
      <c r="P64" s="812">
        <v>1792.51</v>
      </c>
      <c r="Q64" s="812">
        <v>2007.89</v>
      </c>
      <c r="R64" s="812">
        <v>1851.13</v>
      </c>
      <c r="S64" s="812">
        <v>2130.84</v>
      </c>
      <c r="T64" s="812">
        <v>1925.97</v>
      </c>
      <c r="U64" s="812">
        <v>1908.28</v>
      </c>
      <c r="V64" s="812">
        <v>1897.31</v>
      </c>
      <c r="W64" s="812">
        <v>1838.69</v>
      </c>
      <c r="X64" s="812">
        <v>1906.94</v>
      </c>
      <c r="Y64" s="812">
        <v>1847.8</v>
      </c>
      <c r="Z64" s="812">
        <v>1902.18</v>
      </c>
      <c r="AA64" s="812">
        <v>2011.34</v>
      </c>
      <c r="AB64" s="812">
        <v>1823.38</v>
      </c>
      <c r="AC64" s="812">
        <v>1926.55</v>
      </c>
      <c r="AD64" s="812">
        <v>1968.02</v>
      </c>
      <c r="AE64" s="812">
        <v>1970.42</v>
      </c>
      <c r="AF64" s="812">
        <v>2072.29</v>
      </c>
      <c r="AG64" s="812">
        <v>2024.49</v>
      </c>
      <c r="AH64" s="812">
        <v>2016.95</v>
      </c>
      <c r="AI64" s="812">
        <v>1883.32</v>
      </c>
      <c r="AJ64" s="812">
        <v>2060.13</v>
      </c>
      <c r="AK64" s="812"/>
      <c r="AL64" s="812"/>
      <c r="AM64" s="812"/>
      <c r="AN64" s="812"/>
    </row>
    <row r="65" spans="2:43">
      <c r="B65" s="811" t="s">
        <v>828</v>
      </c>
      <c r="C65" s="811">
        <v>0</v>
      </c>
      <c r="D65" s="811">
        <v>0</v>
      </c>
      <c r="E65" s="811">
        <v>0</v>
      </c>
      <c r="F65" s="811">
        <v>0</v>
      </c>
      <c r="G65" s="811">
        <v>0</v>
      </c>
      <c r="H65" s="811">
        <v>0</v>
      </c>
      <c r="I65" s="811">
        <v>0</v>
      </c>
      <c r="J65" s="811">
        <v>0</v>
      </c>
      <c r="K65" s="811">
        <v>0</v>
      </c>
      <c r="L65" s="812">
        <v>0</v>
      </c>
      <c r="M65" s="812">
        <v>0</v>
      </c>
      <c r="N65" s="812">
        <v>0</v>
      </c>
      <c r="O65" s="812">
        <v>0</v>
      </c>
      <c r="P65" s="812">
        <v>0</v>
      </c>
      <c r="Q65" s="812">
        <v>0</v>
      </c>
      <c r="R65" s="812">
        <v>0</v>
      </c>
      <c r="S65" s="812">
        <v>0</v>
      </c>
      <c r="T65" s="812">
        <v>0</v>
      </c>
      <c r="U65" s="812">
        <v>0</v>
      </c>
      <c r="V65" s="812">
        <v>0</v>
      </c>
      <c r="W65" s="812">
        <v>0</v>
      </c>
      <c r="X65" s="812">
        <v>0</v>
      </c>
      <c r="Y65" s="812">
        <v>0</v>
      </c>
      <c r="Z65" s="812">
        <v>0</v>
      </c>
      <c r="AA65" s="812">
        <v>0</v>
      </c>
      <c r="AB65" s="812">
        <v>0</v>
      </c>
      <c r="AC65" s="812">
        <v>0</v>
      </c>
      <c r="AD65" s="812">
        <v>0</v>
      </c>
      <c r="AE65" s="812">
        <v>0</v>
      </c>
      <c r="AF65" s="812">
        <v>0</v>
      </c>
      <c r="AG65" s="812">
        <v>0</v>
      </c>
      <c r="AH65" s="812">
        <v>0</v>
      </c>
      <c r="AI65" s="812">
        <v>0</v>
      </c>
      <c r="AJ65" s="812">
        <v>0</v>
      </c>
      <c r="AK65" s="812"/>
      <c r="AL65" s="812"/>
      <c r="AM65" s="812"/>
      <c r="AN65" s="812"/>
    </row>
    <row r="66" spans="2:43">
      <c r="B66" s="809" t="s">
        <v>829</v>
      </c>
      <c r="C66" s="809">
        <v>1902</v>
      </c>
      <c r="D66" s="809">
        <v>1731</v>
      </c>
      <c r="E66" s="809">
        <v>1390</v>
      </c>
      <c r="F66" s="809">
        <v>1419</v>
      </c>
      <c r="G66" s="809">
        <v>1270</v>
      </c>
      <c r="H66" s="809">
        <v>1235</v>
      </c>
      <c r="I66" s="809">
        <v>1279</v>
      </c>
      <c r="J66" s="809">
        <v>1217</v>
      </c>
      <c r="K66" s="809">
        <v>1223</v>
      </c>
      <c r="L66" s="810">
        <v>2068.66796875</v>
      </c>
      <c r="M66" s="810">
        <v>2678.7119140625</v>
      </c>
      <c r="N66" s="810">
        <v>2617.8200000000002</v>
      </c>
      <c r="O66" s="810">
        <v>4426.7</v>
      </c>
      <c r="P66" s="810">
        <v>5118.37</v>
      </c>
      <c r="Q66" s="810">
        <v>6189.8</v>
      </c>
      <c r="R66" s="810">
        <v>4135.82</v>
      </c>
      <c r="S66" s="810">
        <v>3982.49</v>
      </c>
      <c r="T66" s="810">
        <v>3758.27</v>
      </c>
      <c r="U66" s="810">
        <v>3902.16</v>
      </c>
      <c r="V66" s="810">
        <v>3854.4</v>
      </c>
      <c r="W66" s="810">
        <v>4065.48</v>
      </c>
      <c r="X66" s="810">
        <v>5519.32</v>
      </c>
      <c r="Y66" s="810">
        <v>5225.7299999999996</v>
      </c>
      <c r="Z66" s="810">
        <v>5296.03</v>
      </c>
      <c r="AA66" s="810">
        <v>5063.62</v>
      </c>
      <c r="AB66" s="810">
        <v>4812.1099999999997</v>
      </c>
      <c r="AC66" s="810">
        <v>4778.38</v>
      </c>
      <c r="AD66" s="810">
        <v>3578.2</v>
      </c>
      <c r="AE66" s="810">
        <v>3825.61</v>
      </c>
      <c r="AF66" s="810">
        <v>2808.26</v>
      </c>
      <c r="AG66" s="810">
        <v>3870.44</v>
      </c>
      <c r="AH66" s="810">
        <v>3425.46</v>
      </c>
      <c r="AI66" s="810">
        <v>3763.66</v>
      </c>
      <c r="AJ66" s="810">
        <v>5539.46</v>
      </c>
      <c r="AK66" s="810"/>
      <c r="AL66" s="810"/>
      <c r="AM66" s="810"/>
      <c r="AN66" s="810"/>
    </row>
    <row r="67" spans="2:43">
      <c r="B67" s="811" t="s">
        <v>830</v>
      </c>
      <c r="C67" s="811">
        <v>1933</v>
      </c>
      <c r="D67" s="811">
        <v>2688</v>
      </c>
      <c r="E67" s="811">
        <v>2687</v>
      </c>
      <c r="F67" s="811">
        <v>1908</v>
      </c>
      <c r="G67" s="811">
        <v>3087</v>
      </c>
      <c r="H67" s="811">
        <v>4616</v>
      </c>
      <c r="I67" s="811">
        <v>4861</v>
      </c>
      <c r="J67" s="811">
        <v>3673</v>
      </c>
      <c r="K67" s="811">
        <v>3052</v>
      </c>
      <c r="L67" s="812">
        <v>2658.1240234375</v>
      </c>
      <c r="M67" s="812">
        <v>2341.360107421875</v>
      </c>
      <c r="N67" s="812">
        <v>2206.46</v>
      </c>
      <c r="O67" s="812">
        <v>1938.26</v>
      </c>
      <c r="P67" s="812">
        <v>1933.32</v>
      </c>
      <c r="Q67" s="812">
        <v>2451.59</v>
      </c>
      <c r="R67" s="812">
        <v>2670.73</v>
      </c>
      <c r="S67" s="812">
        <v>2367.54</v>
      </c>
      <c r="T67" s="812">
        <v>2707.22</v>
      </c>
      <c r="U67" s="812">
        <v>3057.84</v>
      </c>
      <c r="V67" s="812">
        <v>3445.27</v>
      </c>
      <c r="W67" s="812">
        <v>2743.84</v>
      </c>
      <c r="X67" s="812">
        <v>2412.35</v>
      </c>
      <c r="Y67" s="812">
        <v>2461.75</v>
      </c>
      <c r="Z67" s="812">
        <v>2811.93</v>
      </c>
      <c r="AA67" s="812">
        <v>3395.81</v>
      </c>
      <c r="AB67" s="812">
        <v>2506.5</v>
      </c>
      <c r="AC67" s="812">
        <v>2674.93</v>
      </c>
      <c r="AD67" s="812">
        <v>2661.84</v>
      </c>
      <c r="AE67" s="812">
        <v>3029.9</v>
      </c>
      <c r="AF67" s="812">
        <v>2816.82</v>
      </c>
      <c r="AG67" s="812">
        <v>3034.31</v>
      </c>
      <c r="AH67" s="812">
        <v>2999.33</v>
      </c>
      <c r="AI67" s="812">
        <v>2470.87</v>
      </c>
      <c r="AJ67" s="812">
        <v>2429.83</v>
      </c>
      <c r="AK67" s="812"/>
      <c r="AL67" s="812"/>
      <c r="AM67" s="812"/>
      <c r="AN67" s="812"/>
    </row>
    <row r="68" spans="2:43">
      <c r="B68" s="809" t="s">
        <v>831</v>
      </c>
      <c r="C68" s="809">
        <v>35862</v>
      </c>
      <c r="D68" s="809">
        <v>34656</v>
      </c>
      <c r="E68" s="809">
        <v>15204</v>
      </c>
      <c r="F68" s="809">
        <v>24688</v>
      </c>
      <c r="G68" s="809">
        <v>15913</v>
      </c>
      <c r="H68" s="809">
        <v>25020</v>
      </c>
      <c r="I68" s="809">
        <v>17029</v>
      </c>
      <c r="J68" s="809">
        <v>27515</v>
      </c>
      <c r="K68" s="809">
        <v>17381</v>
      </c>
      <c r="L68" s="810">
        <v>29532.767578125</v>
      </c>
      <c r="M68" s="810">
        <v>33826.3046875</v>
      </c>
      <c r="N68" s="810">
        <v>18449.73</v>
      </c>
      <c r="O68" s="810">
        <v>36444.51</v>
      </c>
      <c r="P68" s="810">
        <v>27017.279999999999</v>
      </c>
      <c r="Q68" s="810">
        <v>14713.98</v>
      </c>
      <c r="R68" s="810">
        <v>29071.39</v>
      </c>
      <c r="S68" s="810">
        <v>17311.419999999998</v>
      </c>
      <c r="T68" s="810">
        <v>25042.66</v>
      </c>
      <c r="U68" s="810">
        <v>17342.21</v>
      </c>
      <c r="V68" s="810">
        <v>26061.22</v>
      </c>
      <c r="W68" s="810">
        <v>18072.93</v>
      </c>
      <c r="X68" s="810">
        <v>25555.14</v>
      </c>
      <c r="Y68" s="810">
        <v>30399.55</v>
      </c>
      <c r="Z68" s="810">
        <v>36058.949999999997</v>
      </c>
      <c r="AA68" s="810">
        <v>28373.06</v>
      </c>
      <c r="AB68" s="810">
        <v>28361.279999999999</v>
      </c>
      <c r="AC68" s="810">
        <v>34728</v>
      </c>
      <c r="AD68" s="810">
        <v>22334.46</v>
      </c>
      <c r="AE68" s="810">
        <v>35093.699999999997</v>
      </c>
      <c r="AF68" s="810">
        <v>23583.3</v>
      </c>
      <c r="AG68" s="810">
        <v>36443.269999999997</v>
      </c>
      <c r="AH68" s="810">
        <v>25307.9</v>
      </c>
      <c r="AI68" s="810">
        <v>35351.94</v>
      </c>
      <c r="AJ68" s="810">
        <v>24093.25</v>
      </c>
      <c r="AK68" s="810"/>
      <c r="AL68" s="810"/>
      <c r="AM68" s="810"/>
      <c r="AN68" s="810"/>
    </row>
    <row r="69" spans="2:43">
      <c r="B69" s="811" t="s">
        <v>832</v>
      </c>
      <c r="C69" s="811">
        <v>6687</v>
      </c>
      <c r="D69" s="811">
        <v>77</v>
      </c>
      <c r="E69" s="811">
        <v>82</v>
      </c>
      <c r="F69" s="811">
        <v>8516</v>
      </c>
      <c r="G69" s="811">
        <v>11672</v>
      </c>
      <c r="H69" s="811">
        <v>11697</v>
      </c>
      <c r="I69" s="811">
        <v>12145</v>
      </c>
      <c r="J69" s="811">
        <v>12189</v>
      </c>
      <c r="K69" s="811">
        <v>11811</v>
      </c>
      <c r="L69" s="812">
        <v>11921.84765625</v>
      </c>
      <c r="M69" s="812">
        <v>11593.759765625</v>
      </c>
      <c r="N69" s="812">
        <v>12078.58</v>
      </c>
      <c r="O69" s="812">
        <v>11822.98</v>
      </c>
      <c r="P69" s="812">
        <v>10537.95</v>
      </c>
      <c r="Q69" s="812">
        <v>11189.95</v>
      </c>
      <c r="R69" s="812">
        <v>11347.33</v>
      </c>
      <c r="S69" s="812">
        <v>12004.74</v>
      </c>
      <c r="T69" s="812">
        <v>11568.91</v>
      </c>
      <c r="U69" s="812">
        <v>12214.91</v>
      </c>
      <c r="V69" s="812">
        <v>12183.65</v>
      </c>
      <c r="W69" s="812">
        <v>11430.32</v>
      </c>
      <c r="X69" s="812">
        <v>12161.34</v>
      </c>
      <c r="Y69" s="812">
        <v>11284.8</v>
      </c>
      <c r="Z69" s="812">
        <v>11779.12</v>
      </c>
      <c r="AA69" s="812">
        <v>11548.99</v>
      </c>
      <c r="AB69" s="812">
        <v>10710.14</v>
      </c>
      <c r="AC69" s="812">
        <v>11594.14</v>
      </c>
      <c r="AD69" s="812">
        <v>11071.9</v>
      </c>
      <c r="AE69" s="812">
        <v>10389.540000000001</v>
      </c>
      <c r="AF69" s="812">
        <v>9607.68</v>
      </c>
      <c r="AG69" s="812">
        <v>10341.629999999999</v>
      </c>
      <c r="AH69" s="812">
        <v>9974.24</v>
      </c>
      <c r="AI69" s="812">
        <v>9728.4500000000007</v>
      </c>
      <c r="AJ69" s="812">
        <v>10180.16</v>
      </c>
      <c r="AK69" s="812"/>
      <c r="AL69" s="812"/>
      <c r="AM69" s="812"/>
      <c r="AN69" s="812"/>
    </row>
    <row r="70" spans="2:43">
      <c r="B70" s="809" t="s">
        <v>833</v>
      </c>
      <c r="C70" s="809">
        <v>16609</v>
      </c>
      <c r="D70" s="809">
        <v>410</v>
      </c>
      <c r="E70" s="809">
        <v>315</v>
      </c>
      <c r="F70" s="809">
        <v>12297</v>
      </c>
      <c r="G70" s="809">
        <v>23962</v>
      </c>
      <c r="H70" s="809">
        <v>14472</v>
      </c>
      <c r="I70" s="809">
        <v>21780</v>
      </c>
      <c r="J70" s="809">
        <v>15682</v>
      </c>
      <c r="K70" s="809">
        <v>23388</v>
      </c>
      <c r="L70" s="810">
        <v>17289.34375</v>
      </c>
      <c r="M70" s="810">
        <v>13538.6240234375</v>
      </c>
      <c r="N70" s="810">
        <v>35277.730000000003</v>
      </c>
      <c r="O70" s="810">
        <v>20604.75</v>
      </c>
      <c r="P70" s="810">
        <v>32305.47</v>
      </c>
      <c r="Q70" s="810">
        <v>34692.959999999999</v>
      </c>
      <c r="R70" s="810">
        <v>17553.02</v>
      </c>
      <c r="S70" s="810">
        <v>27493.89</v>
      </c>
      <c r="T70" s="810">
        <v>18069.57</v>
      </c>
      <c r="U70" s="810">
        <v>25274.240000000002</v>
      </c>
      <c r="V70" s="810">
        <v>15730.75</v>
      </c>
      <c r="W70" s="810">
        <v>22611.14</v>
      </c>
      <c r="X70" s="810">
        <v>16994.82</v>
      </c>
      <c r="Y70" s="810">
        <v>14178.72</v>
      </c>
      <c r="Z70" s="810">
        <v>15761.44</v>
      </c>
      <c r="AA70" s="810">
        <v>31663.200000000001</v>
      </c>
      <c r="AB70" s="810">
        <v>22958.98</v>
      </c>
      <c r="AC70" s="810">
        <v>16293.57</v>
      </c>
      <c r="AD70" s="810">
        <v>27228.99</v>
      </c>
      <c r="AE70" s="810">
        <v>14462.98</v>
      </c>
      <c r="AF70" s="810">
        <v>24102.46</v>
      </c>
      <c r="AG70" s="810">
        <v>15460.67</v>
      </c>
      <c r="AH70" s="810">
        <v>25856.32</v>
      </c>
      <c r="AI70" s="810">
        <v>15798.27</v>
      </c>
      <c r="AJ70" s="810">
        <v>28900.42</v>
      </c>
      <c r="AK70" s="810"/>
      <c r="AL70" s="810"/>
      <c r="AM70" s="810"/>
      <c r="AN70" s="810"/>
    </row>
    <row r="71" spans="2:43">
      <c r="B71" s="811" t="s">
        <v>834</v>
      </c>
      <c r="C71" s="811">
        <v>13878</v>
      </c>
      <c r="D71" s="811">
        <v>11905</v>
      </c>
      <c r="E71" s="811">
        <v>12805</v>
      </c>
      <c r="F71" s="811">
        <v>12426</v>
      </c>
      <c r="G71" s="811">
        <v>12770</v>
      </c>
      <c r="H71" s="811">
        <v>14636</v>
      </c>
      <c r="I71" s="811">
        <v>15707</v>
      </c>
      <c r="J71" s="811">
        <v>14351</v>
      </c>
      <c r="K71" s="811">
        <v>13560</v>
      </c>
      <c r="L71" s="812">
        <v>13962.6396484375</v>
      </c>
      <c r="M71" s="812">
        <v>12800.9599609375</v>
      </c>
      <c r="N71" s="812">
        <v>12177.2</v>
      </c>
      <c r="O71" s="812">
        <v>11850.7</v>
      </c>
      <c r="P71" s="812">
        <v>10906.34</v>
      </c>
      <c r="Q71" s="812">
        <v>11286.94</v>
      </c>
      <c r="R71" s="812">
        <v>11816.8</v>
      </c>
      <c r="S71" s="812">
        <v>12767.04</v>
      </c>
      <c r="T71" s="812">
        <v>12741.62</v>
      </c>
      <c r="U71" s="812">
        <v>13046.03</v>
      </c>
      <c r="V71" s="812">
        <v>13006.66</v>
      </c>
      <c r="W71" s="812">
        <v>11336</v>
      </c>
      <c r="X71" s="812">
        <v>12603.2</v>
      </c>
      <c r="Y71" s="812">
        <v>11804.16</v>
      </c>
      <c r="Z71" s="812">
        <v>12550.02</v>
      </c>
      <c r="AA71" s="812">
        <v>12133.18</v>
      </c>
      <c r="AB71" s="812">
        <v>11060</v>
      </c>
      <c r="AC71" s="812">
        <v>12808.64</v>
      </c>
      <c r="AD71" s="812">
        <v>12434.85</v>
      </c>
      <c r="AE71" s="812">
        <v>13920.61</v>
      </c>
      <c r="AF71" s="812">
        <v>13624</v>
      </c>
      <c r="AG71" s="812">
        <v>14852.48</v>
      </c>
      <c r="AH71" s="812">
        <v>15440.96</v>
      </c>
      <c r="AI71" s="812">
        <v>14784.19</v>
      </c>
      <c r="AJ71" s="812">
        <v>15686.91</v>
      </c>
      <c r="AK71" s="812"/>
      <c r="AL71" s="812"/>
      <c r="AM71" s="812"/>
      <c r="AN71" s="812"/>
    </row>
    <row r="72" spans="2:43">
      <c r="B72" s="809" t="s">
        <v>835</v>
      </c>
      <c r="C72" s="809">
        <v>194</v>
      </c>
      <c r="D72" s="809">
        <v>614</v>
      </c>
      <c r="E72" s="809">
        <v>1822</v>
      </c>
      <c r="F72" s="809">
        <v>1986</v>
      </c>
      <c r="G72" s="809">
        <v>1528</v>
      </c>
      <c r="H72" s="809">
        <v>252</v>
      </c>
      <c r="I72" s="809">
        <v>186</v>
      </c>
      <c r="J72" s="809">
        <v>273</v>
      </c>
      <c r="K72" s="809">
        <v>178</v>
      </c>
      <c r="L72" s="810">
        <v>373.12799072265625</v>
      </c>
      <c r="M72" s="810">
        <v>12164.853515625</v>
      </c>
      <c r="N72" s="810">
        <v>209.62</v>
      </c>
      <c r="O72" s="810">
        <v>393.7</v>
      </c>
      <c r="P72" s="810">
        <v>132.02000000000001</v>
      </c>
      <c r="Q72" s="810">
        <v>812.92</v>
      </c>
      <c r="R72" s="810">
        <v>556.99</v>
      </c>
      <c r="S72" s="810">
        <v>644.88</v>
      </c>
      <c r="T72" s="810">
        <v>557.27</v>
      </c>
      <c r="U72" s="810">
        <v>539.22</v>
      </c>
      <c r="V72" s="810">
        <v>2644.18</v>
      </c>
      <c r="W72" s="810">
        <v>668.23</v>
      </c>
      <c r="X72" s="810">
        <v>6842.4</v>
      </c>
      <c r="Y72" s="810">
        <v>5394.79</v>
      </c>
      <c r="Z72" s="810">
        <v>3835.34</v>
      </c>
      <c r="AA72" s="810">
        <v>11183.28</v>
      </c>
      <c r="AB72" s="810">
        <v>576.32000000000005</v>
      </c>
      <c r="AC72" s="810">
        <v>551.80999999999995</v>
      </c>
      <c r="AD72" s="810">
        <v>784.1</v>
      </c>
      <c r="AE72" s="810">
        <v>903.14</v>
      </c>
      <c r="AF72" s="810">
        <v>2959.43</v>
      </c>
      <c r="AG72" s="810">
        <v>840.58</v>
      </c>
      <c r="AH72" s="810">
        <v>850.17</v>
      </c>
      <c r="AI72" s="810">
        <v>862.12</v>
      </c>
      <c r="AJ72" s="810">
        <v>652.22</v>
      </c>
      <c r="AK72" s="810"/>
      <c r="AL72" s="810"/>
      <c r="AM72" s="810"/>
      <c r="AN72" s="810"/>
    </row>
    <row r="73" spans="2:43">
      <c r="B73" s="811" t="s">
        <v>836</v>
      </c>
      <c r="C73" s="811">
        <v>1232</v>
      </c>
      <c r="D73" s="811">
        <v>1407</v>
      </c>
      <c r="E73" s="811">
        <v>1525</v>
      </c>
      <c r="F73" s="811">
        <v>1125</v>
      </c>
      <c r="G73" s="811">
        <v>1369</v>
      </c>
      <c r="H73" s="811">
        <v>1485</v>
      </c>
      <c r="I73" s="811">
        <v>1470</v>
      </c>
      <c r="J73" s="811">
        <v>1547</v>
      </c>
      <c r="K73" s="811">
        <v>1578</v>
      </c>
      <c r="L73" s="812">
        <v>1392.876953125</v>
      </c>
      <c r="M73" s="812">
        <v>1474.95703125</v>
      </c>
      <c r="N73" s="812">
        <v>1314.02</v>
      </c>
      <c r="O73" s="812">
        <v>1491.03</v>
      </c>
      <c r="P73" s="812">
        <v>1411.44</v>
      </c>
      <c r="Q73" s="812">
        <v>1616.57</v>
      </c>
      <c r="R73" s="812">
        <v>1311.35</v>
      </c>
      <c r="S73" s="812">
        <v>1558.19</v>
      </c>
      <c r="T73" s="812">
        <v>1633.33</v>
      </c>
      <c r="U73" s="812">
        <v>1528.09</v>
      </c>
      <c r="V73" s="812">
        <v>1532.62</v>
      </c>
      <c r="W73" s="812">
        <v>1479.57</v>
      </c>
      <c r="X73" s="812">
        <v>1687.51</v>
      </c>
      <c r="Y73" s="812">
        <v>1551.58</v>
      </c>
      <c r="Z73" s="812">
        <v>1226.02</v>
      </c>
      <c r="AA73" s="812">
        <v>1486.28</v>
      </c>
      <c r="AB73" s="812">
        <v>1399.56</v>
      </c>
      <c r="AC73" s="812">
        <v>1177.1400000000001</v>
      </c>
      <c r="AD73" s="812">
        <v>1371.46</v>
      </c>
      <c r="AE73" s="812">
        <v>1370.54</v>
      </c>
      <c r="AF73" s="812">
        <v>1180.1600000000001</v>
      </c>
      <c r="AG73" s="812">
        <v>1000.32</v>
      </c>
      <c r="AH73" s="812">
        <v>1248.4100000000001</v>
      </c>
      <c r="AI73" s="812">
        <v>1403.52</v>
      </c>
      <c r="AJ73" s="812">
        <v>1275.6500000000001</v>
      </c>
      <c r="AK73" s="812"/>
      <c r="AL73" s="812"/>
      <c r="AM73" s="812"/>
      <c r="AN73" s="812"/>
    </row>
    <row r="74" spans="2:43">
      <c r="B74" s="813" t="s">
        <v>837</v>
      </c>
      <c r="C74" s="815">
        <v>44562</v>
      </c>
      <c r="D74" s="815">
        <v>44593</v>
      </c>
      <c r="E74" s="815">
        <v>44621</v>
      </c>
      <c r="F74" s="815">
        <v>44652</v>
      </c>
      <c r="G74" s="815">
        <v>44682</v>
      </c>
      <c r="H74" s="815">
        <v>44713</v>
      </c>
      <c r="I74" s="815">
        <v>44743</v>
      </c>
      <c r="J74" s="815">
        <v>44774</v>
      </c>
      <c r="K74" s="815">
        <v>44805</v>
      </c>
      <c r="L74" s="814">
        <v>44835</v>
      </c>
      <c r="M74" s="814">
        <v>44866</v>
      </c>
      <c r="N74" s="814">
        <v>44896</v>
      </c>
      <c r="O74" s="814">
        <v>44927</v>
      </c>
      <c r="P74" s="814">
        <v>44958</v>
      </c>
      <c r="Q74" s="814">
        <v>44986</v>
      </c>
      <c r="R74" s="814">
        <v>45017</v>
      </c>
      <c r="S74" s="814">
        <v>45047</v>
      </c>
      <c r="T74" s="814">
        <v>45078</v>
      </c>
      <c r="U74" s="814">
        <v>45108</v>
      </c>
      <c r="V74" s="814">
        <v>45139</v>
      </c>
      <c r="W74" s="814">
        <v>45170</v>
      </c>
      <c r="X74" s="814">
        <v>45200</v>
      </c>
      <c r="Y74" s="814">
        <v>45231</v>
      </c>
      <c r="Z74" s="814">
        <v>45261</v>
      </c>
      <c r="AA74" s="814">
        <v>45292</v>
      </c>
      <c r="AB74" s="814">
        <v>45323</v>
      </c>
      <c r="AC74" s="814">
        <v>45352</v>
      </c>
      <c r="AD74" s="814">
        <v>45383</v>
      </c>
      <c r="AE74" s="814">
        <v>45413</v>
      </c>
      <c r="AF74" s="814">
        <v>45444</v>
      </c>
      <c r="AG74" s="814">
        <v>45474</v>
      </c>
      <c r="AH74" s="814">
        <v>45505</v>
      </c>
      <c r="AI74" s="814">
        <v>45536</v>
      </c>
      <c r="AJ74" s="814">
        <v>45566</v>
      </c>
      <c r="AK74" s="814">
        <v>45597</v>
      </c>
      <c r="AL74" s="814">
        <v>45627</v>
      </c>
      <c r="AM74" s="814">
        <v>45658</v>
      </c>
      <c r="AN74" s="814">
        <v>45689</v>
      </c>
      <c r="AO74" s="814">
        <v>45717</v>
      </c>
      <c r="AP74" s="814">
        <v>45748</v>
      </c>
      <c r="AQ74" s="814">
        <v>45778</v>
      </c>
    </row>
    <row r="75" spans="2:43" ht="12.75" customHeight="1">
      <c r="B75" s="829" t="s">
        <v>838</v>
      </c>
      <c r="C75" s="830">
        <v>272</v>
      </c>
      <c r="D75" s="831">
        <v>234</v>
      </c>
      <c r="E75" s="831">
        <v>257</v>
      </c>
      <c r="F75" s="831">
        <v>235</v>
      </c>
      <c r="G75" s="831">
        <v>262</v>
      </c>
      <c r="H75" s="831">
        <v>288</v>
      </c>
      <c r="I75" s="831">
        <v>251</v>
      </c>
      <c r="J75" s="831">
        <v>285</v>
      </c>
      <c r="K75" s="831">
        <v>252</v>
      </c>
      <c r="L75" s="948">
        <v>270</v>
      </c>
      <c r="M75" s="948">
        <v>264</v>
      </c>
      <c r="N75" s="948">
        <v>302</v>
      </c>
      <c r="O75" s="948">
        <v>278</v>
      </c>
      <c r="P75" s="948">
        <v>247</v>
      </c>
      <c r="Q75" s="948">
        <v>327</v>
      </c>
      <c r="R75" s="948">
        <v>350</v>
      </c>
      <c r="S75" s="948">
        <v>346</v>
      </c>
      <c r="T75" s="948">
        <v>186</v>
      </c>
      <c r="U75" s="948">
        <v>266.27</v>
      </c>
      <c r="V75" s="948">
        <v>281</v>
      </c>
      <c r="W75" s="948">
        <v>286</v>
      </c>
      <c r="X75" s="948">
        <v>299.2</v>
      </c>
      <c r="Y75" s="948">
        <v>288</v>
      </c>
      <c r="Z75" s="948">
        <v>295</v>
      </c>
      <c r="AA75" s="948">
        <v>299.35000000000002</v>
      </c>
      <c r="AB75" s="948">
        <v>275</v>
      </c>
      <c r="AC75" s="948">
        <v>298</v>
      </c>
      <c r="AD75" s="948">
        <v>345.46</v>
      </c>
      <c r="AE75" s="948">
        <v>356</v>
      </c>
      <c r="AF75" s="948">
        <v>312.94</v>
      </c>
      <c r="AG75" s="1302">
        <v>280</v>
      </c>
      <c r="AH75" s="1302">
        <v>290</v>
      </c>
      <c r="AI75" s="948">
        <v>286</v>
      </c>
      <c r="AJ75" s="948">
        <v>321</v>
      </c>
      <c r="AK75" s="948"/>
      <c r="AL75" s="948"/>
      <c r="AM75" s="948"/>
      <c r="AN75" s="948"/>
      <c r="AO75" s="948"/>
      <c r="AP75" s="948"/>
      <c r="AQ75" s="948"/>
    </row>
    <row r="76" spans="2:43">
      <c r="B76" s="827" t="s">
        <v>839</v>
      </c>
      <c r="C76" s="828">
        <v>275</v>
      </c>
      <c r="D76" s="828">
        <v>243</v>
      </c>
      <c r="E76" s="828">
        <v>263</v>
      </c>
      <c r="F76" s="828">
        <v>248</v>
      </c>
      <c r="G76" s="828">
        <v>265</v>
      </c>
      <c r="H76" s="828">
        <v>256</v>
      </c>
      <c r="I76" s="828">
        <v>236</v>
      </c>
      <c r="J76" s="828">
        <v>253</v>
      </c>
      <c r="K76" s="828">
        <v>233</v>
      </c>
      <c r="L76" s="949">
        <v>256</v>
      </c>
      <c r="M76" s="949">
        <v>246</v>
      </c>
      <c r="N76" s="949">
        <v>269</v>
      </c>
      <c r="O76" s="949">
        <v>290</v>
      </c>
      <c r="P76" s="949">
        <v>253</v>
      </c>
      <c r="Q76" s="949">
        <v>273</v>
      </c>
      <c r="R76" s="949">
        <v>259</v>
      </c>
      <c r="S76" s="949">
        <v>269</v>
      </c>
      <c r="T76" s="949">
        <v>247</v>
      </c>
      <c r="U76" s="949">
        <v>251</v>
      </c>
      <c r="V76" s="949">
        <v>265</v>
      </c>
      <c r="W76" s="949">
        <v>274</v>
      </c>
      <c r="X76" s="949">
        <v>287.91000000000003</v>
      </c>
      <c r="Y76" s="949">
        <v>293</v>
      </c>
      <c r="Z76" s="949">
        <v>309</v>
      </c>
      <c r="AA76" s="949">
        <v>317.88</v>
      </c>
      <c r="AB76" s="949">
        <v>293</v>
      </c>
      <c r="AC76" s="949">
        <v>302</v>
      </c>
      <c r="AD76" s="949">
        <v>307.18</v>
      </c>
      <c r="AE76" s="949">
        <v>304</v>
      </c>
      <c r="AF76" s="949">
        <v>303.77</v>
      </c>
      <c r="AG76" s="1303">
        <v>312</v>
      </c>
      <c r="AH76" s="1303">
        <v>316</v>
      </c>
      <c r="AI76" s="949">
        <v>317</v>
      </c>
      <c r="AJ76" s="949">
        <v>341</v>
      </c>
      <c r="AK76" s="949"/>
      <c r="AL76" s="949"/>
      <c r="AM76" s="949"/>
      <c r="AN76" s="949"/>
      <c r="AO76" s="949"/>
      <c r="AP76" s="949"/>
      <c r="AQ76" s="949"/>
    </row>
    <row r="77" spans="2:43">
      <c r="B77" s="829" t="s">
        <v>840</v>
      </c>
      <c r="C77" s="831">
        <v>676</v>
      </c>
      <c r="D77" s="831">
        <v>602</v>
      </c>
      <c r="E77" s="831">
        <v>670</v>
      </c>
      <c r="F77" s="831">
        <v>633</v>
      </c>
      <c r="G77" s="831">
        <v>660</v>
      </c>
      <c r="H77" s="831">
        <v>649</v>
      </c>
      <c r="I77" s="831">
        <v>656</v>
      </c>
      <c r="J77" s="831">
        <v>678</v>
      </c>
      <c r="K77" s="831">
        <v>653</v>
      </c>
      <c r="L77" s="948">
        <v>689</v>
      </c>
      <c r="M77" s="948">
        <v>656</v>
      </c>
      <c r="N77" s="948">
        <v>695</v>
      </c>
      <c r="O77" s="948">
        <v>715</v>
      </c>
      <c r="P77" s="948">
        <v>615</v>
      </c>
      <c r="Q77" s="948">
        <v>667</v>
      </c>
      <c r="R77" s="948">
        <v>634</v>
      </c>
      <c r="S77" s="948">
        <v>624</v>
      </c>
      <c r="T77" s="948">
        <v>562</v>
      </c>
      <c r="U77" s="948">
        <v>581</v>
      </c>
      <c r="V77" s="948">
        <v>594</v>
      </c>
      <c r="W77" s="948">
        <v>591</v>
      </c>
      <c r="X77" s="948">
        <v>612.22</v>
      </c>
      <c r="Y77" s="948">
        <v>613</v>
      </c>
      <c r="Z77" s="948">
        <v>642</v>
      </c>
      <c r="AA77" s="948">
        <v>648.94000000000005</v>
      </c>
      <c r="AB77" s="948">
        <v>589</v>
      </c>
      <c r="AC77" s="948">
        <v>614</v>
      </c>
      <c r="AD77" s="948">
        <v>607.74</v>
      </c>
      <c r="AE77" s="948">
        <v>630</v>
      </c>
      <c r="AF77" s="948">
        <v>617.79999999999995</v>
      </c>
      <c r="AG77" s="1302">
        <v>651</v>
      </c>
      <c r="AH77" s="1302">
        <v>685</v>
      </c>
      <c r="AI77" s="948">
        <v>653</v>
      </c>
      <c r="AJ77" s="948">
        <v>673</v>
      </c>
      <c r="AK77" s="948"/>
      <c r="AL77" s="948"/>
      <c r="AM77" s="948"/>
      <c r="AN77" s="948"/>
      <c r="AO77" s="948"/>
      <c r="AP77" s="948"/>
      <c r="AQ77" s="948"/>
    </row>
    <row r="78" spans="2:43">
      <c r="B78" s="827"/>
      <c r="C78" s="827"/>
      <c r="D78" s="827"/>
      <c r="E78" s="827"/>
      <c r="F78" s="827"/>
      <c r="G78" s="827"/>
      <c r="H78" s="827"/>
      <c r="I78" s="827"/>
      <c r="J78" s="827"/>
      <c r="K78" s="827"/>
      <c r="L78" s="949"/>
      <c r="M78" s="949"/>
      <c r="N78" s="949"/>
      <c r="O78" s="949"/>
      <c r="P78" s="949"/>
      <c r="Q78" s="949"/>
      <c r="R78" s="949"/>
      <c r="S78" s="949"/>
      <c r="T78" s="949"/>
      <c r="U78" s="949"/>
      <c r="V78" s="949"/>
      <c r="W78" s="949"/>
      <c r="X78" s="949"/>
      <c r="Y78" s="949"/>
      <c r="Z78" s="949"/>
      <c r="AA78" s="949"/>
      <c r="AB78" s="949"/>
      <c r="AC78" s="949"/>
      <c r="AD78" s="949"/>
      <c r="AE78" s="949"/>
      <c r="AF78" s="949"/>
      <c r="AG78" s="1303"/>
      <c r="AH78" s="1303"/>
      <c r="AI78" s="949"/>
      <c r="AJ78" s="949"/>
      <c r="AK78" s="949"/>
      <c r="AL78" s="949"/>
      <c r="AM78" s="949"/>
      <c r="AN78" s="949"/>
      <c r="AO78" s="949"/>
      <c r="AP78" s="949"/>
      <c r="AQ78" s="949"/>
    </row>
    <row r="79" spans="2:43">
      <c r="B79" s="829"/>
      <c r="C79" s="829"/>
      <c r="D79" s="829"/>
      <c r="E79" s="829"/>
      <c r="F79" s="829"/>
      <c r="G79" s="829"/>
      <c r="H79" s="829"/>
      <c r="I79" s="829"/>
      <c r="J79" s="829"/>
      <c r="K79" s="829"/>
      <c r="L79" s="948"/>
      <c r="M79" s="948"/>
      <c r="N79" s="948"/>
      <c r="O79" s="948"/>
      <c r="P79" s="948"/>
      <c r="Q79" s="948"/>
      <c r="R79" s="948"/>
      <c r="S79" s="948"/>
      <c r="T79" s="948"/>
      <c r="U79" s="948"/>
      <c r="V79" s="948"/>
      <c r="W79" s="948"/>
      <c r="X79" s="948"/>
      <c r="Y79" s="948"/>
      <c r="Z79" s="948"/>
      <c r="AA79" s="948"/>
      <c r="AB79" s="948"/>
      <c r="AC79" s="948"/>
      <c r="AD79" s="948"/>
      <c r="AE79" s="948"/>
      <c r="AF79" s="948"/>
      <c r="AG79" s="948"/>
      <c r="AH79" s="948"/>
      <c r="AI79" s="948"/>
      <c r="AJ79" s="948"/>
      <c r="AK79" s="948"/>
      <c r="AL79" s="948"/>
      <c r="AM79" s="948"/>
      <c r="AN79" s="948"/>
      <c r="AO79" s="948"/>
      <c r="AP79" s="948"/>
      <c r="AQ79" s="948"/>
    </row>
    <row r="80" spans="2:43" ht="39.6">
      <c r="B80" s="836" t="s">
        <v>841</v>
      </c>
      <c r="C80" s="815">
        <v>44562</v>
      </c>
      <c r="D80" s="815">
        <v>44593</v>
      </c>
      <c r="E80" s="815">
        <v>44621</v>
      </c>
      <c r="F80" s="815">
        <v>44652</v>
      </c>
      <c r="G80" s="815">
        <v>44682</v>
      </c>
      <c r="H80" s="815">
        <v>44713</v>
      </c>
      <c r="I80" s="815">
        <v>44743</v>
      </c>
      <c r="J80" s="815">
        <v>44774</v>
      </c>
      <c r="K80" s="815">
        <v>44805</v>
      </c>
      <c r="L80" s="814">
        <v>44835</v>
      </c>
      <c r="M80" s="814">
        <v>44866</v>
      </c>
      <c r="N80" s="814">
        <v>44896</v>
      </c>
      <c r="O80" s="814">
        <v>44927</v>
      </c>
      <c r="P80" s="814">
        <v>44958</v>
      </c>
      <c r="Q80" s="814">
        <v>44986</v>
      </c>
      <c r="R80" s="814">
        <v>45017</v>
      </c>
      <c r="S80" s="814">
        <v>45047</v>
      </c>
      <c r="T80" s="814">
        <v>45078</v>
      </c>
      <c r="U80" s="814">
        <v>45108</v>
      </c>
      <c r="V80" s="814">
        <v>45139</v>
      </c>
      <c r="W80" s="814">
        <v>45170</v>
      </c>
      <c r="X80" s="814">
        <v>45200</v>
      </c>
      <c r="Y80" s="814">
        <v>45231</v>
      </c>
      <c r="Z80" s="814">
        <v>45261</v>
      </c>
      <c r="AA80" s="814">
        <v>45292</v>
      </c>
      <c r="AB80" s="814">
        <v>45323</v>
      </c>
      <c r="AC80" s="814">
        <v>45352</v>
      </c>
      <c r="AD80" s="814">
        <v>45383</v>
      </c>
      <c r="AE80" s="814">
        <v>45413</v>
      </c>
      <c r="AF80" s="814">
        <v>45444</v>
      </c>
      <c r="AG80" s="814">
        <v>45474</v>
      </c>
      <c r="AH80" s="814">
        <v>45505</v>
      </c>
      <c r="AI80" s="814">
        <v>45536</v>
      </c>
      <c r="AJ80" s="814">
        <v>45566</v>
      </c>
      <c r="AK80" s="814">
        <v>45597</v>
      </c>
      <c r="AL80" s="814">
        <v>45627</v>
      </c>
      <c r="AM80" s="814">
        <v>45658</v>
      </c>
      <c r="AN80" s="814">
        <v>45689</v>
      </c>
      <c r="AO80" s="814">
        <v>45717</v>
      </c>
      <c r="AP80" s="814">
        <v>45748</v>
      </c>
      <c r="AQ80" s="814">
        <v>45778</v>
      </c>
    </row>
    <row r="81" spans="2:43">
      <c r="B81" s="839" t="s">
        <v>842</v>
      </c>
      <c r="C81" s="839">
        <v>3817</v>
      </c>
      <c r="D81" s="839">
        <v>2575</v>
      </c>
      <c r="E81" s="839">
        <v>4771</v>
      </c>
      <c r="F81" s="839">
        <v>4146</v>
      </c>
      <c r="G81" s="839">
        <v>5312</v>
      </c>
      <c r="H81" s="839">
        <v>4374</v>
      </c>
      <c r="I81" s="839">
        <v>4775</v>
      </c>
      <c r="J81" s="839">
        <v>5151</v>
      </c>
      <c r="K81" s="839">
        <v>4976</v>
      </c>
      <c r="L81" s="840">
        <v>5090.93212890625</v>
      </c>
      <c r="M81" s="840">
        <v>2657.26806640625</v>
      </c>
      <c r="N81" s="840">
        <v>2872.87</v>
      </c>
      <c r="O81" s="840">
        <v>3233.44</v>
      </c>
      <c r="P81" s="840">
        <v>3247.25</v>
      </c>
      <c r="Q81" s="840">
        <v>4674.18</v>
      </c>
      <c r="R81" s="840">
        <v>4071.31</v>
      </c>
      <c r="S81" s="840">
        <v>5183.63</v>
      </c>
      <c r="T81" s="840">
        <v>4275.3500000000004</v>
      </c>
      <c r="U81" s="840">
        <v>4597.1899999999996</v>
      </c>
      <c r="V81" s="840">
        <v>4681.0600000000004</v>
      </c>
      <c r="W81" s="840">
        <v>4791.05</v>
      </c>
      <c r="X81" s="840">
        <v>4810.1400000000003</v>
      </c>
      <c r="Y81" s="840">
        <v>2490.7800000000002</v>
      </c>
      <c r="Z81" s="840">
        <v>1435.58</v>
      </c>
      <c r="AA81" s="840">
        <v>1314.18</v>
      </c>
      <c r="AB81" s="840">
        <v>2514.2600000000002</v>
      </c>
      <c r="AC81" s="840">
        <v>4227.78</v>
      </c>
      <c r="AD81" s="840">
        <v>3621.61</v>
      </c>
      <c r="AE81" s="840">
        <v>5179.9799999999996</v>
      </c>
      <c r="AF81" s="840">
        <v>3809.19</v>
      </c>
      <c r="AG81" s="840">
        <v>3783.23</v>
      </c>
      <c r="AH81" s="840">
        <v>4409.87</v>
      </c>
      <c r="AI81" s="840">
        <v>3374.13</v>
      </c>
      <c r="AJ81" s="840">
        <v>4544.05</v>
      </c>
      <c r="AK81" s="840"/>
      <c r="AL81" s="840"/>
      <c r="AM81" s="840"/>
      <c r="AN81" s="840"/>
      <c r="AO81" s="840"/>
      <c r="AP81" s="840"/>
      <c r="AQ81" s="840"/>
    </row>
    <row r="82" spans="2:43">
      <c r="B82" s="837" t="s">
        <v>843</v>
      </c>
      <c r="C82" s="837"/>
      <c r="D82" s="837"/>
      <c r="E82" s="837"/>
      <c r="F82" s="837"/>
      <c r="G82" s="837"/>
      <c r="H82" s="837"/>
      <c r="I82" s="837"/>
      <c r="J82" s="837"/>
      <c r="K82" s="837"/>
      <c r="L82" s="838"/>
      <c r="M82" s="838"/>
      <c r="N82" s="838">
        <v>0</v>
      </c>
      <c r="O82" s="838">
        <v>0</v>
      </c>
      <c r="P82" s="838">
        <v>9471.9500000000007</v>
      </c>
      <c r="Q82" s="838">
        <v>35430.449999999997</v>
      </c>
      <c r="R82" s="838">
        <v>5440.39</v>
      </c>
      <c r="S82" s="838">
        <v>67.69</v>
      </c>
      <c r="T82" s="838">
        <v>777.9</v>
      </c>
      <c r="U82" s="838">
        <v>195.47</v>
      </c>
      <c r="V82" s="838">
        <v>1462.9</v>
      </c>
      <c r="W82" s="838">
        <v>2500.0100000000002</v>
      </c>
      <c r="X82" s="838">
        <v>1677.01</v>
      </c>
      <c r="Y82" s="838">
        <v>985.26</v>
      </c>
      <c r="Z82" s="838">
        <v>1451.24</v>
      </c>
      <c r="AA82" s="838">
        <v>1187.9000000000001</v>
      </c>
      <c r="AB82" s="838">
        <v>2679.32</v>
      </c>
      <c r="AC82" s="838">
        <v>4966.1400000000003</v>
      </c>
      <c r="AD82" s="838">
        <v>4365.1099999999997</v>
      </c>
      <c r="AE82" s="838">
        <v>8161.7</v>
      </c>
      <c r="AF82" s="838">
        <v>3454.3</v>
      </c>
      <c r="AG82" s="838">
        <v>2473.84</v>
      </c>
      <c r="AH82" s="838">
        <v>4773.9799999999996</v>
      </c>
      <c r="AI82" s="838">
        <v>3479.78</v>
      </c>
      <c r="AJ82" s="838">
        <v>820.53</v>
      </c>
      <c r="AK82" s="838"/>
      <c r="AL82" s="838"/>
      <c r="AM82" s="838"/>
      <c r="AN82" s="838"/>
      <c r="AO82" s="838"/>
      <c r="AP82" s="838"/>
      <c r="AQ82" s="838"/>
    </row>
    <row r="83" spans="2:43">
      <c r="B83" s="839" t="s">
        <v>844</v>
      </c>
      <c r="C83" s="839">
        <v>2885</v>
      </c>
      <c r="D83" s="839">
        <v>8781</v>
      </c>
      <c r="E83" s="839">
        <v>14585</v>
      </c>
      <c r="F83" s="839">
        <v>12374</v>
      </c>
      <c r="G83" s="839">
        <v>13985</v>
      </c>
      <c r="H83" s="839">
        <v>11839</v>
      </c>
      <c r="I83" s="839">
        <v>12741</v>
      </c>
      <c r="J83" s="839">
        <v>13310</v>
      </c>
      <c r="K83" s="839">
        <v>13001</v>
      </c>
      <c r="L83" s="840">
        <v>13817.3681640625</v>
      </c>
      <c r="M83" s="840">
        <v>6339.919921875</v>
      </c>
      <c r="N83" s="840">
        <v>2888.14</v>
      </c>
      <c r="O83" s="840">
        <v>2870.37</v>
      </c>
      <c r="P83" s="840">
        <v>8565.73</v>
      </c>
      <c r="Q83" s="840">
        <v>14515.44</v>
      </c>
      <c r="R83" s="840">
        <v>12334.27</v>
      </c>
      <c r="S83" s="840">
        <v>13934.74</v>
      </c>
      <c r="T83" s="840">
        <v>11784.4</v>
      </c>
      <c r="U83" s="840">
        <v>11927.06</v>
      </c>
      <c r="V83" s="840">
        <v>12933.14</v>
      </c>
      <c r="W83" s="840">
        <v>13010.4</v>
      </c>
      <c r="X83" s="840">
        <v>13955.87</v>
      </c>
      <c r="Y83" s="840">
        <v>6140.51</v>
      </c>
      <c r="Z83" s="840">
        <v>2898.5</v>
      </c>
      <c r="AA83" s="840">
        <v>2243.4899999999998</v>
      </c>
      <c r="AB83" s="840">
        <v>7820.61</v>
      </c>
      <c r="AC83" s="840">
        <v>12820.86</v>
      </c>
      <c r="AD83" s="840">
        <v>10333.280000000001</v>
      </c>
      <c r="AE83" s="840">
        <v>12924.54</v>
      </c>
      <c r="AF83" s="840">
        <v>9832.19</v>
      </c>
      <c r="AG83" s="840">
        <v>8696.06</v>
      </c>
      <c r="AH83" s="840">
        <v>11722.11</v>
      </c>
      <c r="AI83" s="840">
        <v>9858.66</v>
      </c>
      <c r="AJ83" s="840">
        <v>12395.49</v>
      </c>
      <c r="AK83" s="840"/>
      <c r="AL83" s="840"/>
      <c r="AM83" s="840"/>
      <c r="AN83" s="840"/>
      <c r="AO83" s="840"/>
      <c r="AP83" s="840"/>
      <c r="AQ83" s="840"/>
    </row>
    <row r="84" spans="2:43">
      <c r="B84" s="837" t="s">
        <v>845</v>
      </c>
      <c r="C84" s="837">
        <v>564</v>
      </c>
      <c r="D84" s="837">
        <v>1531</v>
      </c>
      <c r="E84" s="837">
        <v>5097</v>
      </c>
      <c r="F84" s="837">
        <v>4140</v>
      </c>
      <c r="G84" s="837">
        <v>5709</v>
      </c>
      <c r="H84" s="837">
        <v>4457</v>
      </c>
      <c r="I84" s="837">
        <v>4601</v>
      </c>
      <c r="J84" s="837">
        <v>5647</v>
      </c>
      <c r="K84" s="837">
        <v>5456</v>
      </c>
      <c r="L84" s="838">
        <v>5889.16796875</v>
      </c>
      <c r="M84" s="838">
        <v>2037.68798828125</v>
      </c>
      <c r="N84" s="838">
        <v>747.49</v>
      </c>
      <c r="O84" s="838">
        <v>406.9</v>
      </c>
      <c r="P84" s="838">
        <v>2133.0300000000002</v>
      </c>
      <c r="Q84" s="838">
        <v>6193.77</v>
      </c>
      <c r="R84" s="838">
        <v>4786.88</v>
      </c>
      <c r="S84" s="838">
        <v>6994.93</v>
      </c>
      <c r="T84" s="838">
        <v>5193.0200000000004</v>
      </c>
      <c r="U84" s="838">
        <v>5346.24</v>
      </c>
      <c r="V84" s="838">
        <v>7145.47</v>
      </c>
      <c r="W84" s="838">
        <v>6525.16</v>
      </c>
      <c r="X84" s="838">
        <v>6232.07</v>
      </c>
      <c r="Y84" s="838">
        <v>2712.21</v>
      </c>
      <c r="Z84" s="838">
        <v>225.95</v>
      </c>
      <c r="AA84" s="838">
        <v>355.53</v>
      </c>
      <c r="AB84" s="838">
        <v>2101.4299999999998</v>
      </c>
      <c r="AC84" s="838">
        <v>5873.09</v>
      </c>
      <c r="AD84" s="838">
        <v>4287.66</v>
      </c>
      <c r="AE84" s="838">
        <v>6775.06</v>
      </c>
      <c r="AF84" s="838">
        <v>4277.6099999999997</v>
      </c>
      <c r="AG84" s="838">
        <v>2987.36</v>
      </c>
      <c r="AH84" s="838">
        <v>5874.9</v>
      </c>
      <c r="AI84" s="838">
        <v>4265.3</v>
      </c>
      <c r="AJ84" s="838">
        <v>6426.61</v>
      </c>
      <c r="AK84" s="838"/>
      <c r="AL84" s="838"/>
      <c r="AM84" s="838"/>
      <c r="AN84" s="838"/>
      <c r="AO84" s="838"/>
      <c r="AP84" s="838"/>
      <c r="AQ84" s="838"/>
    </row>
    <row r="85" spans="2:43">
      <c r="B85" s="839" t="s">
        <v>846</v>
      </c>
      <c r="C85" s="839">
        <v>3075</v>
      </c>
      <c r="D85" s="839">
        <v>3557</v>
      </c>
      <c r="E85" s="839">
        <v>5703</v>
      </c>
      <c r="F85" s="839">
        <v>5246</v>
      </c>
      <c r="G85" s="839">
        <v>7004</v>
      </c>
      <c r="H85" s="839">
        <v>6535</v>
      </c>
      <c r="I85" s="839">
        <v>6881</v>
      </c>
      <c r="J85" s="839">
        <v>7009</v>
      </c>
      <c r="K85" s="839">
        <v>7050</v>
      </c>
      <c r="L85" s="840">
        <v>7246.68017578125</v>
      </c>
      <c r="M85" s="840">
        <v>4688.64013671875</v>
      </c>
      <c r="N85" s="840">
        <v>2524.34</v>
      </c>
      <c r="O85" s="840">
        <v>2543.63</v>
      </c>
      <c r="P85" s="840">
        <v>4065.68</v>
      </c>
      <c r="Q85" s="840">
        <v>3831.06</v>
      </c>
      <c r="R85" s="840" t="s">
        <v>699</v>
      </c>
      <c r="S85" s="840">
        <v>7180.35</v>
      </c>
      <c r="T85" s="840">
        <v>5968.48</v>
      </c>
      <c r="U85" s="840">
        <v>6545.95</v>
      </c>
      <c r="V85" s="840">
        <v>6949.82</v>
      </c>
      <c r="W85" s="840">
        <v>6742.45</v>
      </c>
      <c r="X85" s="840">
        <v>6518.86</v>
      </c>
      <c r="Y85" s="840">
        <v>3977.86</v>
      </c>
      <c r="Z85" s="840">
        <v>2877.65</v>
      </c>
      <c r="AA85" s="840">
        <v>2622.86</v>
      </c>
      <c r="AB85" s="840">
        <v>3853.25</v>
      </c>
      <c r="AC85" s="840">
        <v>5335.15</v>
      </c>
      <c r="AD85" s="840">
        <v>4917.87</v>
      </c>
      <c r="AE85" s="840">
        <v>6730.45</v>
      </c>
      <c r="AF85" s="840">
        <v>5715.38</v>
      </c>
      <c r="AG85" s="840">
        <v>5140.53</v>
      </c>
      <c r="AH85" s="840">
        <v>6797.36</v>
      </c>
      <c r="AI85" s="840">
        <v>5182.38</v>
      </c>
      <c r="AJ85" s="840">
        <v>6621.86</v>
      </c>
      <c r="AK85" s="840"/>
      <c r="AL85" s="840"/>
      <c r="AM85" s="840"/>
      <c r="AN85" s="840"/>
      <c r="AO85" s="840"/>
      <c r="AP85" s="840"/>
      <c r="AQ85" s="840"/>
    </row>
    <row r="86" spans="2:43">
      <c r="B86" s="837" t="s">
        <v>847</v>
      </c>
      <c r="C86" s="837">
        <v>3032</v>
      </c>
      <c r="D86" s="837">
        <v>3860</v>
      </c>
      <c r="E86" s="837">
        <v>6549</v>
      </c>
      <c r="F86" s="837">
        <v>5856</v>
      </c>
      <c r="G86" s="837">
        <v>7199</v>
      </c>
      <c r="H86" s="837">
        <v>5974</v>
      </c>
      <c r="I86" s="837">
        <v>6680</v>
      </c>
      <c r="J86" s="837">
        <v>7201</v>
      </c>
      <c r="K86" s="837">
        <v>6549</v>
      </c>
      <c r="L86" s="838">
        <v>6753.56787109375</v>
      </c>
      <c r="M86" s="838">
        <v>4574.16015625</v>
      </c>
      <c r="N86" s="838">
        <v>2508.5300000000002</v>
      </c>
      <c r="O86" s="838">
        <v>3292.34</v>
      </c>
      <c r="P86" s="838">
        <v>4646.8599999999997</v>
      </c>
      <c r="Q86" s="838">
        <v>5893.94</v>
      </c>
      <c r="R86" s="838">
        <v>5425.29</v>
      </c>
      <c r="S86" s="838">
        <v>6562.39</v>
      </c>
      <c r="T86" s="838">
        <v>5872.37</v>
      </c>
      <c r="U86" s="838">
        <v>7070.34</v>
      </c>
      <c r="V86" s="838">
        <v>7149.5</v>
      </c>
      <c r="W86" s="838">
        <v>6545.94</v>
      </c>
      <c r="X86" s="838">
        <v>6909.17</v>
      </c>
      <c r="Y86" s="838">
        <v>3834.8</v>
      </c>
      <c r="Z86" s="838">
        <v>2189.79</v>
      </c>
      <c r="AA86" s="838">
        <v>2038.74</v>
      </c>
      <c r="AB86" s="838">
        <v>4091.06</v>
      </c>
      <c r="AC86" s="838">
        <v>6199.36</v>
      </c>
      <c r="AD86" s="838">
        <v>5128.42</v>
      </c>
      <c r="AE86" s="838">
        <v>6976.11</v>
      </c>
      <c r="AF86" s="838">
        <v>5209.78</v>
      </c>
      <c r="AG86" s="838">
        <v>4414.78</v>
      </c>
      <c r="AH86" s="838">
        <v>6251.44</v>
      </c>
      <c r="AI86" s="838">
        <v>4836.8999999999996</v>
      </c>
      <c r="AJ86" s="838">
        <v>6448.08</v>
      </c>
      <c r="AK86" s="838"/>
      <c r="AL86" s="838"/>
      <c r="AM86" s="838"/>
      <c r="AN86" s="838"/>
      <c r="AO86" s="838"/>
      <c r="AP86" s="838"/>
      <c r="AQ86" s="838"/>
    </row>
    <row r="87" spans="2:43">
      <c r="B87" s="839" t="s">
        <v>848</v>
      </c>
      <c r="C87" s="839">
        <v>3183</v>
      </c>
      <c r="D87" s="839">
        <v>3781</v>
      </c>
      <c r="E87" s="839">
        <v>4332</v>
      </c>
      <c r="F87" s="839">
        <v>4444</v>
      </c>
      <c r="G87" s="839">
        <v>5584</v>
      </c>
      <c r="H87" s="839">
        <v>5727</v>
      </c>
      <c r="I87" s="839">
        <v>6012</v>
      </c>
      <c r="J87" s="839">
        <v>6174</v>
      </c>
      <c r="K87" s="839">
        <v>6046</v>
      </c>
      <c r="L87" s="840">
        <v>5458.7119140625</v>
      </c>
      <c r="M87" s="840">
        <v>3608.98388671875</v>
      </c>
      <c r="N87" s="840">
        <v>3195.28</v>
      </c>
      <c r="O87" s="840">
        <v>2759.6</v>
      </c>
      <c r="P87" s="840">
        <v>3601.1</v>
      </c>
      <c r="Q87" s="840">
        <v>5321.75</v>
      </c>
      <c r="R87" s="840">
        <v>6091.37</v>
      </c>
      <c r="S87" s="840">
        <v>6837.3</v>
      </c>
      <c r="T87" s="840">
        <v>6944.67</v>
      </c>
      <c r="U87" s="840">
        <v>7233.8</v>
      </c>
      <c r="V87" s="840">
        <v>7452.5</v>
      </c>
      <c r="W87" s="840">
        <v>6086.58</v>
      </c>
      <c r="X87" s="840">
        <v>6456.98</v>
      </c>
      <c r="Y87" s="840">
        <v>4127.6499999999996</v>
      </c>
      <c r="Z87" s="840">
        <v>3028.4</v>
      </c>
      <c r="AA87" s="840">
        <v>2329.62</v>
      </c>
      <c r="AB87" s="840">
        <v>3227.1</v>
      </c>
      <c r="AC87" s="840">
        <v>4990.51</v>
      </c>
      <c r="AD87" s="840">
        <v>4767.2</v>
      </c>
      <c r="AE87" s="840">
        <v>7688.99</v>
      </c>
      <c r="AF87" s="840">
        <v>5492.11</v>
      </c>
      <c r="AG87" s="840">
        <v>5648.16</v>
      </c>
      <c r="AH87" s="840">
        <v>6407.42</v>
      </c>
      <c r="AI87" s="840">
        <v>4943.22</v>
      </c>
      <c r="AJ87" s="840">
        <v>5248.88</v>
      </c>
      <c r="AK87" s="840"/>
      <c r="AL87" s="840"/>
      <c r="AM87" s="840"/>
      <c r="AN87" s="840"/>
      <c r="AO87" s="840"/>
      <c r="AP87" s="840"/>
      <c r="AQ87" s="840"/>
    </row>
    <row r="88" spans="2:43">
      <c r="B88" s="841" t="s">
        <v>849</v>
      </c>
      <c r="C88" s="837">
        <v>18254</v>
      </c>
      <c r="D88" s="837">
        <v>25892</v>
      </c>
      <c r="E88" s="837">
        <v>43618</v>
      </c>
      <c r="F88" s="837">
        <v>38677</v>
      </c>
      <c r="G88" s="837">
        <v>48274</v>
      </c>
      <c r="H88" s="837">
        <v>42235</v>
      </c>
      <c r="I88" s="837">
        <v>45103</v>
      </c>
      <c r="J88" s="837">
        <v>47596</v>
      </c>
      <c r="K88" s="837">
        <v>45876</v>
      </c>
      <c r="L88" s="838">
        <v>47105.53515625</v>
      </c>
      <c r="M88" s="838">
        <v>26376.703125</v>
      </c>
      <c r="N88" s="838">
        <v>16387.84</v>
      </c>
      <c r="O88" s="838">
        <v>17804.29</v>
      </c>
      <c r="P88" s="838">
        <v>38319.870000000003</v>
      </c>
      <c r="Q88" s="838">
        <v>81778.429999999993</v>
      </c>
      <c r="R88" s="838">
        <v>46207.360000000001</v>
      </c>
      <c r="S88" s="838">
        <v>48256.38</v>
      </c>
      <c r="T88" s="838">
        <v>43278.59</v>
      </c>
      <c r="U88" s="838">
        <v>45391.74</v>
      </c>
      <c r="V88" s="838">
        <v>50438.79</v>
      </c>
      <c r="W88" s="838">
        <v>48564.61</v>
      </c>
      <c r="X88" s="838">
        <v>49279.360000000001</v>
      </c>
      <c r="Y88" s="838">
        <v>26082.82</v>
      </c>
      <c r="Z88" s="838">
        <v>15857.54</v>
      </c>
      <c r="AA88" s="838">
        <v>13789.44</v>
      </c>
      <c r="AB88" s="838">
        <v>28045.57</v>
      </c>
      <c r="AC88" s="838">
        <v>46808.32</v>
      </c>
      <c r="AD88" s="838">
        <v>24746.75</v>
      </c>
      <c r="AE88" s="838">
        <v>57135.49</v>
      </c>
      <c r="AF88" s="838">
        <v>43056.89</v>
      </c>
      <c r="AG88" s="838">
        <v>42664.45</v>
      </c>
      <c r="AH88" s="838">
        <v>45522.95</v>
      </c>
      <c r="AI88" s="1304" t="s">
        <v>699</v>
      </c>
      <c r="AJ88" s="838">
        <v>13202.94</v>
      </c>
      <c r="AK88" s="838"/>
      <c r="AL88" s="838"/>
      <c r="AM88" s="838"/>
      <c r="AN88" s="838"/>
      <c r="AO88" s="838"/>
      <c r="AP88" s="838"/>
      <c r="AQ88" s="838"/>
    </row>
    <row r="89" spans="2:43">
      <c r="B89" s="839" t="s">
        <v>850</v>
      </c>
      <c r="C89" s="839">
        <v>603</v>
      </c>
      <c r="D89" s="839">
        <v>1181</v>
      </c>
      <c r="E89" s="839">
        <v>2943</v>
      </c>
      <c r="F89" s="839">
        <v>2603</v>
      </c>
      <c r="G89" s="839">
        <v>3269</v>
      </c>
      <c r="H89" s="839">
        <v>2536</v>
      </c>
      <c r="I89" s="839">
        <v>2754</v>
      </c>
      <c r="J89" s="839">
        <v>3446</v>
      </c>
      <c r="K89" s="839">
        <v>3213</v>
      </c>
      <c r="L89" s="840">
        <v>3337.865966796875</v>
      </c>
      <c r="M89" s="840">
        <v>2200.833984375</v>
      </c>
      <c r="N89" s="840">
        <v>2172.2800000000002</v>
      </c>
      <c r="O89" s="840">
        <v>836.12</v>
      </c>
      <c r="P89" s="840">
        <v>1607.15</v>
      </c>
      <c r="Q89" s="840">
        <v>3843.88</v>
      </c>
      <c r="R89" s="840">
        <v>4605.55</v>
      </c>
      <c r="S89" s="840">
        <v>5300.91</v>
      </c>
      <c r="T89" s="840">
        <v>3379.9</v>
      </c>
      <c r="U89" s="840">
        <v>3056.78</v>
      </c>
      <c r="V89" s="840">
        <v>3666.38</v>
      </c>
      <c r="W89" s="840">
        <v>3403.44</v>
      </c>
      <c r="X89" s="840">
        <v>3627.78</v>
      </c>
      <c r="Y89" s="840">
        <v>2145.83</v>
      </c>
      <c r="Z89" s="840">
        <v>712.74</v>
      </c>
      <c r="AA89" s="840">
        <v>1923.41</v>
      </c>
      <c r="AB89" s="840">
        <v>3061.72</v>
      </c>
      <c r="AC89" s="840">
        <v>3305.59</v>
      </c>
      <c r="AD89" s="840">
        <v>3345.14</v>
      </c>
      <c r="AE89" s="840">
        <v>3955.34</v>
      </c>
      <c r="AF89" s="840">
        <v>2882.25</v>
      </c>
      <c r="AG89" s="840">
        <v>2696.72</v>
      </c>
      <c r="AH89" s="840">
        <v>4154.3999999999996</v>
      </c>
      <c r="AI89" s="840">
        <v>3546.24</v>
      </c>
      <c r="AJ89" s="840">
        <v>3869.59</v>
      </c>
      <c r="AK89" s="840"/>
      <c r="AL89" s="840"/>
      <c r="AM89" s="840"/>
      <c r="AN89" s="840"/>
      <c r="AO89" s="840"/>
      <c r="AP89" s="840"/>
      <c r="AQ89" s="840"/>
    </row>
    <row r="90" spans="2:43">
      <c r="B90" s="837" t="s">
        <v>851</v>
      </c>
      <c r="C90" s="837">
        <v>0</v>
      </c>
      <c r="D90" s="837">
        <v>0</v>
      </c>
      <c r="E90" s="837">
        <v>0</v>
      </c>
      <c r="F90" s="837">
        <v>0</v>
      </c>
      <c r="G90" s="837">
        <v>0</v>
      </c>
      <c r="H90" s="837">
        <v>0</v>
      </c>
      <c r="I90" s="837">
        <v>0</v>
      </c>
      <c r="J90" s="837">
        <v>0</v>
      </c>
      <c r="K90" s="837">
        <v>0</v>
      </c>
      <c r="L90" s="838">
        <v>0</v>
      </c>
      <c r="M90" s="838">
        <v>0</v>
      </c>
      <c r="N90" s="838">
        <v>0</v>
      </c>
      <c r="O90" s="838">
        <v>0</v>
      </c>
      <c r="P90" s="838">
        <v>0</v>
      </c>
      <c r="Q90" s="838">
        <v>0</v>
      </c>
      <c r="R90" s="838">
        <v>0</v>
      </c>
      <c r="S90" s="838">
        <v>0</v>
      </c>
      <c r="T90" s="838">
        <v>0</v>
      </c>
      <c r="U90" s="838">
        <v>4.21</v>
      </c>
      <c r="V90" s="838">
        <v>12.47</v>
      </c>
      <c r="W90" s="838">
        <v>12.08</v>
      </c>
      <c r="X90" s="838">
        <v>4758.03</v>
      </c>
      <c r="Y90" s="838">
        <v>456.33</v>
      </c>
      <c r="Z90" s="838">
        <v>916.66</v>
      </c>
      <c r="AA90" s="838">
        <v>13.69</v>
      </c>
      <c r="AB90" s="838">
        <v>13.77</v>
      </c>
      <c r="AC90" s="838">
        <v>12.13</v>
      </c>
      <c r="AD90" s="838">
        <v>13.26</v>
      </c>
      <c r="AE90" s="838">
        <v>4036.69</v>
      </c>
      <c r="AF90" s="838">
        <v>15518.96</v>
      </c>
      <c r="AG90" s="838">
        <v>14736.73</v>
      </c>
      <c r="AH90" s="838">
        <v>2477.02</v>
      </c>
      <c r="AI90" s="838">
        <v>39.11</v>
      </c>
      <c r="AJ90" s="838">
        <v>33.659999999999997</v>
      </c>
      <c r="AK90" s="838"/>
      <c r="AL90" s="838"/>
      <c r="AM90" s="838"/>
      <c r="AN90" s="838"/>
      <c r="AO90" s="838"/>
      <c r="AP90" s="838"/>
      <c r="AQ90" s="838"/>
    </row>
    <row r="91" spans="2:43">
      <c r="B91" s="839" t="s">
        <v>852</v>
      </c>
      <c r="C91" s="839">
        <v>1800</v>
      </c>
      <c r="D91" s="839">
        <v>2992</v>
      </c>
      <c r="E91" s="839">
        <v>4220</v>
      </c>
      <c r="F91" s="839">
        <v>3593</v>
      </c>
      <c r="G91" s="839">
        <v>4272</v>
      </c>
      <c r="H91" s="839">
        <v>3549</v>
      </c>
      <c r="I91" s="839">
        <v>3960</v>
      </c>
      <c r="J91" s="839">
        <v>3826</v>
      </c>
      <c r="K91" s="839">
        <v>3816</v>
      </c>
      <c r="L91" s="840">
        <v>3980.33203125</v>
      </c>
      <c r="M91" s="840">
        <v>2521.51611328125</v>
      </c>
      <c r="N91" s="840">
        <v>1733.42</v>
      </c>
      <c r="O91" s="840">
        <v>1845.27</v>
      </c>
      <c r="P91" s="840">
        <v>2576.56</v>
      </c>
      <c r="Q91" s="840">
        <v>4132.8900000000003</v>
      </c>
      <c r="R91" s="840">
        <v>3807.3</v>
      </c>
      <c r="S91" s="840">
        <v>4164.07</v>
      </c>
      <c r="T91" s="840">
        <v>3547.16</v>
      </c>
      <c r="U91" s="840">
        <v>3869.97</v>
      </c>
      <c r="V91" s="840">
        <v>4009.15</v>
      </c>
      <c r="W91" s="840">
        <v>3814.59</v>
      </c>
      <c r="X91" s="840">
        <v>3922.2</v>
      </c>
      <c r="Y91" s="840">
        <v>2629.1</v>
      </c>
      <c r="Z91" s="840">
        <v>1890.98</v>
      </c>
      <c r="AA91" s="840">
        <v>3308.7</v>
      </c>
      <c r="AB91" s="840">
        <v>3662.04</v>
      </c>
      <c r="AC91" s="840">
        <v>3873.85</v>
      </c>
      <c r="AD91" s="840">
        <v>3648.14</v>
      </c>
      <c r="AE91" s="840">
        <v>4021.98</v>
      </c>
      <c r="AF91" s="840">
        <v>3448.78</v>
      </c>
      <c r="AG91" s="840">
        <v>3468.12</v>
      </c>
      <c r="AH91" s="840">
        <v>4301.1000000000004</v>
      </c>
      <c r="AI91" s="840">
        <v>3723.38</v>
      </c>
      <c r="AJ91" s="840">
        <v>4119.22</v>
      </c>
      <c r="AK91" s="840"/>
      <c r="AL91" s="840"/>
      <c r="AM91" s="840"/>
      <c r="AN91" s="840"/>
      <c r="AO91" s="840"/>
      <c r="AP91" s="840"/>
      <c r="AQ91" s="840"/>
    </row>
    <row r="92" spans="2:43">
      <c r="B92" s="837" t="s">
        <v>853</v>
      </c>
      <c r="C92" s="837">
        <v>1425</v>
      </c>
      <c r="D92" s="837">
        <v>1295</v>
      </c>
      <c r="E92" s="837">
        <v>1429</v>
      </c>
      <c r="F92" s="837">
        <v>1148</v>
      </c>
      <c r="G92" s="837">
        <v>1420</v>
      </c>
      <c r="H92" s="837">
        <v>1501</v>
      </c>
      <c r="I92" s="837">
        <v>1553</v>
      </c>
      <c r="J92" s="837">
        <v>1577</v>
      </c>
      <c r="K92" s="837">
        <v>1460</v>
      </c>
      <c r="L92" s="838">
        <v>1537.969970703125</v>
      </c>
      <c r="M92" s="838">
        <v>1519.9310302734375</v>
      </c>
      <c r="N92" s="838">
        <v>1700.56</v>
      </c>
      <c r="O92" s="838">
        <v>1599.25</v>
      </c>
      <c r="P92" s="838">
        <v>1433.77</v>
      </c>
      <c r="Q92" s="838">
        <v>1597.72</v>
      </c>
      <c r="R92" s="838">
        <v>1541.38</v>
      </c>
      <c r="S92" s="838">
        <v>1660.89</v>
      </c>
      <c r="T92" s="838">
        <v>2433.64</v>
      </c>
      <c r="U92" s="838">
        <v>2415.83</v>
      </c>
      <c r="V92" s="838">
        <v>2334.15</v>
      </c>
      <c r="W92" s="838">
        <v>2243.4899999999998</v>
      </c>
      <c r="X92" s="838">
        <v>2259.52</v>
      </c>
      <c r="Y92" s="838">
        <v>2195.11</v>
      </c>
      <c r="Z92" s="838">
        <v>2091.7199999999998</v>
      </c>
      <c r="AA92" s="838">
        <v>2154.4499999999998</v>
      </c>
      <c r="AB92" s="838">
        <v>2054.91</v>
      </c>
      <c r="AC92" s="838">
        <v>2195.71</v>
      </c>
      <c r="AD92" s="838">
        <v>2133.7600000000002</v>
      </c>
      <c r="AE92" s="838">
        <v>2128.71</v>
      </c>
      <c r="AF92" s="838">
        <v>1747.52</v>
      </c>
      <c r="AG92" s="838">
        <v>1881.56</v>
      </c>
      <c r="AH92" s="838">
        <v>2256.96</v>
      </c>
      <c r="AI92" s="838">
        <v>2204.62</v>
      </c>
      <c r="AJ92" s="838">
        <v>2276.7600000000002</v>
      </c>
      <c r="AK92" s="838"/>
      <c r="AL92" s="838"/>
      <c r="AM92" s="838"/>
      <c r="AN92" s="838"/>
      <c r="AO92" s="838"/>
      <c r="AP92" s="838"/>
      <c r="AQ92" s="838"/>
    </row>
    <row r="93" spans="2:43">
      <c r="B93" s="839" t="s">
        <v>854</v>
      </c>
      <c r="C93" s="839">
        <v>9</v>
      </c>
      <c r="D93" s="839">
        <v>15</v>
      </c>
      <c r="E93" s="839">
        <v>441</v>
      </c>
      <c r="F93" s="839">
        <v>515</v>
      </c>
      <c r="G93" s="839">
        <v>559</v>
      </c>
      <c r="H93" s="839">
        <v>538</v>
      </c>
      <c r="I93" s="839">
        <v>594</v>
      </c>
      <c r="J93" s="839">
        <v>589</v>
      </c>
      <c r="K93" s="839">
        <v>553</v>
      </c>
      <c r="L93" s="840">
        <v>166.74600219726563</v>
      </c>
      <c r="M93" s="840">
        <v>16.979499816894531</v>
      </c>
      <c r="N93" s="840">
        <v>10.220000000000001</v>
      </c>
      <c r="O93" s="840">
        <v>8.69</v>
      </c>
      <c r="P93" s="840">
        <v>14.99</v>
      </c>
      <c r="Q93" s="840">
        <v>41.61</v>
      </c>
      <c r="R93" s="840">
        <v>25.89</v>
      </c>
      <c r="S93" s="840">
        <v>29.29</v>
      </c>
      <c r="T93" s="840">
        <v>21.27</v>
      </c>
      <c r="U93" s="840">
        <v>24.4</v>
      </c>
      <c r="V93" s="840">
        <v>25.4</v>
      </c>
      <c r="W93" s="840">
        <v>22.13</v>
      </c>
      <c r="X93" s="840">
        <v>25.23</v>
      </c>
      <c r="Y93" s="840">
        <v>16.34</v>
      </c>
      <c r="Z93" s="840">
        <v>6.08</v>
      </c>
      <c r="AA93" s="840">
        <v>11.33</v>
      </c>
      <c r="AB93" s="840">
        <v>19.87</v>
      </c>
      <c r="AC93" s="840">
        <v>23.03</v>
      </c>
      <c r="AD93" s="840">
        <v>217.09</v>
      </c>
      <c r="AE93" s="840">
        <v>627.73</v>
      </c>
      <c r="AF93" s="840">
        <v>593.66</v>
      </c>
      <c r="AG93" s="840">
        <v>606.78</v>
      </c>
      <c r="AH93" s="840">
        <v>462.2</v>
      </c>
      <c r="AI93" s="840">
        <v>466.92</v>
      </c>
      <c r="AJ93" s="840">
        <v>470.58</v>
      </c>
      <c r="AK93" s="840"/>
      <c r="AL93" s="840"/>
      <c r="AM93" s="840"/>
      <c r="AN93" s="840"/>
      <c r="AO93" s="840"/>
      <c r="AP93" s="840"/>
      <c r="AQ93" s="840"/>
    </row>
    <row r="94" spans="2:43">
      <c r="B94" s="837" t="s">
        <v>855</v>
      </c>
      <c r="C94" s="837">
        <v>6</v>
      </c>
      <c r="D94" s="837">
        <v>39</v>
      </c>
      <c r="E94" s="837">
        <v>75</v>
      </c>
      <c r="F94" s="837">
        <v>49</v>
      </c>
      <c r="G94" s="837">
        <v>39</v>
      </c>
      <c r="H94" s="837">
        <v>15</v>
      </c>
      <c r="I94" s="837">
        <v>112</v>
      </c>
      <c r="J94" s="837">
        <v>79</v>
      </c>
      <c r="K94" s="837">
        <v>21</v>
      </c>
      <c r="L94" s="838">
        <v>29.038593292236328</v>
      </c>
      <c r="M94" s="838">
        <v>13.990906715393066</v>
      </c>
      <c r="N94" s="838">
        <v>2.61</v>
      </c>
      <c r="O94" s="838">
        <v>3.54</v>
      </c>
      <c r="P94" s="838">
        <v>15.88</v>
      </c>
      <c r="Q94" s="838">
        <v>49.09</v>
      </c>
      <c r="R94" s="838">
        <v>36.58</v>
      </c>
      <c r="S94" s="838">
        <v>96.71</v>
      </c>
      <c r="T94" s="838">
        <v>52.62</v>
      </c>
      <c r="U94" s="838">
        <v>84.2</v>
      </c>
      <c r="V94" s="838">
        <v>24.19</v>
      </c>
      <c r="W94" s="838">
        <v>17.38</v>
      </c>
      <c r="X94" s="838">
        <v>38.01</v>
      </c>
      <c r="Y94" s="838">
        <v>9.76</v>
      </c>
      <c r="Z94" s="838">
        <v>0.85</v>
      </c>
      <c r="AA94" s="838">
        <v>12.81</v>
      </c>
      <c r="AB94" s="838">
        <v>24.27</v>
      </c>
      <c r="AC94" s="838">
        <v>30.67</v>
      </c>
      <c r="AD94" s="838">
        <v>14.47</v>
      </c>
      <c r="AE94" s="838">
        <v>4.4800000000000004</v>
      </c>
      <c r="AF94" s="838">
        <v>1.74</v>
      </c>
      <c r="AG94" s="838">
        <v>2.64</v>
      </c>
      <c r="AH94" s="838">
        <v>5.85</v>
      </c>
      <c r="AI94" s="838">
        <v>18.600000000000001</v>
      </c>
      <c r="AJ94" s="838">
        <v>18.77</v>
      </c>
      <c r="AK94" s="838"/>
      <c r="AL94" s="838"/>
      <c r="AM94" s="838"/>
      <c r="AN94" s="838"/>
      <c r="AO94" s="838"/>
      <c r="AP94" s="838"/>
      <c r="AQ94" s="838"/>
    </row>
    <row r="95" spans="2:43">
      <c r="B95" s="839" t="s">
        <v>856</v>
      </c>
      <c r="C95" s="839">
        <v>734</v>
      </c>
      <c r="D95" s="839">
        <v>1391</v>
      </c>
      <c r="E95" s="839">
        <v>3027</v>
      </c>
      <c r="F95" s="839">
        <v>2747</v>
      </c>
      <c r="G95" s="839">
        <v>3377</v>
      </c>
      <c r="H95" s="839">
        <v>2758</v>
      </c>
      <c r="I95" s="839">
        <v>2921</v>
      </c>
      <c r="J95" s="839">
        <v>3200</v>
      </c>
      <c r="K95" s="839">
        <v>3099</v>
      </c>
      <c r="L95" s="840">
        <v>3331.89404296875</v>
      </c>
      <c r="M95" s="840">
        <v>1340.323974609375</v>
      </c>
      <c r="N95" s="840">
        <v>793.48</v>
      </c>
      <c r="O95" s="840">
        <v>711.31</v>
      </c>
      <c r="P95" s="840">
        <v>1402.16</v>
      </c>
      <c r="Q95" s="840">
        <v>3028.79</v>
      </c>
      <c r="R95" s="840">
        <v>2779.12</v>
      </c>
      <c r="S95" s="840">
        <v>3434.84</v>
      </c>
      <c r="T95" s="840">
        <v>3100.32</v>
      </c>
      <c r="U95" s="840">
        <v>3209.5</v>
      </c>
      <c r="V95" s="840">
        <v>3921.03</v>
      </c>
      <c r="W95" s="840">
        <v>3354.6</v>
      </c>
      <c r="X95" s="840">
        <v>3554.72</v>
      </c>
      <c r="Y95" s="840">
        <v>1620</v>
      </c>
      <c r="Z95" s="840">
        <v>1076.6199999999999</v>
      </c>
      <c r="AA95" s="840">
        <v>1593.58</v>
      </c>
      <c r="AB95" s="840">
        <v>2571.84</v>
      </c>
      <c r="AC95" s="840">
        <v>3186.9</v>
      </c>
      <c r="AD95" s="840">
        <v>3353.07</v>
      </c>
      <c r="AE95" s="840">
        <v>3925.95</v>
      </c>
      <c r="AF95" s="840">
        <v>2969.26</v>
      </c>
      <c r="AG95" s="840">
        <v>2986.57</v>
      </c>
      <c r="AH95" s="840">
        <v>3946.08</v>
      </c>
      <c r="AI95" s="840">
        <v>3531.24</v>
      </c>
      <c r="AJ95" s="840">
        <v>3825.73</v>
      </c>
      <c r="AK95" s="840"/>
      <c r="AL95" s="840"/>
      <c r="AM95" s="840"/>
      <c r="AN95" s="840"/>
      <c r="AO95" s="840"/>
      <c r="AP95" s="840"/>
      <c r="AQ95" s="840"/>
    </row>
    <row r="96" spans="2:43">
      <c r="B96" s="837" t="s">
        <v>857</v>
      </c>
      <c r="C96" s="837">
        <v>0</v>
      </c>
      <c r="D96" s="837">
        <v>0</v>
      </c>
      <c r="E96" s="837">
        <v>0</v>
      </c>
      <c r="F96" s="837">
        <v>0</v>
      </c>
      <c r="G96" s="837">
        <v>0</v>
      </c>
      <c r="H96" s="837">
        <v>0</v>
      </c>
      <c r="I96" s="837">
        <v>0</v>
      </c>
      <c r="J96" s="837">
        <v>0</v>
      </c>
      <c r="K96" s="837">
        <v>0</v>
      </c>
      <c r="L96" s="838">
        <v>0</v>
      </c>
      <c r="M96" s="838">
        <v>0</v>
      </c>
      <c r="N96" s="838">
        <v>0</v>
      </c>
      <c r="O96" s="838">
        <v>0</v>
      </c>
      <c r="P96" s="838">
        <v>0</v>
      </c>
      <c r="Q96" s="838">
        <v>0</v>
      </c>
      <c r="R96" s="838">
        <v>0</v>
      </c>
      <c r="S96" s="838">
        <v>0</v>
      </c>
      <c r="T96" s="838">
        <v>9264</v>
      </c>
      <c r="U96" s="838">
        <v>61463.29</v>
      </c>
      <c r="V96" s="838">
        <v>82597.38</v>
      </c>
      <c r="W96" s="838">
        <v>66237.33</v>
      </c>
      <c r="X96" s="838">
        <v>72028.929999999993</v>
      </c>
      <c r="Y96" s="838">
        <v>85761.600000000006</v>
      </c>
      <c r="Z96" s="838">
        <v>102456.32000000001</v>
      </c>
      <c r="AA96" s="838">
        <v>117528.55</v>
      </c>
      <c r="AB96" s="838">
        <v>114800.96000000001</v>
      </c>
      <c r="AC96" s="838">
        <v>131005.57</v>
      </c>
      <c r="AD96" s="838">
        <v>127137.41</v>
      </c>
      <c r="AE96" s="838">
        <v>135908.92000000001</v>
      </c>
      <c r="AF96" s="838">
        <v>111034.11</v>
      </c>
      <c r="AG96" s="838">
        <v>113862.39999999999</v>
      </c>
      <c r="AH96" s="838">
        <v>127245.31</v>
      </c>
      <c r="AI96" s="838">
        <v>119723.39</v>
      </c>
      <c r="AJ96" s="838">
        <v>126804.61</v>
      </c>
      <c r="AK96" s="838"/>
      <c r="AL96" s="838"/>
      <c r="AM96" s="838"/>
      <c r="AN96" s="838"/>
      <c r="AO96" s="838"/>
      <c r="AP96" s="838"/>
      <c r="AQ96" s="838"/>
    </row>
    <row r="97" spans="2:43">
      <c r="B97" s="839" t="s">
        <v>858</v>
      </c>
      <c r="C97" s="839">
        <v>0</v>
      </c>
      <c r="D97" s="839">
        <v>0</v>
      </c>
      <c r="E97" s="839">
        <v>0</v>
      </c>
      <c r="F97" s="839">
        <v>0</v>
      </c>
      <c r="G97" s="839">
        <v>0</v>
      </c>
      <c r="H97" s="839">
        <v>0</v>
      </c>
      <c r="I97" s="839">
        <v>0</v>
      </c>
      <c r="J97" s="839">
        <v>0</v>
      </c>
      <c r="K97" s="839">
        <v>0</v>
      </c>
      <c r="L97" s="840">
        <v>0</v>
      </c>
      <c r="M97" s="840">
        <v>0</v>
      </c>
      <c r="N97" s="840">
        <v>0</v>
      </c>
      <c r="O97" s="840">
        <v>0</v>
      </c>
      <c r="P97" s="840">
        <v>0</v>
      </c>
      <c r="Q97" s="840">
        <v>0</v>
      </c>
      <c r="R97" s="840">
        <v>0</v>
      </c>
      <c r="S97" s="840">
        <v>0</v>
      </c>
      <c r="T97" s="840">
        <v>0</v>
      </c>
      <c r="U97" s="840">
        <v>0</v>
      </c>
      <c r="V97" s="840">
        <v>31.94</v>
      </c>
      <c r="W97" s="840">
        <v>0</v>
      </c>
      <c r="X97" s="840">
        <v>0</v>
      </c>
      <c r="Y97" s="840">
        <v>0</v>
      </c>
      <c r="Z97" s="840">
        <v>0</v>
      </c>
      <c r="AA97" s="840">
        <v>0</v>
      </c>
      <c r="AB97" s="840">
        <v>0</v>
      </c>
      <c r="AC97" s="840">
        <v>0</v>
      </c>
      <c r="AD97" s="840">
        <v>0</v>
      </c>
      <c r="AE97" s="840">
        <v>0</v>
      </c>
      <c r="AF97" s="840">
        <v>0</v>
      </c>
      <c r="AG97" s="840">
        <v>0</v>
      </c>
      <c r="AH97" s="840">
        <v>0</v>
      </c>
      <c r="AI97" s="840">
        <v>0</v>
      </c>
      <c r="AJ97" s="840">
        <v>0</v>
      </c>
      <c r="AK97" s="840"/>
      <c r="AL97" s="840"/>
      <c r="AM97" s="840"/>
      <c r="AN97" s="840"/>
      <c r="AO97" s="840"/>
      <c r="AP97" s="840"/>
      <c r="AQ97" s="840"/>
    </row>
    <row r="98" spans="2:43">
      <c r="B98" s="837" t="s">
        <v>859</v>
      </c>
      <c r="C98" s="837">
        <v>0</v>
      </c>
      <c r="D98" s="837">
        <v>0</v>
      </c>
      <c r="E98" s="837">
        <v>0</v>
      </c>
      <c r="F98" s="837">
        <v>0</v>
      </c>
      <c r="G98" s="837">
        <v>0</v>
      </c>
      <c r="H98" s="837">
        <v>0</v>
      </c>
      <c r="I98" s="837">
        <v>0</v>
      </c>
      <c r="J98" s="837">
        <v>0</v>
      </c>
      <c r="K98" s="837">
        <v>0</v>
      </c>
      <c r="L98" s="838">
        <v>0</v>
      </c>
      <c r="M98" s="838">
        <v>0</v>
      </c>
      <c r="N98" s="838">
        <v>0</v>
      </c>
      <c r="O98" s="838">
        <v>0</v>
      </c>
      <c r="P98" s="838">
        <v>0</v>
      </c>
      <c r="Q98" s="838">
        <v>0</v>
      </c>
      <c r="R98" s="838">
        <v>0</v>
      </c>
      <c r="S98" s="838">
        <v>0</v>
      </c>
      <c r="T98" s="838">
        <v>0</v>
      </c>
      <c r="U98" s="838">
        <v>0.02</v>
      </c>
      <c r="V98" s="838">
        <v>24.97</v>
      </c>
      <c r="W98" s="838">
        <v>73.959999999999994</v>
      </c>
      <c r="X98" s="838">
        <v>28.39</v>
      </c>
      <c r="Y98" s="838">
        <v>26.06</v>
      </c>
      <c r="Z98" s="838">
        <v>16.72</v>
      </c>
      <c r="AA98" s="838">
        <v>102.23</v>
      </c>
      <c r="AB98" s="838">
        <v>249.32</v>
      </c>
      <c r="AC98" s="838">
        <v>514.98</v>
      </c>
      <c r="AD98" s="838">
        <v>461.51</v>
      </c>
      <c r="AE98" s="838">
        <v>510.85</v>
      </c>
      <c r="AF98" s="838">
        <v>376.72</v>
      </c>
      <c r="AG98" s="838">
        <v>382.87</v>
      </c>
      <c r="AH98" s="838">
        <v>514.49</v>
      </c>
      <c r="AI98" s="838">
        <v>453.24</v>
      </c>
      <c r="AJ98" s="838">
        <v>506.18</v>
      </c>
      <c r="AK98" s="838"/>
      <c r="AL98" s="838"/>
      <c r="AM98" s="838"/>
      <c r="AN98" s="838"/>
      <c r="AO98" s="838"/>
      <c r="AP98" s="838"/>
      <c r="AQ98" s="838"/>
    </row>
    <row r="99" spans="2:43">
      <c r="B99" s="839" t="s">
        <v>860</v>
      </c>
      <c r="C99" s="839">
        <v>0</v>
      </c>
      <c r="D99" s="839">
        <v>0</v>
      </c>
      <c r="E99" s="839">
        <v>0</v>
      </c>
      <c r="F99" s="839">
        <v>0</v>
      </c>
      <c r="G99" s="839">
        <v>0</v>
      </c>
      <c r="H99" s="839">
        <v>0</v>
      </c>
      <c r="I99" s="839">
        <v>0</v>
      </c>
      <c r="J99" s="839">
        <v>0</v>
      </c>
      <c r="K99" s="839">
        <v>0</v>
      </c>
      <c r="L99" s="840">
        <v>0</v>
      </c>
      <c r="M99" s="840">
        <v>0</v>
      </c>
      <c r="N99" s="840">
        <v>0</v>
      </c>
      <c r="O99" s="840">
        <v>0</v>
      </c>
      <c r="P99" s="840">
        <v>0</v>
      </c>
      <c r="Q99" s="840">
        <v>0</v>
      </c>
      <c r="R99" s="840">
        <v>0</v>
      </c>
      <c r="S99" s="840">
        <v>0</v>
      </c>
      <c r="T99" s="840">
        <v>0</v>
      </c>
      <c r="U99" s="840">
        <v>2.4</v>
      </c>
      <c r="V99" s="840">
        <v>900.39</v>
      </c>
      <c r="W99" s="840">
        <v>39.39</v>
      </c>
      <c r="X99" s="840">
        <v>19.43</v>
      </c>
      <c r="Y99" s="840">
        <v>19.63</v>
      </c>
      <c r="Z99" s="840">
        <v>13.22</v>
      </c>
      <c r="AA99" s="840">
        <v>89.99</v>
      </c>
      <c r="AB99" s="840">
        <v>224.79</v>
      </c>
      <c r="AC99" s="840">
        <v>472.16</v>
      </c>
      <c r="AD99" s="840">
        <v>424.52</v>
      </c>
      <c r="AE99" s="840">
        <v>476.35</v>
      </c>
      <c r="AF99" s="840">
        <v>339.9</v>
      </c>
      <c r="AG99" s="840">
        <v>350.24</v>
      </c>
      <c r="AH99" s="840">
        <v>460.49</v>
      </c>
      <c r="AI99" s="840">
        <v>418</v>
      </c>
      <c r="AJ99" s="840">
        <v>466.37</v>
      </c>
      <c r="AK99" s="840"/>
      <c r="AL99" s="840"/>
      <c r="AM99" s="840"/>
      <c r="AN99" s="840"/>
      <c r="AO99" s="840"/>
      <c r="AP99" s="840"/>
      <c r="AQ99" s="840"/>
    </row>
    <row r="100" spans="2:43">
      <c r="B100" s="837" t="s">
        <v>861</v>
      </c>
      <c r="C100" s="837">
        <v>0</v>
      </c>
      <c r="D100" s="837">
        <v>0</v>
      </c>
      <c r="E100" s="837">
        <v>0</v>
      </c>
      <c r="F100" s="837">
        <v>0</v>
      </c>
      <c r="G100" s="837">
        <v>0</v>
      </c>
      <c r="H100" s="837">
        <v>0</v>
      </c>
      <c r="I100" s="837">
        <v>0</v>
      </c>
      <c r="J100" s="837">
        <v>0</v>
      </c>
      <c r="K100" s="837">
        <v>0</v>
      </c>
      <c r="L100" s="838">
        <v>0</v>
      </c>
      <c r="M100" s="838">
        <v>0</v>
      </c>
      <c r="N100" s="838">
        <v>0</v>
      </c>
      <c r="O100" s="838">
        <v>0</v>
      </c>
      <c r="P100" s="838">
        <v>0</v>
      </c>
      <c r="Q100" s="838">
        <v>0</v>
      </c>
      <c r="R100" s="838">
        <v>0</v>
      </c>
      <c r="S100" s="838">
        <v>0</v>
      </c>
      <c r="T100" s="838">
        <v>0</v>
      </c>
      <c r="U100" s="838">
        <v>32.51</v>
      </c>
      <c r="V100" s="838">
        <v>615.02</v>
      </c>
      <c r="W100" s="838">
        <v>2206.3200000000002</v>
      </c>
      <c r="X100" s="838">
        <v>2685.15</v>
      </c>
      <c r="Y100" s="838">
        <v>1494.8</v>
      </c>
      <c r="Z100" s="838">
        <v>968.91</v>
      </c>
      <c r="AA100" s="838">
        <v>1578.97</v>
      </c>
      <c r="AB100" s="838">
        <v>2840.91</v>
      </c>
      <c r="AC100" s="838">
        <v>5307.83</v>
      </c>
      <c r="AD100" s="838">
        <v>5212.6400000000003</v>
      </c>
      <c r="AE100" s="838">
        <v>5701.85</v>
      </c>
      <c r="AF100" s="838">
        <v>4512.66</v>
      </c>
      <c r="AG100" s="838">
        <v>4623.55</v>
      </c>
      <c r="AH100" s="838">
        <v>5631.16</v>
      </c>
      <c r="AI100" s="838">
        <v>5072.93</v>
      </c>
      <c r="AJ100" s="838">
        <v>5390.97</v>
      </c>
      <c r="AK100" s="838"/>
      <c r="AL100" s="838"/>
      <c r="AM100" s="838"/>
      <c r="AN100" s="838"/>
      <c r="AO100" s="838"/>
      <c r="AP100" s="838"/>
      <c r="AQ100" s="838"/>
    </row>
    <row r="101" spans="2:43">
      <c r="B101" s="839" t="s">
        <v>862</v>
      </c>
      <c r="C101" s="839">
        <v>0</v>
      </c>
      <c r="D101" s="839">
        <v>0</v>
      </c>
      <c r="E101" s="839">
        <v>0</v>
      </c>
      <c r="F101" s="839">
        <v>0</v>
      </c>
      <c r="G101" s="839">
        <v>0</v>
      </c>
      <c r="H101" s="839">
        <v>0</v>
      </c>
      <c r="I101" s="839">
        <v>0</v>
      </c>
      <c r="J101" s="839">
        <v>0</v>
      </c>
      <c r="K101" s="839">
        <v>0</v>
      </c>
      <c r="L101" s="840">
        <v>0</v>
      </c>
      <c r="M101" s="840">
        <v>0</v>
      </c>
      <c r="N101" s="840">
        <v>0</v>
      </c>
      <c r="O101" s="840">
        <v>0</v>
      </c>
      <c r="P101" s="840">
        <v>0</v>
      </c>
      <c r="Q101" s="840">
        <v>0</v>
      </c>
      <c r="R101" s="840">
        <v>0</v>
      </c>
      <c r="S101" s="840">
        <v>0</v>
      </c>
      <c r="T101" s="840">
        <v>0</v>
      </c>
      <c r="U101" s="840">
        <v>9.36</v>
      </c>
      <c r="V101" s="840">
        <v>42.14</v>
      </c>
      <c r="W101" s="840">
        <v>214.47</v>
      </c>
      <c r="X101" s="840">
        <v>287.12</v>
      </c>
      <c r="Y101" s="840">
        <v>195.98</v>
      </c>
      <c r="Z101" s="840">
        <v>160.06</v>
      </c>
      <c r="AA101" s="840">
        <v>184.58</v>
      </c>
      <c r="AB101" s="840">
        <v>246.57</v>
      </c>
      <c r="AC101" s="840">
        <v>435.66</v>
      </c>
      <c r="AD101" s="840">
        <v>399.47</v>
      </c>
      <c r="AE101" s="840">
        <v>372.91</v>
      </c>
      <c r="AF101" s="840">
        <v>325.92</v>
      </c>
      <c r="AG101" s="840">
        <v>390.18</v>
      </c>
      <c r="AH101" s="840">
        <v>392.27</v>
      </c>
      <c r="AI101" s="840">
        <v>431.24</v>
      </c>
      <c r="AJ101" s="840">
        <v>464.53</v>
      </c>
      <c r="AK101" s="840"/>
      <c r="AL101" s="840"/>
      <c r="AM101" s="840"/>
      <c r="AN101" s="840"/>
      <c r="AO101" s="840"/>
      <c r="AP101" s="840"/>
      <c r="AQ101" s="840"/>
    </row>
    <row r="102" spans="2:43">
      <c r="B102" s="837" t="s">
        <v>863</v>
      </c>
      <c r="C102" s="837">
        <v>0</v>
      </c>
      <c r="D102" s="837">
        <v>0</v>
      </c>
      <c r="E102" s="837">
        <v>0</v>
      </c>
      <c r="F102" s="837">
        <v>0</v>
      </c>
      <c r="G102" s="837">
        <v>0</v>
      </c>
      <c r="H102" s="837">
        <v>0</v>
      </c>
      <c r="I102" s="837">
        <v>0</v>
      </c>
      <c r="J102" s="837">
        <v>0</v>
      </c>
      <c r="K102" s="837">
        <v>0</v>
      </c>
      <c r="L102" s="838">
        <v>0</v>
      </c>
      <c r="M102" s="838">
        <v>0</v>
      </c>
      <c r="N102" s="838">
        <v>0</v>
      </c>
      <c r="O102" s="838">
        <v>0</v>
      </c>
      <c r="P102" s="838">
        <v>0</v>
      </c>
      <c r="Q102" s="838">
        <v>0</v>
      </c>
      <c r="R102" s="838">
        <v>0</v>
      </c>
      <c r="S102" s="838">
        <v>0</v>
      </c>
      <c r="T102" s="838">
        <v>0</v>
      </c>
      <c r="U102" s="838">
        <v>5.89</v>
      </c>
      <c r="V102" s="838">
        <v>142.79</v>
      </c>
      <c r="W102" s="838">
        <v>124.49</v>
      </c>
      <c r="X102" s="838">
        <v>28.86</v>
      </c>
      <c r="Y102" s="838">
        <v>98.09</v>
      </c>
      <c r="Z102" s="838">
        <v>1.28</v>
      </c>
      <c r="AA102" s="838">
        <v>17.100000000000001</v>
      </c>
      <c r="AB102" s="838">
        <v>61.45</v>
      </c>
      <c r="AC102" s="838">
        <v>156.46</v>
      </c>
      <c r="AD102" s="838">
        <v>148.99</v>
      </c>
      <c r="AE102" s="838">
        <v>184.31</v>
      </c>
      <c r="AF102" s="838">
        <v>89.78</v>
      </c>
      <c r="AG102" s="838">
        <v>114.23</v>
      </c>
      <c r="AH102" s="838">
        <v>196.76</v>
      </c>
      <c r="AI102" s="838">
        <v>176.54</v>
      </c>
      <c r="AJ102" s="838">
        <v>201.95</v>
      </c>
      <c r="AK102" s="838"/>
      <c r="AL102" s="838"/>
      <c r="AM102" s="838"/>
      <c r="AN102" s="838"/>
      <c r="AO102" s="838"/>
      <c r="AP102" s="838"/>
      <c r="AQ102" s="838"/>
    </row>
    <row r="103" spans="2:43">
      <c r="B103" s="839" t="s">
        <v>864</v>
      </c>
      <c r="C103" s="839">
        <v>0</v>
      </c>
      <c r="D103" s="839">
        <v>0</v>
      </c>
      <c r="E103" s="839">
        <v>0</v>
      </c>
      <c r="F103" s="839">
        <v>0</v>
      </c>
      <c r="G103" s="839">
        <v>0</v>
      </c>
      <c r="H103" s="839">
        <v>0</v>
      </c>
      <c r="I103" s="839">
        <v>0</v>
      </c>
      <c r="J103" s="839">
        <v>0</v>
      </c>
      <c r="K103" s="839">
        <v>0</v>
      </c>
      <c r="L103" s="840">
        <v>0</v>
      </c>
      <c r="M103" s="840">
        <v>0</v>
      </c>
      <c r="N103" s="840">
        <v>0</v>
      </c>
      <c r="O103" s="840">
        <v>0</v>
      </c>
      <c r="P103" s="840">
        <v>0</v>
      </c>
      <c r="Q103" s="840">
        <v>0</v>
      </c>
      <c r="R103" s="840">
        <v>0</v>
      </c>
      <c r="S103" s="840">
        <v>0</v>
      </c>
      <c r="T103" s="840">
        <v>0</v>
      </c>
      <c r="U103" s="840">
        <v>0.88</v>
      </c>
      <c r="V103" s="840">
        <v>1.18</v>
      </c>
      <c r="W103" s="840">
        <v>1.21</v>
      </c>
      <c r="X103" s="840">
        <v>116.95</v>
      </c>
      <c r="Y103" s="840">
        <v>20.25</v>
      </c>
      <c r="Z103" s="840">
        <v>8.69</v>
      </c>
      <c r="AA103" s="840">
        <v>45.77</v>
      </c>
      <c r="AB103" s="840">
        <v>193.03</v>
      </c>
      <c r="AC103" s="840">
        <v>427.68</v>
      </c>
      <c r="AD103" s="840">
        <v>352.41</v>
      </c>
      <c r="AE103" s="840">
        <v>438.73</v>
      </c>
      <c r="AF103" s="840">
        <v>253.64</v>
      </c>
      <c r="AG103" s="840">
        <v>301.82</v>
      </c>
      <c r="AH103" s="840">
        <v>458.54</v>
      </c>
      <c r="AI103" s="840">
        <v>404.54</v>
      </c>
      <c r="AJ103" s="840">
        <v>467.37</v>
      </c>
      <c r="AK103" s="840"/>
      <c r="AL103" s="840"/>
      <c r="AM103" s="840"/>
      <c r="AN103" s="840"/>
      <c r="AO103" s="840"/>
      <c r="AP103" s="840"/>
      <c r="AQ103" s="840"/>
    </row>
    <row r="104" spans="2:43">
      <c r="B104" s="837" t="s">
        <v>865</v>
      </c>
      <c r="C104" s="837">
        <v>0</v>
      </c>
      <c r="D104" s="837">
        <v>0</v>
      </c>
      <c r="E104" s="837">
        <v>0</v>
      </c>
      <c r="F104" s="837">
        <v>0</v>
      </c>
      <c r="G104" s="837">
        <v>0</v>
      </c>
      <c r="H104" s="837">
        <v>0</v>
      </c>
      <c r="I104" s="837">
        <v>0</v>
      </c>
      <c r="J104" s="837">
        <v>0</v>
      </c>
      <c r="K104" s="837">
        <v>0</v>
      </c>
      <c r="L104" s="838">
        <v>0</v>
      </c>
      <c r="M104" s="838">
        <v>0</v>
      </c>
      <c r="N104" s="838">
        <v>0</v>
      </c>
      <c r="O104" s="838">
        <v>0</v>
      </c>
      <c r="P104" s="838">
        <v>0</v>
      </c>
      <c r="Q104" s="838">
        <v>0</v>
      </c>
      <c r="R104" s="838">
        <v>0</v>
      </c>
      <c r="S104" s="838">
        <v>0</v>
      </c>
      <c r="T104" s="838">
        <v>0</v>
      </c>
      <c r="U104" s="838">
        <v>0</v>
      </c>
      <c r="V104" s="838">
        <v>0.09</v>
      </c>
      <c r="W104" s="838">
        <v>214.77</v>
      </c>
      <c r="X104" s="838">
        <v>255.19</v>
      </c>
      <c r="Y104" s="838">
        <v>181.61</v>
      </c>
      <c r="Z104" s="838">
        <v>104.14</v>
      </c>
      <c r="AA104" s="838">
        <v>169.86</v>
      </c>
      <c r="AB104" s="838">
        <v>268.64</v>
      </c>
      <c r="AC104" s="838">
        <v>432.08</v>
      </c>
      <c r="AD104" s="838">
        <v>414.26</v>
      </c>
      <c r="AE104" s="838">
        <v>410.45</v>
      </c>
      <c r="AF104" s="838">
        <v>373.13</v>
      </c>
      <c r="AG104" s="838">
        <v>140.86000000000001</v>
      </c>
      <c r="AH104" s="838">
        <v>450.48</v>
      </c>
      <c r="AI104" s="838">
        <v>422</v>
      </c>
      <c r="AJ104" s="838">
        <v>446.13</v>
      </c>
      <c r="AK104" s="838"/>
      <c r="AL104" s="838"/>
      <c r="AM104" s="838"/>
      <c r="AN104" s="838"/>
      <c r="AO104" s="838"/>
      <c r="AP104" s="838"/>
      <c r="AQ104" s="838"/>
    </row>
    <row r="105" spans="2:43">
      <c r="B105" s="839" t="s">
        <v>866</v>
      </c>
      <c r="C105" s="839">
        <v>0</v>
      </c>
      <c r="D105" s="839">
        <v>0</v>
      </c>
      <c r="E105" s="839">
        <v>0</v>
      </c>
      <c r="F105" s="839">
        <v>0</v>
      </c>
      <c r="G105" s="839">
        <v>0</v>
      </c>
      <c r="H105" s="839">
        <v>0</v>
      </c>
      <c r="I105" s="839">
        <v>0</v>
      </c>
      <c r="J105" s="839">
        <v>0</v>
      </c>
      <c r="K105" s="839">
        <v>0</v>
      </c>
      <c r="L105" s="840">
        <v>0</v>
      </c>
      <c r="M105" s="840">
        <v>0</v>
      </c>
      <c r="N105" s="840">
        <v>0</v>
      </c>
      <c r="O105" s="840">
        <v>0</v>
      </c>
      <c r="P105" s="840">
        <v>0</v>
      </c>
      <c r="Q105" s="840">
        <v>0</v>
      </c>
      <c r="R105" s="840">
        <v>0</v>
      </c>
      <c r="S105" s="840">
        <v>0</v>
      </c>
      <c r="T105" s="840">
        <v>0</v>
      </c>
      <c r="U105" s="840">
        <v>6.65</v>
      </c>
      <c r="V105" s="840">
        <v>162.72999999999999</v>
      </c>
      <c r="W105" s="840">
        <v>107.15</v>
      </c>
      <c r="X105" s="840">
        <v>27.96</v>
      </c>
      <c r="Y105" s="840">
        <v>37.6</v>
      </c>
      <c r="Z105" s="840">
        <v>0.64</v>
      </c>
      <c r="AA105" s="840">
        <v>15.01</v>
      </c>
      <c r="AB105" s="840">
        <v>52.52</v>
      </c>
      <c r="AC105" s="840">
        <v>154.56</v>
      </c>
      <c r="AD105" s="840">
        <v>175.31</v>
      </c>
      <c r="AE105" s="840">
        <v>189.88</v>
      </c>
      <c r="AF105" s="840">
        <v>125.48</v>
      </c>
      <c r="AG105" s="840">
        <v>113.8</v>
      </c>
      <c r="AH105" s="840">
        <v>189.24</v>
      </c>
      <c r="AI105" s="840">
        <v>181.03</v>
      </c>
      <c r="AJ105" s="840">
        <v>170.96</v>
      </c>
      <c r="AK105" s="840"/>
      <c r="AL105" s="840"/>
      <c r="AM105" s="840"/>
      <c r="AN105" s="840"/>
      <c r="AO105" s="840"/>
      <c r="AP105" s="840"/>
      <c r="AQ105" s="840"/>
    </row>
    <row r="106" spans="2:43">
      <c r="B106" s="837" t="s">
        <v>867</v>
      </c>
      <c r="C106" s="837">
        <v>0</v>
      </c>
      <c r="D106" s="837">
        <v>0</v>
      </c>
      <c r="E106" s="837">
        <v>0</v>
      </c>
      <c r="F106" s="837">
        <v>0</v>
      </c>
      <c r="G106" s="837">
        <v>0</v>
      </c>
      <c r="H106" s="837">
        <v>0</v>
      </c>
      <c r="I106" s="837">
        <v>0</v>
      </c>
      <c r="J106" s="837">
        <v>0</v>
      </c>
      <c r="K106" s="837">
        <v>0</v>
      </c>
      <c r="L106" s="838">
        <v>0</v>
      </c>
      <c r="M106" s="838">
        <v>0</v>
      </c>
      <c r="N106" s="838">
        <v>0</v>
      </c>
      <c r="O106" s="838">
        <v>0</v>
      </c>
      <c r="P106" s="838">
        <v>0</v>
      </c>
      <c r="Q106" s="838">
        <v>0</v>
      </c>
      <c r="R106" s="838">
        <v>0</v>
      </c>
      <c r="S106" s="838">
        <v>0</v>
      </c>
      <c r="T106" s="838">
        <v>0</v>
      </c>
      <c r="U106" s="838">
        <v>1.1399999999999999</v>
      </c>
      <c r="V106" s="838">
        <v>1.08</v>
      </c>
      <c r="W106" s="838">
        <v>2.0499999999999998</v>
      </c>
      <c r="X106" s="838">
        <v>115.26</v>
      </c>
      <c r="Y106" s="838">
        <v>11.6</v>
      </c>
      <c r="Z106" s="838">
        <v>8.9600000000000009</v>
      </c>
      <c r="AA106" s="838">
        <v>56.52</v>
      </c>
      <c r="AB106" s="838">
        <v>205.02</v>
      </c>
      <c r="AC106" s="838">
        <v>414.89</v>
      </c>
      <c r="AD106" s="838">
        <v>366.5</v>
      </c>
      <c r="AE106" s="838">
        <v>405.65</v>
      </c>
      <c r="AF106" s="838">
        <v>128.63</v>
      </c>
      <c r="AG106" s="838">
        <v>270.77</v>
      </c>
      <c r="AH106" s="838">
        <v>386.15</v>
      </c>
      <c r="AI106" s="838">
        <v>343.77</v>
      </c>
      <c r="AJ106" s="838">
        <v>368.54</v>
      </c>
      <c r="AK106" s="838"/>
      <c r="AL106" s="838"/>
      <c r="AM106" s="838"/>
      <c r="AN106" s="838"/>
      <c r="AO106" s="838"/>
      <c r="AP106" s="838"/>
      <c r="AQ106" s="838"/>
    </row>
    <row r="107" spans="2:43">
      <c r="B107" s="839" t="s">
        <v>868</v>
      </c>
      <c r="C107" s="839">
        <v>0</v>
      </c>
      <c r="D107" s="839">
        <v>0</v>
      </c>
      <c r="E107" s="839">
        <v>0</v>
      </c>
      <c r="F107" s="839">
        <v>0</v>
      </c>
      <c r="G107" s="839">
        <v>0</v>
      </c>
      <c r="H107" s="839">
        <v>0</v>
      </c>
      <c r="I107" s="839">
        <v>0</v>
      </c>
      <c r="J107" s="839">
        <v>0</v>
      </c>
      <c r="K107" s="839">
        <v>0</v>
      </c>
      <c r="L107" s="840">
        <v>0</v>
      </c>
      <c r="M107" s="840">
        <v>0</v>
      </c>
      <c r="N107" s="840">
        <v>0</v>
      </c>
      <c r="O107" s="840">
        <v>0</v>
      </c>
      <c r="P107" s="840">
        <v>0</v>
      </c>
      <c r="Q107" s="840">
        <v>0</v>
      </c>
      <c r="R107" s="840">
        <v>0</v>
      </c>
      <c r="S107" s="840">
        <v>0</v>
      </c>
      <c r="T107" s="840">
        <v>0</v>
      </c>
      <c r="U107" s="840">
        <v>10.44</v>
      </c>
      <c r="V107" s="840">
        <v>76.62</v>
      </c>
      <c r="W107" s="840">
        <v>221.24</v>
      </c>
      <c r="X107" s="840">
        <v>281.29000000000002</v>
      </c>
      <c r="Y107" s="840">
        <v>144.25</v>
      </c>
      <c r="Z107" s="840">
        <v>163.43</v>
      </c>
      <c r="AA107" s="840">
        <v>202.3</v>
      </c>
      <c r="AB107" s="840">
        <v>315.02</v>
      </c>
      <c r="AC107" s="840">
        <v>459.08</v>
      </c>
      <c r="AD107" s="840">
        <v>251.92</v>
      </c>
      <c r="AE107" s="840">
        <v>48.92</v>
      </c>
      <c r="AF107" s="840" t="s">
        <v>699</v>
      </c>
      <c r="AG107" s="840" t="s">
        <v>699</v>
      </c>
      <c r="AH107" s="840" t="s">
        <v>699</v>
      </c>
      <c r="AI107" s="840" t="s">
        <v>699</v>
      </c>
      <c r="AJ107" s="840" t="s">
        <v>699</v>
      </c>
      <c r="AK107" s="840"/>
      <c r="AL107" s="840"/>
      <c r="AM107" s="840"/>
      <c r="AN107" s="840"/>
      <c r="AO107" s="840"/>
      <c r="AP107" s="840"/>
      <c r="AQ107" s="840"/>
    </row>
    <row r="108" spans="2:43">
      <c r="B108" s="837" t="s">
        <v>869</v>
      </c>
      <c r="C108" s="837">
        <v>0</v>
      </c>
      <c r="D108" s="837">
        <v>0</v>
      </c>
      <c r="E108" s="837">
        <v>0</v>
      </c>
      <c r="F108" s="837">
        <v>0</v>
      </c>
      <c r="G108" s="837">
        <v>0</v>
      </c>
      <c r="H108" s="837">
        <v>0</v>
      </c>
      <c r="I108" s="837">
        <v>0</v>
      </c>
      <c r="J108" s="837">
        <v>0</v>
      </c>
      <c r="K108" s="837">
        <v>0</v>
      </c>
      <c r="L108" s="838">
        <v>0</v>
      </c>
      <c r="M108" s="838">
        <v>0</v>
      </c>
      <c r="N108" s="838">
        <v>0</v>
      </c>
      <c r="O108" s="838">
        <v>0</v>
      </c>
      <c r="P108" s="838">
        <v>0</v>
      </c>
      <c r="Q108" s="838">
        <v>0</v>
      </c>
      <c r="R108" s="838">
        <v>0</v>
      </c>
      <c r="S108" s="838">
        <v>0</v>
      </c>
      <c r="T108" s="838">
        <v>0</v>
      </c>
      <c r="U108" s="838">
        <v>6.55</v>
      </c>
      <c r="V108" s="838">
        <v>149.41</v>
      </c>
      <c r="W108" s="838">
        <v>112.32</v>
      </c>
      <c r="X108" s="838">
        <v>86.41</v>
      </c>
      <c r="Y108" s="838">
        <v>32.770000000000003</v>
      </c>
      <c r="Z108" s="838">
        <v>0.04</v>
      </c>
      <c r="AA108" s="838">
        <v>9.5</v>
      </c>
      <c r="AB108" s="838">
        <v>57.38</v>
      </c>
      <c r="AC108" s="838">
        <v>157.61000000000001</v>
      </c>
      <c r="AD108" s="838">
        <v>162.57</v>
      </c>
      <c r="AE108" s="838">
        <v>195.01</v>
      </c>
      <c r="AF108" s="838">
        <v>126.05</v>
      </c>
      <c r="AG108" s="838">
        <v>113.68</v>
      </c>
      <c r="AH108" s="838">
        <v>184.81</v>
      </c>
      <c r="AI108" s="838">
        <v>166.01</v>
      </c>
      <c r="AJ108" s="838">
        <v>160.05000000000001</v>
      </c>
      <c r="AK108" s="838"/>
      <c r="AL108" s="838"/>
      <c r="AM108" s="838"/>
      <c r="AN108" s="838"/>
      <c r="AO108" s="838"/>
      <c r="AP108" s="838"/>
      <c r="AQ108" s="838"/>
    </row>
    <row r="109" spans="2:43">
      <c r="B109" s="839" t="s">
        <v>870</v>
      </c>
      <c r="C109" s="839">
        <v>0</v>
      </c>
      <c r="D109" s="839">
        <v>0</v>
      </c>
      <c r="E109" s="839">
        <v>0</v>
      </c>
      <c r="F109" s="839">
        <v>0</v>
      </c>
      <c r="G109" s="839">
        <v>0</v>
      </c>
      <c r="H109" s="839">
        <v>0</v>
      </c>
      <c r="I109" s="839">
        <v>0</v>
      </c>
      <c r="J109" s="839">
        <v>0</v>
      </c>
      <c r="K109" s="839">
        <v>0</v>
      </c>
      <c r="L109" s="840">
        <v>0</v>
      </c>
      <c r="M109" s="840">
        <v>0</v>
      </c>
      <c r="N109" s="840">
        <v>0</v>
      </c>
      <c r="O109" s="840">
        <v>0</v>
      </c>
      <c r="P109" s="840">
        <v>0</v>
      </c>
      <c r="Q109" s="840">
        <v>0</v>
      </c>
      <c r="R109" s="840">
        <v>0</v>
      </c>
      <c r="S109" s="840">
        <v>0</v>
      </c>
      <c r="T109" s="840">
        <v>0</v>
      </c>
      <c r="U109" s="840">
        <v>1.47</v>
      </c>
      <c r="V109" s="840">
        <v>1.34</v>
      </c>
      <c r="W109" s="840">
        <v>1.49</v>
      </c>
      <c r="X109" s="840">
        <v>114.4</v>
      </c>
      <c r="Y109" s="840">
        <v>9.6199999999999992</v>
      </c>
      <c r="Z109" s="840">
        <v>8.2799999999999994</v>
      </c>
      <c r="AA109" s="840">
        <v>80.489999999999995</v>
      </c>
      <c r="AB109" s="840">
        <v>228.13</v>
      </c>
      <c r="AC109" s="840">
        <v>367.6</v>
      </c>
      <c r="AD109" s="840">
        <v>241.98</v>
      </c>
      <c r="AE109" s="840">
        <v>384.99</v>
      </c>
      <c r="AF109" s="840">
        <v>136</v>
      </c>
      <c r="AG109" s="840">
        <v>265.94</v>
      </c>
      <c r="AH109" s="840">
        <v>361.08</v>
      </c>
      <c r="AI109" s="840">
        <v>351.36</v>
      </c>
      <c r="AJ109" s="840">
        <v>378.71</v>
      </c>
      <c r="AK109" s="840"/>
      <c r="AL109" s="840"/>
      <c r="AM109" s="840"/>
      <c r="AN109" s="840"/>
      <c r="AO109" s="840"/>
      <c r="AP109" s="840"/>
      <c r="AQ109" s="840"/>
    </row>
    <row r="110" spans="2:43">
      <c r="B110" s="837" t="s">
        <v>871</v>
      </c>
      <c r="C110" s="837">
        <v>0</v>
      </c>
      <c r="D110" s="837">
        <v>0</v>
      </c>
      <c r="E110" s="837">
        <v>0</v>
      </c>
      <c r="F110" s="837">
        <v>0</v>
      </c>
      <c r="G110" s="837">
        <v>0</v>
      </c>
      <c r="H110" s="837">
        <v>0</v>
      </c>
      <c r="I110" s="837">
        <v>0</v>
      </c>
      <c r="J110" s="837">
        <v>0</v>
      </c>
      <c r="K110" s="837">
        <v>0</v>
      </c>
      <c r="L110" s="838">
        <v>0</v>
      </c>
      <c r="M110" s="838">
        <v>0</v>
      </c>
      <c r="N110" s="838">
        <v>0</v>
      </c>
      <c r="O110" s="838">
        <v>0</v>
      </c>
      <c r="P110" s="838">
        <v>0</v>
      </c>
      <c r="Q110" s="838">
        <v>0</v>
      </c>
      <c r="R110" s="838">
        <v>0</v>
      </c>
      <c r="S110" s="838">
        <v>0</v>
      </c>
      <c r="T110" s="838">
        <v>0</v>
      </c>
      <c r="U110" s="838">
        <v>15.94</v>
      </c>
      <c r="V110" s="838">
        <v>119.33</v>
      </c>
      <c r="W110" s="838">
        <v>226.23</v>
      </c>
      <c r="X110" s="838">
        <v>278.14999999999998</v>
      </c>
      <c r="Y110" s="838">
        <v>172.91</v>
      </c>
      <c r="Z110" s="838">
        <v>108.68</v>
      </c>
      <c r="AA110" s="838">
        <v>183</v>
      </c>
      <c r="AB110" s="838">
        <v>275.35000000000002</v>
      </c>
      <c r="AC110" s="838">
        <v>472.96</v>
      </c>
      <c r="AD110" s="838">
        <v>463.07</v>
      </c>
      <c r="AE110" s="838">
        <v>485.92</v>
      </c>
      <c r="AF110" s="838">
        <v>266.89999999999998</v>
      </c>
      <c r="AG110" s="838">
        <v>402.73</v>
      </c>
      <c r="AH110" s="838">
        <v>124.19</v>
      </c>
      <c r="AI110" s="838" t="s">
        <v>699</v>
      </c>
      <c r="AJ110" s="838" t="s">
        <v>699</v>
      </c>
      <c r="AK110" s="838"/>
      <c r="AL110" s="838"/>
      <c r="AM110" s="838"/>
      <c r="AN110" s="838"/>
      <c r="AO110" s="838"/>
      <c r="AP110" s="838"/>
      <c r="AQ110" s="838"/>
    </row>
    <row r="111" spans="2:43">
      <c r="B111" s="839" t="s">
        <v>872</v>
      </c>
      <c r="C111" s="839">
        <v>0</v>
      </c>
      <c r="D111" s="839">
        <v>0</v>
      </c>
      <c r="E111" s="839">
        <v>0</v>
      </c>
      <c r="F111" s="839">
        <v>0</v>
      </c>
      <c r="G111" s="839">
        <v>0</v>
      </c>
      <c r="H111" s="839">
        <v>0</v>
      </c>
      <c r="I111" s="839">
        <v>0</v>
      </c>
      <c r="J111" s="839">
        <v>0</v>
      </c>
      <c r="K111" s="839">
        <v>0</v>
      </c>
      <c r="L111" s="840">
        <v>0</v>
      </c>
      <c r="M111" s="840">
        <v>0</v>
      </c>
      <c r="N111" s="840">
        <v>0</v>
      </c>
      <c r="O111" s="840">
        <v>0</v>
      </c>
      <c r="P111" s="840">
        <v>0</v>
      </c>
      <c r="Q111" s="840">
        <v>0</v>
      </c>
      <c r="R111" s="840">
        <v>0</v>
      </c>
      <c r="S111" s="840">
        <v>0</v>
      </c>
      <c r="T111" s="840">
        <v>0</v>
      </c>
      <c r="U111" s="840">
        <v>17.71</v>
      </c>
      <c r="V111" s="840">
        <v>150.22999999999999</v>
      </c>
      <c r="W111" s="840">
        <v>70.98</v>
      </c>
      <c r="X111" s="840">
        <v>83.54</v>
      </c>
      <c r="Y111" s="840">
        <v>21.23</v>
      </c>
      <c r="Z111" s="840">
        <v>3.38</v>
      </c>
      <c r="AA111" s="840">
        <v>14.19</v>
      </c>
      <c r="AB111" s="840">
        <v>59.46</v>
      </c>
      <c r="AC111" s="840">
        <v>174.59</v>
      </c>
      <c r="AD111" s="840">
        <v>192.93</v>
      </c>
      <c r="AE111" s="840">
        <v>174.74</v>
      </c>
      <c r="AF111" s="840">
        <v>103.96</v>
      </c>
      <c r="AG111" s="840">
        <v>97.11</v>
      </c>
      <c r="AH111" s="840">
        <v>208.54</v>
      </c>
      <c r="AI111" s="840">
        <v>163.83000000000001</v>
      </c>
      <c r="AJ111" s="840">
        <v>180.42</v>
      </c>
      <c r="AK111" s="840"/>
      <c r="AL111" s="840"/>
      <c r="AM111" s="840"/>
      <c r="AN111" s="840"/>
      <c r="AO111" s="840"/>
      <c r="AP111" s="840"/>
      <c r="AQ111" s="840"/>
    </row>
    <row r="112" spans="2:43">
      <c r="B112" s="837" t="s">
        <v>873</v>
      </c>
      <c r="C112" s="837">
        <v>0</v>
      </c>
      <c r="D112" s="837">
        <v>0</v>
      </c>
      <c r="E112" s="837">
        <v>0</v>
      </c>
      <c r="F112" s="837">
        <v>0</v>
      </c>
      <c r="G112" s="837">
        <v>0</v>
      </c>
      <c r="H112" s="837">
        <v>0</v>
      </c>
      <c r="I112" s="837">
        <v>0</v>
      </c>
      <c r="J112" s="837">
        <v>0</v>
      </c>
      <c r="K112" s="837">
        <v>0</v>
      </c>
      <c r="L112" s="838">
        <v>0</v>
      </c>
      <c r="M112" s="838">
        <v>0</v>
      </c>
      <c r="N112" s="838">
        <v>0</v>
      </c>
      <c r="O112" s="838">
        <v>0</v>
      </c>
      <c r="P112" s="838">
        <v>0</v>
      </c>
      <c r="Q112" s="838">
        <v>0</v>
      </c>
      <c r="R112" s="838">
        <v>0</v>
      </c>
      <c r="S112" s="838">
        <v>0</v>
      </c>
      <c r="T112" s="838">
        <v>0</v>
      </c>
      <c r="U112" s="838">
        <v>1.49</v>
      </c>
      <c r="V112" s="838">
        <v>1.8</v>
      </c>
      <c r="W112" s="838">
        <v>3.26</v>
      </c>
      <c r="X112" s="838">
        <v>122.79</v>
      </c>
      <c r="Y112" s="838">
        <v>11.97</v>
      </c>
      <c r="Z112" s="838">
        <v>13.26</v>
      </c>
      <c r="AA112" s="838">
        <v>50.08</v>
      </c>
      <c r="AB112" s="838">
        <v>160.79</v>
      </c>
      <c r="AC112" s="838">
        <v>379.89</v>
      </c>
      <c r="AD112" s="838">
        <v>263.44</v>
      </c>
      <c r="AE112" s="838">
        <v>384.63</v>
      </c>
      <c r="AF112" s="838">
        <v>186.15</v>
      </c>
      <c r="AG112" s="838">
        <v>231.18</v>
      </c>
      <c r="AH112" s="838">
        <v>391.86</v>
      </c>
      <c r="AI112" s="838">
        <v>336.33</v>
      </c>
      <c r="AJ112" s="838">
        <v>360.79</v>
      </c>
      <c r="AK112" s="838"/>
      <c r="AL112" s="838"/>
      <c r="AM112" s="838"/>
      <c r="AN112" s="838"/>
      <c r="AO112" s="838"/>
      <c r="AP112" s="838"/>
      <c r="AQ112" s="838"/>
    </row>
    <row r="113" spans="2:43">
      <c r="B113" s="839" t="s">
        <v>874</v>
      </c>
      <c r="C113" s="839">
        <v>0</v>
      </c>
      <c r="D113" s="839">
        <v>0</v>
      </c>
      <c r="E113" s="839">
        <v>0</v>
      </c>
      <c r="F113" s="839">
        <v>0</v>
      </c>
      <c r="G113" s="839">
        <v>0</v>
      </c>
      <c r="H113" s="839">
        <v>0</v>
      </c>
      <c r="I113" s="839">
        <v>0</v>
      </c>
      <c r="J113" s="839">
        <v>0</v>
      </c>
      <c r="K113" s="839">
        <v>0</v>
      </c>
      <c r="L113" s="840">
        <v>0</v>
      </c>
      <c r="M113" s="840">
        <v>0</v>
      </c>
      <c r="N113" s="840">
        <v>0</v>
      </c>
      <c r="O113" s="840">
        <v>0</v>
      </c>
      <c r="P113" s="840">
        <v>0</v>
      </c>
      <c r="Q113" s="840">
        <v>0</v>
      </c>
      <c r="R113" s="840">
        <v>0</v>
      </c>
      <c r="S113" s="840">
        <v>0</v>
      </c>
      <c r="T113" s="840">
        <v>0</v>
      </c>
      <c r="U113" s="840">
        <v>12.73</v>
      </c>
      <c r="V113" s="840">
        <v>194.95</v>
      </c>
      <c r="W113" s="840">
        <v>246.16</v>
      </c>
      <c r="X113" s="840">
        <v>370.23</v>
      </c>
      <c r="Y113" s="840">
        <v>196.4</v>
      </c>
      <c r="Z113" s="840">
        <v>107.86</v>
      </c>
      <c r="AA113" s="840">
        <v>215.47</v>
      </c>
      <c r="AB113" s="840">
        <v>275.83</v>
      </c>
      <c r="AC113" s="840">
        <v>480.2</v>
      </c>
      <c r="AD113" s="840">
        <v>412.4</v>
      </c>
      <c r="AE113" s="840">
        <v>443.95</v>
      </c>
      <c r="AF113" s="840">
        <v>335.18</v>
      </c>
      <c r="AG113" s="840">
        <v>396.01</v>
      </c>
      <c r="AH113" s="840">
        <v>448.09</v>
      </c>
      <c r="AI113" s="840">
        <v>413.82</v>
      </c>
      <c r="AJ113" s="840">
        <v>443.85</v>
      </c>
      <c r="AK113" s="840"/>
      <c r="AL113" s="840"/>
      <c r="AM113" s="840"/>
      <c r="AN113" s="840"/>
      <c r="AO113" s="840"/>
      <c r="AP113" s="840"/>
      <c r="AQ113" s="840"/>
    </row>
    <row r="114" spans="2:43">
      <c r="B114" s="837" t="s">
        <v>875</v>
      </c>
      <c r="C114" s="837">
        <v>0</v>
      </c>
      <c r="D114" s="837">
        <v>0</v>
      </c>
      <c r="E114" s="837">
        <v>0</v>
      </c>
      <c r="F114" s="837">
        <v>0</v>
      </c>
      <c r="G114" s="837">
        <v>0</v>
      </c>
      <c r="H114" s="837">
        <v>0</v>
      </c>
      <c r="I114" s="837">
        <v>0</v>
      </c>
      <c r="J114" s="837">
        <v>0</v>
      </c>
      <c r="K114" s="837">
        <v>0</v>
      </c>
      <c r="L114" s="838">
        <v>0</v>
      </c>
      <c r="M114" s="838">
        <v>0</v>
      </c>
      <c r="N114" s="838">
        <v>0</v>
      </c>
      <c r="O114" s="838">
        <v>0</v>
      </c>
      <c r="P114" s="838">
        <v>0</v>
      </c>
      <c r="Q114" s="838">
        <v>0</v>
      </c>
      <c r="R114" s="838">
        <v>0</v>
      </c>
      <c r="S114" s="838">
        <v>0</v>
      </c>
      <c r="T114" s="838">
        <v>0</v>
      </c>
      <c r="U114" s="838">
        <v>0.4</v>
      </c>
      <c r="V114" s="838">
        <v>3.43</v>
      </c>
      <c r="W114" s="838">
        <v>50.37</v>
      </c>
      <c r="X114" s="838">
        <v>32.020000000000003</v>
      </c>
      <c r="Y114" s="838">
        <v>10</v>
      </c>
      <c r="Z114" s="838">
        <v>1.24</v>
      </c>
      <c r="AA114" s="838">
        <v>12.78</v>
      </c>
      <c r="AB114" s="838">
        <v>44</v>
      </c>
      <c r="AC114" s="838">
        <v>121.29</v>
      </c>
      <c r="AD114" s="838">
        <v>133.75</v>
      </c>
      <c r="AE114" s="838">
        <v>164.25</v>
      </c>
      <c r="AF114" s="838">
        <v>137.83000000000001</v>
      </c>
      <c r="AG114" s="838">
        <v>119.17</v>
      </c>
      <c r="AH114" s="838">
        <v>43.77</v>
      </c>
      <c r="AI114" s="838" t="s">
        <v>699</v>
      </c>
      <c r="AJ114" s="838" t="s">
        <v>699</v>
      </c>
      <c r="AK114" s="838"/>
      <c r="AL114" s="838"/>
      <c r="AM114" s="838"/>
      <c r="AN114" s="838"/>
      <c r="AO114" s="838"/>
      <c r="AP114" s="838"/>
      <c r="AQ114" s="838"/>
    </row>
    <row r="115" spans="2:43">
      <c r="B115" s="839" t="s">
        <v>876</v>
      </c>
      <c r="C115" s="839">
        <v>0</v>
      </c>
      <c r="D115" s="839">
        <v>0</v>
      </c>
      <c r="E115" s="839">
        <v>0</v>
      </c>
      <c r="F115" s="839">
        <v>0</v>
      </c>
      <c r="G115" s="839">
        <v>0</v>
      </c>
      <c r="H115" s="839">
        <v>0</v>
      </c>
      <c r="I115" s="839">
        <v>0</v>
      </c>
      <c r="J115" s="839">
        <v>0</v>
      </c>
      <c r="K115" s="839">
        <v>0</v>
      </c>
      <c r="L115" s="840">
        <v>0</v>
      </c>
      <c r="M115" s="840">
        <v>0</v>
      </c>
      <c r="N115" s="840">
        <v>0</v>
      </c>
      <c r="O115" s="840">
        <v>0</v>
      </c>
      <c r="P115" s="840">
        <v>0</v>
      </c>
      <c r="Q115" s="840">
        <v>0</v>
      </c>
      <c r="R115" s="840">
        <v>0</v>
      </c>
      <c r="S115" s="840">
        <v>0</v>
      </c>
      <c r="T115" s="840">
        <v>0</v>
      </c>
      <c r="U115" s="840">
        <v>0</v>
      </c>
      <c r="V115" s="840">
        <v>112.05</v>
      </c>
      <c r="W115" s="840">
        <v>0.36</v>
      </c>
      <c r="X115" s="840">
        <v>1.74</v>
      </c>
      <c r="Y115" s="840">
        <v>4.13</v>
      </c>
      <c r="Z115" s="840">
        <v>2.11</v>
      </c>
      <c r="AA115" s="840">
        <v>12.42</v>
      </c>
      <c r="AB115" s="840">
        <v>37.619999999999997</v>
      </c>
      <c r="AC115" s="840">
        <v>82.27</v>
      </c>
      <c r="AD115" s="840">
        <v>84.82</v>
      </c>
      <c r="AE115" s="840">
        <v>55.56</v>
      </c>
      <c r="AF115" s="840">
        <v>60.38</v>
      </c>
      <c r="AG115" s="840">
        <v>80.099999999999994</v>
      </c>
      <c r="AH115" s="840">
        <v>88.63</v>
      </c>
      <c r="AI115" s="840">
        <v>104.01</v>
      </c>
      <c r="AJ115" s="840">
        <v>101.47</v>
      </c>
      <c r="AK115" s="840"/>
      <c r="AL115" s="840"/>
      <c r="AM115" s="840"/>
      <c r="AN115" s="840"/>
      <c r="AO115" s="840"/>
      <c r="AP115" s="840"/>
      <c r="AQ115" s="840"/>
    </row>
    <row r="116" spans="2:43">
      <c r="B116" s="837" t="s">
        <v>877</v>
      </c>
      <c r="C116" s="837">
        <v>0</v>
      </c>
      <c r="D116" s="837">
        <v>0</v>
      </c>
      <c r="E116" s="837">
        <v>0</v>
      </c>
      <c r="F116" s="837">
        <v>0</v>
      </c>
      <c r="G116" s="837">
        <v>0</v>
      </c>
      <c r="H116" s="837">
        <v>0</v>
      </c>
      <c r="I116" s="837">
        <v>0</v>
      </c>
      <c r="J116" s="837">
        <v>0</v>
      </c>
      <c r="K116" s="837">
        <v>0</v>
      </c>
      <c r="L116" s="838">
        <v>0</v>
      </c>
      <c r="M116" s="838">
        <v>0</v>
      </c>
      <c r="N116" s="838">
        <v>0</v>
      </c>
      <c r="O116" s="838">
        <v>0</v>
      </c>
      <c r="P116" s="838">
        <v>0</v>
      </c>
      <c r="Q116" s="838">
        <v>0</v>
      </c>
      <c r="R116" s="838">
        <v>0</v>
      </c>
      <c r="S116" s="838">
        <v>0</v>
      </c>
      <c r="T116" s="838">
        <v>0</v>
      </c>
      <c r="U116" s="838">
        <v>78.39</v>
      </c>
      <c r="V116" s="838">
        <v>1422.97</v>
      </c>
      <c r="W116" s="838">
        <v>2743.64</v>
      </c>
      <c r="X116" s="838">
        <v>2479.12</v>
      </c>
      <c r="Y116" s="838">
        <v>1614.34</v>
      </c>
      <c r="Z116" s="838">
        <v>1242.94</v>
      </c>
      <c r="AA116" s="838">
        <v>1719.83</v>
      </c>
      <c r="AB116" s="838">
        <v>2724.66</v>
      </c>
      <c r="AC116" s="838">
        <v>4963.9399999999996</v>
      </c>
      <c r="AD116" s="838">
        <v>4963.1099999999997</v>
      </c>
      <c r="AE116" s="838">
        <v>5654.7</v>
      </c>
      <c r="AF116" s="838">
        <v>4408.3500000000004</v>
      </c>
      <c r="AG116" s="838">
        <v>4555.53</v>
      </c>
      <c r="AH116" s="838">
        <v>5724.1</v>
      </c>
      <c r="AI116" s="838">
        <v>5202.8999999999996</v>
      </c>
      <c r="AJ116" s="838">
        <v>5803.48</v>
      </c>
      <c r="AK116" s="838"/>
      <c r="AL116" s="838"/>
      <c r="AM116" s="838"/>
      <c r="AN116" s="838"/>
      <c r="AO116" s="838"/>
      <c r="AP116" s="838"/>
      <c r="AQ116" s="838"/>
    </row>
    <row r="117" spans="2:43">
      <c r="B117" s="839" t="s">
        <v>878</v>
      </c>
      <c r="C117" s="839">
        <v>0</v>
      </c>
      <c r="D117" s="839">
        <v>0</v>
      </c>
      <c r="E117" s="839">
        <v>0</v>
      </c>
      <c r="F117" s="839">
        <v>0</v>
      </c>
      <c r="G117" s="839">
        <v>0</v>
      </c>
      <c r="H117" s="839">
        <v>0</v>
      </c>
      <c r="I117" s="839">
        <v>0</v>
      </c>
      <c r="J117" s="839">
        <v>0</v>
      </c>
      <c r="K117" s="839">
        <v>0</v>
      </c>
      <c r="L117" s="840">
        <v>0</v>
      </c>
      <c r="M117" s="840">
        <v>0</v>
      </c>
      <c r="N117" s="840">
        <v>0</v>
      </c>
      <c r="O117" s="840">
        <v>0</v>
      </c>
      <c r="P117" s="840">
        <v>0</v>
      </c>
      <c r="Q117" s="840">
        <v>0</v>
      </c>
      <c r="R117" s="840">
        <v>0</v>
      </c>
      <c r="S117" s="840">
        <v>0</v>
      </c>
      <c r="T117" s="840">
        <v>0</v>
      </c>
      <c r="U117" s="840">
        <v>0</v>
      </c>
      <c r="V117" s="840">
        <v>0</v>
      </c>
      <c r="W117" s="840">
        <v>200.2</v>
      </c>
      <c r="X117" s="840">
        <v>301.35000000000002</v>
      </c>
      <c r="Y117" s="840">
        <v>202.93</v>
      </c>
      <c r="Z117" s="840">
        <v>156.06</v>
      </c>
      <c r="AA117" s="840">
        <v>228.86</v>
      </c>
      <c r="AB117" s="840">
        <v>311.33</v>
      </c>
      <c r="AC117" s="840">
        <v>487.22</v>
      </c>
      <c r="AD117" s="840">
        <v>465.7</v>
      </c>
      <c r="AE117" s="840">
        <v>491.31</v>
      </c>
      <c r="AF117" s="840">
        <v>384.92</v>
      </c>
      <c r="AG117" s="840">
        <v>397.38</v>
      </c>
      <c r="AH117" s="840">
        <v>481.6</v>
      </c>
      <c r="AI117" s="840">
        <v>447.98</v>
      </c>
      <c r="AJ117" s="840">
        <v>470.97</v>
      </c>
      <c r="AK117" s="840"/>
      <c r="AL117" s="840"/>
      <c r="AM117" s="840"/>
      <c r="AN117" s="840"/>
      <c r="AO117" s="840"/>
      <c r="AP117" s="840"/>
      <c r="AQ117" s="840"/>
    </row>
    <row r="118" spans="2:43">
      <c r="B118" s="837" t="s">
        <v>879</v>
      </c>
      <c r="C118" s="837">
        <v>0</v>
      </c>
      <c r="D118" s="837">
        <v>0</v>
      </c>
      <c r="E118" s="837">
        <v>0</v>
      </c>
      <c r="F118" s="837">
        <v>0</v>
      </c>
      <c r="G118" s="837">
        <v>0</v>
      </c>
      <c r="H118" s="837">
        <v>0</v>
      </c>
      <c r="I118" s="837">
        <v>0</v>
      </c>
      <c r="J118" s="837">
        <v>0</v>
      </c>
      <c r="K118" s="837">
        <v>0</v>
      </c>
      <c r="L118" s="838">
        <v>0</v>
      </c>
      <c r="M118" s="838">
        <v>0</v>
      </c>
      <c r="N118" s="838">
        <v>0</v>
      </c>
      <c r="O118" s="838">
        <v>0</v>
      </c>
      <c r="P118" s="838">
        <v>0</v>
      </c>
      <c r="Q118" s="838">
        <v>0</v>
      </c>
      <c r="R118" s="838">
        <v>0</v>
      </c>
      <c r="S118" s="838">
        <v>0</v>
      </c>
      <c r="T118" s="838">
        <v>0</v>
      </c>
      <c r="U118" s="838">
        <v>21.85</v>
      </c>
      <c r="V118" s="838">
        <v>242.8</v>
      </c>
      <c r="W118" s="838">
        <v>233.39</v>
      </c>
      <c r="X118" s="838">
        <v>74.56</v>
      </c>
      <c r="Y118" s="838">
        <v>123.44</v>
      </c>
      <c r="Z118" s="838">
        <v>20.37</v>
      </c>
      <c r="AA118" s="838">
        <v>38.15</v>
      </c>
      <c r="AB118" s="838">
        <v>106.9</v>
      </c>
      <c r="AC118" s="838">
        <v>284.14</v>
      </c>
      <c r="AD118" s="838">
        <v>290.08999999999997</v>
      </c>
      <c r="AE118" s="838">
        <v>346.82</v>
      </c>
      <c r="AF118" s="838">
        <v>233.13</v>
      </c>
      <c r="AG118" s="838">
        <v>222.08</v>
      </c>
      <c r="AH118" s="838">
        <v>331.02</v>
      </c>
      <c r="AI118" s="838">
        <v>270.57</v>
      </c>
      <c r="AJ118" s="838">
        <v>340.21</v>
      </c>
      <c r="AK118" s="838"/>
      <c r="AL118" s="838"/>
      <c r="AM118" s="838"/>
      <c r="AN118" s="838"/>
      <c r="AO118" s="838"/>
      <c r="AP118" s="838"/>
      <c r="AQ118" s="838"/>
    </row>
    <row r="119" spans="2:43">
      <c r="B119" s="839" t="s">
        <v>880</v>
      </c>
      <c r="C119" s="839">
        <v>0</v>
      </c>
      <c r="D119" s="839">
        <v>0</v>
      </c>
      <c r="E119" s="839">
        <v>0</v>
      </c>
      <c r="F119" s="839">
        <v>0</v>
      </c>
      <c r="G119" s="839">
        <v>0</v>
      </c>
      <c r="H119" s="839">
        <v>0</v>
      </c>
      <c r="I119" s="839">
        <v>0</v>
      </c>
      <c r="J119" s="839">
        <v>0</v>
      </c>
      <c r="K119" s="839">
        <v>0</v>
      </c>
      <c r="L119" s="840">
        <v>0</v>
      </c>
      <c r="M119" s="840">
        <v>0</v>
      </c>
      <c r="N119" s="840">
        <v>0</v>
      </c>
      <c r="O119" s="840">
        <v>0</v>
      </c>
      <c r="P119" s="840">
        <v>0</v>
      </c>
      <c r="Q119" s="840">
        <v>0</v>
      </c>
      <c r="R119" s="840">
        <v>0</v>
      </c>
      <c r="S119" s="840">
        <v>0</v>
      </c>
      <c r="T119" s="840">
        <v>0</v>
      </c>
      <c r="U119" s="840">
        <v>0</v>
      </c>
      <c r="V119" s="840">
        <v>0</v>
      </c>
      <c r="W119" s="840">
        <v>21.44</v>
      </c>
      <c r="X119" s="840">
        <v>41.61</v>
      </c>
      <c r="Y119" s="840">
        <v>40.340000000000003</v>
      </c>
      <c r="Z119" s="840">
        <v>41.31</v>
      </c>
      <c r="AA119" s="840">
        <v>41.3</v>
      </c>
      <c r="AB119" s="840">
        <v>38.479999999999997</v>
      </c>
      <c r="AC119" s="840">
        <v>39.56</v>
      </c>
      <c r="AD119" s="840">
        <v>37.72</v>
      </c>
      <c r="AE119" s="840">
        <v>39.15</v>
      </c>
      <c r="AF119" s="840">
        <v>37.79</v>
      </c>
      <c r="AG119" s="840">
        <v>39.5</v>
      </c>
      <c r="AH119" s="840">
        <v>39.270000000000003</v>
      </c>
      <c r="AI119" s="840">
        <v>37.72</v>
      </c>
      <c r="AJ119" s="840">
        <v>38.86</v>
      </c>
      <c r="AK119" s="840"/>
      <c r="AL119" s="840"/>
      <c r="AM119" s="840"/>
      <c r="AN119" s="840"/>
      <c r="AO119" s="840"/>
      <c r="AP119" s="840"/>
      <c r="AQ119" s="840"/>
    </row>
    <row r="120" spans="2:43">
      <c r="B120" s="837" t="s">
        <v>881</v>
      </c>
      <c r="C120" s="837">
        <v>0</v>
      </c>
      <c r="D120" s="837">
        <v>0</v>
      </c>
      <c r="E120" s="837">
        <v>0</v>
      </c>
      <c r="F120" s="837">
        <v>0</v>
      </c>
      <c r="G120" s="837">
        <v>0</v>
      </c>
      <c r="H120" s="837">
        <v>0</v>
      </c>
      <c r="I120" s="837">
        <v>0</v>
      </c>
      <c r="J120" s="837">
        <v>0</v>
      </c>
      <c r="K120" s="837">
        <v>0</v>
      </c>
      <c r="L120" s="838">
        <v>0</v>
      </c>
      <c r="M120" s="838">
        <v>0</v>
      </c>
      <c r="N120" s="838">
        <v>0</v>
      </c>
      <c r="O120" s="838">
        <v>0</v>
      </c>
      <c r="P120" s="838">
        <v>0</v>
      </c>
      <c r="Q120" s="838">
        <v>0</v>
      </c>
      <c r="R120" s="838">
        <v>0</v>
      </c>
      <c r="S120" s="838">
        <v>0</v>
      </c>
      <c r="T120" s="838">
        <v>0</v>
      </c>
      <c r="U120" s="838">
        <v>0.11</v>
      </c>
      <c r="V120" s="838">
        <v>0.01</v>
      </c>
      <c r="W120" s="838">
        <v>116.16</v>
      </c>
      <c r="X120" s="838">
        <v>212.9</v>
      </c>
      <c r="Y120" s="838">
        <v>280.3</v>
      </c>
      <c r="Z120" s="838">
        <v>289.43</v>
      </c>
      <c r="AA120" s="838">
        <v>299.19</v>
      </c>
      <c r="AB120" s="838">
        <v>352.12</v>
      </c>
      <c r="AC120" s="838">
        <v>528.65</v>
      </c>
      <c r="AD120" s="838">
        <v>506.69</v>
      </c>
      <c r="AE120" s="838">
        <v>569.89</v>
      </c>
      <c r="AF120" s="838">
        <v>468.29</v>
      </c>
      <c r="AG120" s="838">
        <v>432.77</v>
      </c>
      <c r="AH120" s="838">
        <v>554.25</v>
      </c>
      <c r="AI120" s="838">
        <v>502.24</v>
      </c>
      <c r="AJ120" s="838">
        <v>566.54999999999995</v>
      </c>
      <c r="AK120" s="838"/>
      <c r="AL120" s="838"/>
      <c r="AM120" s="838"/>
      <c r="AN120" s="838"/>
      <c r="AO120" s="838"/>
      <c r="AP120" s="838"/>
      <c r="AQ120" s="838"/>
    </row>
    <row r="121" spans="2:43">
      <c r="B121" s="839" t="s">
        <v>882</v>
      </c>
      <c r="C121" s="839">
        <v>0</v>
      </c>
      <c r="D121" s="839">
        <v>0</v>
      </c>
      <c r="E121" s="839">
        <v>0</v>
      </c>
      <c r="F121" s="839">
        <v>0</v>
      </c>
      <c r="G121" s="839">
        <v>0</v>
      </c>
      <c r="H121" s="839">
        <v>0</v>
      </c>
      <c r="I121" s="839">
        <v>0</v>
      </c>
      <c r="J121" s="839">
        <v>0</v>
      </c>
      <c r="K121" s="839">
        <v>0</v>
      </c>
      <c r="L121" s="840">
        <v>0</v>
      </c>
      <c r="M121" s="840">
        <v>0</v>
      </c>
      <c r="N121" s="840">
        <v>0</v>
      </c>
      <c r="O121" s="840">
        <v>0</v>
      </c>
      <c r="P121" s="840">
        <v>0</v>
      </c>
      <c r="Q121" s="840">
        <v>0</v>
      </c>
      <c r="R121" s="840">
        <v>0</v>
      </c>
      <c r="S121" s="840">
        <v>0</v>
      </c>
      <c r="T121" s="840">
        <v>0</v>
      </c>
      <c r="U121" s="840">
        <v>16</v>
      </c>
      <c r="V121" s="840">
        <v>169.97</v>
      </c>
      <c r="W121" s="840">
        <v>311.75</v>
      </c>
      <c r="X121" s="840">
        <v>300.08</v>
      </c>
      <c r="Y121" s="840">
        <v>182.65</v>
      </c>
      <c r="Z121" s="840">
        <v>138.49</v>
      </c>
      <c r="AA121" s="840">
        <v>195.18</v>
      </c>
      <c r="AB121" s="840">
        <v>309.32</v>
      </c>
      <c r="AC121" s="840">
        <v>454.24</v>
      </c>
      <c r="AD121" s="840">
        <v>443.56</v>
      </c>
      <c r="AE121" s="840">
        <v>501.83</v>
      </c>
      <c r="AF121" s="840">
        <v>406.16</v>
      </c>
      <c r="AG121" s="840">
        <v>414.55</v>
      </c>
      <c r="AH121" s="840">
        <v>440.52</v>
      </c>
      <c r="AI121" s="840">
        <v>391.9</v>
      </c>
      <c r="AJ121" s="840">
        <v>456.25</v>
      </c>
      <c r="AK121" s="840"/>
      <c r="AL121" s="840"/>
      <c r="AM121" s="840"/>
      <c r="AN121" s="840"/>
      <c r="AO121" s="840"/>
      <c r="AP121" s="840"/>
      <c r="AQ121" s="840"/>
    </row>
    <row r="122" spans="2:43">
      <c r="B122" s="837" t="s">
        <v>883</v>
      </c>
      <c r="C122" s="837">
        <v>0</v>
      </c>
      <c r="D122" s="837">
        <v>0</v>
      </c>
      <c r="E122" s="837">
        <v>0</v>
      </c>
      <c r="F122" s="837">
        <v>0</v>
      </c>
      <c r="G122" s="837">
        <v>0</v>
      </c>
      <c r="H122" s="837">
        <v>0</v>
      </c>
      <c r="I122" s="837">
        <v>0</v>
      </c>
      <c r="J122" s="837">
        <v>0</v>
      </c>
      <c r="K122" s="837">
        <v>0</v>
      </c>
      <c r="L122" s="838">
        <v>0</v>
      </c>
      <c r="M122" s="838">
        <v>0</v>
      </c>
      <c r="N122" s="838">
        <v>0</v>
      </c>
      <c r="O122" s="838">
        <v>0</v>
      </c>
      <c r="P122" s="838">
        <v>0</v>
      </c>
      <c r="Q122" s="838">
        <v>0</v>
      </c>
      <c r="R122" s="838">
        <v>0</v>
      </c>
      <c r="S122" s="838">
        <v>0</v>
      </c>
      <c r="T122" s="838">
        <v>0</v>
      </c>
      <c r="U122" s="838">
        <v>18.489999999999998</v>
      </c>
      <c r="V122" s="838">
        <v>161.04</v>
      </c>
      <c r="W122" s="838">
        <v>251.25</v>
      </c>
      <c r="X122" s="838">
        <v>67.260000000000005</v>
      </c>
      <c r="Y122" s="838">
        <v>75.28</v>
      </c>
      <c r="Z122" s="838">
        <v>7.84</v>
      </c>
      <c r="AA122" s="838">
        <v>29.62</v>
      </c>
      <c r="AB122" s="838">
        <v>69.97</v>
      </c>
      <c r="AC122" s="838">
        <v>170.83</v>
      </c>
      <c r="AD122" s="838">
        <v>204.7</v>
      </c>
      <c r="AE122" s="838">
        <v>237</v>
      </c>
      <c r="AF122" s="838">
        <v>146.55000000000001</v>
      </c>
      <c r="AG122" s="838">
        <v>150.38999999999999</v>
      </c>
      <c r="AH122" s="838">
        <v>231.38</v>
      </c>
      <c r="AI122" s="838">
        <v>198.1</v>
      </c>
      <c r="AJ122" s="838">
        <v>250.94</v>
      </c>
      <c r="AK122" s="838"/>
      <c r="AL122" s="838"/>
      <c r="AM122" s="838"/>
      <c r="AN122" s="838"/>
      <c r="AO122" s="838"/>
      <c r="AP122" s="838"/>
      <c r="AQ122" s="838"/>
    </row>
    <row r="123" spans="2:43">
      <c r="B123" s="839" t="s">
        <v>884</v>
      </c>
      <c r="C123" s="839">
        <v>0</v>
      </c>
      <c r="D123" s="839">
        <v>0</v>
      </c>
      <c r="E123" s="839">
        <v>0</v>
      </c>
      <c r="F123" s="839">
        <v>0</v>
      </c>
      <c r="G123" s="839">
        <v>0</v>
      </c>
      <c r="H123" s="839">
        <v>0</v>
      </c>
      <c r="I123" s="839">
        <v>0</v>
      </c>
      <c r="J123" s="839">
        <v>0</v>
      </c>
      <c r="K123" s="839">
        <v>0</v>
      </c>
      <c r="L123" s="840">
        <v>0</v>
      </c>
      <c r="M123" s="840">
        <v>0</v>
      </c>
      <c r="N123" s="840">
        <v>0</v>
      </c>
      <c r="O123" s="840">
        <v>0</v>
      </c>
      <c r="P123" s="840">
        <v>0</v>
      </c>
      <c r="Q123" s="840">
        <v>0</v>
      </c>
      <c r="R123" s="840">
        <v>0</v>
      </c>
      <c r="S123" s="840">
        <v>0</v>
      </c>
      <c r="T123" s="840">
        <v>0</v>
      </c>
      <c r="U123" s="840">
        <v>1.58</v>
      </c>
      <c r="V123" s="840">
        <v>1.54</v>
      </c>
      <c r="W123" s="840">
        <v>0.92</v>
      </c>
      <c r="X123" s="840">
        <v>76.459999999999994</v>
      </c>
      <c r="Y123" s="840">
        <v>11.13</v>
      </c>
      <c r="Z123" s="840">
        <v>4.63</v>
      </c>
      <c r="AA123" s="840">
        <v>37.369999999999997</v>
      </c>
      <c r="AB123" s="840">
        <v>109.91</v>
      </c>
      <c r="AC123" s="840">
        <v>259.29000000000002</v>
      </c>
      <c r="AD123" s="840">
        <v>264.73</v>
      </c>
      <c r="AE123" s="840">
        <v>299.61</v>
      </c>
      <c r="AF123" s="840">
        <v>200.36</v>
      </c>
      <c r="AG123" s="840">
        <v>238.91</v>
      </c>
      <c r="AH123" s="840">
        <v>363.9</v>
      </c>
      <c r="AI123" s="840">
        <v>331.97</v>
      </c>
      <c r="AJ123" s="840">
        <v>344.67</v>
      </c>
      <c r="AK123" s="840"/>
      <c r="AL123" s="840"/>
      <c r="AM123" s="840"/>
      <c r="AN123" s="840"/>
      <c r="AO123" s="840"/>
      <c r="AP123" s="840"/>
      <c r="AQ123" s="840"/>
    </row>
    <row r="124" spans="2:43">
      <c r="B124" s="837" t="s">
        <v>885</v>
      </c>
      <c r="C124" s="837">
        <v>0</v>
      </c>
      <c r="D124" s="837">
        <v>0</v>
      </c>
      <c r="E124" s="837">
        <v>0</v>
      </c>
      <c r="F124" s="837">
        <v>0</v>
      </c>
      <c r="G124" s="837">
        <v>0</v>
      </c>
      <c r="H124" s="837">
        <v>0</v>
      </c>
      <c r="I124" s="837">
        <v>0</v>
      </c>
      <c r="J124" s="837">
        <v>0</v>
      </c>
      <c r="K124" s="837">
        <v>0</v>
      </c>
      <c r="L124" s="838">
        <v>0</v>
      </c>
      <c r="M124" s="838">
        <v>0</v>
      </c>
      <c r="N124" s="838">
        <v>0</v>
      </c>
      <c r="O124" s="838">
        <v>0</v>
      </c>
      <c r="P124" s="838">
        <v>0</v>
      </c>
      <c r="Q124" s="838">
        <v>0</v>
      </c>
      <c r="R124" s="838">
        <v>0</v>
      </c>
      <c r="S124" s="838">
        <v>0</v>
      </c>
      <c r="T124" s="838">
        <v>0</v>
      </c>
      <c r="U124" s="838">
        <v>17.12</v>
      </c>
      <c r="V124" s="838">
        <v>143.1</v>
      </c>
      <c r="W124" s="838">
        <v>212.21</v>
      </c>
      <c r="X124" s="838">
        <v>269.47000000000003</v>
      </c>
      <c r="Y124" s="838">
        <v>166.69</v>
      </c>
      <c r="Z124" s="838">
        <v>134.46</v>
      </c>
      <c r="AA124" s="838">
        <v>194.22</v>
      </c>
      <c r="AB124" s="838">
        <v>268.11</v>
      </c>
      <c r="AC124" s="838">
        <v>393.02</v>
      </c>
      <c r="AD124" s="838">
        <v>403.98</v>
      </c>
      <c r="AE124" s="838">
        <v>459.94</v>
      </c>
      <c r="AF124" s="838">
        <v>413.27</v>
      </c>
      <c r="AG124" s="838">
        <v>425.29</v>
      </c>
      <c r="AH124" s="838">
        <v>483.18</v>
      </c>
      <c r="AI124" s="838">
        <v>463.14</v>
      </c>
      <c r="AJ124" s="838">
        <v>497.67</v>
      </c>
      <c r="AK124" s="838"/>
      <c r="AL124" s="838"/>
      <c r="AM124" s="838"/>
      <c r="AN124" s="838"/>
      <c r="AO124" s="838"/>
      <c r="AP124" s="838"/>
      <c r="AQ124" s="838"/>
    </row>
    <row r="125" spans="2:43">
      <c r="B125" s="839" t="s">
        <v>886</v>
      </c>
      <c r="C125" s="839">
        <v>0</v>
      </c>
      <c r="D125" s="839">
        <v>0</v>
      </c>
      <c r="E125" s="839">
        <v>0</v>
      </c>
      <c r="F125" s="839">
        <v>0</v>
      </c>
      <c r="G125" s="839">
        <v>0</v>
      </c>
      <c r="H125" s="839">
        <v>0</v>
      </c>
      <c r="I125" s="839">
        <v>0</v>
      </c>
      <c r="J125" s="839">
        <v>0</v>
      </c>
      <c r="K125" s="839">
        <v>0</v>
      </c>
      <c r="L125" s="840">
        <v>0</v>
      </c>
      <c r="M125" s="840">
        <v>0</v>
      </c>
      <c r="N125" s="840">
        <v>0</v>
      </c>
      <c r="O125" s="840">
        <v>0</v>
      </c>
      <c r="P125" s="840">
        <v>0</v>
      </c>
      <c r="Q125" s="840">
        <v>0</v>
      </c>
      <c r="R125" s="840">
        <v>0</v>
      </c>
      <c r="S125" s="840">
        <v>0</v>
      </c>
      <c r="T125" s="840">
        <v>0</v>
      </c>
      <c r="U125" s="840">
        <v>15.8</v>
      </c>
      <c r="V125" s="840">
        <v>355.93</v>
      </c>
      <c r="W125" s="840">
        <v>331.71</v>
      </c>
      <c r="X125" s="840">
        <v>57.69</v>
      </c>
      <c r="Y125" s="840">
        <v>62.11</v>
      </c>
      <c r="Z125" s="840">
        <v>2.13</v>
      </c>
      <c r="AA125" s="840">
        <v>41.15</v>
      </c>
      <c r="AB125" s="840">
        <v>50.67</v>
      </c>
      <c r="AC125" s="840">
        <v>150.34</v>
      </c>
      <c r="AD125" s="840">
        <v>185.09</v>
      </c>
      <c r="AE125" s="840">
        <v>249.44</v>
      </c>
      <c r="AF125" s="840">
        <v>171.91</v>
      </c>
      <c r="AG125" s="840">
        <v>185.9</v>
      </c>
      <c r="AH125" s="840">
        <v>261.64</v>
      </c>
      <c r="AI125" s="840">
        <v>238.22</v>
      </c>
      <c r="AJ125" s="840">
        <v>263.70999999999998</v>
      </c>
      <c r="AK125" s="840"/>
      <c r="AL125" s="840"/>
      <c r="AM125" s="840"/>
      <c r="AN125" s="840"/>
      <c r="AO125" s="840"/>
      <c r="AP125" s="840"/>
      <c r="AQ125" s="840"/>
    </row>
    <row r="126" spans="2:43">
      <c r="B126" s="837" t="s">
        <v>887</v>
      </c>
      <c r="C126" s="837">
        <v>0</v>
      </c>
      <c r="D126" s="837">
        <v>0</v>
      </c>
      <c r="E126" s="837">
        <v>0</v>
      </c>
      <c r="F126" s="837">
        <v>0</v>
      </c>
      <c r="G126" s="837">
        <v>0</v>
      </c>
      <c r="H126" s="837">
        <v>0</v>
      </c>
      <c r="I126" s="837">
        <v>0</v>
      </c>
      <c r="J126" s="837">
        <v>0</v>
      </c>
      <c r="K126" s="837">
        <v>0</v>
      </c>
      <c r="L126" s="838">
        <v>0</v>
      </c>
      <c r="M126" s="838">
        <v>0</v>
      </c>
      <c r="N126" s="838">
        <v>0</v>
      </c>
      <c r="O126" s="838">
        <v>0</v>
      </c>
      <c r="P126" s="838">
        <v>0</v>
      </c>
      <c r="Q126" s="838">
        <v>0</v>
      </c>
      <c r="R126" s="838">
        <v>0</v>
      </c>
      <c r="S126" s="838">
        <v>0</v>
      </c>
      <c r="T126" s="838">
        <v>0</v>
      </c>
      <c r="U126" s="838">
        <v>0.28000000000000003</v>
      </c>
      <c r="V126" s="838">
        <v>1.36</v>
      </c>
      <c r="W126" s="838">
        <v>0.73</v>
      </c>
      <c r="X126" s="838">
        <v>74.58</v>
      </c>
      <c r="Y126" s="838">
        <v>7.82</v>
      </c>
      <c r="Z126" s="838">
        <v>5.07</v>
      </c>
      <c r="AA126" s="838">
        <v>31.96</v>
      </c>
      <c r="AB126" s="838">
        <v>62.11</v>
      </c>
      <c r="AC126" s="838">
        <v>137.46</v>
      </c>
      <c r="AD126" s="838">
        <v>169.71</v>
      </c>
      <c r="AE126" s="838">
        <v>247.81</v>
      </c>
      <c r="AF126" s="838">
        <v>190.7</v>
      </c>
      <c r="AG126" s="838">
        <v>298.77</v>
      </c>
      <c r="AH126" s="838">
        <v>313.2</v>
      </c>
      <c r="AI126" s="838">
        <v>313.13</v>
      </c>
      <c r="AJ126" s="838">
        <v>329.64</v>
      </c>
      <c r="AK126" s="838"/>
      <c r="AL126" s="838"/>
      <c r="AM126" s="838"/>
      <c r="AN126" s="838"/>
      <c r="AO126" s="838"/>
      <c r="AP126" s="838"/>
      <c r="AQ126" s="838"/>
    </row>
    <row r="127" spans="2:43">
      <c r="B127" s="839" t="s">
        <v>888</v>
      </c>
      <c r="C127" s="839">
        <v>0</v>
      </c>
      <c r="D127" s="839">
        <v>0</v>
      </c>
      <c r="E127" s="839">
        <v>0</v>
      </c>
      <c r="F127" s="839">
        <v>0</v>
      </c>
      <c r="G127" s="839">
        <v>0</v>
      </c>
      <c r="H127" s="839">
        <v>0</v>
      </c>
      <c r="I127" s="839">
        <v>0</v>
      </c>
      <c r="J127" s="839">
        <v>0</v>
      </c>
      <c r="K127" s="839">
        <v>0</v>
      </c>
      <c r="L127" s="840">
        <v>0</v>
      </c>
      <c r="M127" s="840">
        <v>0</v>
      </c>
      <c r="N127" s="840">
        <v>0</v>
      </c>
      <c r="O127" s="840">
        <v>0</v>
      </c>
      <c r="P127" s="840">
        <v>0</v>
      </c>
      <c r="Q127" s="840">
        <v>0</v>
      </c>
      <c r="R127" s="840">
        <v>0</v>
      </c>
      <c r="S127" s="840">
        <v>0</v>
      </c>
      <c r="T127" s="840">
        <v>0</v>
      </c>
      <c r="U127" s="840">
        <v>18.14</v>
      </c>
      <c r="V127" s="840">
        <v>206.46</v>
      </c>
      <c r="W127" s="840">
        <v>232.95</v>
      </c>
      <c r="X127" s="840">
        <v>244.02</v>
      </c>
      <c r="Y127" s="840">
        <v>145.78</v>
      </c>
      <c r="Z127" s="840">
        <v>190.91</v>
      </c>
      <c r="AA127" s="840">
        <v>191.63</v>
      </c>
      <c r="AB127" s="840">
        <v>262.83</v>
      </c>
      <c r="AC127" s="840">
        <v>433.29</v>
      </c>
      <c r="AD127" s="840">
        <v>420.85</v>
      </c>
      <c r="AE127" s="840">
        <v>467.32</v>
      </c>
      <c r="AF127" s="840">
        <v>384.07</v>
      </c>
      <c r="AG127" s="840">
        <v>408.46</v>
      </c>
      <c r="AH127" s="840">
        <v>467.72</v>
      </c>
      <c r="AI127" s="840">
        <v>438.36</v>
      </c>
      <c r="AJ127" s="840">
        <v>467.26</v>
      </c>
      <c r="AK127" s="840"/>
      <c r="AL127" s="840"/>
      <c r="AM127" s="840"/>
      <c r="AN127" s="840"/>
      <c r="AO127" s="840"/>
      <c r="AP127" s="840"/>
      <c r="AQ127" s="840"/>
    </row>
    <row r="128" spans="2:43">
      <c r="B128" s="837" t="s">
        <v>889</v>
      </c>
      <c r="C128" s="837">
        <v>0</v>
      </c>
      <c r="D128" s="837">
        <v>0</v>
      </c>
      <c r="E128" s="837">
        <v>0</v>
      </c>
      <c r="F128" s="837">
        <v>0</v>
      </c>
      <c r="G128" s="837">
        <v>0</v>
      </c>
      <c r="H128" s="837">
        <v>0</v>
      </c>
      <c r="I128" s="837">
        <v>0</v>
      </c>
      <c r="J128" s="837">
        <v>0</v>
      </c>
      <c r="K128" s="837">
        <v>0</v>
      </c>
      <c r="L128" s="838">
        <v>0</v>
      </c>
      <c r="M128" s="838">
        <v>0</v>
      </c>
      <c r="N128" s="838">
        <v>0</v>
      </c>
      <c r="O128" s="838">
        <v>0</v>
      </c>
      <c r="P128" s="838">
        <v>0</v>
      </c>
      <c r="Q128" s="838">
        <v>0</v>
      </c>
      <c r="R128" s="838">
        <v>0</v>
      </c>
      <c r="S128" s="838">
        <v>0</v>
      </c>
      <c r="T128" s="838">
        <v>0</v>
      </c>
      <c r="U128" s="838">
        <v>10.83</v>
      </c>
      <c r="V128" s="838">
        <v>365.53</v>
      </c>
      <c r="W128" s="838">
        <v>169.46</v>
      </c>
      <c r="X128" s="838">
        <v>65.88</v>
      </c>
      <c r="Y128" s="838">
        <v>20.34</v>
      </c>
      <c r="Z128" s="838">
        <v>3.3</v>
      </c>
      <c r="AA128" s="838">
        <v>26.67</v>
      </c>
      <c r="AB128" s="838">
        <v>60.27</v>
      </c>
      <c r="AC128" s="838">
        <v>157.41</v>
      </c>
      <c r="AD128" s="838">
        <v>172.7</v>
      </c>
      <c r="AE128" s="838">
        <v>229.01</v>
      </c>
      <c r="AF128" s="838">
        <v>160.46</v>
      </c>
      <c r="AG128" s="838">
        <v>162.69999999999999</v>
      </c>
      <c r="AH128" s="838">
        <v>231.45</v>
      </c>
      <c r="AI128" s="838">
        <v>189.43</v>
      </c>
      <c r="AJ128" s="838">
        <v>240.68</v>
      </c>
      <c r="AK128" s="838"/>
      <c r="AL128" s="838"/>
      <c r="AM128" s="838"/>
      <c r="AN128" s="838"/>
      <c r="AO128" s="838"/>
      <c r="AP128" s="838"/>
      <c r="AQ128" s="838"/>
    </row>
    <row r="129" spans="2:43">
      <c r="B129" s="839" t="s">
        <v>890</v>
      </c>
      <c r="C129" s="839">
        <v>0</v>
      </c>
      <c r="D129" s="839">
        <v>0</v>
      </c>
      <c r="E129" s="839">
        <v>0</v>
      </c>
      <c r="F129" s="839">
        <v>0</v>
      </c>
      <c r="G129" s="839">
        <v>0</v>
      </c>
      <c r="H129" s="839">
        <v>0</v>
      </c>
      <c r="I129" s="839">
        <v>0</v>
      </c>
      <c r="J129" s="839">
        <v>0</v>
      </c>
      <c r="K129" s="839">
        <v>0</v>
      </c>
      <c r="L129" s="840">
        <v>0</v>
      </c>
      <c r="M129" s="840">
        <v>0</v>
      </c>
      <c r="N129" s="840">
        <v>0</v>
      </c>
      <c r="O129" s="840">
        <v>0</v>
      </c>
      <c r="P129" s="840">
        <v>0</v>
      </c>
      <c r="Q129" s="840">
        <v>0</v>
      </c>
      <c r="R129" s="840">
        <v>0</v>
      </c>
      <c r="S129" s="840">
        <v>0</v>
      </c>
      <c r="T129" s="840">
        <v>0</v>
      </c>
      <c r="U129" s="840">
        <v>6.54</v>
      </c>
      <c r="V129" s="840">
        <v>3.3</v>
      </c>
      <c r="W129" s="840">
        <v>88.9</v>
      </c>
      <c r="X129" s="840">
        <v>109.4</v>
      </c>
      <c r="Y129" s="840">
        <v>5.89</v>
      </c>
      <c r="Z129" s="840">
        <v>6.83</v>
      </c>
      <c r="AA129" s="840">
        <v>31.24</v>
      </c>
      <c r="AB129" s="840">
        <v>103.7</v>
      </c>
      <c r="AC129" s="840">
        <v>249.58</v>
      </c>
      <c r="AD129" s="840">
        <v>231.08</v>
      </c>
      <c r="AE129" s="840">
        <v>269.45999999999998</v>
      </c>
      <c r="AF129" s="840">
        <v>179.23</v>
      </c>
      <c r="AG129" s="840">
        <v>174.79</v>
      </c>
      <c r="AH129" s="840">
        <v>299.95999999999998</v>
      </c>
      <c r="AI129" s="840">
        <v>265.27999999999997</v>
      </c>
      <c r="AJ129" s="840">
        <v>286.24</v>
      </c>
      <c r="AK129" s="840"/>
      <c r="AL129" s="840"/>
      <c r="AM129" s="840"/>
      <c r="AN129" s="840"/>
      <c r="AO129" s="840"/>
      <c r="AP129" s="840"/>
      <c r="AQ129" s="840"/>
    </row>
    <row r="130" spans="2:43">
      <c r="B130" s="837" t="s">
        <v>891</v>
      </c>
      <c r="C130" s="837">
        <v>0</v>
      </c>
      <c r="D130" s="837">
        <v>0</v>
      </c>
      <c r="E130" s="837">
        <v>0</v>
      </c>
      <c r="F130" s="837">
        <v>0</v>
      </c>
      <c r="G130" s="837">
        <v>0</v>
      </c>
      <c r="H130" s="837">
        <v>0</v>
      </c>
      <c r="I130" s="837">
        <v>0</v>
      </c>
      <c r="J130" s="837">
        <v>0</v>
      </c>
      <c r="K130" s="837">
        <v>0</v>
      </c>
      <c r="L130" s="838">
        <v>0</v>
      </c>
      <c r="M130" s="838">
        <v>0</v>
      </c>
      <c r="N130" s="838">
        <v>0</v>
      </c>
      <c r="O130" s="838">
        <v>0</v>
      </c>
      <c r="P130" s="838">
        <v>0</v>
      </c>
      <c r="Q130" s="838">
        <v>0</v>
      </c>
      <c r="R130" s="838">
        <v>0</v>
      </c>
      <c r="S130" s="838">
        <v>0</v>
      </c>
      <c r="T130" s="838">
        <v>0</v>
      </c>
      <c r="U130" s="838">
        <v>12.08</v>
      </c>
      <c r="V130" s="838">
        <v>390.44</v>
      </c>
      <c r="W130" s="838">
        <v>257.26</v>
      </c>
      <c r="X130" s="838">
        <v>368.69</v>
      </c>
      <c r="Y130" s="838">
        <v>189.33</v>
      </c>
      <c r="Z130" s="838">
        <v>172.93</v>
      </c>
      <c r="AA130" s="838">
        <v>191.63</v>
      </c>
      <c r="AB130" s="838">
        <v>279.51</v>
      </c>
      <c r="AC130" s="838">
        <v>480.93</v>
      </c>
      <c r="AD130" s="838">
        <v>425.16</v>
      </c>
      <c r="AE130" s="838">
        <v>441.5</v>
      </c>
      <c r="AF130" s="838">
        <v>393.04</v>
      </c>
      <c r="AG130" s="838">
        <v>409.16</v>
      </c>
      <c r="AH130" s="838">
        <v>445.95</v>
      </c>
      <c r="AI130" s="838">
        <v>422.09</v>
      </c>
      <c r="AJ130" s="838">
        <v>451.46</v>
      </c>
      <c r="AK130" s="838"/>
      <c r="AL130" s="838"/>
      <c r="AM130" s="838"/>
      <c r="AN130" s="838"/>
      <c r="AO130" s="838"/>
      <c r="AP130" s="838"/>
      <c r="AQ130" s="838"/>
    </row>
    <row r="131" spans="2:43">
      <c r="B131" s="839" t="s">
        <v>892</v>
      </c>
      <c r="C131" s="839">
        <v>0</v>
      </c>
      <c r="D131" s="839">
        <v>0</v>
      </c>
      <c r="E131" s="839">
        <v>0</v>
      </c>
      <c r="F131" s="839">
        <v>0</v>
      </c>
      <c r="G131" s="839">
        <v>0</v>
      </c>
      <c r="H131" s="839">
        <v>0</v>
      </c>
      <c r="I131" s="839">
        <v>0</v>
      </c>
      <c r="J131" s="839">
        <v>0</v>
      </c>
      <c r="K131" s="839">
        <v>0</v>
      </c>
      <c r="L131" s="840">
        <v>0</v>
      </c>
      <c r="M131" s="840">
        <v>0</v>
      </c>
      <c r="N131" s="840">
        <v>0</v>
      </c>
      <c r="O131" s="840">
        <v>0</v>
      </c>
      <c r="P131" s="840">
        <v>0</v>
      </c>
      <c r="Q131" s="840">
        <v>0</v>
      </c>
      <c r="R131" s="840">
        <v>0</v>
      </c>
      <c r="S131" s="840">
        <v>0</v>
      </c>
      <c r="T131" s="840">
        <v>0</v>
      </c>
      <c r="U131" s="840">
        <v>16.66</v>
      </c>
      <c r="V131" s="840">
        <v>254.99</v>
      </c>
      <c r="W131" s="840">
        <v>63.7</v>
      </c>
      <c r="X131" s="840">
        <v>35.9</v>
      </c>
      <c r="Y131" s="840">
        <v>12.96</v>
      </c>
      <c r="Z131" s="840">
        <v>5.77</v>
      </c>
      <c r="AA131" s="840">
        <v>35.83</v>
      </c>
      <c r="AB131" s="840">
        <v>120.53</v>
      </c>
      <c r="AC131" s="840">
        <v>264.08999999999997</v>
      </c>
      <c r="AD131" s="840">
        <v>288.19</v>
      </c>
      <c r="AE131" s="840">
        <v>320.01</v>
      </c>
      <c r="AF131" s="840">
        <v>251.2</v>
      </c>
      <c r="AG131" s="840">
        <v>200.75</v>
      </c>
      <c r="AH131" s="840">
        <v>287.75</v>
      </c>
      <c r="AI131" s="840">
        <v>243.37</v>
      </c>
      <c r="AJ131" s="840">
        <v>302.02999999999997</v>
      </c>
      <c r="AK131" s="840"/>
      <c r="AL131" s="840"/>
      <c r="AM131" s="840"/>
      <c r="AN131" s="840"/>
      <c r="AO131" s="840"/>
      <c r="AP131" s="840"/>
      <c r="AQ131" s="840"/>
    </row>
    <row r="132" spans="2:43">
      <c r="B132" s="837" t="s">
        <v>893</v>
      </c>
      <c r="C132" s="837">
        <v>0</v>
      </c>
      <c r="D132" s="837">
        <v>0</v>
      </c>
      <c r="E132" s="837">
        <v>0</v>
      </c>
      <c r="F132" s="837">
        <v>0</v>
      </c>
      <c r="G132" s="837">
        <v>0</v>
      </c>
      <c r="H132" s="837">
        <v>0</v>
      </c>
      <c r="I132" s="837">
        <v>0</v>
      </c>
      <c r="J132" s="837">
        <v>0</v>
      </c>
      <c r="K132" s="837">
        <v>0</v>
      </c>
      <c r="L132" s="838">
        <v>0</v>
      </c>
      <c r="M132" s="838">
        <v>0</v>
      </c>
      <c r="N132" s="838">
        <v>0</v>
      </c>
      <c r="O132" s="838">
        <v>0</v>
      </c>
      <c r="P132" s="838">
        <v>0</v>
      </c>
      <c r="Q132" s="838">
        <v>0</v>
      </c>
      <c r="R132" s="838">
        <v>0</v>
      </c>
      <c r="S132" s="838">
        <v>0</v>
      </c>
      <c r="T132" s="838">
        <v>0</v>
      </c>
      <c r="U132" s="838">
        <v>0.28000000000000003</v>
      </c>
      <c r="V132" s="838">
        <v>2.99</v>
      </c>
      <c r="W132" s="838">
        <v>0.88</v>
      </c>
      <c r="X132" s="838">
        <v>80.540000000000006</v>
      </c>
      <c r="Y132" s="838">
        <v>8.94</v>
      </c>
      <c r="Z132" s="838">
        <v>8.26</v>
      </c>
      <c r="AA132" s="838">
        <v>33.549999999999997</v>
      </c>
      <c r="AB132" s="838">
        <v>115.81</v>
      </c>
      <c r="AC132" s="838">
        <v>306.14</v>
      </c>
      <c r="AD132" s="838">
        <v>286.2</v>
      </c>
      <c r="AE132" s="838">
        <v>304.12</v>
      </c>
      <c r="AF132" s="838">
        <v>240.41</v>
      </c>
      <c r="AG132" s="838">
        <v>237.42</v>
      </c>
      <c r="AH132" s="838">
        <v>308.04000000000002</v>
      </c>
      <c r="AI132" s="838">
        <v>275.60000000000002</v>
      </c>
      <c r="AJ132" s="838">
        <v>307.8</v>
      </c>
      <c r="AK132" s="838"/>
      <c r="AL132" s="838"/>
      <c r="AM132" s="838"/>
      <c r="AN132" s="838"/>
      <c r="AO132" s="838"/>
      <c r="AP132" s="838"/>
      <c r="AQ132" s="838"/>
    </row>
    <row r="133" spans="2:43">
      <c r="B133" s="839" t="s">
        <v>894</v>
      </c>
      <c r="C133" s="839">
        <v>0</v>
      </c>
      <c r="D133" s="839">
        <v>0</v>
      </c>
      <c r="E133" s="839">
        <v>0</v>
      </c>
      <c r="F133" s="839">
        <v>0</v>
      </c>
      <c r="G133" s="839">
        <v>0</v>
      </c>
      <c r="H133" s="839">
        <v>0</v>
      </c>
      <c r="I133" s="839">
        <v>0</v>
      </c>
      <c r="J133" s="839">
        <v>0</v>
      </c>
      <c r="K133" s="839">
        <v>0</v>
      </c>
      <c r="L133" s="840">
        <v>0</v>
      </c>
      <c r="M133" s="840">
        <v>0</v>
      </c>
      <c r="N133" s="840">
        <v>0</v>
      </c>
      <c r="O133" s="840">
        <v>0</v>
      </c>
      <c r="P133" s="840">
        <v>0</v>
      </c>
      <c r="Q133" s="840">
        <v>0</v>
      </c>
      <c r="R133" s="840">
        <v>0</v>
      </c>
      <c r="S133" s="840">
        <v>0</v>
      </c>
      <c r="T133" s="840">
        <v>0</v>
      </c>
      <c r="U133" s="840">
        <v>86.14</v>
      </c>
      <c r="V133" s="840">
        <v>2106.92</v>
      </c>
      <c r="W133" s="840">
        <v>4826.25</v>
      </c>
      <c r="X133" s="840">
        <v>6119.59</v>
      </c>
      <c r="Y133" s="840">
        <v>9298.1</v>
      </c>
      <c r="Z133" s="840">
        <v>12733.87</v>
      </c>
      <c r="AA133" s="840">
        <v>13521.48</v>
      </c>
      <c r="AB133" s="840">
        <v>13847.75</v>
      </c>
      <c r="AC133" s="840">
        <v>17001.509999999998</v>
      </c>
      <c r="AD133" s="840">
        <v>16269.66</v>
      </c>
      <c r="AE133" s="840">
        <v>17095.939999999999</v>
      </c>
      <c r="AF133" s="840">
        <v>15309.84</v>
      </c>
      <c r="AG133" s="840">
        <v>15885.19</v>
      </c>
      <c r="AH133" s="840">
        <v>17066.990000000002</v>
      </c>
      <c r="AI133" s="840">
        <v>16310.75</v>
      </c>
      <c r="AJ133" s="840">
        <v>17135.810000000001</v>
      </c>
      <c r="AK133" s="840"/>
      <c r="AL133" s="840"/>
      <c r="AM133" s="840"/>
      <c r="AN133" s="840"/>
      <c r="AO133" s="840"/>
      <c r="AP133" s="840"/>
      <c r="AQ133" s="840"/>
    </row>
    <row r="134" spans="2:43">
      <c r="B134" s="837" t="s">
        <v>895</v>
      </c>
      <c r="C134" s="837">
        <v>0</v>
      </c>
      <c r="D134" s="837">
        <v>0</v>
      </c>
      <c r="E134" s="837">
        <v>0</v>
      </c>
      <c r="F134" s="837">
        <v>0</v>
      </c>
      <c r="G134" s="837">
        <v>0</v>
      </c>
      <c r="H134" s="837">
        <v>0</v>
      </c>
      <c r="I134" s="837">
        <v>0</v>
      </c>
      <c r="J134" s="837">
        <v>0</v>
      </c>
      <c r="K134" s="837">
        <v>0</v>
      </c>
      <c r="L134" s="838">
        <v>0</v>
      </c>
      <c r="M134" s="838">
        <v>0</v>
      </c>
      <c r="N134" s="838">
        <v>0</v>
      </c>
      <c r="O134" s="838">
        <v>0</v>
      </c>
      <c r="P134" s="838">
        <v>0</v>
      </c>
      <c r="Q134" s="838">
        <v>0</v>
      </c>
      <c r="R134" s="838">
        <v>0</v>
      </c>
      <c r="S134" s="838">
        <v>0</v>
      </c>
      <c r="T134" s="838">
        <v>0</v>
      </c>
      <c r="U134" s="838">
        <v>15.53</v>
      </c>
      <c r="V134" s="838">
        <v>230.42</v>
      </c>
      <c r="W134" s="838">
        <v>313.08</v>
      </c>
      <c r="X134" s="838">
        <v>419.73</v>
      </c>
      <c r="Y134" s="838">
        <v>319.98</v>
      </c>
      <c r="Z134" s="838">
        <v>290.68</v>
      </c>
      <c r="AA134" s="838">
        <v>421.48</v>
      </c>
      <c r="AB134" s="838">
        <v>482.96</v>
      </c>
      <c r="AC134" s="838">
        <v>714.28</v>
      </c>
      <c r="AD134" s="838">
        <v>683.34</v>
      </c>
      <c r="AE134" s="838">
        <v>703.24</v>
      </c>
      <c r="AF134" s="838">
        <v>593.82000000000005</v>
      </c>
      <c r="AG134" s="838">
        <v>615.26</v>
      </c>
      <c r="AH134" s="838">
        <v>690.65</v>
      </c>
      <c r="AI134" s="838">
        <v>655.72</v>
      </c>
      <c r="AJ134" s="838">
        <v>707.75</v>
      </c>
      <c r="AK134" s="838"/>
      <c r="AL134" s="838"/>
      <c r="AM134" s="838"/>
      <c r="AN134" s="838"/>
      <c r="AO134" s="838"/>
      <c r="AP134" s="838"/>
      <c r="AQ134" s="838"/>
    </row>
    <row r="135" spans="2:43">
      <c r="B135" s="839" t="s">
        <v>896</v>
      </c>
      <c r="C135" s="839">
        <v>0</v>
      </c>
      <c r="D135" s="839">
        <v>0</v>
      </c>
      <c r="E135" s="839">
        <v>0</v>
      </c>
      <c r="F135" s="839">
        <v>0</v>
      </c>
      <c r="G135" s="839">
        <v>0</v>
      </c>
      <c r="H135" s="839">
        <v>0</v>
      </c>
      <c r="I135" s="839">
        <v>0</v>
      </c>
      <c r="J135" s="839">
        <v>0</v>
      </c>
      <c r="K135" s="839">
        <v>0</v>
      </c>
      <c r="L135" s="840">
        <v>0</v>
      </c>
      <c r="M135" s="840">
        <v>0</v>
      </c>
      <c r="N135" s="840">
        <v>0</v>
      </c>
      <c r="O135" s="840">
        <v>0</v>
      </c>
      <c r="P135" s="840">
        <v>0</v>
      </c>
      <c r="Q135" s="840">
        <v>0</v>
      </c>
      <c r="R135" s="840">
        <v>0</v>
      </c>
      <c r="S135" s="840">
        <v>0</v>
      </c>
      <c r="T135" s="840">
        <v>0</v>
      </c>
      <c r="U135" s="840">
        <v>0.39</v>
      </c>
      <c r="V135" s="840">
        <v>14.82</v>
      </c>
      <c r="W135" s="840">
        <v>100.47</v>
      </c>
      <c r="X135" s="840">
        <v>63.94</v>
      </c>
      <c r="Y135" s="840">
        <v>62.99</v>
      </c>
      <c r="Z135" s="840">
        <v>7.57</v>
      </c>
      <c r="AA135" s="840">
        <v>30.89</v>
      </c>
      <c r="AB135" s="840">
        <v>80.180000000000007</v>
      </c>
      <c r="AC135" s="840">
        <v>174.65</v>
      </c>
      <c r="AD135" s="840">
        <v>201.03</v>
      </c>
      <c r="AE135" s="840">
        <v>253.77</v>
      </c>
      <c r="AF135" s="840">
        <v>135.82</v>
      </c>
      <c r="AG135" s="840">
        <v>155.01</v>
      </c>
      <c r="AH135" s="840">
        <v>224.58</v>
      </c>
      <c r="AI135" s="840">
        <v>200.91</v>
      </c>
      <c r="AJ135" s="840">
        <v>244.18</v>
      </c>
      <c r="AK135" s="840"/>
      <c r="AL135" s="840"/>
      <c r="AM135" s="840"/>
      <c r="AN135" s="840"/>
      <c r="AO135" s="840"/>
      <c r="AP135" s="840"/>
      <c r="AQ135" s="840"/>
    </row>
    <row r="136" spans="2:43">
      <c r="B136" s="837" t="s">
        <v>897</v>
      </c>
      <c r="C136" s="837">
        <v>0</v>
      </c>
      <c r="D136" s="837">
        <v>0</v>
      </c>
      <c r="E136" s="837">
        <v>0</v>
      </c>
      <c r="F136" s="837">
        <v>0</v>
      </c>
      <c r="G136" s="837">
        <v>0</v>
      </c>
      <c r="H136" s="837">
        <v>0</v>
      </c>
      <c r="I136" s="837">
        <v>0</v>
      </c>
      <c r="J136" s="837">
        <v>0</v>
      </c>
      <c r="K136" s="837">
        <v>0</v>
      </c>
      <c r="L136" s="838">
        <v>0</v>
      </c>
      <c r="M136" s="838">
        <v>0</v>
      </c>
      <c r="N136" s="838">
        <v>0</v>
      </c>
      <c r="O136" s="838">
        <v>0</v>
      </c>
      <c r="P136" s="838">
        <v>0</v>
      </c>
      <c r="Q136" s="838">
        <v>0</v>
      </c>
      <c r="R136" s="838">
        <v>0</v>
      </c>
      <c r="S136" s="838">
        <v>0</v>
      </c>
      <c r="T136" s="838">
        <v>0</v>
      </c>
      <c r="U136" s="838">
        <v>6.16</v>
      </c>
      <c r="V136" s="838">
        <v>112.5</v>
      </c>
      <c r="W136" s="838">
        <v>368.57</v>
      </c>
      <c r="X136" s="838">
        <v>829.05</v>
      </c>
      <c r="Y136" s="838">
        <v>1365.07</v>
      </c>
      <c r="Z136" s="838">
        <v>2096.56</v>
      </c>
      <c r="AA136" s="838">
        <v>2102.2600000000002</v>
      </c>
      <c r="AB136" s="838">
        <v>1940.93</v>
      </c>
      <c r="AC136" s="838">
        <v>2068.21</v>
      </c>
      <c r="AD136" s="838">
        <v>2006.96</v>
      </c>
      <c r="AE136" s="838">
        <v>2068.11</v>
      </c>
      <c r="AF136" s="838">
        <v>2003.33</v>
      </c>
      <c r="AG136" s="838">
        <v>2069.3000000000002</v>
      </c>
      <c r="AH136" s="838">
        <v>2069.7199999999998</v>
      </c>
      <c r="AI136" s="838">
        <v>2006.72</v>
      </c>
      <c r="AJ136" s="838">
        <v>2076.62</v>
      </c>
      <c r="AK136" s="838"/>
      <c r="AL136" s="838"/>
      <c r="AM136" s="838"/>
      <c r="AN136" s="838"/>
      <c r="AO136" s="838"/>
      <c r="AP136" s="838"/>
      <c r="AQ136" s="838"/>
    </row>
    <row r="137" spans="2:43">
      <c r="B137" s="839" t="s">
        <v>898</v>
      </c>
      <c r="C137" s="839">
        <v>0</v>
      </c>
      <c r="D137" s="839">
        <v>0</v>
      </c>
      <c r="E137" s="839">
        <v>0</v>
      </c>
      <c r="F137" s="839">
        <v>0</v>
      </c>
      <c r="G137" s="839">
        <v>0</v>
      </c>
      <c r="H137" s="839">
        <v>0</v>
      </c>
      <c r="I137" s="839">
        <v>0</v>
      </c>
      <c r="J137" s="839">
        <v>0</v>
      </c>
      <c r="K137" s="839">
        <v>0</v>
      </c>
      <c r="L137" s="840">
        <v>0</v>
      </c>
      <c r="M137" s="840">
        <v>0</v>
      </c>
      <c r="N137" s="840">
        <v>0</v>
      </c>
      <c r="O137" s="840">
        <v>0</v>
      </c>
      <c r="P137" s="840">
        <v>0</v>
      </c>
      <c r="Q137" s="840">
        <v>0</v>
      </c>
      <c r="R137" s="840">
        <v>0</v>
      </c>
      <c r="S137" s="840">
        <v>0</v>
      </c>
      <c r="T137" s="840">
        <v>0</v>
      </c>
      <c r="U137" s="840">
        <v>4.29</v>
      </c>
      <c r="V137" s="840">
        <v>316.05</v>
      </c>
      <c r="W137" s="840">
        <v>48.88</v>
      </c>
      <c r="X137" s="840">
        <v>100.58</v>
      </c>
      <c r="Y137" s="840">
        <v>107.21</v>
      </c>
      <c r="Z137" s="840">
        <v>136.09</v>
      </c>
      <c r="AA137" s="840">
        <v>145.88999999999999</v>
      </c>
      <c r="AB137" s="840">
        <v>182.79</v>
      </c>
      <c r="AC137" s="840">
        <v>274.45999999999998</v>
      </c>
      <c r="AD137" s="840">
        <v>273.72000000000003</v>
      </c>
      <c r="AE137" s="840">
        <v>301.57</v>
      </c>
      <c r="AF137" s="840">
        <v>223.86</v>
      </c>
      <c r="AG137" s="840">
        <v>261.37</v>
      </c>
      <c r="AH137" s="840">
        <v>329.35</v>
      </c>
      <c r="AI137" s="840">
        <v>316.17</v>
      </c>
      <c r="AJ137" s="840">
        <v>352.22</v>
      </c>
      <c r="AK137" s="840"/>
      <c r="AL137" s="840"/>
      <c r="AM137" s="840"/>
      <c r="AN137" s="840"/>
      <c r="AO137" s="840"/>
      <c r="AP137" s="840"/>
      <c r="AQ137" s="840"/>
    </row>
    <row r="138" spans="2:43">
      <c r="B138" s="837" t="s">
        <v>899</v>
      </c>
      <c r="C138" s="837">
        <v>0</v>
      </c>
      <c r="D138" s="837">
        <v>0</v>
      </c>
      <c r="E138" s="837">
        <v>0</v>
      </c>
      <c r="F138" s="837">
        <v>0</v>
      </c>
      <c r="G138" s="837">
        <v>0</v>
      </c>
      <c r="H138" s="837">
        <v>0</v>
      </c>
      <c r="I138" s="837">
        <v>0</v>
      </c>
      <c r="J138" s="837">
        <v>0</v>
      </c>
      <c r="K138" s="837">
        <v>0</v>
      </c>
      <c r="L138" s="838">
        <v>0</v>
      </c>
      <c r="M138" s="838">
        <v>0</v>
      </c>
      <c r="N138" s="838">
        <v>0</v>
      </c>
      <c r="O138" s="838">
        <v>0</v>
      </c>
      <c r="P138" s="838">
        <v>0</v>
      </c>
      <c r="Q138" s="838">
        <v>0</v>
      </c>
      <c r="R138" s="838">
        <v>0</v>
      </c>
      <c r="S138" s="838">
        <v>0</v>
      </c>
      <c r="T138" s="838">
        <v>0</v>
      </c>
      <c r="U138" s="838">
        <v>14.17</v>
      </c>
      <c r="V138" s="838">
        <v>196.36</v>
      </c>
      <c r="W138" s="838">
        <v>255.72</v>
      </c>
      <c r="X138" s="838">
        <v>562.20000000000005</v>
      </c>
      <c r="Y138" s="838">
        <v>279.52999999999997</v>
      </c>
      <c r="Z138" s="838">
        <v>243.73</v>
      </c>
      <c r="AA138" s="838">
        <v>368.7</v>
      </c>
      <c r="AB138" s="838">
        <v>486.55</v>
      </c>
      <c r="AC138" s="838">
        <v>733.44</v>
      </c>
      <c r="AD138" s="838">
        <v>680.82</v>
      </c>
      <c r="AE138" s="838">
        <v>730.98</v>
      </c>
      <c r="AF138" s="838">
        <v>613.64</v>
      </c>
      <c r="AG138" s="838">
        <v>631.35</v>
      </c>
      <c r="AH138" s="838">
        <v>736.15</v>
      </c>
      <c r="AI138" s="838">
        <v>691.84</v>
      </c>
      <c r="AJ138" s="838">
        <v>740.33</v>
      </c>
      <c r="AK138" s="838"/>
      <c r="AL138" s="838"/>
      <c r="AM138" s="838"/>
      <c r="AN138" s="838"/>
      <c r="AO138" s="838"/>
      <c r="AP138" s="838"/>
      <c r="AQ138" s="838"/>
    </row>
    <row r="139" spans="2:43">
      <c r="B139" s="839" t="s">
        <v>900</v>
      </c>
      <c r="C139" s="839">
        <v>0</v>
      </c>
      <c r="D139" s="839">
        <v>0</v>
      </c>
      <c r="E139" s="839">
        <v>0</v>
      </c>
      <c r="F139" s="839">
        <v>0</v>
      </c>
      <c r="G139" s="839">
        <v>0</v>
      </c>
      <c r="H139" s="839">
        <v>0</v>
      </c>
      <c r="I139" s="839">
        <v>0</v>
      </c>
      <c r="J139" s="839">
        <v>0</v>
      </c>
      <c r="K139" s="839">
        <v>0</v>
      </c>
      <c r="L139" s="840">
        <v>0</v>
      </c>
      <c r="M139" s="840">
        <v>0</v>
      </c>
      <c r="N139" s="840">
        <v>0</v>
      </c>
      <c r="O139" s="840">
        <v>0</v>
      </c>
      <c r="P139" s="840">
        <v>0</v>
      </c>
      <c r="Q139" s="840">
        <v>0</v>
      </c>
      <c r="R139" s="840">
        <v>0</v>
      </c>
      <c r="S139" s="840">
        <v>0</v>
      </c>
      <c r="T139" s="840">
        <v>0</v>
      </c>
      <c r="U139" s="840">
        <v>4.91</v>
      </c>
      <c r="V139" s="840">
        <v>152.41</v>
      </c>
      <c r="W139" s="840">
        <v>190.24</v>
      </c>
      <c r="X139" s="840">
        <v>76.06</v>
      </c>
      <c r="Y139" s="840">
        <v>77.430000000000007</v>
      </c>
      <c r="Z139" s="840">
        <v>1.63</v>
      </c>
      <c r="AA139" s="840">
        <v>32.65</v>
      </c>
      <c r="AB139" s="840">
        <v>66.13</v>
      </c>
      <c r="AC139" s="840">
        <v>129.22</v>
      </c>
      <c r="AD139" s="840">
        <v>132.01</v>
      </c>
      <c r="AE139" s="840">
        <v>161.47</v>
      </c>
      <c r="AF139" s="840">
        <v>119.86</v>
      </c>
      <c r="AG139" s="840">
        <v>128.87</v>
      </c>
      <c r="AH139" s="840">
        <v>186.86</v>
      </c>
      <c r="AI139" s="840">
        <v>146.68</v>
      </c>
      <c r="AJ139" s="840">
        <v>182.24</v>
      </c>
      <c r="AK139" s="840"/>
      <c r="AL139" s="840"/>
      <c r="AM139" s="840"/>
      <c r="AN139" s="840"/>
      <c r="AO139" s="840"/>
      <c r="AP139" s="840"/>
      <c r="AQ139" s="840"/>
    </row>
    <row r="140" spans="2:43">
      <c r="B140" s="837" t="s">
        <v>901</v>
      </c>
      <c r="C140" s="837">
        <v>0</v>
      </c>
      <c r="D140" s="837">
        <v>0</v>
      </c>
      <c r="E140" s="837">
        <v>0</v>
      </c>
      <c r="F140" s="837">
        <v>0</v>
      </c>
      <c r="G140" s="837">
        <v>0</v>
      </c>
      <c r="H140" s="837">
        <v>0</v>
      </c>
      <c r="I140" s="837">
        <v>0</v>
      </c>
      <c r="J140" s="837">
        <v>0</v>
      </c>
      <c r="K140" s="837">
        <v>0</v>
      </c>
      <c r="L140" s="838">
        <v>0</v>
      </c>
      <c r="M140" s="838">
        <v>0</v>
      </c>
      <c r="N140" s="838">
        <v>0</v>
      </c>
      <c r="O140" s="838">
        <v>0</v>
      </c>
      <c r="P140" s="838">
        <v>0</v>
      </c>
      <c r="Q140" s="838">
        <v>0</v>
      </c>
      <c r="R140" s="838">
        <v>0</v>
      </c>
      <c r="S140" s="838">
        <v>0</v>
      </c>
      <c r="T140" s="838">
        <v>0</v>
      </c>
      <c r="U140" s="838">
        <v>10.17</v>
      </c>
      <c r="V140" s="838">
        <v>11.25</v>
      </c>
      <c r="W140" s="838">
        <v>321.91000000000003</v>
      </c>
      <c r="X140" s="838">
        <v>457.74</v>
      </c>
      <c r="Y140" s="838">
        <v>1284.0999999999999</v>
      </c>
      <c r="Z140" s="838">
        <v>2068.2600000000002</v>
      </c>
      <c r="AA140" s="838">
        <v>2083.54</v>
      </c>
      <c r="AB140" s="838">
        <v>1941.8</v>
      </c>
      <c r="AC140" s="838">
        <v>2064.17</v>
      </c>
      <c r="AD140" s="838">
        <v>2000.51</v>
      </c>
      <c r="AE140" s="838">
        <v>2039.72</v>
      </c>
      <c r="AF140" s="838">
        <v>1982.57</v>
      </c>
      <c r="AG140" s="838">
        <v>2057.1799999999998</v>
      </c>
      <c r="AH140" s="838">
        <v>2050.34</v>
      </c>
      <c r="AI140" s="838">
        <v>1992.59</v>
      </c>
      <c r="AJ140" s="838">
        <v>2059.77</v>
      </c>
      <c r="AK140" s="838"/>
      <c r="AL140" s="838"/>
      <c r="AM140" s="838"/>
      <c r="AN140" s="838"/>
      <c r="AO140" s="838"/>
      <c r="AP140" s="838"/>
      <c r="AQ140" s="838"/>
    </row>
    <row r="141" spans="2:43">
      <c r="B141" s="839" t="s">
        <v>902</v>
      </c>
      <c r="C141" s="839">
        <v>0</v>
      </c>
      <c r="D141" s="839">
        <v>0</v>
      </c>
      <c r="E141" s="839">
        <v>0</v>
      </c>
      <c r="F141" s="839">
        <v>0</v>
      </c>
      <c r="G141" s="839">
        <v>0</v>
      </c>
      <c r="H141" s="839">
        <v>0</v>
      </c>
      <c r="I141" s="839">
        <v>0</v>
      </c>
      <c r="J141" s="839">
        <v>0</v>
      </c>
      <c r="K141" s="839">
        <v>0</v>
      </c>
      <c r="L141" s="840">
        <v>0</v>
      </c>
      <c r="M141" s="840">
        <v>0</v>
      </c>
      <c r="N141" s="840">
        <v>0</v>
      </c>
      <c r="O141" s="840">
        <v>0</v>
      </c>
      <c r="P141" s="840">
        <v>0</v>
      </c>
      <c r="Q141" s="840">
        <v>0</v>
      </c>
      <c r="R141" s="840">
        <v>0</v>
      </c>
      <c r="S141" s="840">
        <v>0</v>
      </c>
      <c r="T141" s="840">
        <v>0</v>
      </c>
      <c r="U141" s="840">
        <v>12.87</v>
      </c>
      <c r="V141" s="840">
        <v>163.93</v>
      </c>
      <c r="W141" s="840">
        <v>49.88</v>
      </c>
      <c r="X141" s="840">
        <v>100.54</v>
      </c>
      <c r="Y141" s="840">
        <v>106.85</v>
      </c>
      <c r="Z141" s="840">
        <v>133.97999999999999</v>
      </c>
      <c r="AA141" s="840">
        <v>147.27000000000001</v>
      </c>
      <c r="AB141" s="840">
        <v>270.76</v>
      </c>
      <c r="AC141" s="840">
        <v>529.24</v>
      </c>
      <c r="AD141" s="840">
        <v>480.54</v>
      </c>
      <c r="AE141" s="840">
        <v>482.16</v>
      </c>
      <c r="AF141" s="840">
        <v>344.93</v>
      </c>
      <c r="AG141" s="840">
        <v>311.97000000000003</v>
      </c>
      <c r="AH141" s="840">
        <v>422.06</v>
      </c>
      <c r="AI141" s="840">
        <v>398.75</v>
      </c>
      <c r="AJ141" s="840">
        <v>374.06</v>
      </c>
      <c r="AK141" s="840"/>
      <c r="AL141" s="840"/>
      <c r="AM141" s="840"/>
      <c r="AN141" s="840"/>
      <c r="AO141" s="840"/>
      <c r="AP141" s="840"/>
      <c r="AQ141" s="840"/>
    </row>
    <row r="142" spans="2:43">
      <c r="B142" s="837" t="s">
        <v>903</v>
      </c>
      <c r="C142" s="837">
        <v>0</v>
      </c>
      <c r="D142" s="837">
        <v>0</v>
      </c>
      <c r="E142" s="837">
        <v>0</v>
      </c>
      <c r="F142" s="837">
        <v>0</v>
      </c>
      <c r="G142" s="837">
        <v>0</v>
      </c>
      <c r="H142" s="837">
        <v>0</v>
      </c>
      <c r="I142" s="837">
        <v>0</v>
      </c>
      <c r="J142" s="837">
        <v>0</v>
      </c>
      <c r="K142" s="837">
        <v>0</v>
      </c>
      <c r="L142" s="838">
        <v>0</v>
      </c>
      <c r="M142" s="838">
        <v>0</v>
      </c>
      <c r="N142" s="838">
        <v>0</v>
      </c>
      <c r="O142" s="838">
        <v>0</v>
      </c>
      <c r="P142" s="838">
        <v>0</v>
      </c>
      <c r="Q142" s="838">
        <v>0</v>
      </c>
      <c r="R142" s="838">
        <v>0</v>
      </c>
      <c r="S142" s="838">
        <v>0</v>
      </c>
      <c r="T142" s="838">
        <v>0</v>
      </c>
      <c r="U142" s="838">
        <v>12.75</v>
      </c>
      <c r="V142" s="838">
        <v>253.49</v>
      </c>
      <c r="W142" s="838">
        <v>337.68</v>
      </c>
      <c r="X142" s="838">
        <v>403.51</v>
      </c>
      <c r="Y142" s="838">
        <v>275.73</v>
      </c>
      <c r="Z142" s="838">
        <v>243.97</v>
      </c>
      <c r="AA142" s="838">
        <v>351.31</v>
      </c>
      <c r="AB142" s="838">
        <v>499.29</v>
      </c>
      <c r="AC142" s="838">
        <v>707.72</v>
      </c>
      <c r="AD142" s="838">
        <v>663.1</v>
      </c>
      <c r="AE142" s="838">
        <v>713.31</v>
      </c>
      <c r="AF142" s="838">
        <v>602.64</v>
      </c>
      <c r="AG142" s="838">
        <v>621.88</v>
      </c>
      <c r="AH142" s="838">
        <v>710.05</v>
      </c>
      <c r="AI142" s="838">
        <v>672.51</v>
      </c>
      <c r="AJ142" s="838">
        <v>723.41</v>
      </c>
      <c r="AK142" s="838"/>
      <c r="AL142" s="838"/>
      <c r="AM142" s="838"/>
      <c r="AN142" s="838"/>
      <c r="AO142" s="838"/>
      <c r="AP142" s="838"/>
      <c r="AQ142" s="838"/>
    </row>
    <row r="143" spans="2:43">
      <c r="B143" s="839" t="s">
        <v>904</v>
      </c>
      <c r="C143" s="839">
        <v>0</v>
      </c>
      <c r="D143" s="839">
        <v>0</v>
      </c>
      <c r="E143" s="839">
        <v>0</v>
      </c>
      <c r="F143" s="839">
        <v>0</v>
      </c>
      <c r="G143" s="839">
        <v>0</v>
      </c>
      <c r="H143" s="839">
        <v>0</v>
      </c>
      <c r="I143" s="839">
        <v>0</v>
      </c>
      <c r="J143" s="839">
        <v>0</v>
      </c>
      <c r="K143" s="839">
        <v>0</v>
      </c>
      <c r="L143" s="840">
        <v>0</v>
      </c>
      <c r="M143" s="840">
        <v>0</v>
      </c>
      <c r="N143" s="840">
        <v>0</v>
      </c>
      <c r="O143" s="840">
        <v>0</v>
      </c>
      <c r="P143" s="840">
        <v>0</v>
      </c>
      <c r="Q143" s="840">
        <v>0</v>
      </c>
      <c r="R143" s="840">
        <v>0</v>
      </c>
      <c r="S143" s="840">
        <v>0</v>
      </c>
      <c r="T143" s="840">
        <v>0</v>
      </c>
      <c r="U143" s="840">
        <v>5.9</v>
      </c>
      <c r="V143" s="840">
        <v>14.16</v>
      </c>
      <c r="W143" s="840">
        <v>181.7</v>
      </c>
      <c r="X143" s="840">
        <v>21.49</v>
      </c>
      <c r="Y143" s="840">
        <v>39.31</v>
      </c>
      <c r="Z143" s="840">
        <v>1.35</v>
      </c>
      <c r="AA143" s="840">
        <v>20.48</v>
      </c>
      <c r="AB143" s="840">
        <v>75.28</v>
      </c>
      <c r="AC143" s="840">
        <v>188.52</v>
      </c>
      <c r="AD143" s="840">
        <v>207.44</v>
      </c>
      <c r="AE143" s="840">
        <v>244.41</v>
      </c>
      <c r="AF143" s="840">
        <v>159.38999999999999</v>
      </c>
      <c r="AG143" s="840">
        <v>151.51</v>
      </c>
      <c r="AH143" s="840">
        <v>238.36</v>
      </c>
      <c r="AI143" s="840">
        <v>195.91</v>
      </c>
      <c r="AJ143" s="840">
        <v>234.1</v>
      </c>
      <c r="AK143" s="840"/>
      <c r="AL143" s="840"/>
      <c r="AM143" s="840"/>
      <c r="AN143" s="840"/>
      <c r="AO143" s="840"/>
      <c r="AP143" s="840"/>
      <c r="AQ143" s="840"/>
    </row>
    <row r="144" spans="2:43">
      <c r="B144" s="837" t="s">
        <v>905</v>
      </c>
      <c r="C144" s="837">
        <v>0</v>
      </c>
      <c r="D144" s="837">
        <v>0</v>
      </c>
      <c r="E144" s="837">
        <v>0</v>
      </c>
      <c r="F144" s="837">
        <v>0</v>
      </c>
      <c r="G144" s="837">
        <v>0</v>
      </c>
      <c r="H144" s="837">
        <v>0</v>
      </c>
      <c r="I144" s="837">
        <v>0</v>
      </c>
      <c r="J144" s="837">
        <v>0</v>
      </c>
      <c r="K144" s="837">
        <v>0</v>
      </c>
      <c r="L144" s="838">
        <v>0</v>
      </c>
      <c r="M144" s="838">
        <v>0</v>
      </c>
      <c r="N144" s="838">
        <v>0</v>
      </c>
      <c r="O144" s="838">
        <v>0</v>
      </c>
      <c r="P144" s="838">
        <v>0</v>
      </c>
      <c r="Q144" s="838">
        <v>0</v>
      </c>
      <c r="R144" s="838">
        <v>0</v>
      </c>
      <c r="S144" s="838">
        <v>0</v>
      </c>
      <c r="T144" s="838">
        <v>0</v>
      </c>
      <c r="U144" s="838">
        <v>12.57</v>
      </c>
      <c r="V144" s="838">
        <v>149.16999999999999</v>
      </c>
      <c r="W144" s="838">
        <v>241.49</v>
      </c>
      <c r="X144" s="838">
        <v>452.82</v>
      </c>
      <c r="Y144" s="838">
        <v>1306.6199999999999</v>
      </c>
      <c r="Z144" s="838">
        <v>2095.44</v>
      </c>
      <c r="AA144" s="838">
        <v>2102.17</v>
      </c>
      <c r="AB144" s="838">
        <v>1950.85</v>
      </c>
      <c r="AC144" s="838">
        <v>2081.88</v>
      </c>
      <c r="AD144" s="838">
        <v>2017.33</v>
      </c>
      <c r="AE144" s="838">
        <v>2077.67</v>
      </c>
      <c r="AF144" s="838">
        <v>2009.59</v>
      </c>
      <c r="AG144" s="838">
        <v>2080.23</v>
      </c>
      <c r="AH144" s="838">
        <v>2078.58</v>
      </c>
      <c r="AI144" s="838">
        <v>2017.84</v>
      </c>
      <c r="AJ144" s="838">
        <v>2081</v>
      </c>
      <c r="AK144" s="838"/>
      <c r="AL144" s="838"/>
      <c r="AM144" s="838"/>
      <c r="AN144" s="838"/>
      <c r="AO144" s="838"/>
      <c r="AP144" s="838"/>
      <c r="AQ144" s="838"/>
    </row>
    <row r="145" spans="2:43">
      <c r="B145" s="839" t="s">
        <v>906</v>
      </c>
      <c r="C145" s="839">
        <v>0</v>
      </c>
      <c r="D145" s="839">
        <v>0</v>
      </c>
      <c r="E145" s="839">
        <v>0</v>
      </c>
      <c r="F145" s="839">
        <v>0</v>
      </c>
      <c r="G145" s="839">
        <v>0</v>
      </c>
      <c r="H145" s="839">
        <v>0</v>
      </c>
      <c r="I145" s="839">
        <v>0</v>
      </c>
      <c r="J145" s="839">
        <v>0</v>
      </c>
      <c r="K145" s="839">
        <v>0</v>
      </c>
      <c r="L145" s="840">
        <v>0</v>
      </c>
      <c r="M145" s="840">
        <v>0</v>
      </c>
      <c r="N145" s="840">
        <v>0</v>
      </c>
      <c r="O145" s="840">
        <v>0</v>
      </c>
      <c r="P145" s="840">
        <v>0</v>
      </c>
      <c r="Q145" s="840">
        <v>0</v>
      </c>
      <c r="R145" s="840">
        <v>0</v>
      </c>
      <c r="S145" s="840">
        <v>0</v>
      </c>
      <c r="T145" s="840">
        <v>0</v>
      </c>
      <c r="U145" s="840">
        <v>6.44</v>
      </c>
      <c r="V145" s="840">
        <v>339.73</v>
      </c>
      <c r="W145" s="840">
        <v>57.08</v>
      </c>
      <c r="X145" s="840">
        <v>87.47</v>
      </c>
      <c r="Y145" s="840">
        <v>65.489999999999995</v>
      </c>
      <c r="Z145" s="840">
        <v>128.62</v>
      </c>
      <c r="AA145" s="840">
        <v>138.05000000000001</v>
      </c>
      <c r="AB145" s="840">
        <v>169.51</v>
      </c>
      <c r="AC145" s="840">
        <v>279.54000000000002</v>
      </c>
      <c r="AD145" s="840">
        <v>286.5</v>
      </c>
      <c r="AE145" s="840">
        <v>304.8</v>
      </c>
      <c r="AF145" s="840">
        <v>226.63</v>
      </c>
      <c r="AG145" s="840">
        <v>267.79000000000002</v>
      </c>
      <c r="AH145" s="840">
        <v>337.64</v>
      </c>
      <c r="AI145" s="840">
        <v>310.58</v>
      </c>
      <c r="AJ145" s="840">
        <v>350.27</v>
      </c>
      <c r="AK145" s="840"/>
      <c r="AL145" s="840"/>
      <c r="AM145" s="840"/>
      <c r="AN145" s="840"/>
      <c r="AO145" s="840"/>
      <c r="AP145" s="840"/>
      <c r="AQ145" s="840"/>
    </row>
    <row r="146" spans="2:43">
      <c r="B146" s="837" t="s">
        <v>907</v>
      </c>
      <c r="C146" s="837">
        <v>0</v>
      </c>
      <c r="D146" s="837">
        <v>0</v>
      </c>
      <c r="E146" s="837">
        <v>0</v>
      </c>
      <c r="F146" s="837">
        <v>0</v>
      </c>
      <c r="G146" s="837">
        <v>0</v>
      </c>
      <c r="H146" s="837">
        <v>0</v>
      </c>
      <c r="I146" s="837">
        <v>0</v>
      </c>
      <c r="J146" s="837">
        <v>0</v>
      </c>
      <c r="K146" s="837">
        <v>0</v>
      </c>
      <c r="L146" s="838">
        <v>0</v>
      </c>
      <c r="M146" s="838">
        <v>0</v>
      </c>
      <c r="N146" s="838">
        <v>0</v>
      </c>
      <c r="O146" s="838">
        <v>0</v>
      </c>
      <c r="P146" s="838">
        <v>0</v>
      </c>
      <c r="Q146" s="838">
        <v>0</v>
      </c>
      <c r="R146" s="838">
        <v>0</v>
      </c>
      <c r="S146" s="838">
        <v>0</v>
      </c>
      <c r="T146" s="838">
        <v>0</v>
      </c>
      <c r="U146" s="838">
        <v>12.22</v>
      </c>
      <c r="V146" s="838">
        <v>219.08</v>
      </c>
      <c r="W146" s="838">
        <v>332.12</v>
      </c>
      <c r="X146" s="838">
        <v>413.96</v>
      </c>
      <c r="Y146" s="838">
        <v>290.48</v>
      </c>
      <c r="Z146" s="838">
        <v>256.11</v>
      </c>
      <c r="AA146" s="838">
        <v>318.60000000000002</v>
      </c>
      <c r="AB146" s="838">
        <v>453.65</v>
      </c>
      <c r="AC146" s="838">
        <v>692.31</v>
      </c>
      <c r="AD146" s="838">
        <v>628.30999999999995</v>
      </c>
      <c r="AE146" s="838">
        <v>680.57</v>
      </c>
      <c r="AF146" s="838">
        <v>579.14</v>
      </c>
      <c r="AG146" s="838">
        <v>585.78</v>
      </c>
      <c r="AH146" s="838">
        <v>681.85</v>
      </c>
      <c r="AI146" s="838">
        <v>645.24</v>
      </c>
      <c r="AJ146" s="838">
        <v>692.51</v>
      </c>
      <c r="AK146" s="838"/>
      <c r="AL146" s="838"/>
      <c r="AM146" s="838"/>
      <c r="AN146" s="838"/>
      <c r="AO146" s="838"/>
      <c r="AP146" s="838"/>
      <c r="AQ146" s="838"/>
    </row>
    <row r="147" spans="2:43">
      <c r="B147" s="839" t="s">
        <v>908</v>
      </c>
      <c r="C147" s="839">
        <v>0</v>
      </c>
      <c r="D147" s="839">
        <v>0</v>
      </c>
      <c r="E147" s="839">
        <v>0</v>
      </c>
      <c r="F147" s="839">
        <v>0</v>
      </c>
      <c r="G147" s="839">
        <v>0</v>
      </c>
      <c r="H147" s="839">
        <v>0</v>
      </c>
      <c r="I147" s="839">
        <v>0</v>
      </c>
      <c r="J147" s="839">
        <v>0</v>
      </c>
      <c r="K147" s="839">
        <v>0</v>
      </c>
      <c r="L147" s="840">
        <v>0</v>
      </c>
      <c r="M147" s="840">
        <v>0</v>
      </c>
      <c r="N147" s="840">
        <v>0</v>
      </c>
      <c r="O147" s="840">
        <v>0</v>
      </c>
      <c r="P147" s="840">
        <v>0</v>
      </c>
      <c r="Q147" s="840">
        <v>0</v>
      </c>
      <c r="R147" s="840">
        <v>0</v>
      </c>
      <c r="S147" s="840">
        <v>0</v>
      </c>
      <c r="T147" s="840">
        <v>0</v>
      </c>
      <c r="U147" s="840">
        <v>0.6</v>
      </c>
      <c r="V147" s="840">
        <v>10.4</v>
      </c>
      <c r="W147" s="840">
        <v>82.29</v>
      </c>
      <c r="X147" s="840">
        <v>30.79</v>
      </c>
      <c r="Y147" s="840">
        <v>29.95</v>
      </c>
      <c r="Z147" s="840">
        <v>9.39</v>
      </c>
      <c r="AA147" s="840">
        <v>26.87</v>
      </c>
      <c r="AB147" s="840">
        <v>65.83</v>
      </c>
      <c r="AC147" s="840">
        <v>142.54</v>
      </c>
      <c r="AD147" s="840">
        <v>144.63</v>
      </c>
      <c r="AE147" s="840">
        <v>177.38</v>
      </c>
      <c r="AF147" s="840">
        <v>129.38</v>
      </c>
      <c r="AG147" s="840">
        <v>99.74</v>
      </c>
      <c r="AH147" s="840">
        <v>162.91999999999999</v>
      </c>
      <c r="AI147" s="840">
        <v>140.43</v>
      </c>
      <c r="AJ147" s="840">
        <v>181.51</v>
      </c>
      <c r="AK147" s="840"/>
      <c r="AL147" s="840"/>
      <c r="AM147" s="840"/>
      <c r="AN147" s="840"/>
      <c r="AO147" s="840"/>
      <c r="AP147" s="840"/>
      <c r="AQ147" s="840"/>
    </row>
    <row r="148" spans="2:43">
      <c r="B148" s="837" t="s">
        <v>909</v>
      </c>
      <c r="C148" s="837">
        <v>0</v>
      </c>
      <c r="D148" s="837">
        <v>0</v>
      </c>
      <c r="E148" s="837">
        <v>0</v>
      </c>
      <c r="F148" s="837">
        <v>0</v>
      </c>
      <c r="G148" s="837">
        <v>0</v>
      </c>
      <c r="H148" s="837">
        <v>0</v>
      </c>
      <c r="I148" s="837">
        <v>0</v>
      </c>
      <c r="J148" s="837">
        <v>0</v>
      </c>
      <c r="K148" s="837">
        <v>0</v>
      </c>
      <c r="L148" s="838">
        <v>0</v>
      </c>
      <c r="M148" s="838">
        <v>0</v>
      </c>
      <c r="N148" s="838">
        <v>0</v>
      </c>
      <c r="O148" s="838">
        <v>0</v>
      </c>
      <c r="P148" s="838">
        <v>0</v>
      </c>
      <c r="Q148" s="838">
        <v>0</v>
      </c>
      <c r="R148" s="838">
        <v>0</v>
      </c>
      <c r="S148" s="838">
        <v>0</v>
      </c>
      <c r="T148" s="838">
        <v>0</v>
      </c>
      <c r="U148" s="838">
        <v>11.29</v>
      </c>
      <c r="V148" s="838">
        <v>146.6</v>
      </c>
      <c r="W148" s="838">
        <v>287.7</v>
      </c>
      <c r="X148" s="838">
        <v>347.33</v>
      </c>
      <c r="Y148" s="838">
        <v>1275.75</v>
      </c>
      <c r="Z148" s="838">
        <v>2051.31</v>
      </c>
      <c r="AA148" s="838">
        <v>2055.88</v>
      </c>
      <c r="AB148" s="838">
        <v>1905.04</v>
      </c>
      <c r="AC148" s="838">
        <v>2041.28</v>
      </c>
      <c r="AD148" s="838">
        <v>1964.22</v>
      </c>
      <c r="AE148" s="838">
        <v>2022.45</v>
      </c>
      <c r="AF148" s="838">
        <v>1947.55</v>
      </c>
      <c r="AG148" s="838">
        <v>2018.53</v>
      </c>
      <c r="AH148" s="838">
        <v>2016.3</v>
      </c>
      <c r="AI148" s="838">
        <v>1964.12</v>
      </c>
      <c r="AJ148" s="838">
        <v>2031.69</v>
      </c>
      <c r="AK148" s="838"/>
      <c r="AL148" s="838"/>
      <c r="AM148" s="838"/>
      <c r="AN148" s="838"/>
      <c r="AO148" s="838"/>
      <c r="AP148" s="838"/>
      <c r="AQ148" s="838"/>
    </row>
    <row r="149" spans="2:43">
      <c r="B149" s="839" t="s">
        <v>910</v>
      </c>
      <c r="C149" s="839">
        <v>0</v>
      </c>
      <c r="D149" s="839">
        <v>0</v>
      </c>
      <c r="E149" s="839">
        <v>0</v>
      </c>
      <c r="F149" s="839">
        <v>0</v>
      </c>
      <c r="G149" s="839">
        <v>0</v>
      </c>
      <c r="H149" s="839">
        <v>0</v>
      </c>
      <c r="I149" s="839">
        <v>0</v>
      </c>
      <c r="J149" s="839">
        <v>0</v>
      </c>
      <c r="K149" s="839">
        <v>0</v>
      </c>
      <c r="L149" s="840">
        <v>0</v>
      </c>
      <c r="M149" s="840">
        <v>0</v>
      </c>
      <c r="N149" s="840">
        <v>0</v>
      </c>
      <c r="O149" s="840">
        <v>0</v>
      </c>
      <c r="P149" s="840">
        <v>0</v>
      </c>
      <c r="Q149" s="840">
        <v>0</v>
      </c>
      <c r="R149" s="840">
        <v>0</v>
      </c>
      <c r="S149" s="840">
        <v>0</v>
      </c>
      <c r="T149" s="840">
        <v>0</v>
      </c>
      <c r="U149" s="840">
        <v>14.64</v>
      </c>
      <c r="V149" s="840">
        <v>149.79</v>
      </c>
      <c r="W149" s="840">
        <v>56.55</v>
      </c>
      <c r="X149" s="840">
        <v>96.43</v>
      </c>
      <c r="Y149" s="840">
        <v>98.34</v>
      </c>
      <c r="Z149" s="840">
        <v>131.25</v>
      </c>
      <c r="AA149" s="840">
        <v>135.36000000000001</v>
      </c>
      <c r="AB149" s="840">
        <v>202.96</v>
      </c>
      <c r="AC149" s="840">
        <v>362.42</v>
      </c>
      <c r="AD149" s="840">
        <v>355.55</v>
      </c>
      <c r="AE149" s="840">
        <v>380.92</v>
      </c>
      <c r="AF149" s="840">
        <v>281.08999999999997</v>
      </c>
      <c r="AG149" s="840">
        <v>266.18</v>
      </c>
      <c r="AH149" s="840">
        <v>350.83</v>
      </c>
      <c r="AI149" s="840">
        <v>321.18</v>
      </c>
      <c r="AJ149" s="840">
        <v>366.03</v>
      </c>
      <c r="AK149" s="840"/>
      <c r="AL149" s="840"/>
      <c r="AM149" s="840"/>
      <c r="AN149" s="840"/>
      <c r="AO149" s="840"/>
      <c r="AP149" s="840"/>
      <c r="AQ149" s="840"/>
    </row>
    <row r="150" spans="2:43">
      <c r="B150" s="837" t="s">
        <v>911</v>
      </c>
      <c r="C150" s="837">
        <v>0</v>
      </c>
      <c r="D150" s="837">
        <v>0</v>
      </c>
      <c r="E150" s="837">
        <v>0</v>
      </c>
      <c r="F150" s="837">
        <v>0</v>
      </c>
      <c r="G150" s="837">
        <v>0</v>
      </c>
      <c r="H150" s="837">
        <v>0</v>
      </c>
      <c r="I150" s="837">
        <v>0</v>
      </c>
      <c r="J150" s="837">
        <v>0</v>
      </c>
      <c r="K150" s="837">
        <v>0</v>
      </c>
      <c r="L150" s="838">
        <v>0</v>
      </c>
      <c r="M150" s="838">
        <v>0</v>
      </c>
      <c r="N150" s="838">
        <v>0</v>
      </c>
      <c r="O150" s="838">
        <v>0</v>
      </c>
      <c r="P150" s="838">
        <v>0</v>
      </c>
      <c r="Q150" s="838">
        <v>0</v>
      </c>
      <c r="R150" s="838">
        <v>0</v>
      </c>
      <c r="S150" s="838">
        <v>0</v>
      </c>
      <c r="T150" s="838">
        <v>0</v>
      </c>
      <c r="U150" s="838">
        <v>15.83</v>
      </c>
      <c r="V150" s="838">
        <v>279.20999999999998</v>
      </c>
      <c r="W150" s="838">
        <v>425.05</v>
      </c>
      <c r="X150" s="838">
        <v>664.99</v>
      </c>
      <c r="Y150" s="838">
        <v>300.05</v>
      </c>
      <c r="Z150" s="838">
        <v>260.44</v>
      </c>
      <c r="AA150" s="838">
        <v>355.85</v>
      </c>
      <c r="AB150" s="838">
        <v>497.31</v>
      </c>
      <c r="AC150" s="838">
        <v>774.54</v>
      </c>
      <c r="AD150" s="838">
        <v>678.84</v>
      </c>
      <c r="AE150" s="838">
        <v>701.72</v>
      </c>
      <c r="AF150" s="838">
        <v>625.22</v>
      </c>
      <c r="AG150" s="838">
        <v>652.12</v>
      </c>
      <c r="AH150" s="838">
        <v>695.48</v>
      </c>
      <c r="AI150" s="838">
        <v>668.14</v>
      </c>
      <c r="AJ150" s="838">
        <v>725.16</v>
      </c>
      <c r="AK150" s="838"/>
      <c r="AL150" s="838"/>
      <c r="AM150" s="838"/>
      <c r="AN150" s="838"/>
      <c r="AO150" s="838"/>
      <c r="AP150" s="838"/>
      <c r="AQ150" s="838"/>
    </row>
    <row r="151" spans="2:43">
      <c r="B151" s="839" t="s">
        <v>912</v>
      </c>
      <c r="C151" s="839">
        <v>0</v>
      </c>
      <c r="D151" s="839">
        <v>0</v>
      </c>
      <c r="E151" s="839">
        <v>0</v>
      </c>
      <c r="F151" s="839">
        <v>0</v>
      </c>
      <c r="G151" s="839">
        <v>0</v>
      </c>
      <c r="H151" s="839">
        <v>0</v>
      </c>
      <c r="I151" s="839">
        <v>0</v>
      </c>
      <c r="J151" s="839">
        <v>0</v>
      </c>
      <c r="K151" s="839">
        <v>0</v>
      </c>
      <c r="L151" s="840">
        <v>0</v>
      </c>
      <c r="M151" s="840">
        <v>0</v>
      </c>
      <c r="N151" s="840">
        <v>0</v>
      </c>
      <c r="O151" s="840">
        <v>0</v>
      </c>
      <c r="P151" s="840">
        <v>0</v>
      </c>
      <c r="Q151" s="840">
        <v>0</v>
      </c>
      <c r="R151" s="840">
        <v>0</v>
      </c>
      <c r="S151" s="840">
        <v>0</v>
      </c>
      <c r="T151" s="840">
        <v>0</v>
      </c>
      <c r="U151" s="840">
        <v>0.74</v>
      </c>
      <c r="V151" s="840">
        <v>10.72</v>
      </c>
      <c r="W151" s="840">
        <v>88.94</v>
      </c>
      <c r="X151" s="840">
        <v>27.72</v>
      </c>
      <c r="Y151" s="840">
        <v>88.59</v>
      </c>
      <c r="Z151" s="840">
        <v>60.88</v>
      </c>
      <c r="AA151" s="840">
        <v>75.010000000000005</v>
      </c>
      <c r="AB151" s="840">
        <v>131.28</v>
      </c>
      <c r="AC151" s="840">
        <v>269.62</v>
      </c>
      <c r="AD151" s="840">
        <v>274.77999999999997</v>
      </c>
      <c r="AE151" s="840">
        <v>303.64999999999998</v>
      </c>
      <c r="AF151" s="840">
        <v>218.04</v>
      </c>
      <c r="AG151" s="840">
        <v>226.51</v>
      </c>
      <c r="AH151" s="840">
        <v>286.45</v>
      </c>
      <c r="AI151" s="840">
        <v>276.64999999999998</v>
      </c>
      <c r="AJ151" s="840">
        <v>283.51</v>
      </c>
      <c r="AK151" s="840"/>
      <c r="AL151" s="840"/>
      <c r="AM151" s="840"/>
      <c r="AN151" s="840"/>
      <c r="AO151" s="840"/>
      <c r="AP151" s="840"/>
      <c r="AQ151" s="840"/>
    </row>
    <row r="152" spans="2:43">
      <c r="B152" s="837" t="s">
        <v>913</v>
      </c>
      <c r="C152" s="837">
        <v>0</v>
      </c>
      <c r="D152" s="837">
        <v>0</v>
      </c>
      <c r="E152" s="837">
        <v>0</v>
      </c>
      <c r="F152" s="837">
        <v>0</v>
      </c>
      <c r="G152" s="837">
        <v>0</v>
      </c>
      <c r="H152" s="837">
        <v>0</v>
      </c>
      <c r="I152" s="837">
        <v>0</v>
      </c>
      <c r="J152" s="837">
        <v>0</v>
      </c>
      <c r="K152" s="837">
        <v>0</v>
      </c>
      <c r="L152" s="838">
        <v>0</v>
      </c>
      <c r="M152" s="838">
        <v>0</v>
      </c>
      <c r="N152" s="838">
        <v>0</v>
      </c>
      <c r="O152" s="838">
        <v>0</v>
      </c>
      <c r="P152" s="838">
        <v>0</v>
      </c>
      <c r="Q152" s="838">
        <v>0</v>
      </c>
      <c r="R152" s="838">
        <v>0</v>
      </c>
      <c r="S152" s="838">
        <v>0</v>
      </c>
      <c r="T152" s="838">
        <v>0</v>
      </c>
      <c r="U152" s="838">
        <v>12.32</v>
      </c>
      <c r="V152" s="838">
        <v>188.73</v>
      </c>
      <c r="W152" s="838">
        <v>332.82</v>
      </c>
      <c r="X152" s="838">
        <v>371.77</v>
      </c>
      <c r="Y152" s="838">
        <v>1298.5999999999999</v>
      </c>
      <c r="Z152" s="838">
        <v>2092.29</v>
      </c>
      <c r="AA152" s="838">
        <v>2125.69</v>
      </c>
      <c r="AB152" s="838">
        <v>1993.34</v>
      </c>
      <c r="AC152" s="838">
        <v>2121.1</v>
      </c>
      <c r="AD152" s="838">
        <v>2055.19</v>
      </c>
      <c r="AE152" s="838">
        <v>2120.42</v>
      </c>
      <c r="AF152" s="838">
        <v>2052.48</v>
      </c>
      <c r="AG152" s="838">
        <v>2116.62</v>
      </c>
      <c r="AH152" s="838">
        <v>2113.7399999999998</v>
      </c>
      <c r="AI152" s="838">
        <v>2050.9899999999998</v>
      </c>
      <c r="AJ152" s="838">
        <v>2119.88</v>
      </c>
      <c r="AK152" s="838"/>
      <c r="AL152" s="838"/>
      <c r="AM152" s="838"/>
      <c r="AN152" s="838"/>
      <c r="AO152" s="838"/>
      <c r="AP152" s="838"/>
      <c r="AQ152" s="838"/>
    </row>
    <row r="153" spans="2:43">
      <c r="B153" s="839" t="s">
        <v>914</v>
      </c>
      <c r="C153" s="839">
        <v>0</v>
      </c>
      <c r="D153" s="839">
        <v>0</v>
      </c>
      <c r="E153" s="839">
        <v>0</v>
      </c>
      <c r="F153" s="839">
        <v>0</v>
      </c>
      <c r="G153" s="839">
        <v>0</v>
      </c>
      <c r="H153" s="839">
        <v>0</v>
      </c>
      <c r="I153" s="839">
        <v>0</v>
      </c>
      <c r="J153" s="839">
        <v>0</v>
      </c>
      <c r="K153" s="839">
        <v>0</v>
      </c>
      <c r="L153" s="840">
        <v>0</v>
      </c>
      <c r="M153" s="840">
        <v>0</v>
      </c>
      <c r="N153" s="840">
        <v>0</v>
      </c>
      <c r="O153" s="840">
        <v>0</v>
      </c>
      <c r="P153" s="840">
        <v>0</v>
      </c>
      <c r="Q153" s="840">
        <v>0</v>
      </c>
      <c r="R153" s="840">
        <v>0</v>
      </c>
      <c r="S153" s="840">
        <v>0</v>
      </c>
      <c r="T153" s="840">
        <v>0</v>
      </c>
      <c r="U153" s="840">
        <v>10.79</v>
      </c>
      <c r="V153" s="840">
        <v>111.85</v>
      </c>
      <c r="W153" s="840">
        <v>49.08</v>
      </c>
      <c r="X153" s="840">
        <v>129.49</v>
      </c>
      <c r="Y153" s="840">
        <v>129.71</v>
      </c>
      <c r="Z153" s="840">
        <v>119.43</v>
      </c>
      <c r="AA153" s="840">
        <v>126.88</v>
      </c>
      <c r="AB153" s="840">
        <v>219.01</v>
      </c>
      <c r="AC153" s="840">
        <v>380.51</v>
      </c>
      <c r="AD153" s="840">
        <v>311.72000000000003</v>
      </c>
      <c r="AE153" s="840">
        <v>346.82</v>
      </c>
      <c r="AF153" s="840">
        <v>271.55</v>
      </c>
      <c r="AG153" s="840">
        <v>357.29</v>
      </c>
      <c r="AH153" s="840">
        <v>390.34</v>
      </c>
      <c r="AI153" s="840">
        <v>310.44</v>
      </c>
      <c r="AJ153" s="840">
        <v>335.2</v>
      </c>
      <c r="AK153" s="840"/>
      <c r="AL153" s="840"/>
      <c r="AM153" s="840"/>
      <c r="AN153" s="840"/>
      <c r="AO153" s="840"/>
      <c r="AP153" s="840"/>
      <c r="AQ153" s="840"/>
    </row>
    <row r="154" spans="2:43">
      <c r="B154" s="837" t="s">
        <v>915</v>
      </c>
      <c r="C154" s="837">
        <v>0</v>
      </c>
      <c r="D154" s="837">
        <v>0</v>
      </c>
      <c r="E154" s="837">
        <v>0</v>
      </c>
      <c r="F154" s="837">
        <v>0</v>
      </c>
      <c r="G154" s="837">
        <v>0</v>
      </c>
      <c r="H154" s="837">
        <v>0</v>
      </c>
      <c r="I154" s="837">
        <v>0</v>
      </c>
      <c r="J154" s="837">
        <v>0</v>
      </c>
      <c r="K154" s="837">
        <v>0</v>
      </c>
      <c r="L154" s="838">
        <v>0</v>
      </c>
      <c r="M154" s="838">
        <v>0</v>
      </c>
      <c r="N154" s="838">
        <v>0</v>
      </c>
      <c r="O154" s="838">
        <v>0</v>
      </c>
      <c r="P154" s="838">
        <v>0</v>
      </c>
      <c r="Q154" s="838">
        <v>0</v>
      </c>
      <c r="R154" s="838">
        <v>0</v>
      </c>
      <c r="S154" s="838">
        <v>0</v>
      </c>
      <c r="T154" s="838">
        <v>0</v>
      </c>
      <c r="U154" s="838">
        <v>0</v>
      </c>
      <c r="V154" s="838">
        <v>0</v>
      </c>
      <c r="W154" s="838">
        <v>0</v>
      </c>
      <c r="X154" s="838">
        <v>0</v>
      </c>
      <c r="Y154" s="838">
        <v>0</v>
      </c>
      <c r="Z154" s="838">
        <v>0</v>
      </c>
      <c r="AA154" s="838">
        <v>0</v>
      </c>
      <c r="AB154" s="838">
        <v>0</v>
      </c>
      <c r="AC154" s="838">
        <v>0</v>
      </c>
      <c r="AD154" s="838">
        <v>0</v>
      </c>
      <c r="AE154" s="838">
        <v>0</v>
      </c>
      <c r="AF154" s="838">
        <v>0</v>
      </c>
      <c r="AG154" s="838">
        <v>0</v>
      </c>
      <c r="AH154" s="838">
        <v>0</v>
      </c>
      <c r="AI154" s="838">
        <v>0</v>
      </c>
      <c r="AJ154" s="838">
        <v>0</v>
      </c>
      <c r="AK154" s="838"/>
      <c r="AL154" s="838"/>
      <c r="AM154" s="838"/>
      <c r="AN154" s="838"/>
      <c r="AO154" s="838"/>
      <c r="AP154" s="838"/>
      <c r="AQ154" s="838"/>
    </row>
    <row r="155" spans="2:43">
      <c r="B155" s="839" t="s">
        <v>916</v>
      </c>
      <c r="C155" s="839">
        <v>0</v>
      </c>
      <c r="D155" s="839">
        <v>0</v>
      </c>
      <c r="E155" s="839">
        <v>0</v>
      </c>
      <c r="F155" s="839">
        <v>0</v>
      </c>
      <c r="G155" s="839">
        <v>0</v>
      </c>
      <c r="H155" s="839">
        <v>0</v>
      </c>
      <c r="I155" s="839">
        <v>0</v>
      </c>
      <c r="J155" s="839">
        <v>0</v>
      </c>
      <c r="K155" s="839">
        <v>0</v>
      </c>
      <c r="L155" s="840">
        <v>0</v>
      </c>
      <c r="M155" s="840">
        <v>0</v>
      </c>
      <c r="N155" s="840">
        <v>0</v>
      </c>
      <c r="O155" s="840">
        <v>0</v>
      </c>
      <c r="P155" s="840">
        <v>0</v>
      </c>
      <c r="Q155" s="840">
        <v>0</v>
      </c>
      <c r="R155" s="840">
        <v>0</v>
      </c>
      <c r="S155" s="840">
        <v>0</v>
      </c>
      <c r="T155" s="840">
        <v>0</v>
      </c>
      <c r="U155" s="840">
        <v>0.42</v>
      </c>
      <c r="V155" s="840">
        <v>13.79</v>
      </c>
      <c r="W155" s="840">
        <v>437.44</v>
      </c>
      <c r="X155" s="840">
        <v>232.78</v>
      </c>
      <c r="Y155" s="840">
        <v>261.72000000000003</v>
      </c>
      <c r="Z155" s="840">
        <v>110.54</v>
      </c>
      <c r="AA155" s="840">
        <v>188.33</v>
      </c>
      <c r="AB155" s="840">
        <v>89.09</v>
      </c>
      <c r="AC155" s="840">
        <v>100.98</v>
      </c>
      <c r="AD155" s="840">
        <v>15.09</v>
      </c>
      <c r="AE155" s="840">
        <v>46.9</v>
      </c>
      <c r="AF155" s="840">
        <v>26.74</v>
      </c>
      <c r="AG155" s="840">
        <v>41.64</v>
      </c>
      <c r="AH155" s="840">
        <v>44.13</v>
      </c>
      <c r="AI155" s="840">
        <v>87.2</v>
      </c>
      <c r="AJ155" s="840">
        <v>19.12</v>
      </c>
      <c r="AK155" s="840"/>
      <c r="AL155" s="840"/>
      <c r="AM155" s="840"/>
      <c r="AN155" s="840"/>
      <c r="AO155" s="840"/>
      <c r="AP155" s="840"/>
      <c r="AQ155" s="840"/>
    </row>
    <row r="156" spans="2:43">
      <c r="B156" s="837" t="s">
        <v>917</v>
      </c>
      <c r="C156" s="837">
        <v>0</v>
      </c>
      <c r="D156" s="837">
        <v>0</v>
      </c>
      <c r="E156" s="837">
        <v>0</v>
      </c>
      <c r="F156" s="837">
        <v>0</v>
      </c>
      <c r="G156" s="837">
        <v>0</v>
      </c>
      <c r="H156" s="837">
        <v>0</v>
      </c>
      <c r="I156" s="837">
        <v>0</v>
      </c>
      <c r="J156" s="837">
        <v>0</v>
      </c>
      <c r="K156" s="837">
        <v>0</v>
      </c>
      <c r="L156" s="838">
        <v>0</v>
      </c>
      <c r="M156" s="838">
        <v>0</v>
      </c>
      <c r="N156" s="838">
        <v>0</v>
      </c>
      <c r="O156" s="838">
        <v>0</v>
      </c>
      <c r="P156" s="838">
        <v>0</v>
      </c>
      <c r="Q156" s="838">
        <v>0</v>
      </c>
      <c r="R156" s="838">
        <v>0</v>
      </c>
      <c r="S156" s="838">
        <v>0</v>
      </c>
      <c r="T156" s="838">
        <v>0</v>
      </c>
      <c r="U156" s="838">
        <v>0</v>
      </c>
      <c r="V156" s="838">
        <v>0</v>
      </c>
      <c r="W156" s="838">
        <v>44.93</v>
      </c>
      <c r="X156" s="838">
        <v>60.55</v>
      </c>
      <c r="Y156" s="838">
        <v>61.47</v>
      </c>
      <c r="Z156" s="838">
        <v>61.62</v>
      </c>
      <c r="AA156" s="838">
        <v>60.47</v>
      </c>
      <c r="AB156" s="838">
        <v>57.86</v>
      </c>
      <c r="AC156" s="838">
        <v>61.16</v>
      </c>
      <c r="AD156" s="838">
        <v>61.1</v>
      </c>
      <c r="AE156" s="838">
        <v>63.09</v>
      </c>
      <c r="AF156" s="838">
        <v>60.89</v>
      </c>
      <c r="AG156" s="838">
        <v>64.72</v>
      </c>
      <c r="AH156" s="838">
        <v>62.39</v>
      </c>
      <c r="AI156" s="838">
        <v>60.46</v>
      </c>
      <c r="AJ156" s="838">
        <v>62.57</v>
      </c>
      <c r="AK156" s="838"/>
      <c r="AL156" s="838"/>
      <c r="AM156" s="838"/>
      <c r="AN156" s="838"/>
      <c r="AO156" s="838"/>
      <c r="AP156" s="838"/>
      <c r="AQ156" s="838"/>
    </row>
    <row r="157" spans="2:43">
      <c r="B157" s="839" t="s">
        <v>918</v>
      </c>
      <c r="C157" s="839">
        <v>0</v>
      </c>
      <c r="D157" s="839">
        <v>0</v>
      </c>
      <c r="E157" s="839">
        <v>0</v>
      </c>
      <c r="F157" s="839">
        <v>0</v>
      </c>
      <c r="G157" s="839">
        <v>0</v>
      </c>
      <c r="H157" s="839">
        <v>0</v>
      </c>
      <c r="I157" s="839">
        <v>0</v>
      </c>
      <c r="J157" s="839">
        <v>0</v>
      </c>
      <c r="K157" s="839">
        <v>0</v>
      </c>
      <c r="L157" s="840">
        <v>0</v>
      </c>
      <c r="M157" s="840">
        <v>0</v>
      </c>
      <c r="N157" s="840">
        <v>0</v>
      </c>
      <c r="O157" s="840">
        <v>0</v>
      </c>
      <c r="P157" s="840">
        <v>0</v>
      </c>
      <c r="Q157" s="840">
        <v>0</v>
      </c>
      <c r="R157" s="840">
        <v>0</v>
      </c>
      <c r="S157" s="840">
        <v>0</v>
      </c>
      <c r="T157" s="840">
        <v>0</v>
      </c>
      <c r="U157" s="840">
        <v>17.73</v>
      </c>
      <c r="V157" s="840">
        <v>386.54</v>
      </c>
      <c r="W157" s="840">
        <v>5.92</v>
      </c>
      <c r="X157" s="840">
        <v>0</v>
      </c>
      <c r="Y157" s="840">
        <v>0.04</v>
      </c>
      <c r="Z157" s="840">
        <v>0</v>
      </c>
      <c r="AA157" s="840">
        <v>0</v>
      </c>
      <c r="AB157" s="840">
        <v>0</v>
      </c>
      <c r="AC157" s="840">
        <v>0.4</v>
      </c>
      <c r="AD157" s="840">
        <v>0</v>
      </c>
      <c r="AE157" s="840">
        <v>0</v>
      </c>
      <c r="AF157" s="840">
        <v>0</v>
      </c>
      <c r="AG157" s="840">
        <v>0.03</v>
      </c>
      <c r="AH157" s="840">
        <v>0</v>
      </c>
      <c r="AI157" s="840">
        <v>0</v>
      </c>
      <c r="AJ157" s="840">
        <v>0</v>
      </c>
      <c r="AK157" s="840"/>
      <c r="AL157" s="840"/>
      <c r="AM157" s="840"/>
      <c r="AN157" s="840"/>
      <c r="AO157" s="840"/>
      <c r="AP157" s="840"/>
      <c r="AQ157" s="840"/>
    </row>
    <row r="158" spans="2:43">
      <c r="B158" s="837" t="s">
        <v>919</v>
      </c>
      <c r="C158" s="837">
        <v>0</v>
      </c>
      <c r="D158" s="837">
        <v>0</v>
      </c>
      <c r="E158" s="837">
        <v>0</v>
      </c>
      <c r="F158" s="837">
        <v>0</v>
      </c>
      <c r="G158" s="837">
        <v>0</v>
      </c>
      <c r="H158" s="837">
        <v>0</v>
      </c>
      <c r="I158" s="837">
        <v>0</v>
      </c>
      <c r="J158" s="837">
        <v>0</v>
      </c>
      <c r="K158" s="837">
        <v>0</v>
      </c>
      <c r="L158" s="838">
        <v>0</v>
      </c>
      <c r="M158" s="838">
        <v>0</v>
      </c>
      <c r="N158" s="838">
        <v>0</v>
      </c>
      <c r="O158" s="838">
        <v>0</v>
      </c>
      <c r="P158" s="838">
        <v>0</v>
      </c>
      <c r="Q158" s="838">
        <v>0</v>
      </c>
      <c r="R158" s="838">
        <v>0</v>
      </c>
      <c r="S158" s="838">
        <v>0</v>
      </c>
      <c r="T158" s="838">
        <v>0</v>
      </c>
      <c r="U158" s="838">
        <v>52.74</v>
      </c>
      <c r="V158" s="838">
        <v>1177.06</v>
      </c>
      <c r="W158" s="838">
        <v>2826.53</v>
      </c>
      <c r="X158" s="838">
        <v>4124.6099999999997</v>
      </c>
      <c r="Y158" s="838">
        <v>2640.33</v>
      </c>
      <c r="Z158" s="838">
        <v>2290.04</v>
      </c>
      <c r="AA158" s="838">
        <v>3335.75</v>
      </c>
      <c r="AB158" s="838">
        <v>4589.3999999999996</v>
      </c>
      <c r="AC158" s="838">
        <v>7370.55</v>
      </c>
      <c r="AD158" s="838">
        <v>7150.92</v>
      </c>
      <c r="AE158" s="838">
        <v>7756.64</v>
      </c>
      <c r="AF158" s="838">
        <v>6312.15</v>
      </c>
      <c r="AG158" s="838">
        <v>6511.54</v>
      </c>
      <c r="AH158" s="838">
        <v>7726.93</v>
      </c>
      <c r="AI158" s="838">
        <v>7156.9</v>
      </c>
      <c r="AJ158" s="838">
        <v>7593.28</v>
      </c>
      <c r="AK158" s="838"/>
      <c r="AL158" s="838"/>
      <c r="AM158" s="838"/>
      <c r="AN158" s="838"/>
      <c r="AO158" s="838"/>
      <c r="AP158" s="838"/>
      <c r="AQ158" s="838"/>
    </row>
    <row r="159" spans="2:43">
      <c r="B159" s="839" t="s">
        <v>920</v>
      </c>
      <c r="C159" s="839">
        <v>0</v>
      </c>
      <c r="D159" s="839">
        <v>0</v>
      </c>
      <c r="E159" s="839">
        <v>0</v>
      </c>
      <c r="F159" s="839">
        <v>0</v>
      </c>
      <c r="G159" s="839">
        <v>0</v>
      </c>
      <c r="H159" s="839">
        <v>0</v>
      </c>
      <c r="I159" s="839">
        <v>0</v>
      </c>
      <c r="J159" s="839">
        <v>0</v>
      </c>
      <c r="K159" s="839">
        <v>0</v>
      </c>
      <c r="L159" s="840">
        <v>0</v>
      </c>
      <c r="M159" s="840">
        <v>0</v>
      </c>
      <c r="N159" s="840">
        <v>0</v>
      </c>
      <c r="O159" s="840">
        <v>0</v>
      </c>
      <c r="P159" s="840">
        <v>0</v>
      </c>
      <c r="Q159" s="840">
        <v>0</v>
      </c>
      <c r="R159" s="840">
        <v>0</v>
      </c>
      <c r="S159" s="840">
        <v>0</v>
      </c>
      <c r="T159" s="840">
        <v>0</v>
      </c>
      <c r="U159" s="840">
        <v>22.79</v>
      </c>
      <c r="V159" s="840">
        <v>352.82</v>
      </c>
      <c r="W159" s="840">
        <v>438.07</v>
      </c>
      <c r="X159" s="840">
        <v>430.99</v>
      </c>
      <c r="Y159" s="840">
        <v>281.63</v>
      </c>
      <c r="Z159" s="840">
        <v>228.73</v>
      </c>
      <c r="AA159" s="840">
        <v>361.26</v>
      </c>
      <c r="AB159" s="840">
        <v>425.08</v>
      </c>
      <c r="AC159" s="840">
        <v>733.49</v>
      </c>
      <c r="AD159" s="840">
        <v>698.47</v>
      </c>
      <c r="AE159" s="840">
        <v>741.47</v>
      </c>
      <c r="AF159" s="840">
        <v>616.96</v>
      </c>
      <c r="AG159" s="840">
        <v>602.29999999999995</v>
      </c>
      <c r="AH159" s="840">
        <v>734.71</v>
      </c>
      <c r="AI159" s="840">
        <v>676.38</v>
      </c>
      <c r="AJ159" s="840">
        <v>753.64</v>
      </c>
      <c r="AK159" s="840"/>
      <c r="AL159" s="840"/>
      <c r="AM159" s="840"/>
      <c r="AN159" s="840"/>
      <c r="AO159" s="840"/>
      <c r="AP159" s="840"/>
      <c r="AQ159" s="840"/>
    </row>
    <row r="160" spans="2:43">
      <c r="B160" s="837" t="s">
        <v>921</v>
      </c>
      <c r="C160" s="837">
        <v>0</v>
      </c>
      <c r="D160" s="837">
        <v>0</v>
      </c>
      <c r="E160" s="837">
        <v>0</v>
      </c>
      <c r="F160" s="837">
        <v>0</v>
      </c>
      <c r="G160" s="837">
        <v>0</v>
      </c>
      <c r="H160" s="837">
        <v>0</v>
      </c>
      <c r="I160" s="837">
        <v>0</v>
      </c>
      <c r="J160" s="837">
        <v>0</v>
      </c>
      <c r="K160" s="837">
        <v>0</v>
      </c>
      <c r="L160" s="838">
        <v>0</v>
      </c>
      <c r="M160" s="838">
        <v>0</v>
      </c>
      <c r="N160" s="838">
        <v>0</v>
      </c>
      <c r="O160" s="838">
        <v>0</v>
      </c>
      <c r="P160" s="838">
        <v>0</v>
      </c>
      <c r="Q160" s="838">
        <v>0</v>
      </c>
      <c r="R160" s="838">
        <v>0</v>
      </c>
      <c r="S160" s="838">
        <v>0</v>
      </c>
      <c r="T160" s="838">
        <v>0</v>
      </c>
      <c r="U160" s="838">
        <v>1.18</v>
      </c>
      <c r="V160" s="838">
        <v>75.400000000000006</v>
      </c>
      <c r="W160" s="838">
        <v>73.63</v>
      </c>
      <c r="X160" s="838">
        <v>28.04</v>
      </c>
      <c r="Y160" s="838">
        <v>33.36</v>
      </c>
      <c r="Z160" s="838">
        <v>0.42</v>
      </c>
      <c r="AA160" s="838">
        <v>31.27</v>
      </c>
      <c r="AB160" s="838">
        <v>52.53</v>
      </c>
      <c r="AC160" s="838">
        <v>146.72999999999999</v>
      </c>
      <c r="AD160" s="838">
        <v>151.05000000000001</v>
      </c>
      <c r="AE160" s="838">
        <v>154.29</v>
      </c>
      <c r="AF160" s="838">
        <v>120.99</v>
      </c>
      <c r="AG160" s="838">
        <v>109.1</v>
      </c>
      <c r="AH160" s="838">
        <v>176.16</v>
      </c>
      <c r="AI160" s="838">
        <v>152.43</v>
      </c>
      <c r="AJ160" s="838">
        <v>173.43</v>
      </c>
      <c r="AK160" s="838"/>
      <c r="AL160" s="838"/>
      <c r="AM160" s="838"/>
      <c r="AN160" s="838"/>
      <c r="AO160" s="838"/>
      <c r="AP160" s="838"/>
      <c r="AQ160" s="838"/>
    </row>
    <row r="161" spans="2:43">
      <c r="B161" s="839" t="s">
        <v>922</v>
      </c>
      <c r="C161" s="839">
        <v>0</v>
      </c>
      <c r="D161" s="839">
        <v>0</v>
      </c>
      <c r="E161" s="839">
        <v>0</v>
      </c>
      <c r="F161" s="839">
        <v>0</v>
      </c>
      <c r="G161" s="839">
        <v>0</v>
      </c>
      <c r="H161" s="839">
        <v>0</v>
      </c>
      <c r="I161" s="839">
        <v>0</v>
      </c>
      <c r="J161" s="839">
        <v>0</v>
      </c>
      <c r="K161" s="839">
        <v>0</v>
      </c>
      <c r="L161" s="840">
        <v>0</v>
      </c>
      <c r="M161" s="840">
        <v>0</v>
      </c>
      <c r="N161" s="840">
        <v>0</v>
      </c>
      <c r="O161" s="840">
        <v>0</v>
      </c>
      <c r="P161" s="840">
        <v>0</v>
      </c>
      <c r="Q161" s="840">
        <v>0</v>
      </c>
      <c r="R161" s="840">
        <v>0</v>
      </c>
      <c r="S161" s="840">
        <v>0</v>
      </c>
      <c r="T161" s="840">
        <v>0</v>
      </c>
      <c r="U161" s="840">
        <v>11.6</v>
      </c>
      <c r="V161" s="840">
        <v>175.74</v>
      </c>
      <c r="W161" s="840">
        <v>30.04</v>
      </c>
      <c r="X161" s="840">
        <v>206.38</v>
      </c>
      <c r="Y161" s="840">
        <v>47.53</v>
      </c>
      <c r="Z161" s="840">
        <v>56.49</v>
      </c>
      <c r="AA161" s="840">
        <v>133.57</v>
      </c>
      <c r="AB161" s="840">
        <v>382.53</v>
      </c>
      <c r="AC161" s="840">
        <v>479.45</v>
      </c>
      <c r="AD161" s="840">
        <v>440.41</v>
      </c>
      <c r="AE161" s="840">
        <v>481.47</v>
      </c>
      <c r="AF161" s="840">
        <v>325.27</v>
      </c>
      <c r="AG161" s="840">
        <v>353.85</v>
      </c>
      <c r="AH161" s="840">
        <v>548.4</v>
      </c>
      <c r="AI161" s="840">
        <v>523.5</v>
      </c>
      <c r="AJ161" s="840">
        <v>521.49</v>
      </c>
      <c r="AK161" s="840"/>
      <c r="AL161" s="840"/>
      <c r="AM161" s="840"/>
      <c r="AN161" s="840"/>
      <c r="AO161" s="840"/>
      <c r="AP161" s="840"/>
      <c r="AQ161" s="840"/>
    </row>
    <row r="162" spans="2:43">
      <c r="B162" s="837" t="s">
        <v>923</v>
      </c>
      <c r="C162" s="837">
        <v>0</v>
      </c>
      <c r="D162" s="837">
        <v>0</v>
      </c>
      <c r="E162" s="837">
        <v>0</v>
      </c>
      <c r="F162" s="837">
        <v>0</v>
      </c>
      <c r="G162" s="837">
        <v>0</v>
      </c>
      <c r="H162" s="837">
        <v>0</v>
      </c>
      <c r="I162" s="837">
        <v>0</v>
      </c>
      <c r="J162" s="837">
        <v>0</v>
      </c>
      <c r="K162" s="837">
        <v>0</v>
      </c>
      <c r="L162" s="838">
        <v>0</v>
      </c>
      <c r="M162" s="838">
        <v>0</v>
      </c>
      <c r="N162" s="838">
        <v>0</v>
      </c>
      <c r="O162" s="838">
        <v>0</v>
      </c>
      <c r="P162" s="838">
        <v>0</v>
      </c>
      <c r="Q162" s="838">
        <v>0</v>
      </c>
      <c r="R162" s="838">
        <v>0</v>
      </c>
      <c r="S162" s="838">
        <v>0</v>
      </c>
      <c r="T162" s="838">
        <v>0</v>
      </c>
      <c r="U162" s="838">
        <v>22.11</v>
      </c>
      <c r="V162" s="838">
        <v>251.2</v>
      </c>
      <c r="W162" s="838">
        <v>353.48</v>
      </c>
      <c r="X162" s="838">
        <v>407.82</v>
      </c>
      <c r="Y162" s="838">
        <v>251.23</v>
      </c>
      <c r="Z162" s="838">
        <v>199.17</v>
      </c>
      <c r="AA162" s="838">
        <v>279.27</v>
      </c>
      <c r="AB162" s="838">
        <v>417.3</v>
      </c>
      <c r="AC162" s="838">
        <v>728.09</v>
      </c>
      <c r="AD162" s="838">
        <v>687.54</v>
      </c>
      <c r="AE162" s="838">
        <v>744.54</v>
      </c>
      <c r="AF162" s="838">
        <v>597.58000000000004</v>
      </c>
      <c r="AG162" s="838">
        <v>624.66</v>
      </c>
      <c r="AH162" s="838">
        <v>717.04</v>
      </c>
      <c r="AI162" s="838">
        <v>686.02</v>
      </c>
      <c r="AJ162" s="838">
        <v>744.83</v>
      </c>
      <c r="AK162" s="838"/>
      <c r="AL162" s="838"/>
      <c r="AM162" s="838"/>
      <c r="AN162" s="838"/>
      <c r="AO162" s="838"/>
      <c r="AP162" s="838"/>
      <c r="AQ162" s="838"/>
    </row>
    <row r="163" spans="2:43">
      <c r="B163" s="839" t="s">
        <v>924</v>
      </c>
      <c r="C163" s="839">
        <v>0</v>
      </c>
      <c r="D163" s="839">
        <v>0</v>
      </c>
      <c r="E163" s="839">
        <v>0</v>
      </c>
      <c r="F163" s="839">
        <v>0</v>
      </c>
      <c r="G163" s="839">
        <v>0</v>
      </c>
      <c r="H163" s="839">
        <v>0</v>
      </c>
      <c r="I163" s="839">
        <v>0</v>
      </c>
      <c r="J163" s="839">
        <v>0</v>
      </c>
      <c r="K163" s="839">
        <v>0</v>
      </c>
      <c r="L163" s="840">
        <v>0</v>
      </c>
      <c r="M163" s="840">
        <v>0</v>
      </c>
      <c r="N163" s="840">
        <v>0</v>
      </c>
      <c r="O163" s="840">
        <v>0</v>
      </c>
      <c r="P163" s="840">
        <v>0</v>
      </c>
      <c r="Q163" s="840">
        <v>0</v>
      </c>
      <c r="R163" s="840">
        <v>0</v>
      </c>
      <c r="S163" s="840">
        <v>0</v>
      </c>
      <c r="T163" s="840">
        <v>0</v>
      </c>
      <c r="U163" s="840">
        <v>5.77</v>
      </c>
      <c r="V163" s="840">
        <v>14.08</v>
      </c>
      <c r="W163" s="840">
        <v>57.08</v>
      </c>
      <c r="X163" s="840">
        <v>38.72</v>
      </c>
      <c r="Y163" s="840">
        <v>47.4</v>
      </c>
      <c r="Z163" s="840">
        <v>0.02</v>
      </c>
      <c r="AA163" s="840">
        <v>12.74</v>
      </c>
      <c r="AB163" s="840">
        <v>36.69</v>
      </c>
      <c r="AC163" s="840">
        <v>131.1</v>
      </c>
      <c r="AD163" s="840">
        <v>148.19999999999999</v>
      </c>
      <c r="AE163" s="840">
        <v>190.54</v>
      </c>
      <c r="AF163" s="840">
        <v>117.98</v>
      </c>
      <c r="AG163" s="840">
        <v>117.57</v>
      </c>
      <c r="AH163" s="840">
        <v>161.94999999999999</v>
      </c>
      <c r="AI163" s="840">
        <v>136.22</v>
      </c>
      <c r="AJ163" s="840">
        <v>148.03</v>
      </c>
      <c r="AK163" s="840"/>
      <c r="AL163" s="840"/>
      <c r="AM163" s="840"/>
      <c r="AN163" s="840"/>
      <c r="AO163" s="840"/>
      <c r="AP163" s="840"/>
      <c r="AQ163" s="840"/>
    </row>
    <row r="164" spans="2:43">
      <c r="B164" s="837" t="s">
        <v>925</v>
      </c>
      <c r="C164" s="837">
        <v>0</v>
      </c>
      <c r="D164" s="837">
        <v>0</v>
      </c>
      <c r="E164" s="837">
        <v>0</v>
      </c>
      <c r="F164" s="837">
        <v>0</v>
      </c>
      <c r="G164" s="837">
        <v>0</v>
      </c>
      <c r="H164" s="837">
        <v>0</v>
      </c>
      <c r="I164" s="837">
        <v>0</v>
      </c>
      <c r="J164" s="837">
        <v>0</v>
      </c>
      <c r="K164" s="837">
        <v>0</v>
      </c>
      <c r="L164" s="838">
        <v>0</v>
      </c>
      <c r="M164" s="838">
        <v>0</v>
      </c>
      <c r="N164" s="838">
        <v>0</v>
      </c>
      <c r="O164" s="838">
        <v>0</v>
      </c>
      <c r="P164" s="838">
        <v>0</v>
      </c>
      <c r="Q164" s="838">
        <v>0</v>
      </c>
      <c r="R164" s="838">
        <v>0</v>
      </c>
      <c r="S164" s="838">
        <v>0</v>
      </c>
      <c r="T164" s="838">
        <v>0</v>
      </c>
      <c r="U164" s="838">
        <v>6.91</v>
      </c>
      <c r="V164" s="838">
        <v>42.57</v>
      </c>
      <c r="W164" s="838">
        <v>23.52</v>
      </c>
      <c r="X164" s="838">
        <v>216.6</v>
      </c>
      <c r="Y164" s="838">
        <v>14.8</v>
      </c>
      <c r="Z164" s="838">
        <v>42.74</v>
      </c>
      <c r="AA164" s="838">
        <v>102.51</v>
      </c>
      <c r="AB164" s="838">
        <v>216.56</v>
      </c>
      <c r="AC164" s="838">
        <v>467.78</v>
      </c>
      <c r="AD164" s="838">
        <v>451.03</v>
      </c>
      <c r="AE164" s="838">
        <v>513.05999999999995</v>
      </c>
      <c r="AF164" s="838">
        <v>352.11</v>
      </c>
      <c r="AG164" s="838">
        <v>384.54</v>
      </c>
      <c r="AH164" s="838">
        <v>467.17</v>
      </c>
      <c r="AI164" s="838">
        <v>407.01</v>
      </c>
      <c r="AJ164" s="838">
        <v>451.8</v>
      </c>
      <c r="AK164" s="838"/>
      <c r="AL164" s="838"/>
      <c r="AM164" s="838"/>
      <c r="AN164" s="838"/>
      <c r="AO164" s="838"/>
      <c r="AP164" s="838"/>
      <c r="AQ164" s="838"/>
    </row>
    <row r="165" spans="2:43">
      <c r="B165" s="839" t="s">
        <v>926</v>
      </c>
      <c r="C165" s="839">
        <v>0</v>
      </c>
      <c r="D165" s="839">
        <v>0</v>
      </c>
      <c r="E165" s="839">
        <v>0</v>
      </c>
      <c r="F165" s="839">
        <v>0</v>
      </c>
      <c r="G165" s="839">
        <v>0</v>
      </c>
      <c r="H165" s="839">
        <v>0</v>
      </c>
      <c r="I165" s="839">
        <v>0</v>
      </c>
      <c r="J165" s="839">
        <v>0</v>
      </c>
      <c r="K165" s="839">
        <v>0</v>
      </c>
      <c r="L165" s="840">
        <v>0</v>
      </c>
      <c r="M165" s="840">
        <v>0</v>
      </c>
      <c r="N165" s="840">
        <v>0</v>
      </c>
      <c r="O165" s="840">
        <v>0</v>
      </c>
      <c r="P165" s="840">
        <v>0</v>
      </c>
      <c r="Q165" s="840">
        <v>0</v>
      </c>
      <c r="R165" s="840">
        <v>0</v>
      </c>
      <c r="S165" s="840">
        <v>0</v>
      </c>
      <c r="T165" s="840">
        <v>0</v>
      </c>
      <c r="U165" s="840">
        <v>17.489999999999998</v>
      </c>
      <c r="V165" s="840">
        <v>277.69</v>
      </c>
      <c r="W165" s="840">
        <v>373.85</v>
      </c>
      <c r="X165" s="840">
        <v>467.73</v>
      </c>
      <c r="Y165" s="840">
        <v>258.55</v>
      </c>
      <c r="Z165" s="840">
        <v>217.43</v>
      </c>
      <c r="AA165" s="840">
        <v>363.33</v>
      </c>
      <c r="AB165" s="840">
        <v>521.9</v>
      </c>
      <c r="AC165" s="840">
        <v>763.74</v>
      </c>
      <c r="AD165" s="840">
        <v>749.2</v>
      </c>
      <c r="AE165" s="840">
        <v>790.12</v>
      </c>
      <c r="AF165" s="840">
        <v>687</v>
      </c>
      <c r="AG165" s="840">
        <v>676.79</v>
      </c>
      <c r="AH165" s="840">
        <v>790.44</v>
      </c>
      <c r="AI165" s="840">
        <v>742.34</v>
      </c>
      <c r="AJ165" s="840">
        <v>793.15</v>
      </c>
      <c r="AK165" s="840"/>
      <c r="AL165" s="840"/>
      <c r="AM165" s="840"/>
      <c r="AN165" s="840"/>
      <c r="AO165" s="840"/>
      <c r="AP165" s="840"/>
      <c r="AQ165" s="840"/>
    </row>
    <row r="166" spans="2:43">
      <c r="B166" s="837" t="s">
        <v>927</v>
      </c>
      <c r="C166" s="837">
        <v>0</v>
      </c>
      <c r="D166" s="837">
        <v>0</v>
      </c>
      <c r="E166" s="837">
        <v>0</v>
      </c>
      <c r="F166" s="837">
        <v>0</v>
      </c>
      <c r="G166" s="837">
        <v>0</v>
      </c>
      <c r="H166" s="837">
        <v>0</v>
      </c>
      <c r="I166" s="837">
        <v>0</v>
      </c>
      <c r="J166" s="837">
        <v>0</v>
      </c>
      <c r="K166" s="837">
        <v>0</v>
      </c>
      <c r="L166" s="838">
        <v>0</v>
      </c>
      <c r="M166" s="838">
        <v>0</v>
      </c>
      <c r="N166" s="838">
        <v>0</v>
      </c>
      <c r="O166" s="838">
        <v>0</v>
      </c>
      <c r="P166" s="838">
        <v>0</v>
      </c>
      <c r="Q166" s="838">
        <v>0</v>
      </c>
      <c r="R166" s="838">
        <v>0</v>
      </c>
      <c r="S166" s="838">
        <v>0</v>
      </c>
      <c r="T166" s="838">
        <v>0</v>
      </c>
      <c r="U166" s="838">
        <v>6.6</v>
      </c>
      <c r="V166" s="838">
        <v>129.66999999999999</v>
      </c>
      <c r="W166" s="838">
        <v>131.41999999999999</v>
      </c>
      <c r="X166" s="838">
        <v>21.03</v>
      </c>
      <c r="Y166" s="838">
        <v>25.2</v>
      </c>
      <c r="Z166" s="838">
        <v>1.1100000000000001</v>
      </c>
      <c r="AA166" s="838">
        <v>25.36</v>
      </c>
      <c r="AB166" s="838">
        <v>42.23</v>
      </c>
      <c r="AC166" s="838">
        <v>104.59</v>
      </c>
      <c r="AD166" s="838">
        <v>125.24</v>
      </c>
      <c r="AE166" s="838">
        <v>147.9</v>
      </c>
      <c r="AF166" s="838">
        <v>109.89</v>
      </c>
      <c r="AG166" s="838">
        <v>105.01</v>
      </c>
      <c r="AH166" s="838">
        <v>154.24</v>
      </c>
      <c r="AI166" s="838">
        <v>144.05000000000001</v>
      </c>
      <c r="AJ166" s="838">
        <v>159.43</v>
      </c>
      <c r="AK166" s="838"/>
      <c r="AL166" s="838"/>
      <c r="AM166" s="838"/>
      <c r="AN166" s="838"/>
      <c r="AO166" s="838"/>
      <c r="AP166" s="838"/>
      <c r="AQ166" s="838"/>
    </row>
    <row r="167" spans="2:43">
      <c r="B167" s="839" t="s">
        <v>928</v>
      </c>
      <c r="C167" s="839">
        <v>0</v>
      </c>
      <c r="D167" s="839">
        <v>0</v>
      </c>
      <c r="E167" s="839">
        <v>0</v>
      </c>
      <c r="F167" s="839">
        <v>0</v>
      </c>
      <c r="G167" s="839">
        <v>0</v>
      </c>
      <c r="H167" s="839">
        <v>0</v>
      </c>
      <c r="I167" s="839">
        <v>0</v>
      </c>
      <c r="J167" s="839">
        <v>0</v>
      </c>
      <c r="K167" s="839">
        <v>0</v>
      </c>
      <c r="L167" s="840">
        <v>0</v>
      </c>
      <c r="M167" s="840">
        <v>0</v>
      </c>
      <c r="N167" s="840">
        <v>0</v>
      </c>
      <c r="O167" s="840">
        <v>0</v>
      </c>
      <c r="P167" s="840">
        <v>0</v>
      </c>
      <c r="Q167" s="840">
        <v>0</v>
      </c>
      <c r="R167" s="840">
        <v>0</v>
      </c>
      <c r="S167" s="840">
        <v>0</v>
      </c>
      <c r="T167" s="840">
        <v>0</v>
      </c>
      <c r="U167" s="840">
        <v>2.42</v>
      </c>
      <c r="V167" s="840">
        <v>36.97</v>
      </c>
      <c r="W167" s="840">
        <v>400.7</v>
      </c>
      <c r="X167" s="840">
        <v>452.7</v>
      </c>
      <c r="Y167" s="840">
        <v>463.15</v>
      </c>
      <c r="Z167" s="840">
        <v>478.49</v>
      </c>
      <c r="AA167" s="840">
        <v>487.01</v>
      </c>
      <c r="AB167" s="840">
        <v>509.26</v>
      </c>
      <c r="AC167" s="840">
        <v>663.79</v>
      </c>
      <c r="AD167" s="840">
        <v>635.97</v>
      </c>
      <c r="AE167" s="840">
        <v>668.42</v>
      </c>
      <c r="AF167" s="840">
        <v>603.12</v>
      </c>
      <c r="AG167" s="840">
        <v>629.16999999999996</v>
      </c>
      <c r="AH167" s="840">
        <v>697.11</v>
      </c>
      <c r="AI167" s="840">
        <v>661.72</v>
      </c>
      <c r="AJ167" s="840">
        <v>683.01</v>
      </c>
      <c r="AK167" s="840"/>
      <c r="AL167" s="840"/>
      <c r="AM167" s="840"/>
      <c r="AN167" s="840"/>
      <c r="AO167" s="840"/>
      <c r="AP167" s="840"/>
      <c r="AQ167" s="840"/>
    </row>
    <row r="168" spans="2:43">
      <c r="B168" s="837" t="s">
        <v>929</v>
      </c>
      <c r="C168" s="837">
        <v>0</v>
      </c>
      <c r="D168" s="837">
        <v>0</v>
      </c>
      <c r="E168" s="837">
        <v>0</v>
      </c>
      <c r="F168" s="837">
        <v>0</v>
      </c>
      <c r="G168" s="837">
        <v>0</v>
      </c>
      <c r="H168" s="837">
        <v>0</v>
      </c>
      <c r="I168" s="837">
        <v>0</v>
      </c>
      <c r="J168" s="837">
        <v>0</v>
      </c>
      <c r="K168" s="837">
        <v>0</v>
      </c>
      <c r="L168" s="838">
        <v>0</v>
      </c>
      <c r="M168" s="838">
        <v>0</v>
      </c>
      <c r="N168" s="838">
        <v>0</v>
      </c>
      <c r="O168" s="838">
        <v>0</v>
      </c>
      <c r="P168" s="838">
        <v>0</v>
      </c>
      <c r="Q168" s="838">
        <v>0</v>
      </c>
      <c r="R168" s="838">
        <v>0</v>
      </c>
      <c r="S168" s="838">
        <v>0</v>
      </c>
      <c r="T168" s="838">
        <v>0</v>
      </c>
      <c r="U168" s="838">
        <v>12.53</v>
      </c>
      <c r="V168" s="838">
        <v>245.19</v>
      </c>
      <c r="W168" s="838">
        <v>284.54000000000002</v>
      </c>
      <c r="X168" s="838">
        <v>399.11</v>
      </c>
      <c r="Y168" s="838">
        <v>231.2</v>
      </c>
      <c r="Z168" s="838">
        <v>194.36</v>
      </c>
      <c r="AA168" s="838">
        <v>278.52</v>
      </c>
      <c r="AB168" s="838">
        <v>426.54</v>
      </c>
      <c r="AC168" s="838">
        <v>735.58</v>
      </c>
      <c r="AD168" s="838">
        <v>707.92</v>
      </c>
      <c r="AE168" s="838">
        <v>732.72</v>
      </c>
      <c r="AF168" s="838">
        <v>611.51</v>
      </c>
      <c r="AG168" s="838">
        <v>622.85</v>
      </c>
      <c r="AH168" s="838">
        <v>725.04</v>
      </c>
      <c r="AI168" s="838">
        <v>658.51</v>
      </c>
      <c r="AJ168" s="838">
        <v>713.01</v>
      </c>
      <c r="AK168" s="838"/>
      <c r="AL168" s="838"/>
      <c r="AM168" s="838"/>
      <c r="AN168" s="838"/>
      <c r="AO168" s="838"/>
      <c r="AP168" s="838"/>
      <c r="AQ168" s="838"/>
    </row>
    <row r="169" spans="2:43">
      <c r="B169" s="839" t="s">
        <v>930</v>
      </c>
      <c r="C169" s="839">
        <v>0</v>
      </c>
      <c r="D169" s="839">
        <v>0</v>
      </c>
      <c r="E169" s="839">
        <v>0</v>
      </c>
      <c r="F169" s="839">
        <v>0</v>
      </c>
      <c r="G169" s="839">
        <v>0</v>
      </c>
      <c r="H169" s="839">
        <v>0</v>
      </c>
      <c r="I169" s="839">
        <v>0</v>
      </c>
      <c r="J169" s="839">
        <v>0</v>
      </c>
      <c r="K169" s="839">
        <v>0</v>
      </c>
      <c r="L169" s="840">
        <v>0</v>
      </c>
      <c r="M169" s="840">
        <v>0</v>
      </c>
      <c r="N169" s="840">
        <v>0</v>
      </c>
      <c r="O169" s="840">
        <v>0</v>
      </c>
      <c r="P169" s="840">
        <v>0</v>
      </c>
      <c r="Q169" s="840">
        <v>0</v>
      </c>
      <c r="R169" s="840">
        <v>0</v>
      </c>
      <c r="S169" s="840">
        <v>0</v>
      </c>
      <c r="T169" s="840">
        <v>0</v>
      </c>
      <c r="U169" s="840">
        <v>0</v>
      </c>
      <c r="V169" s="840">
        <v>13.36</v>
      </c>
      <c r="W169" s="840">
        <v>33.71</v>
      </c>
      <c r="X169" s="840">
        <v>58.36</v>
      </c>
      <c r="Y169" s="840">
        <v>14.36</v>
      </c>
      <c r="Z169" s="840">
        <v>3.18</v>
      </c>
      <c r="AA169" s="840">
        <v>12.48</v>
      </c>
      <c r="AB169" s="840">
        <v>50.18</v>
      </c>
      <c r="AC169" s="840">
        <v>149.47999999999999</v>
      </c>
      <c r="AD169" s="840">
        <v>159.96</v>
      </c>
      <c r="AE169" s="840">
        <v>174.35</v>
      </c>
      <c r="AF169" s="840">
        <v>127.77</v>
      </c>
      <c r="AG169" s="840">
        <v>118.22</v>
      </c>
      <c r="AH169" s="840">
        <v>163.84</v>
      </c>
      <c r="AI169" s="840">
        <v>141.78</v>
      </c>
      <c r="AJ169" s="840">
        <v>150</v>
      </c>
      <c r="AK169" s="840"/>
      <c r="AL169" s="840"/>
      <c r="AM169" s="840"/>
      <c r="AN169" s="840"/>
      <c r="AO169" s="840"/>
      <c r="AP169" s="840"/>
      <c r="AQ169" s="840"/>
    </row>
    <row r="170" spans="2:43">
      <c r="B170" s="837" t="s">
        <v>931</v>
      </c>
      <c r="C170" s="837">
        <v>0</v>
      </c>
      <c r="D170" s="837">
        <v>0</v>
      </c>
      <c r="E170" s="837">
        <v>0</v>
      </c>
      <c r="F170" s="837">
        <v>0</v>
      </c>
      <c r="G170" s="837">
        <v>0</v>
      </c>
      <c r="H170" s="837">
        <v>0</v>
      </c>
      <c r="I170" s="837">
        <v>0</v>
      </c>
      <c r="J170" s="837">
        <v>0</v>
      </c>
      <c r="K170" s="837">
        <v>0</v>
      </c>
      <c r="L170" s="838">
        <v>0</v>
      </c>
      <c r="M170" s="838">
        <v>0</v>
      </c>
      <c r="N170" s="838">
        <v>0</v>
      </c>
      <c r="O170" s="838">
        <v>0</v>
      </c>
      <c r="P170" s="838">
        <v>0</v>
      </c>
      <c r="Q170" s="838">
        <v>0</v>
      </c>
      <c r="R170" s="838">
        <v>0</v>
      </c>
      <c r="S170" s="838">
        <v>0</v>
      </c>
      <c r="T170" s="838">
        <v>0</v>
      </c>
      <c r="U170" s="838">
        <v>5.55</v>
      </c>
      <c r="V170" s="838">
        <v>149.47</v>
      </c>
      <c r="W170" s="838">
        <v>33.909999999999997</v>
      </c>
      <c r="X170" s="838">
        <v>159.38999999999999</v>
      </c>
      <c r="Y170" s="838">
        <v>36.86</v>
      </c>
      <c r="Z170" s="838">
        <v>53.64</v>
      </c>
      <c r="AA170" s="838">
        <v>92.41</v>
      </c>
      <c r="AB170" s="838">
        <v>218.84</v>
      </c>
      <c r="AC170" s="838">
        <v>452.96</v>
      </c>
      <c r="AD170" s="838">
        <v>435.66</v>
      </c>
      <c r="AE170" s="838">
        <v>468.11</v>
      </c>
      <c r="AF170" s="838">
        <v>345.72</v>
      </c>
      <c r="AG170" s="838">
        <v>331.55</v>
      </c>
      <c r="AH170" s="838">
        <v>455.48</v>
      </c>
      <c r="AI170" s="838">
        <v>380.96</v>
      </c>
      <c r="AJ170" s="838">
        <v>422.77</v>
      </c>
      <c r="AK170" s="838"/>
      <c r="AL170" s="838"/>
      <c r="AM170" s="838"/>
      <c r="AN170" s="838"/>
      <c r="AO170" s="838"/>
      <c r="AP170" s="838"/>
      <c r="AQ170" s="838"/>
    </row>
    <row r="171" spans="2:43">
      <c r="B171" s="839" t="s">
        <v>932</v>
      </c>
      <c r="C171" s="839">
        <v>0</v>
      </c>
      <c r="D171" s="839">
        <v>0</v>
      </c>
      <c r="E171" s="839">
        <v>0</v>
      </c>
      <c r="F171" s="839">
        <v>0</v>
      </c>
      <c r="G171" s="839">
        <v>0</v>
      </c>
      <c r="H171" s="839">
        <v>0</v>
      </c>
      <c r="I171" s="839">
        <v>0</v>
      </c>
      <c r="J171" s="839">
        <v>0</v>
      </c>
      <c r="K171" s="839">
        <v>0</v>
      </c>
      <c r="L171" s="840">
        <v>0</v>
      </c>
      <c r="M171" s="840">
        <v>0</v>
      </c>
      <c r="N171" s="840">
        <v>0</v>
      </c>
      <c r="O171" s="840">
        <v>0</v>
      </c>
      <c r="P171" s="840">
        <v>0</v>
      </c>
      <c r="Q171" s="840">
        <v>0</v>
      </c>
      <c r="R171" s="840">
        <v>0</v>
      </c>
      <c r="S171" s="840">
        <v>0</v>
      </c>
      <c r="T171" s="840">
        <v>0</v>
      </c>
      <c r="U171" s="840">
        <v>7.84</v>
      </c>
      <c r="V171" s="840">
        <v>241.54</v>
      </c>
      <c r="W171" s="840">
        <v>343.6</v>
      </c>
      <c r="X171" s="840">
        <v>623.26</v>
      </c>
      <c r="Y171" s="840">
        <v>371.11</v>
      </c>
      <c r="Z171" s="840">
        <v>294.10000000000002</v>
      </c>
      <c r="AA171" s="840">
        <v>433.9</v>
      </c>
      <c r="AB171" s="840">
        <v>545.23</v>
      </c>
      <c r="AC171" s="840">
        <v>827.4</v>
      </c>
      <c r="AD171" s="840">
        <v>753.39</v>
      </c>
      <c r="AE171" s="840">
        <v>798.39</v>
      </c>
      <c r="AF171" s="840">
        <v>708.56</v>
      </c>
      <c r="AG171" s="840">
        <v>750.1</v>
      </c>
      <c r="AH171" s="840">
        <v>783.96</v>
      </c>
      <c r="AI171" s="840">
        <v>748.48</v>
      </c>
      <c r="AJ171" s="840">
        <v>793.29</v>
      </c>
      <c r="AK171" s="840"/>
      <c r="AL171" s="840"/>
      <c r="AM171" s="840"/>
      <c r="AN171" s="840"/>
      <c r="AO171" s="840"/>
      <c r="AP171" s="840"/>
      <c r="AQ171" s="840"/>
    </row>
    <row r="172" spans="2:43">
      <c r="B172" s="837" t="s">
        <v>933</v>
      </c>
      <c r="C172" s="837">
        <v>0</v>
      </c>
      <c r="D172" s="837">
        <v>0</v>
      </c>
      <c r="E172" s="837">
        <v>0</v>
      </c>
      <c r="F172" s="837">
        <v>0</v>
      </c>
      <c r="G172" s="837">
        <v>0</v>
      </c>
      <c r="H172" s="837">
        <v>0</v>
      </c>
      <c r="I172" s="837">
        <v>0</v>
      </c>
      <c r="J172" s="837">
        <v>0</v>
      </c>
      <c r="K172" s="837">
        <v>0</v>
      </c>
      <c r="L172" s="838">
        <v>0</v>
      </c>
      <c r="M172" s="838">
        <v>0</v>
      </c>
      <c r="N172" s="838">
        <v>0</v>
      </c>
      <c r="O172" s="838">
        <v>0</v>
      </c>
      <c r="P172" s="838">
        <v>0</v>
      </c>
      <c r="Q172" s="838">
        <v>0</v>
      </c>
      <c r="R172" s="838">
        <v>0</v>
      </c>
      <c r="S172" s="838">
        <v>0</v>
      </c>
      <c r="T172" s="838">
        <v>0</v>
      </c>
      <c r="U172" s="838">
        <v>0</v>
      </c>
      <c r="V172" s="838">
        <v>2.15</v>
      </c>
      <c r="W172" s="838">
        <v>44.89</v>
      </c>
      <c r="X172" s="838">
        <v>44.79</v>
      </c>
      <c r="Y172" s="838">
        <v>80.900000000000006</v>
      </c>
      <c r="Z172" s="838">
        <v>59.77</v>
      </c>
      <c r="AA172" s="838">
        <v>82.79</v>
      </c>
      <c r="AB172" s="838">
        <v>90.53</v>
      </c>
      <c r="AC172" s="838">
        <v>166.68</v>
      </c>
      <c r="AD172" s="838">
        <v>181.55</v>
      </c>
      <c r="AE172" s="838">
        <v>197.55</v>
      </c>
      <c r="AF172" s="838">
        <v>154.58000000000001</v>
      </c>
      <c r="AG172" s="838">
        <v>168.21</v>
      </c>
      <c r="AH172" s="838">
        <v>202.36</v>
      </c>
      <c r="AI172" s="838">
        <v>180.8</v>
      </c>
      <c r="AJ172" s="838">
        <v>181.45</v>
      </c>
      <c r="AK172" s="838"/>
      <c r="AL172" s="838"/>
      <c r="AM172" s="838"/>
      <c r="AN172" s="838"/>
      <c r="AO172" s="838"/>
      <c r="AP172" s="838"/>
      <c r="AQ172" s="838"/>
    </row>
    <row r="173" spans="2:43">
      <c r="B173" s="839" t="s">
        <v>934</v>
      </c>
      <c r="C173" s="839">
        <v>0</v>
      </c>
      <c r="D173" s="839">
        <v>0</v>
      </c>
      <c r="E173" s="839">
        <v>0</v>
      </c>
      <c r="F173" s="839">
        <v>0</v>
      </c>
      <c r="G173" s="839">
        <v>0</v>
      </c>
      <c r="H173" s="839">
        <v>0</v>
      </c>
      <c r="I173" s="839">
        <v>0</v>
      </c>
      <c r="J173" s="839">
        <v>0</v>
      </c>
      <c r="K173" s="839">
        <v>0</v>
      </c>
      <c r="L173" s="840">
        <v>0</v>
      </c>
      <c r="M173" s="840">
        <v>0</v>
      </c>
      <c r="N173" s="840">
        <v>0</v>
      </c>
      <c r="O173" s="840">
        <v>0</v>
      </c>
      <c r="P173" s="840">
        <v>0</v>
      </c>
      <c r="Q173" s="840">
        <v>0</v>
      </c>
      <c r="R173" s="840">
        <v>0</v>
      </c>
      <c r="S173" s="840">
        <v>0</v>
      </c>
      <c r="T173" s="840">
        <v>0</v>
      </c>
      <c r="U173" s="840">
        <v>6.24</v>
      </c>
      <c r="V173" s="840">
        <v>67.72</v>
      </c>
      <c r="W173" s="840">
        <v>90.24</v>
      </c>
      <c r="X173" s="840">
        <v>448.2</v>
      </c>
      <c r="Y173" s="840">
        <v>378.7</v>
      </c>
      <c r="Z173" s="840">
        <v>334.29</v>
      </c>
      <c r="AA173" s="840">
        <v>503.63</v>
      </c>
      <c r="AB173" s="840">
        <v>516.51</v>
      </c>
      <c r="AC173" s="840">
        <v>641.45000000000005</v>
      </c>
      <c r="AD173" s="840">
        <v>649.98</v>
      </c>
      <c r="AE173" s="840">
        <v>767.89</v>
      </c>
      <c r="AF173" s="840">
        <v>663.79</v>
      </c>
      <c r="AG173" s="840">
        <v>743.37</v>
      </c>
      <c r="AH173" s="840">
        <v>765.99</v>
      </c>
      <c r="AI173" s="840">
        <v>744.98</v>
      </c>
      <c r="AJ173" s="840">
        <v>728.68</v>
      </c>
      <c r="AK173" s="840"/>
      <c r="AL173" s="840"/>
      <c r="AM173" s="840"/>
      <c r="AN173" s="840"/>
      <c r="AO173" s="840"/>
      <c r="AP173" s="840"/>
      <c r="AQ173" s="840"/>
    </row>
    <row r="174" spans="2:43">
      <c r="B174" s="837" t="s">
        <v>935</v>
      </c>
      <c r="C174" s="837">
        <v>0</v>
      </c>
      <c r="D174" s="837">
        <v>0</v>
      </c>
      <c r="E174" s="837">
        <v>0</v>
      </c>
      <c r="F174" s="837">
        <v>0</v>
      </c>
      <c r="G174" s="837">
        <v>0</v>
      </c>
      <c r="H174" s="837">
        <v>0</v>
      </c>
      <c r="I174" s="837">
        <v>0</v>
      </c>
      <c r="J174" s="837">
        <v>0</v>
      </c>
      <c r="K174" s="837">
        <v>0</v>
      </c>
      <c r="L174" s="838">
        <v>0</v>
      </c>
      <c r="M174" s="838">
        <v>0</v>
      </c>
      <c r="N174" s="838">
        <v>0</v>
      </c>
      <c r="O174" s="838">
        <v>0</v>
      </c>
      <c r="P174" s="838">
        <v>0</v>
      </c>
      <c r="Q174" s="838">
        <v>0</v>
      </c>
      <c r="R174" s="838">
        <v>0</v>
      </c>
      <c r="S174" s="838">
        <v>0</v>
      </c>
      <c r="T174" s="838">
        <v>0</v>
      </c>
      <c r="U174" s="838">
        <v>0.16</v>
      </c>
      <c r="V174" s="838">
        <v>9.2899999999999991</v>
      </c>
      <c r="W174" s="838">
        <v>15.62</v>
      </c>
      <c r="X174" s="838">
        <v>15.58</v>
      </c>
      <c r="Y174" s="838">
        <v>15.07</v>
      </c>
      <c r="Z174" s="838">
        <v>15.59</v>
      </c>
      <c r="AA174" s="838">
        <v>15.65</v>
      </c>
      <c r="AB174" s="838">
        <v>14.67</v>
      </c>
      <c r="AC174" s="838">
        <v>15.7</v>
      </c>
      <c r="AD174" s="838">
        <v>15.18</v>
      </c>
      <c r="AE174" s="838">
        <v>15.65</v>
      </c>
      <c r="AF174" s="838">
        <v>15.11</v>
      </c>
      <c r="AG174" s="838">
        <v>15.75</v>
      </c>
      <c r="AH174" s="838">
        <v>15.7</v>
      </c>
      <c r="AI174" s="838">
        <v>15.17</v>
      </c>
      <c r="AJ174" s="838">
        <v>15.67</v>
      </c>
      <c r="AK174" s="838"/>
      <c r="AL174" s="838"/>
      <c r="AM174" s="838"/>
      <c r="AN174" s="838"/>
      <c r="AO174" s="838"/>
      <c r="AP174" s="838"/>
      <c r="AQ174" s="838"/>
    </row>
    <row r="175" spans="2:43">
      <c r="B175" s="839" t="s">
        <v>936</v>
      </c>
      <c r="C175" s="839">
        <v>0</v>
      </c>
      <c r="D175" s="839">
        <v>0</v>
      </c>
      <c r="E175" s="839">
        <v>0</v>
      </c>
      <c r="F175" s="839">
        <v>0</v>
      </c>
      <c r="G175" s="839">
        <v>0</v>
      </c>
      <c r="H175" s="839">
        <v>0</v>
      </c>
      <c r="I175" s="839">
        <v>0</v>
      </c>
      <c r="J175" s="839">
        <v>0</v>
      </c>
      <c r="K175" s="839">
        <v>0</v>
      </c>
      <c r="L175" s="840">
        <v>0</v>
      </c>
      <c r="M175" s="840">
        <v>0</v>
      </c>
      <c r="N175" s="840">
        <v>0</v>
      </c>
      <c r="O175" s="840">
        <v>0</v>
      </c>
      <c r="P175" s="840">
        <v>0</v>
      </c>
      <c r="Q175" s="840">
        <v>0</v>
      </c>
      <c r="R175" s="840">
        <v>0</v>
      </c>
      <c r="S175" s="840">
        <v>0</v>
      </c>
      <c r="T175" s="840">
        <v>0</v>
      </c>
      <c r="U175" s="840">
        <v>2.9</v>
      </c>
      <c r="V175" s="840">
        <v>291.14</v>
      </c>
      <c r="W175" s="840">
        <v>362.93</v>
      </c>
      <c r="X175" s="840">
        <v>151.33000000000001</v>
      </c>
      <c r="Y175" s="840">
        <v>188.23</v>
      </c>
      <c r="Z175" s="840">
        <v>144.22</v>
      </c>
      <c r="AA175" s="840">
        <v>98.63</v>
      </c>
      <c r="AB175" s="840">
        <v>71.459999999999994</v>
      </c>
      <c r="AC175" s="840">
        <v>62.47</v>
      </c>
      <c r="AD175" s="840">
        <v>136.31</v>
      </c>
      <c r="AE175" s="840">
        <v>55.66</v>
      </c>
      <c r="AF175" s="840">
        <v>116.19</v>
      </c>
      <c r="AG175" s="840">
        <v>248.45</v>
      </c>
      <c r="AH175" s="840">
        <v>38.56</v>
      </c>
      <c r="AI175" s="840">
        <v>12.98</v>
      </c>
      <c r="AJ175" s="840">
        <v>18.489999999999998</v>
      </c>
      <c r="AK175" s="840"/>
      <c r="AL175" s="840"/>
      <c r="AM175" s="840"/>
      <c r="AN175" s="840"/>
      <c r="AO175" s="840"/>
      <c r="AP175" s="840"/>
      <c r="AQ175" s="840"/>
    </row>
    <row r="176" spans="2:43">
      <c r="B176" s="837" t="s">
        <v>937</v>
      </c>
      <c r="C176" s="837">
        <v>0</v>
      </c>
      <c r="D176" s="837">
        <v>0</v>
      </c>
      <c r="E176" s="837">
        <v>0</v>
      </c>
      <c r="F176" s="837">
        <v>0</v>
      </c>
      <c r="G176" s="837">
        <v>0</v>
      </c>
      <c r="H176" s="837">
        <v>0</v>
      </c>
      <c r="I176" s="837">
        <v>0</v>
      </c>
      <c r="J176" s="837">
        <v>0</v>
      </c>
      <c r="K176" s="837">
        <v>0</v>
      </c>
      <c r="L176" s="838">
        <v>0</v>
      </c>
      <c r="M176" s="838">
        <v>0</v>
      </c>
      <c r="N176" s="838">
        <v>0</v>
      </c>
      <c r="O176" s="838">
        <v>0</v>
      </c>
      <c r="P176" s="838">
        <v>0</v>
      </c>
      <c r="Q176" s="838">
        <v>0</v>
      </c>
      <c r="R176" s="838">
        <v>0</v>
      </c>
      <c r="S176" s="838">
        <v>0</v>
      </c>
      <c r="T176" s="838">
        <v>0</v>
      </c>
      <c r="U176" s="838">
        <v>1.04</v>
      </c>
      <c r="V176" s="838">
        <v>43.39</v>
      </c>
      <c r="W176" s="838">
        <v>69.22</v>
      </c>
      <c r="X176" s="838">
        <v>70.510000000000005</v>
      </c>
      <c r="Y176" s="838">
        <v>68.95</v>
      </c>
      <c r="Z176" s="838">
        <v>71.239999999999995</v>
      </c>
      <c r="AA176" s="838">
        <v>70.760000000000005</v>
      </c>
      <c r="AB176" s="838">
        <v>67.12</v>
      </c>
      <c r="AC176" s="838">
        <v>70.61</v>
      </c>
      <c r="AD176" s="838">
        <v>70.83</v>
      </c>
      <c r="AE176" s="838">
        <v>72</v>
      </c>
      <c r="AF176" s="838">
        <v>67.66</v>
      </c>
      <c r="AG176" s="838">
        <v>70.45</v>
      </c>
      <c r="AH176" s="838">
        <v>70.09</v>
      </c>
      <c r="AI176" s="838">
        <v>66.91</v>
      </c>
      <c r="AJ176" s="838">
        <v>71.069999999999993</v>
      </c>
      <c r="AK176" s="838"/>
      <c r="AL176" s="838"/>
      <c r="AM176" s="838"/>
      <c r="AN176" s="838"/>
      <c r="AO176" s="838"/>
      <c r="AP176" s="838"/>
      <c r="AQ176" s="838"/>
    </row>
    <row r="177" spans="2:43">
      <c r="B177" s="839" t="s">
        <v>938</v>
      </c>
      <c r="C177" s="839">
        <v>0</v>
      </c>
      <c r="D177" s="839">
        <v>0</v>
      </c>
      <c r="E177" s="839">
        <v>0</v>
      </c>
      <c r="F177" s="839">
        <v>0</v>
      </c>
      <c r="G177" s="839">
        <v>0</v>
      </c>
      <c r="H177" s="839">
        <v>0</v>
      </c>
      <c r="I177" s="839">
        <v>0</v>
      </c>
      <c r="J177" s="839">
        <v>0</v>
      </c>
      <c r="K177" s="839">
        <v>0</v>
      </c>
      <c r="L177" s="840">
        <v>0</v>
      </c>
      <c r="M177" s="840">
        <v>0</v>
      </c>
      <c r="N177" s="840">
        <v>0</v>
      </c>
      <c r="O177" s="840">
        <v>0</v>
      </c>
      <c r="P177" s="840">
        <v>0</v>
      </c>
      <c r="Q177" s="840">
        <v>0</v>
      </c>
      <c r="R177" s="840">
        <v>0</v>
      </c>
      <c r="S177" s="840">
        <v>0</v>
      </c>
      <c r="T177" s="840">
        <v>0</v>
      </c>
      <c r="U177" s="840">
        <v>0</v>
      </c>
      <c r="V177" s="840">
        <v>6.73</v>
      </c>
      <c r="W177" s="840">
        <v>1.69</v>
      </c>
      <c r="X177" s="840">
        <v>0.28999999999999998</v>
      </c>
      <c r="Y177" s="840">
        <v>1.1399999999999999</v>
      </c>
      <c r="Z177" s="840">
        <v>0</v>
      </c>
      <c r="AA177" s="840">
        <v>0</v>
      </c>
      <c r="AB177" s="840">
        <v>0</v>
      </c>
      <c r="AC177" s="840">
        <v>0.01</v>
      </c>
      <c r="AD177" s="840">
        <v>1.55</v>
      </c>
      <c r="AE177" s="840">
        <v>0</v>
      </c>
      <c r="AF177" s="840">
        <v>0</v>
      </c>
      <c r="AG177" s="840">
        <v>0</v>
      </c>
      <c r="AH177" s="840">
        <v>0</v>
      </c>
      <c r="AI177" s="840">
        <v>0</v>
      </c>
      <c r="AJ177" s="840">
        <v>0</v>
      </c>
      <c r="AK177" s="840"/>
      <c r="AL177" s="840"/>
      <c r="AM177" s="840"/>
      <c r="AN177" s="840"/>
      <c r="AO177" s="840"/>
      <c r="AP177" s="840"/>
      <c r="AQ177" s="840"/>
    </row>
    <row r="178" spans="2:43">
      <c r="B178" s="837" t="s">
        <v>939</v>
      </c>
      <c r="C178" s="837">
        <v>0</v>
      </c>
      <c r="D178" s="837">
        <v>0</v>
      </c>
      <c r="E178" s="837">
        <v>0</v>
      </c>
      <c r="F178" s="837">
        <v>0</v>
      </c>
      <c r="G178" s="837">
        <v>0</v>
      </c>
      <c r="H178" s="837">
        <v>0</v>
      </c>
      <c r="I178" s="837">
        <v>0</v>
      </c>
      <c r="J178" s="837">
        <v>0</v>
      </c>
      <c r="K178" s="837">
        <v>0</v>
      </c>
      <c r="L178" s="838">
        <v>0</v>
      </c>
      <c r="M178" s="838">
        <v>0</v>
      </c>
      <c r="N178" s="838">
        <v>0</v>
      </c>
      <c r="O178" s="838">
        <v>0</v>
      </c>
      <c r="P178" s="838">
        <v>0</v>
      </c>
      <c r="Q178" s="838">
        <v>0</v>
      </c>
      <c r="R178" s="838">
        <v>0</v>
      </c>
      <c r="S178" s="838">
        <v>0</v>
      </c>
      <c r="T178" s="838">
        <v>0</v>
      </c>
      <c r="U178" s="838">
        <v>2.33</v>
      </c>
      <c r="V178" s="838">
        <v>1411.47</v>
      </c>
      <c r="W178" s="838">
        <v>3161.89</v>
      </c>
      <c r="X178" s="838">
        <v>3329.34</v>
      </c>
      <c r="Y178" s="838">
        <v>3516.37</v>
      </c>
      <c r="Z178" s="838">
        <v>4140.4399999999996</v>
      </c>
      <c r="AA178" s="838">
        <v>5038.58</v>
      </c>
      <c r="AB178" s="838">
        <v>6256.92</v>
      </c>
      <c r="AC178" s="838">
        <v>9736.26</v>
      </c>
      <c r="AD178" s="838">
        <v>8906.48</v>
      </c>
      <c r="AE178" s="838">
        <v>10211.26</v>
      </c>
      <c r="AF178" s="838">
        <v>8632.15</v>
      </c>
      <c r="AG178" s="838">
        <v>8633</v>
      </c>
      <c r="AH178" s="838">
        <v>10455.59</v>
      </c>
      <c r="AI178" s="838">
        <v>9352.2999999999993</v>
      </c>
      <c r="AJ178" s="838">
        <v>9675.52</v>
      </c>
      <c r="AK178" s="838"/>
      <c r="AL178" s="838"/>
      <c r="AM178" s="838"/>
      <c r="AN178" s="838"/>
      <c r="AO178" s="838"/>
      <c r="AP178" s="838"/>
      <c r="AQ178" s="838"/>
    </row>
    <row r="179" spans="2:43">
      <c r="B179" s="839" t="s">
        <v>940</v>
      </c>
      <c r="C179" s="839">
        <v>0</v>
      </c>
      <c r="D179" s="839">
        <v>0</v>
      </c>
      <c r="E179" s="839">
        <v>0</v>
      </c>
      <c r="F179" s="839">
        <v>0</v>
      </c>
      <c r="G179" s="839">
        <v>0</v>
      </c>
      <c r="H179" s="839">
        <v>0</v>
      </c>
      <c r="I179" s="839">
        <v>0</v>
      </c>
      <c r="J179" s="839">
        <v>0</v>
      </c>
      <c r="K179" s="839">
        <v>0</v>
      </c>
      <c r="L179" s="840">
        <v>0</v>
      </c>
      <c r="M179" s="840">
        <v>0</v>
      </c>
      <c r="N179" s="840">
        <v>0</v>
      </c>
      <c r="O179" s="840">
        <v>0</v>
      </c>
      <c r="P179" s="840">
        <v>0</v>
      </c>
      <c r="Q179" s="840">
        <v>0</v>
      </c>
      <c r="R179" s="840">
        <v>0</v>
      </c>
      <c r="S179" s="840">
        <v>0</v>
      </c>
      <c r="T179" s="840">
        <v>0</v>
      </c>
      <c r="U179" s="840">
        <v>27.52</v>
      </c>
      <c r="V179" s="840">
        <v>1171.93</v>
      </c>
      <c r="W179" s="840">
        <v>1556.51</v>
      </c>
      <c r="X179" s="840">
        <v>1542.64</v>
      </c>
      <c r="Y179" s="840">
        <v>1395.74</v>
      </c>
      <c r="Z179" s="840">
        <v>1359.83</v>
      </c>
      <c r="AA179" s="840">
        <v>1653.17</v>
      </c>
      <c r="AB179" s="840">
        <v>1650.16</v>
      </c>
      <c r="AC179" s="840">
        <v>1971.24</v>
      </c>
      <c r="AD179" s="840">
        <v>1894.07</v>
      </c>
      <c r="AE179" s="840">
        <v>2080.84</v>
      </c>
      <c r="AF179" s="840">
        <v>1874.65</v>
      </c>
      <c r="AG179" s="840">
        <v>1928.57</v>
      </c>
      <c r="AH179" s="840">
        <v>2080.69</v>
      </c>
      <c r="AI179" s="840">
        <v>2066.63</v>
      </c>
      <c r="AJ179" s="840">
        <v>2142.2199999999998</v>
      </c>
      <c r="AK179" s="840"/>
      <c r="AL179" s="840"/>
      <c r="AM179" s="840"/>
      <c r="AN179" s="840"/>
      <c r="AO179" s="840"/>
      <c r="AP179" s="840"/>
      <c r="AQ179" s="840"/>
    </row>
    <row r="180" spans="2:43">
      <c r="B180" s="837" t="s">
        <v>941</v>
      </c>
      <c r="C180" s="837">
        <v>0</v>
      </c>
      <c r="D180" s="837">
        <v>0</v>
      </c>
      <c r="E180" s="837">
        <v>0</v>
      </c>
      <c r="F180" s="837">
        <v>0</v>
      </c>
      <c r="G180" s="837">
        <v>0</v>
      </c>
      <c r="H180" s="837">
        <v>0</v>
      </c>
      <c r="I180" s="837">
        <v>0</v>
      </c>
      <c r="J180" s="837">
        <v>0</v>
      </c>
      <c r="K180" s="837">
        <v>0</v>
      </c>
      <c r="L180" s="838">
        <v>0</v>
      </c>
      <c r="M180" s="838">
        <v>0</v>
      </c>
      <c r="N180" s="838">
        <v>0</v>
      </c>
      <c r="O180" s="838">
        <v>0</v>
      </c>
      <c r="P180" s="838">
        <v>0</v>
      </c>
      <c r="Q180" s="838">
        <v>0</v>
      </c>
      <c r="R180" s="838">
        <v>0</v>
      </c>
      <c r="S180" s="838">
        <v>0</v>
      </c>
      <c r="T180" s="838">
        <v>0</v>
      </c>
      <c r="U180" s="838">
        <v>84.91</v>
      </c>
      <c r="V180" s="838">
        <v>1966.16</v>
      </c>
      <c r="W180" s="838">
        <v>1483.15</v>
      </c>
      <c r="X180" s="838">
        <v>1673.94</v>
      </c>
      <c r="Y180" s="838">
        <v>2008.78</v>
      </c>
      <c r="Z180" s="838">
        <v>2554.29</v>
      </c>
      <c r="AA180" s="838">
        <v>2578.3200000000002</v>
      </c>
      <c r="AB180" s="838">
        <v>2450.96</v>
      </c>
      <c r="AC180" s="838">
        <v>2660.26</v>
      </c>
      <c r="AD180" s="838">
        <v>2282.52</v>
      </c>
      <c r="AE180" s="838">
        <v>2512.92</v>
      </c>
      <c r="AF180" s="838">
        <v>2429.64</v>
      </c>
      <c r="AG180" s="838">
        <v>2577.71</v>
      </c>
      <c r="AH180" s="838">
        <v>2563.0100000000002</v>
      </c>
      <c r="AI180" s="838">
        <v>2320.31</v>
      </c>
      <c r="AJ180" s="838">
        <v>2353.5100000000002</v>
      </c>
      <c r="AK180" s="838"/>
      <c r="AL180" s="838"/>
      <c r="AM180" s="838"/>
      <c r="AN180" s="838"/>
      <c r="AO180" s="838"/>
      <c r="AP180" s="838"/>
      <c r="AQ180" s="838"/>
    </row>
    <row r="181" spans="2:43">
      <c r="B181" s="839" t="s">
        <v>942</v>
      </c>
      <c r="C181" s="839">
        <v>0</v>
      </c>
      <c r="D181" s="839">
        <v>0</v>
      </c>
      <c r="E181" s="839">
        <v>0</v>
      </c>
      <c r="F181" s="839">
        <v>0</v>
      </c>
      <c r="G181" s="839">
        <v>0</v>
      </c>
      <c r="H181" s="839">
        <v>0</v>
      </c>
      <c r="I181" s="839">
        <v>0</v>
      </c>
      <c r="J181" s="839">
        <v>0</v>
      </c>
      <c r="K181" s="839">
        <v>0</v>
      </c>
      <c r="L181" s="840">
        <v>0</v>
      </c>
      <c r="M181" s="840">
        <v>0</v>
      </c>
      <c r="N181" s="840">
        <v>0</v>
      </c>
      <c r="O181" s="840">
        <v>0</v>
      </c>
      <c r="P181" s="840">
        <v>0</v>
      </c>
      <c r="Q181" s="840">
        <v>0</v>
      </c>
      <c r="R181" s="840">
        <v>0</v>
      </c>
      <c r="S181" s="840">
        <v>0</v>
      </c>
      <c r="T181" s="840">
        <v>0</v>
      </c>
      <c r="U181" s="840">
        <v>3.09</v>
      </c>
      <c r="V181" s="840">
        <v>80.459999999999994</v>
      </c>
      <c r="W181" s="840">
        <v>147.94999999999999</v>
      </c>
      <c r="X181" s="840">
        <v>135.87</v>
      </c>
      <c r="Y181" s="840">
        <v>109.99</v>
      </c>
      <c r="Z181" s="840">
        <v>296.82</v>
      </c>
      <c r="AA181" s="840">
        <v>1447.6</v>
      </c>
      <c r="AB181" s="840">
        <v>4164.8100000000004</v>
      </c>
      <c r="AC181" s="840">
        <v>10109.59</v>
      </c>
      <c r="AD181" s="840">
        <v>9365.49</v>
      </c>
      <c r="AE181" s="840">
        <v>11157.15</v>
      </c>
      <c r="AF181" s="840">
        <v>8562.4699999999993</v>
      </c>
      <c r="AG181" s="840">
        <v>8141.97</v>
      </c>
      <c r="AH181" s="840">
        <v>11555.86</v>
      </c>
      <c r="AI181" s="840">
        <v>9840.73</v>
      </c>
      <c r="AJ181" s="840">
        <v>10272.69</v>
      </c>
      <c r="AK181" s="840"/>
      <c r="AL181" s="840"/>
      <c r="AM181" s="840"/>
      <c r="AN181" s="840"/>
      <c r="AO181" s="840"/>
      <c r="AP181" s="840"/>
      <c r="AQ181" s="840"/>
    </row>
    <row r="182" spans="2:43">
      <c r="B182" s="837" t="s">
        <v>943</v>
      </c>
      <c r="C182" s="837">
        <v>0</v>
      </c>
      <c r="D182" s="837">
        <v>0</v>
      </c>
      <c r="E182" s="837">
        <v>0</v>
      </c>
      <c r="F182" s="837">
        <v>0</v>
      </c>
      <c r="G182" s="837">
        <v>0</v>
      </c>
      <c r="H182" s="837">
        <v>0</v>
      </c>
      <c r="I182" s="837">
        <v>0</v>
      </c>
      <c r="J182" s="837">
        <v>0</v>
      </c>
      <c r="K182" s="837">
        <v>0</v>
      </c>
      <c r="L182" s="838">
        <v>0</v>
      </c>
      <c r="M182" s="838">
        <v>0</v>
      </c>
      <c r="N182" s="838">
        <v>0</v>
      </c>
      <c r="O182" s="838">
        <v>0</v>
      </c>
      <c r="P182" s="838">
        <v>0</v>
      </c>
      <c r="Q182" s="838">
        <v>0</v>
      </c>
      <c r="R182" s="838">
        <v>0</v>
      </c>
      <c r="S182" s="838">
        <v>0</v>
      </c>
      <c r="T182" s="838">
        <v>0</v>
      </c>
      <c r="U182" s="838">
        <v>8.25</v>
      </c>
      <c r="V182" s="838">
        <v>305.58999999999997</v>
      </c>
      <c r="W182" s="838">
        <v>1540.12</v>
      </c>
      <c r="X182" s="838">
        <v>2568.7399999999998</v>
      </c>
      <c r="Y182" s="838">
        <v>3156.43</v>
      </c>
      <c r="Z182" s="838">
        <v>3415.83</v>
      </c>
      <c r="AA182" s="838">
        <v>8344.3700000000008</v>
      </c>
      <c r="AB182" s="838">
        <v>12126.22</v>
      </c>
      <c r="AC182" s="838">
        <v>17549.91</v>
      </c>
      <c r="AD182" s="838">
        <v>16928.22</v>
      </c>
      <c r="AE182" s="838">
        <v>18636.62</v>
      </c>
      <c r="AF182" s="838">
        <v>14997.33</v>
      </c>
      <c r="AG182" s="838">
        <v>15686.21</v>
      </c>
      <c r="AH182" s="838">
        <v>18035.64</v>
      </c>
      <c r="AI182" s="838">
        <v>16817.11</v>
      </c>
      <c r="AJ182" s="838">
        <v>17235.98</v>
      </c>
      <c r="AK182" s="838"/>
      <c r="AL182" s="838"/>
      <c r="AM182" s="838"/>
      <c r="AN182" s="838"/>
      <c r="AO182" s="838"/>
      <c r="AP182" s="838"/>
      <c r="AQ182" s="838"/>
    </row>
    <row r="183" spans="2:43">
      <c r="B183" s="839" t="s">
        <v>944</v>
      </c>
      <c r="C183" s="839">
        <v>0</v>
      </c>
      <c r="D183" s="839">
        <v>0</v>
      </c>
      <c r="E183" s="839">
        <v>0</v>
      </c>
      <c r="F183" s="839">
        <v>0</v>
      </c>
      <c r="G183" s="839">
        <v>0</v>
      </c>
      <c r="H183" s="839">
        <v>0</v>
      </c>
      <c r="I183" s="839">
        <v>0</v>
      </c>
      <c r="J183" s="839">
        <v>0</v>
      </c>
      <c r="K183" s="839">
        <v>0</v>
      </c>
      <c r="L183" s="840">
        <v>0</v>
      </c>
      <c r="M183" s="840">
        <v>0</v>
      </c>
      <c r="N183" s="840">
        <v>0</v>
      </c>
      <c r="O183" s="840">
        <v>0</v>
      </c>
      <c r="P183" s="840">
        <v>0</v>
      </c>
      <c r="Q183" s="840">
        <v>0</v>
      </c>
      <c r="R183" s="840">
        <v>0</v>
      </c>
      <c r="S183" s="840">
        <v>0</v>
      </c>
      <c r="T183" s="840">
        <v>0</v>
      </c>
      <c r="U183" s="840">
        <v>49.51</v>
      </c>
      <c r="V183" s="840">
        <v>1179.71</v>
      </c>
      <c r="W183" s="840">
        <v>1455.58</v>
      </c>
      <c r="X183" s="840">
        <v>1073.76</v>
      </c>
      <c r="Y183" s="840">
        <v>982.53</v>
      </c>
      <c r="Z183" s="840">
        <v>853.25</v>
      </c>
      <c r="AA183" s="840">
        <v>1179.02</v>
      </c>
      <c r="AB183" s="840">
        <v>1301.9100000000001</v>
      </c>
      <c r="AC183" s="840">
        <v>1502.56</v>
      </c>
      <c r="AD183" s="840">
        <v>1432.6</v>
      </c>
      <c r="AE183" s="840">
        <v>1504.52</v>
      </c>
      <c r="AF183" s="840">
        <v>1420.82</v>
      </c>
      <c r="AG183" s="840">
        <v>1481.28</v>
      </c>
      <c r="AH183" s="840">
        <v>1477.71</v>
      </c>
      <c r="AI183" s="840">
        <v>1427.92</v>
      </c>
      <c r="AJ183" s="840">
        <v>1493.16</v>
      </c>
      <c r="AK183" s="840"/>
      <c r="AL183" s="840"/>
      <c r="AM183" s="840"/>
      <c r="AN183" s="840"/>
      <c r="AO183" s="840"/>
      <c r="AP183" s="840"/>
      <c r="AQ183" s="840"/>
    </row>
    <row r="184" spans="2:43">
      <c r="B184" s="837" t="s">
        <v>945</v>
      </c>
      <c r="C184" s="837">
        <v>0</v>
      </c>
      <c r="D184" s="837">
        <v>0</v>
      </c>
      <c r="E184" s="837">
        <v>0</v>
      </c>
      <c r="F184" s="837">
        <v>0</v>
      </c>
      <c r="G184" s="837">
        <v>0</v>
      </c>
      <c r="H184" s="837">
        <v>0</v>
      </c>
      <c r="I184" s="837">
        <v>0</v>
      </c>
      <c r="J184" s="837">
        <v>0</v>
      </c>
      <c r="K184" s="837">
        <v>0</v>
      </c>
      <c r="L184" s="838">
        <v>0</v>
      </c>
      <c r="M184" s="838">
        <v>0</v>
      </c>
      <c r="N184" s="838">
        <v>0</v>
      </c>
      <c r="O184" s="838">
        <v>0</v>
      </c>
      <c r="P184" s="838">
        <v>0</v>
      </c>
      <c r="Q184" s="838">
        <v>0</v>
      </c>
      <c r="R184" s="838">
        <v>0</v>
      </c>
      <c r="S184" s="838">
        <v>0</v>
      </c>
      <c r="T184" s="838">
        <v>0</v>
      </c>
      <c r="U184" s="838">
        <v>0</v>
      </c>
      <c r="V184" s="838">
        <v>3.23</v>
      </c>
      <c r="W184" s="838">
        <v>27.66</v>
      </c>
      <c r="X184" s="838">
        <v>1376.2</v>
      </c>
      <c r="Y184" s="838">
        <v>2020.46</v>
      </c>
      <c r="Z184" s="838">
        <v>2392.2600000000002</v>
      </c>
      <c r="AA184" s="838">
        <v>6757.91</v>
      </c>
      <c r="AB184" s="838">
        <v>10234.450000000001</v>
      </c>
      <c r="AC184" s="838">
        <v>15199.28</v>
      </c>
      <c r="AD184" s="838">
        <v>14677.1</v>
      </c>
      <c r="AE184" s="838">
        <v>16232.18</v>
      </c>
      <c r="AF184" s="838">
        <v>12852.75</v>
      </c>
      <c r="AG184" s="838">
        <v>13446.48</v>
      </c>
      <c r="AH184" s="838">
        <v>15688.58</v>
      </c>
      <c r="AI184" s="838">
        <v>14575.28</v>
      </c>
      <c r="AJ184" s="838">
        <v>14909.66</v>
      </c>
      <c r="AK184" s="838"/>
      <c r="AL184" s="838"/>
      <c r="AM184" s="838"/>
      <c r="AN184" s="838"/>
      <c r="AO184" s="838"/>
      <c r="AP184" s="838"/>
      <c r="AQ184" s="838"/>
    </row>
    <row r="185" spans="2:43">
      <c r="B185" s="839" t="s">
        <v>946</v>
      </c>
      <c r="C185" s="839">
        <v>0</v>
      </c>
      <c r="D185" s="839">
        <v>0</v>
      </c>
      <c r="E185" s="839">
        <v>0</v>
      </c>
      <c r="F185" s="839">
        <v>0</v>
      </c>
      <c r="G185" s="839">
        <v>0</v>
      </c>
      <c r="H185" s="839">
        <v>0</v>
      </c>
      <c r="I185" s="839">
        <v>0</v>
      </c>
      <c r="J185" s="839">
        <v>0</v>
      </c>
      <c r="K185" s="839">
        <v>0</v>
      </c>
      <c r="L185" s="840">
        <v>0</v>
      </c>
      <c r="M185" s="840">
        <v>0</v>
      </c>
      <c r="N185" s="840">
        <v>0</v>
      </c>
      <c r="O185" s="840">
        <v>0</v>
      </c>
      <c r="P185" s="840">
        <v>0</v>
      </c>
      <c r="Q185" s="840">
        <v>0</v>
      </c>
      <c r="R185" s="840">
        <v>0</v>
      </c>
      <c r="S185" s="840">
        <v>0</v>
      </c>
      <c r="T185" s="840">
        <v>0</v>
      </c>
      <c r="U185" s="840">
        <v>77.78</v>
      </c>
      <c r="V185" s="840">
        <v>3236.2</v>
      </c>
      <c r="W185" s="840">
        <v>2628.61</v>
      </c>
      <c r="X185" s="840">
        <v>2831.52</v>
      </c>
      <c r="Y185" s="840">
        <v>3598.34</v>
      </c>
      <c r="Z185" s="840">
        <v>3754.44</v>
      </c>
      <c r="AA185" s="840">
        <v>4254.59</v>
      </c>
      <c r="AB185" s="840">
        <v>4565.1499999999996</v>
      </c>
      <c r="AC185" s="840">
        <v>5412.18</v>
      </c>
      <c r="AD185" s="840">
        <v>5201.32</v>
      </c>
      <c r="AE185" s="840">
        <v>5336.83</v>
      </c>
      <c r="AF185" s="840">
        <v>5000.96</v>
      </c>
      <c r="AG185" s="840">
        <v>5508.33</v>
      </c>
      <c r="AH185" s="840">
        <v>5154.3500000000004</v>
      </c>
      <c r="AI185" s="840">
        <v>4978.5200000000004</v>
      </c>
      <c r="AJ185" s="840">
        <v>5293.24</v>
      </c>
      <c r="AK185" s="840"/>
      <c r="AL185" s="840"/>
      <c r="AM185" s="840"/>
      <c r="AN185" s="840"/>
      <c r="AO185" s="840"/>
      <c r="AP185" s="840"/>
      <c r="AQ185" s="840"/>
    </row>
    <row r="186" spans="2:43">
      <c r="B186" s="837" t="s">
        <v>947</v>
      </c>
      <c r="C186" s="837">
        <v>0</v>
      </c>
      <c r="D186" s="837">
        <v>0</v>
      </c>
      <c r="E186" s="837">
        <v>0</v>
      </c>
      <c r="F186" s="837">
        <v>0</v>
      </c>
      <c r="G186" s="837">
        <v>0</v>
      </c>
      <c r="H186" s="837">
        <v>0</v>
      </c>
      <c r="I186" s="837">
        <v>0</v>
      </c>
      <c r="J186" s="837">
        <v>0</v>
      </c>
      <c r="K186" s="837">
        <v>0</v>
      </c>
      <c r="L186" s="838">
        <v>0</v>
      </c>
      <c r="M186" s="838">
        <v>0</v>
      </c>
      <c r="N186" s="838">
        <v>0</v>
      </c>
      <c r="O186" s="838">
        <v>0</v>
      </c>
      <c r="P186" s="838">
        <v>0</v>
      </c>
      <c r="Q186" s="838">
        <v>0</v>
      </c>
      <c r="R186" s="838">
        <v>0</v>
      </c>
      <c r="S186" s="838">
        <v>0</v>
      </c>
      <c r="T186" s="838">
        <v>0</v>
      </c>
      <c r="U186" s="838">
        <v>0</v>
      </c>
      <c r="V186" s="838">
        <v>2052</v>
      </c>
      <c r="W186" s="838">
        <v>2311.15</v>
      </c>
      <c r="X186" s="838">
        <v>2273.88</v>
      </c>
      <c r="Y186" s="838">
        <v>2811.78</v>
      </c>
      <c r="Z186" s="838">
        <v>2783.96</v>
      </c>
      <c r="AA186" s="838">
        <v>3025.09</v>
      </c>
      <c r="AB186" s="838">
        <v>3166.17</v>
      </c>
      <c r="AC186" s="838">
        <v>3666.36</v>
      </c>
      <c r="AD186" s="838">
        <v>3569.22</v>
      </c>
      <c r="AE186" s="838">
        <v>3588.2</v>
      </c>
      <c r="AF186" s="838">
        <v>3185.24</v>
      </c>
      <c r="AG186" s="838">
        <v>3346.59</v>
      </c>
      <c r="AH186" s="838">
        <v>3418.1</v>
      </c>
      <c r="AI186" s="838">
        <v>3247.68</v>
      </c>
      <c r="AJ186" s="838">
        <v>3515.14</v>
      </c>
      <c r="AK186" s="838"/>
      <c r="AL186" s="838"/>
      <c r="AM186" s="838"/>
      <c r="AN186" s="838"/>
      <c r="AO186" s="838"/>
      <c r="AP186" s="838"/>
      <c r="AQ186" s="838"/>
    </row>
    <row r="187" spans="2:43">
      <c r="B187" s="839" t="s">
        <v>948</v>
      </c>
      <c r="C187" s="839">
        <v>0</v>
      </c>
      <c r="D187" s="839">
        <v>0</v>
      </c>
      <c r="E187" s="839">
        <v>0</v>
      </c>
      <c r="F187" s="839">
        <v>0</v>
      </c>
      <c r="G187" s="839">
        <v>0</v>
      </c>
      <c r="H187" s="839">
        <v>0</v>
      </c>
      <c r="I187" s="839">
        <v>0</v>
      </c>
      <c r="J187" s="839">
        <v>0</v>
      </c>
      <c r="K187" s="839">
        <v>0</v>
      </c>
      <c r="L187" s="840">
        <v>0</v>
      </c>
      <c r="M187" s="840">
        <v>0</v>
      </c>
      <c r="N187" s="840">
        <v>0</v>
      </c>
      <c r="O187" s="840">
        <v>0</v>
      </c>
      <c r="P187" s="840">
        <v>0</v>
      </c>
      <c r="Q187" s="840">
        <v>0</v>
      </c>
      <c r="R187" s="840">
        <v>0</v>
      </c>
      <c r="S187" s="840">
        <v>0</v>
      </c>
      <c r="T187" s="840">
        <v>0</v>
      </c>
      <c r="U187" s="840">
        <v>0</v>
      </c>
      <c r="V187" s="840">
        <v>18</v>
      </c>
      <c r="W187" s="840">
        <v>86.74</v>
      </c>
      <c r="X187" s="840">
        <v>117.86</v>
      </c>
      <c r="Y187" s="840">
        <v>115.63</v>
      </c>
      <c r="Z187" s="840">
        <v>121.02</v>
      </c>
      <c r="AA187" s="840">
        <v>133.54</v>
      </c>
      <c r="AB187" s="840">
        <v>136.51</v>
      </c>
      <c r="AC187" s="840">
        <v>146.63</v>
      </c>
      <c r="AD187" s="840">
        <v>149.65</v>
      </c>
      <c r="AE187" s="840">
        <v>147.32</v>
      </c>
      <c r="AF187" s="840">
        <v>137.72</v>
      </c>
      <c r="AG187" s="840">
        <v>146.03</v>
      </c>
      <c r="AH187" s="840">
        <v>146.19999999999999</v>
      </c>
      <c r="AI187" s="840">
        <v>141.86000000000001</v>
      </c>
      <c r="AJ187" s="840">
        <v>148.9</v>
      </c>
      <c r="AK187" s="840"/>
      <c r="AL187" s="840"/>
      <c r="AM187" s="840"/>
      <c r="AN187" s="840"/>
      <c r="AO187" s="840"/>
      <c r="AP187" s="840"/>
      <c r="AQ187" s="840"/>
    </row>
    <row r="188" spans="2:43">
      <c r="B188" s="837" t="s">
        <v>949</v>
      </c>
      <c r="C188" s="837">
        <v>0</v>
      </c>
      <c r="D188" s="837">
        <v>0</v>
      </c>
      <c r="E188" s="837">
        <v>0</v>
      </c>
      <c r="F188" s="837">
        <v>0</v>
      </c>
      <c r="G188" s="837">
        <v>0</v>
      </c>
      <c r="H188" s="837">
        <v>0</v>
      </c>
      <c r="I188" s="837">
        <v>0</v>
      </c>
      <c r="J188" s="837">
        <v>0</v>
      </c>
      <c r="K188" s="837">
        <v>0</v>
      </c>
      <c r="L188" s="838">
        <v>0</v>
      </c>
      <c r="M188" s="838">
        <v>0</v>
      </c>
      <c r="N188" s="838">
        <v>0</v>
      </c>
      <c r="O188" s="838">
        <v>0</v>
      </c>
      <c r="P188" s="838">
        <v>0</v>
      </c>
      <c r="Q188" s="838">
        <v>0</v>
      </c>
      <c r="R188" s="838">
        <v>0</v>
      </c>
      <c r="S188" s="838">
        <v>0</v>
      </c>
      <c r="T188" s="838">
        <v>0</v>
      </c>
      <c r="U188" s="838">
        <v>0</v>
      </c>
      <c r="V188" s="838">
        <v>37</v>
      </c>
      <c r="W188" s="838">
        <v>82.66</v>
      </c>
      <c r="X188" s="838">
        <v>345.89</v>
      </c>
      <c r="Y188" s="838">
        <v>679.61</v>
      </c>
      <c r="Z188" s="838">
        <v>857.56</v>
      </c>
      <c r="AA188" s="838">
        <v>1104.46</v>
      </c>
      <c r="AB188" s="838">
        <v>1271.1500000000001</v>
      </c>
      <c r="AC188" s="838">
        <v>1607.82</v>
      </c>
      <c r="AD188" s="838">
        <v>1491.09</v>
      </c>
      <c r="AE188" s="838">
        <v>1609.75</v>
      </c>
      <c r="AF188" s="838">
        <v>1685.7</v>
      </c>
      <c r="AG188" s="838">
        <v>2024.48</v>
      </c>
      <c r="AH188" s="838">
        <v>1598.08</v>
      </c>
      <c r="AI188" s="838">
        <v>1597.21</v>
      </c>
      <c r="AJ188" s="838">
        <v>1637.76</v>
      </c>
      <c r="AK188" s="838"/>
      <c r="AL188" s="838"/>
      <c r="AM188" s="838"/>
      <c r="AN188" s="838"/>
      <c r="AO188" s="838"/>
      <c r="AP188" s="838"/>
      <c r="AQ188" s="838"/>
    </row>
    <row r="189" spans="2:43">
      <c r="B189" s="839" t="s">
        <v>950</v>
      </c>
      <c r="C189" s="839">
        <v>0</v>
      </c>
      <c r="D189" s="839">
        <v>0</v>
      </c>
      <c r="E189" s="839">
        <v>0</v>
      </c>
      <c r="F189" s="839">
        <v>0</v>
      </c>
      <c r="G189" s="839">
        <v>0</v>
      </c>
      <c r="H189" s="839">
        <v>0</v>
      </c>
      <c r="I189" s="839">
        <v>0</v>
      </c>
      <c r="J189" s="839">
        <v>0</v>
      </c>
      <c r="K189" s="839">
        <v>0</v>
      </c>
      <c r="L189" s="840">
        <v>0</v>
      </c>
      <c r="M189" s="840">
        <v>0</v>
      </c>
      <c r="N189" s="840">
        <v>0</v>
      </c>
      <c r="O189" s="840">
        <v>0</v>
      </c>
      <c r="P189" s="840">
        <v>0</v>
      </c>
      <c r="Q189" s="840">
        <v>0</v>
      </c>
      <c r="R189" s="840">
        <v>0</v>
      </c>
      <c r="S189" s="840">
        <v>0</v>
      </c>
      <c r="T189" s="840">
        <v>0</v>
      </c>
      <c r="U189" s="840">
        <v>69.64</v>
      </c>
      <c r="V189" s="840">
        <v>2604.88</v>
      </c>
      <c r="W189" s="840">
        <v>2069.81</v>
      </c>
      <c r="X189" s="840">
        <v>2163.77</v>
      </c>
      <c r="Y189" s="840">
        <v>1784.5</v>
      </c>
      <c r="Z189" s="840">
        <v>1771.84</v>
      </c>
      <c r="AA189" s="840">
        <v>2380.31</v>
      </c>
      <c r="AB189" s="840">
        <v>2541.6799999999998</v>
      </c>
      <c r="AC189" s="840">
        <v>3526.48</v>
      </c>
      <c r="AD189" s="840">
        <v>3288.34</v>
      </c>
      <c r="AE189" s="840">
        <v>3401.88</v>
      </c>
      <c r="AF189" s="840">
        <v>2959.23</v>
      </c>
      <c r="AG189" s="840">
        <v>2832.76</v>
      </c>
      <c r="AH189" s="840">
        <v>3286.1</v>
      </c>
      <c r="AI189" s="840">
        <v>3143.48</v>
      </c>
      <c r="AJ189" s="840">
        <v>3198.28</v>
      </c>
      <c r="AK189" s="840"/>
      <c r="AL189" s="840"/>
      <c r="AM189" s="840"/>
      <c r="AN189" s="840"/>
      <c r="AO189" s="840"/>
      <c r="AP189" s="840"/>
      <c r="AQ189" s="840"/>
    </row>
    <row r="190" spans="2:43">
      <c r="B190" s="837" t="s">
        <v>951</v>
      </c>
      <c r="C190" s="837">
        <v>0</v>
      </c>
      <c r="D190" s="837">
        <v>0</v>
      </c>
      <c r="E190" s="837">
        <v>0</v>
      </c>
      <c r="F190" s="837">
        <v>0</v>
      </c>
      <c r="G190" s="837">
        <v>0</v>
      </c>
      <c r="H190" s="837">
        <v>0</v>
      </c>
      <c r="I190" s="837">
        <v>0</v>
      </c>
      <c r="J190" s="837">
        <v>0</v>
      </c>
      <c r="K190" s="837">
        <v>0</v>
      </c>
      <c r="L190" s="838">
        <v>0</v>
      </c>
      <c r="M190" s="838">
        <v>0</v>
      </c>
      <c r="N190" s="838">
        <v>0</v>
      </c>
      <c r="O190" s="838">
        <v>0</v>
      </c>
      <c r="P190" s="838">
        <v>0</v>
      </c>
      <c r="Q190" s="838">
        <v>0</v>
      </c>
      <c r="R190" s="838">
        <v>0</v>
      </c>
      <c r="S190" s="838">
        <v>0</v>
      </c>
      <c r="T190" s="838">
        <v>0</v>
      </c>
      <c r="U190" s="838">
        <v>0</v>
      </c>
      <c r="V190" s="838">
        <v>1146</v>
      </c>
      <c r="W190" s="838">
        <v>1024.5999999999999</v>
      </c>
      <c r="X190" s="838">
        <v>1247.6500000000001</v>
      </c>
      <c r="Y190" s="838">
        <v>1249.6099999999999</v>
      </c>
      <c r="Z190" s="838">
        <v>1339.64</v>
      </c>
      <c r="AA190" s="838">
        <v>1935.14</v>
      </c>
      <c r="AB190" s="838">
        <v>2081.6</v>
      </c>
      <c r="AC190" s="838">
        <v>3050.12</v>
      </c>
      <c r="AD190" s="838">
        <v>2841.63</v>
      </c>
      <c r="AE190" s="838">
        <v>2923.04</v>
      </c>
      <c r="AF190" s="838">
        <v>2498.4299999999998</v>
      </c>
      <c r="AG190" s="838">
        <v>2361.79</v>
      </c>
      <c r="AH190" s="838">
        <v>2803.36</v>
      </c>
      <c r="AI190" s="838">
        <v>2675.79</v>
      </c>
      <c r="AJ190" s="838">
        <v>2701.66</v>
      </c>
      <c r="AK190" s="838"/>
      <c r="AL190" s="838"/>
      <c r="AM190" s="838"/>
      <c r="AN190" s="838"/>
      <c r="AO190" s="838"/>
      <c r="AP190" s="838"/>
      <c r="AQ190" s="838"/>
    </row>
    <row r="191" spans="2:43">
      <c r="B191" s="839" t="s">
        <v>952</v>
      </c>
      <c r="C191" s="839">
        <v>0</v>
      </c>
      <c r="D191" s="839">
        <v>0</v>
      </c>
      <c r="E191" s="839">
        <v>0</v>
      </c>
      <c r="F191" s="839">
        <v>0</v>
      </c>
      <c r="G191" s="839">
        <v>0</v>
      </c>
      <c r="H191" s="839">
        <v>0</v>
      </c>
      <c r="I191" s="839">
        <v>0</v>
      </c>
      <c r="J191" s="839">
        <v>0</v>
      </c>
      <c r="K191" s="839">
        <v>0</v>
      </c>
      <c r="L191" s="840">
        <v>0</v>
      </c>
      <c r="M191" s="840">
        <v>0</v>
      </c>
      <c r="N191" s="840">
        <v>0</v>
      </c>
      <c r="O191" s="840">
        <v>0</v>
      </c>
      <c r="P191" s="840">
        <v>0</v>
      </c>
      <c r="Q191" s="840">
        <v>0</v>
      </c>
      <c r="R191" s="840">
        <v>0</v>
      </c>
      <c r="S191" s="840">
        <v>0</v>
      </c>
      <c r="T191" s="840">
        <v>0</v>
      </c>
      <c r="U191" s="840">
        <v>5.22</v>
      </c>
      <c r="V191" s="840">
        <v>489</v>
      </c>
      <c r="W191" s="840">
        <v>627.34</v>
      </c>
      <c r="X191" s="840">
        <v>881.29</v>
      </c>
      <c r="Y191" s="840">
        <v>340.47</v>
      </c>
      <c r="Z191" s="840">
        <v>204.59</v>
      </c>
      <c r="AA191" s="840">
        <v>204.34</v>
      </c>
      <c r="AB191" s="840">
        <v>197.99</v>
      </c>
      <c r="AC191" s="840">
        <v>215.75</v>
      </c>
      <c r="AD191" s="840">
        <v>206.47</v>
      </c>
      <c r="AE191" s="840">
        <v>211.39</v>
      </c>
      <c r="AF191" s="840">
        <v>210.55</v>
      </c>
      <c r="AG191" s="840">
        <v>221.2</v>
      </c>
      <c r="AH191" s="840">
        <v>220.75</v>
      </c>
      <c r="AI191" s="840">
        <v>213.92</v>
      </c>
      <c r="AJ191" s="840">
        <v>221.59</v>
      </c>
      <c r="AK191" s="840"/>
      <c r="AL191" s="840"/>
      <c r="AM191" s="840"/>
      <c r="AN191" s="840"/>
      <c r="AO191" s="840"/>
      <c r="AP191" s="840"/>
      <c r="AQ191" s="840"/>
    </row>
    <row r="192" spans="2:43">
      <c r="B192" s="837" t="s">
        <v>953</v>
      </c>
      <c r="C192" s="837">
        <v>0</v>
      </c>
      <c r="D192" s="837">
        <v>0</v>
      </c>
      <c r="E192" s="837">
        <v>0</v>
      </c>
      <c r="F192" s="837">
        <v>0</v>
      </c>
      <c r="G192" s="837">
        <v>0</v>
      </c>
      <c r="H192" s="837">
        <v>0</v>
      </c>
      <c r="I192" s="837">
        <v>0</v>
      </c>
      <c r="J192" s="837">
        <v>0</v>
      </c>
      <c r="K192" s="837">
        <v>0</v>
      </c>
      <c r="L192" s="838">
        <v>0</v>
      </c>
      <c r="M192" s="838">
        <v>0</v>
      </c>
      <c r="N192" s="838">
        <v>0</v>
      </c>
      <c r="O192" s="838">
        <v>0</v>
      </c>
      <c r="P192" s="838">
        <v>0</v>
      </c>
      <c r="Q192" s="838">
        <v>0</v>
      </c>
      <c r="R192" s="838">
        <v>0</v>
      </c>
      <c r="S192" s="838">
        <v>0</v>
      </c>
      <c r="T192" s="838">
        <v>0</v>
      </c>
      <c r="U192" s="838">
        <v>0</v>
      </c>
      <c r="V192" s="838">
        <v>14</v>
      </c>
      <c r="W192" s="838">
        <v>14.73</v>
      </c>
      <c r="X192" s="838">
        <v>13.15</v>
      </c>
      <c r="Y192" s="838">
        <v>167.22</v>
      </c>
      <c r="Z192" s="838">
        <v>191.02</v>
      </c>
      <c r="AA192" s="838">
        <v>206.42</v>
      </c>
      <c r="AB192" s="838">
        <v>231.82</v>
      </c>
      <c r="AC192" s="838">
        <v>226.43</v>
      </c>
      <c r="AD192" s="838">
        <v>209.31</v>
      </c>
      <c r="AE192" s="838">
        <v>233.37</v>
      </c>
      <c r="AF192" s="838">
        <v>215.27</v>
      </c>
      <c r="AG192" s="838">
        <v>215.36</v>
      </c>
      <c r="AH192" s="838">
        <v>228.53</v>
      </c>
      <c r="AI192" s="838">
        <v>220.79</v>
      </c>
      <c r="AJ192" s="838">
        <v>238.82</v>
      </c>
      <c r="AK192" s="838"/>
      <c r="AL192" s="838"/>
      <c r="AM192" s="838"/>
      <c r="AN192" s="838"/>
      <c r="AO192" s="838"/>
      <c r="AP192" s="838"/>
      <c r="AQ192" s="838"/>
    </row>
    <row r="193" spans="2:43">
      <c r="B193" s="839" t="s">
        <v>954</v>
      </c>
      <c r="C193" s="839">
        <v>0</v>
      </c>
      <c r="D193" s="839">
        <v>0</v>
      </c>
      <c r="E193" s="839">
        <v>0</v>
      </c>
      <c r="F193" s="839">
        <v>0</v>
      </c>
      <c r="G193" s="839">
        <v>0</v>
      </c>
      <c r="H193" s="839">
        <v>0</v>
      </c>
      <c r="I193" s="839">
        <v>0</v>
      </c>
      <c r="J193" s="839">
        <v>0</v>
      </c>
      <c r="K193" s="839">
        <v>0</v>
      </c>
      <c r="L193" s="840">
        <v>0</v>
      </c>
      <c r="M193" s="840">
        <v>0</v>
      </c>
      <c r="N193" s="840">
        <v>0</v>
      </c>
      <c r="O193" s="840">
        <v>0</v>
      </c>
      <c r="P193" s="840">
        <v>0</v>
      </c>
      <c r="Q193" s="840">
        <v>0</v>
      </c>
      <c r="R193" s="840">
        <v>0</v>
      </c>
      <c r="S193" s="840">
        <v>0</v>
      </c>
      <c r="T193" s="840">
        <v>0</v>
      </c>
      <c r="U193" s="840">
        <v>0</v>
      </c>
      <c r="V193" s="840">
        <v>312.55</v>
      </c>
      <c r="W193" s="840">
        <v>2223.46</v>
      </c>
      <c r="X193" s="840">
        <v>2072.5</v>
      </c>
      <c r="Y193" s="840">
        <v>2198.5500000000002</v>
      </c>
      <c r="Z193" s="840">
        <v>2397.04</v>
      </c>
      <c r="AA193" s="840">
        <v>3274.82</v>
      </c>
      <c r="AB193" s="840">
        <v>3723.16</v>
      </c>
      <c r="AC193" s="840">
        <v>4416.1000000000004</v>
      </c>
      <c r="AD193" s="840">
        <v>4370.5600000000004</v>
      </c>
      <c r="AE193" s="840">
        <v>4585.33</v>
      </c>
      <c r="AF193" s="840">
        <v>4232.93</v>
      </c>
      <c r="AG193" s="840">
        <v>4256.45</v>
      </c>
      <c r="AH193" s="840">
        <v>4571.26</v>
      </c>
      <c r="AI193" s="840">
        <v>4343.4399999999996</v>
      </c>
      <c r="AJ193" s="840">
        <v>4532.29</v>
      </c>
      <c r="AK193" s="840"/>
      <c r="AL193" s="840"/>
      <c r="AM193" s="840"/>
      <c r="AN193" s="840"/>
      <c r="AO193" s="840"/>
      <c r="AP193" s="840"/>
      <c r="AQ193" s="840"/>
    </row>
    <row r="194" spans="2:43">
      <c r="B194" s="837" t="s">
        <v>955</v>
      </c>
      <c r="C194" s="837">
        <v>0</v>
      </c>
      <c r="D194" s="837">
        <v>0</v>
      </c>
      <c r="E194" s="837">
        <v>0</v>
      </c>
      <c r="F194" s="837">
        <v>0</v>
      </c>
      <c r="G194" s="837">
        <v>0</v>
      </c>
      <c r="H194" s="837">
        <v>0</v>
      </c>
      <c r="I194" s="837">
        <v>0</v>
      </c>
      <c r="J194" s="837">
        <v>0</v>
      </c>
      <c r="K194" s="837">
        <v>0</v>
      </c>
      <c r="L194" s="838">
        <v>0</v>
      </c>
      <c r="M194" s="838">
        <v>0</v>
      </c>
      <c r="N194" s="838">
        <v>0</v>
      </c>
      <c r="O194" s="838">
        <v>0</v>
      </c>
      <c r="P194" s="838">
        <v>0</v>
      </c>
      <c r="Q194" s="838">
        <v>0</v>
      </c>
      <c r="R194" s="838">
        <v>0</v>
      </c>
      <c r="S194" s="838">
        <v>0</v>
      </c>
      <c r="T194" s="838">
        <v>0</v>
      </c>
      <c r="U194" s="838">
        <v>11.73</v>
      </c>
      <c r="V194" s="838">
        <v>1145.19</v>
      </c>
      <c r="W194" s="838">
        <v>1505.76</v>
      </c>
      <c r="X194" s="838">
        <v>1485.85</v>
      </c>
      <c r="Y194" s="838">
        <v>1527.26</v>
      </c>
      <c r="Z194" s="838">
        <v>1569.06</v>
      </c>
      <c r="AA194" s="838">
        <v>2378.3000000000002</v>
      </c>
      <c r="AB194" s="838">
        <v>2670.05</v>
      </c>
      <c r="AC194" s="838">
        <v>3402.7</v>
      </c>
      <c r="AD194" s="838">
        <v>3422.09</v>
      </c>
      <c r="AE194" s="838">
        <v>3592.87</v>
      </c>
      <c r="AF194" s="838">
        <v>3289.59</v>
      </c>
      <c r="AG194" s="838">
        <v>3327.31</v>
      </c>
      <c r="AH194" s="838">
        <v>3555.87</v>
      </c>
      <c r="AI194" s="838">
        <v>3402.8</v>
      </c>
      <c r="AJ194" s="838">
        <v>3513.77</v>
      </c>
      <c r="AK194" s="838"/>
      <c r="AL194" s="838"/>
      <c r="AM194" s="838"/>
      <c r="AN194" s="838"/>
      <c r="AO194" s="838"/>
      <c r="AP194" s="838"/>
      <c r="AQ194" s="838"/>
    </row>
    <row r="195" spans="2:43">
      <c r="B195" s="839" t="s">
        <v>956</v>
      </c>
      <c r="C195" s="839">
        <v>0</v>
      </c>
      <c r="D195" s="839">
        <v>0</v>
      </c>
      <c r="E195" s="839">
        <v>0</v>
      </c>
      <c r="F195" s="839">
        <v>0</v>
      </c>
      <c r="G195" s="839">
        <v>0</v>
      </c>
      <c r="H195" s="839">
        <v>0</v>
      </c>
      <c r="I195" s="839">
        <v>0</v>
      </c>
      <c r="J195" s="839">
        <v>0</v>
      </c>
      <c r="K195" s="839">
        <v>0</v>
      </c>
      <c r="L195" s="840">
        <v>0</v>
      </c>
      <c r="M195" s="840">
        <v>0</v>
      </c>
      <c r="N195" s="840">
        <v>0</v>
      </c>
      <c r="O195" s="840">
        <v>0</v>
      </c>
      <c r="P195" s="840">
        <v>0</v>
      </c>
      <c r="Q195" s="840">
        <v>0</v>
      </c>
      <c r="R195" s="840">
        <v>0</v>
      </c>
      <c r="S195" s="840">
        <v>0</v>
      </c>
      <c r="T195" s="840">
        <v>0</v>
      </c>
      <c r="U195" s="840">
        <v>0</v>
      </c>
      <c r="V195" s="840">
        <v>354.1</v>
      </c>
      <c r="W195" s="840">
        <v>93.48</v>
      </c>
      <c r="X195" s="840">
        <v>147.11000000000001</v>
      </c>
      <c r="Y195" s="840">
        <v>143.06</v>
      </c>
      <c r="Z195" s="840">
        <v>148.5</v>
      </c>
      <c r="AA195" s="840">
        <v>147.66</v>
      </c>
      <c r="AB195" s="840">
        <v>142.69</v>
      </c>
      <c r="AC195" s="840">
        <v>156.22999999999999</v>
      </c>
      <c r="AD195" s="840">
        <v>151.99</v>
      </c>
      <c r="AE195" s="840">
        <v>156.87</v>
      </c>
      <c r="AF195" s="840">
        <v>152.94</v>
      </c>
      <c r="AG195" s="840">
        <v>158.84</v>
      </c>
      <c r="AH195" s="840">
        <v>159.16999999999999</v>
      </c>
      <c r="AI195" s="840">
        <v>153.6</v>
      </c>
      <c r="AJ195" s="840">
        <v>159.05000000000001</v>
      </c>
      <c r="AK195" s="840"/>
      <c r="AL195" s="840"/>
      <c r="AM195" s="840"/>
      <c r="AN195" s="840"/>
      <c r="AO195" s="840"/>
      <c r="AP195" s="840"/>
      <c r="AQ195" s="840"/>
    </row>
    <row r="196" spans="2:43">
      <c r="B196" s="837" t="s">
        <v>957</v>
      </c>
      <c r="C196" s="837">
        <v>0</v>
      </c>
      <c r="D196" s="837">
        <v>0</v>
      </c>
      <c r="E196" s="837">
        <v>0</v>
      </c>
      <c r="F196" s="837">
        <v>0</v>
      </c>
      <c r="G196" s="837">
        <v>0</v>
      </c>
      <c r="H196" s="837">
        <v>0</v>
      </c>
      <c r="I196" s="837">
        <v>0</v>
      </c>
      <c r="J196" s="837">
        <v>0</v>
      </c>
      <c r="K196" s="837">
        <v>0</v>
      </c>
      <c r="L196" s="838">
        <v>0</v>
      </c>
      <c r="M196" s="838">
        <v>0</v>
      </c>
      <c r="N196" s="838">
        <v>0</v>
      </c>
      <c r="O196" s="838">
        <v>0</v>
      </c>
      <c r="P196" s="838">
        <v>0</v>
      </c>
      <c r="Q196" s="838">
        <v>0</v>
      </c>
      <c r="R196" s="838">
        <v>0</v>
      </c>
      <c r="S196" s="838">
        <v>0</v>
      </c>
      <c r="T196" s="838">
        <v>0</v>
      </c>
      <c r="U196" s="838">
        <v>0</v>
      </c>
      <c r="V196" s="838">
        <v>51.8</v>
      </c>
      <c r="W196" s="838">
        <v>134.83000000000001</v>
      </c>
      <c r="X196" s="838">
        <v>450.52</v>
      </c>
      <c r="Y196" s="838">
        <v>541.07000000000005</v>
      </c>
      <c r="Z196" s="838">
        <v>695.93</v>
      </c>
      <c r="AA196" s="838">
        <v>765.34</v>
      </c>
      <c r="AB196" s="838">
        <v>932.45</v>
      </c>
      <c r="AC196" s="838">
        <v>880.02</v>
      </c>
      <c r="AD196" s="838">
        <v>820.35</v>
      </c>
      <c r="AE196" s="838">
        <v>860.87</v>
      </c>
      <c r="AF196" s="838">
        <v>813.31</v>
      </c>
      <c r="AG196" s="838">
        <v>798.82</v>
      </c>
      <c r="AH196" s="838">
        <v>882.36</v>
      </c>
      <c r="AI196" s="838">
        <v>812.82</v>
      </c>
      <c r="AJ196" s="838">
        <v>884.4</v>
      </c>
      <c r="AK196" s="838"/>
      <c r="AL196" s="838"/>
      <c r="AM196" s="838"/>
      <c r="AN196" s="838"/>
      <c r="AO196" s="838"/>
      <c r="AP196" s="838"/>
      <c r="AQ196" s="838"/>
    </row>
    <row r="197" spans="2:43">
      <c r="B197" s="839" t="s">
        <v>958</v>
      </c>
      <c r="C197" s="839">
        <v>0</v>
      </c>
      <c r="D197" s="839">
        <v>0</v>
      </c>
      <c r="E197" s="839">
        <v>0</v>
      </c>
      <c r="F197" s="839">
        <v>0</v>
      </c>
      <c r="G197" s="839">
        <v>0</v>
      </c>
      <c r="H197" s="839">
        <v>0</v>
      </c>
      <c r="I197" s="839">
        <v>0</v>
      </c>
      <c r="J197" s="839">
        <v>0</v>
      </c>
      <c r="K197" s="839">
        <v>0</v>
      </c>
      <c r="L197" s="840">
        <v>0</v>
      </c>
      <c r="M197" s="840">
        <v>0</v>
      </c>
      <c r="N197" s="840">
        <v>0</v>
      </c>
      <c r="O197" s="840">
        <v>0</v>
      </c>
      <c r="P197" s="840">
        <v>0</v>
      </c>
      <c r="Q197" s="840">
        <v>0</v>
      </c>
      <c r="R197" s="840">
        <v>0</v>
      </c>
      <c r="S197" s="840">
        <v>0</v>
      </c>
      <c r="T197" s="840">
        <v>0</v>
      </c>
      <c r="U197" s="840">
        <v>0</v>
      </c>
      <c r="V197" s="840">
        <v>763.68</v>
      </c>
      <c r="W197" s="840">
        <v>1610.59</v>
      </c>
      <c r="X197" s="840">
        <v>1105.4000000000001</v>
      </c>
      <c r="Y197" s="840">
        <v>911.41</v>
      </c>
      <c r="Z197" s="840">
        <v>1374.43</v>
      </c>
      <c r="AA197" s="840">
        <v>1753.48</v>
      </c>
      <c r="AB197" s="840">
        <v>1760.66</v>
      </c>
      <c r="AC197" s="840">
        <v>1883.13</v>
      </c>
      <c r="AD197" s="840">
        <v>2025.71</v>
      </c>
      <c r="AE197" s="840">
        <v>3200.08</v>
      </c>
      <c r="AF197" s="840">
        <v>3533.48</v>
      </c>
      <c r="AG197" s="840">
        <v>3852.38</v>
      </c>
      <c r="AH197" s="840">
        <v>4034.85</v>
      </c>
      <c r="AI197" s="840">
        <v>3289.86</v>
      </c>
      <c r="AJ197" s="840">
        <v>2817.42</v>
      </c>
      <c r="AK197" s="840"/>
      <c r="AL197" s="840"/>
      <c r="AM197" s="840"/>
      <c r="AN197" s="840"/>
      <c r="AO197" s="840"/>
      <c r="AP197" s="840"/>
      <c r="AQ197" s="840"/>
    </row>
    <row r="198" spans="2:43">
      <c r="B198" s="837" t="s">
        <v>959</v>
      </c>
      <c r="C198" s="837">
        <v>0</v>
      </c>
      <c r="D198" s="837">
        <v>0</v>
      </c>
      <c r="E198" s="837">
        <v>0</v>
      </c>
      <c r="F198" s="837">
        <v>0</v>
      </c>
      <c r="G198" s="837">
        <v>0</v>
      </c>
      <c r="H198" s="837">
        <v>0</v>
      </c>
      <c r="I198" s="837">
        <v>0</v>
      </c>
      <c r="J198" s="837">
        <v>0</v>
      </c>
      <c r="K198" s="837">
        <v>0</v>
      </c>
      <c r="L198" s="838">
        <v>0</v>
      </c>
      <c r="M198" s="838">
        <v>0</v>
      </c>
      <c r="N198" s="838">
        <v>0</v>
      </c>
      <c r="O198" s="838">
        <v>0</v>
      </c>
      <c r="P198" s="838">
        <v>0</v>
      </c>
      <c r="Q198" s="838">
        <v>0</v>
      </c>
      <c r="R198" s="838">
        <v>0</v>
      </c>
      <c r="S198" s="838">
        <v>0</v>
      </c>
      <c r="T198" s="838">
        <v>0</v>
      </c>
      <c r="U198" s="838">
        <v>0</v>
      </c>
      <c r="V198" s="838">
        <v>874.63</v>
      </c>
      <c r="W198" s="838">
        <v>242.73</v>
      </c>
      <c r="X198" s="838">
        <v>197.61</v>
      </c>
      <c r="Y198" s="838">
        <v>309.82</v>
      </c>
      <c r="Z198" s="838">
        <v>247.21</v>
      </c>
      <c r="AA198" s="838">
        <v>220.29</v>
      </c>
      <c r="AB198" s="838">
        <v>215.93</v>
      </c>
      <c r="AC198" s="838">
        <v>223.64</v>
      </c>
      <c r="AD198" s="838">
        <v>195.55</v>
      </c>
      <c r="AE198" s="838">
        <v>207.01</v>
      </c>
      <c r="AF198" s="838">
        <v>215.52</v>
      </c>
      <c r="AG198" s="838">
        <v>215.87</v>
      </c>
      <c r="AH198" s="838">
        <v>323.8</v>
      </c>
      <c r="AI198" s="838">
        <v>203.03</v>
      </c>
      <c r="AJ198" s="838">
        <v>206.21</v>
      </c>
      <c r="AK198" s="838"/>
      <c r="AL198" s="838"/>
      <c r="AM198" s="838"/>
      <c r="AN198" s="838"/>
      <c r="AO198" s="838"/>
      <c r="AP198" s="838"/>
      <c r="AQ198" s="838"/>
    </row>
    <row r="199" spans="2:43">
      <c r="B199" s="839" t="s">
        <v>960</v>
      </c>
      <c r="C199" s="839">
        <v>0</v>
      </c>
      <c r="D199" s="839">
        <v>0</v>
      </c>
      <c r="E199" s="839">
        <v>0</v>
      </c>
      <c r="F199" s="839">
        <v>0</v>
      </c>
      <c r="G199" s="839">
        <v>0</v>
      </c>
      <c r="H199" s="839">
        <v>0</v>
      </c>
      <c r="I199" s="839">
        <v>0</v>
      </c>
      <c r="J199" s="839">
        <v>0</v>
      </c>
      <c r="K199" s="839">
        <v>0</v>
      </c>
      <c r="L199" s="840">
        <v>0</v>
      </c>
      <c r="M199" s="840">
        <v>0</v>
      </c>
      <c r="N199" s="840">
        <v>0</v>
      </c>
      <c r="O199" s="840">
        <v>0</v>
      </c>
      <c r="P199" s="840">
        <v>0</v>
      </c>
      <c r="Q199" s="840">
        <v>0</v>
      </c>
      <c r="R199" s="840">
        <v>0</v>
      </c>
      <c r="S199" s="840">
        <v>0</v>
      </c>
      <c r="T199" s="840">
        <v>0</v>
      </c>
      <c r="U199" s="840">
        <v>0</v>
      </c>
      <c r="V199" s="840">
        <v>0</v>
      </c>
      <c r="W199" s="840">
        <v>15</v>
      </c>
      <c r="X199" s="840">
        <v>21.12</v>
      </c>
      <c r="Y199" s="840">
        <v>20.29</v>
      </c>
      <c r="Z199" s="840">
        <v>21.16</v>
      </c>
      <c r="AA199" s="840">
        <v>22.38</v>
      </c>
      <c r="AB199" s="840">
        <v>26.5</v>
      </c>
      <c r="AC199" s="840">
        <v>28.32</v>
      </c>
      <c r="AD199" s="840">
        <v>27.37</v>
      </c>
      <c r="AE199" s="840">
        <v>28.16</v>
      </c>
      <c r="AF199" s="840">
        <v>27.28</v>
      </c>
      <c r="AG199" s="840">
        <v>28.42</v>
      </c>
      <c r="AH199" s="840">
        <v>28.15</v>
      </c>
      <c r="AI199" s="840">
        <v>27.46</v>
      </c>
      <c r="AJ199" s="840">
        <v>28.38</v>
      </c>
      <c r="AK199" s="840"/>
      <c r="AL199" s="840"/>
      <c r="AM199" s="840"/>
      <c r="AN199" s="840"/>
      <c r="AO199" s="840"/>
      <c r="AP199" s="840"/>
      <c r="AQ199" s="840"/>
    </row>
    <row r="200" spans="2:43">
      <c r="B200" s="837" t="s">
        <v>961</v>
      </c>
      <c r="C200" s="837">
        <v>0</v>
      </c>
      <c r="D200" s="837">
        <v>0</v>
      </c>
      <c r="E200" s="837">
        <v>0</v>
      </c>
      <c r="F200" s="837">
        <v>0</v>
      </c>
      <c r="G200" s="837">
        <v>0</v>
      </c>
      <c r="H200" s="837">
        <v>0</v>
      </c>
      <c r="I200" s="837">
        <v>0</v>
      </c>
      <c r="J200" s="837">
        <v>0</v>
      </c>
      <c r="K200" s="837">
        <v>0</v>
      </c>
      <c r="L200" s="838">
        <v>0</v>
      </c>
      <c r="M200" s="838">
        <v>0</v>
      </c>
      <c r="N200" s="838">
        <v>0</v>
      </c>
      <c r="O200" s="838">
        <v>0</v>
      </c>
      <c r="P200" s="838">
        <v>0</v>
      </c>
      <c r="Q200" s="838">
        <v>0</v>
      </c>
      <c r="R200" s="838">
        <v>0</v>
      </c>
      <c r="S200" s="838">
        <v>0</v>
      </c>
      <c r="T200" s="838">
        <v>0</v>
      </c>
      <c r="U200" s="838">
        <v>0</v>
      </c>
      <c r="V200" s="838">
        <v>140.53</v>
      </c>
      <c r="W200" s="838">
        <v>383.3</v>
      </c>
      <c r="X200" s="838">
        <v>531.86</v>
      </c>
      <c r="Y200" s="838">
        <v>47.5</v>
      </c>
      <c r="Z200" s="838">
        <v>41.19</v>
      </c>
      <c r="AA200" s="838">
        <v>59.79</v>
      </c>
      <c r="AB200" s="838">
        <v>34.880000000000003</v>
      </c>
      <c r="AC200" s="838">
        <v>36.93</v>
      </c>
      <c r="AD200" s="838">
        <v>48.43</v>
      </c>
      <c r="AE200" s="838">
        <v>38.9</v>
      </c>
      <c r="AF200" s="838">
        <v>38.24</v>
      </c>
      <c r="AG200" s="838">
        <v>39.630000000000003</v>
      </c>
      <c r="AH200" s="838">
        <v>39.19</v>
      </c>
      <c r="AI200" s="838">
        <v>58.5</v>
      </c>
      <c r="AJ200" s="838">
        <v>82.58</v>
      </c>
      <c r="AK200" s="838"/>
      <c r="AL200" s="838"/>
      <c r="AM200" s="838"/>
      <c r="AN200" s="838"/>
      <c r="AO200" s="838"/>
      <c r="AP200" s="838"/>
      <c r="AQ200" s="838"/>
    </row>
    <row r="201" spans="2:43">
      <c r="B201" s="839" t="s">
        <v>962</v>
      </c>
      <c r="C201" s="839">
        <v>0</v>
      </c>
      <c r="D201" s="839">
        <v>0</v>
      </c>
      <c r="E201" s="839">
        <v>0</v>
      </c>
      <c r="F201" s="839">
        <v>0</v>
      </c>
      <c r="G201" s="839">
        <v>0</v>
      </c>
      <c r="H201" s="839">
        <v>0</v>
      </c>
      <c r="I201" s="839">
        <v>0</v>
      </c>
      <c r="J201" s="839">
        <v>0</v>
      </c>
      <c r="K201" s="839">
        <v>0</v>
      </c>
      <c r="L201" s="840">
        <v>0</v>
      </c>
      <c r="M201" s="840">
        <v>0</v>
      </c>
      <c r="N201" s="840">
        <v>0</v>
      </c>
      <c r="O201" s="840">
        <v>0</v>
      </c>
      <c r="P201" s="840">
        <v>0</v>
      </c>
      <c r="Q201" s="840">
        <v>0</v>
      </c>
      <c r="R201" s="840">
        <v>0</v>
      </c>
      <c r="S201" s="840">
        <v>0</v>
      </c>
      <c r="T201" s="840">
        <v>0</v>
      </c>
      <c r="U201" s="840">
        <v>0</v>
      </c>
      <c r="V201" s="840">
        <v>21.46</v>
      </c>
      <c r="W201" s="840">
        <v>232.82</v>
      </c>
      <c r="X201" s="840">
        <v>189.16</v>
      </c>
      <c r="Y201" s="840">
        <v>173.56</v>
      </c>
      <c r="Z201" s="840">
        <v>533.54</v>
      </c>
      <c r="AA201" s="840">
        <v>687.53</v>
      </c>
      <c r="AB201" s="840">
        <v>595.09</v>
      </c>
      <c r="AC201" s="840">
        <v>536.72</v>
      </c>
      <c r="AD201" s="840">
        <v>494.23</v>
      </c>
      <c r="AE201" s="840">
        <v>1064.99</v>
      </c>
      <c r="AF201" s="840">
        <v>1102.8699999999999</v>
      </c>
      <c r="AG201" s="840">
        <v>1153.8</v>
      </c>
      <c r="AH201" s="840">
        <v>1204.67</v>
      </c>
      <c r="AI201" s="840">
        <v>1042.8599999999999</v>
      </c>
      <c r="AJ201" s="840">
        <v>850.61</v>
      </c>
      <c r="AK201" s="840"/>
      <c r="AL201" s="840"/>
      <c r="AM201" s="840"/>
      <c r="AN201" s="840"/>
      <c r="AO201" s="840"/>
      <c r="AP201" s="840"/>
      <c r="AQ201" s="840"/>
    </row>
    <row r="202" spans="2:43">
      <c r="B202" s="837" t="s">
        <v>963</v>
      </c>
      <c r="C202" s="837">
        <v>0</v>
      </c>
      <c r="D202" s="837">
        <v>0</v>
      </c>
      <c r="E202" s="837">
        <v>0</v>
      </c>
      <c r="F202" s="837">
        <v>0</v>
      </c>
      <c r="G202" s="837">
        <v>0</v>
      </c>
      <c r="H202" s="837">
        <v>0</v>
      </c>
      <c r="I202" s="837">
        <v>0</v>
      </c>
      <c r="J202" s="837">
        <v>0</v>
      </c>
      <c r="K202" s="837">
        <v>0</v>
      </c>
      <c r="L202" s="838">
        <v>0</v>
      </c>
      <c r="M202" s="838">
        <v>0</v>
      </c>
      <c r="N202" s="838">
        <v>0</v>
      </c>
      <c r="O202" s="838">
        <v>0</v>
      </c>
      <c r="P202" s="838">
        <v>0</v>
      </c>
      <c r="Q202" s="838">
        <v>0</v>
      </c>
      <c r="R202" s="838">
        <v>0</v>
      </c>
      <c r="S202" s="838">
        <v>0</v>
      </c>
      <c r="T202" s="838">
        <v>0</v>
      </c>
      <c r="U202" s="838">
        <v>0</v>
      </c>
      <c r="V202" s="838">
        <v>0.09</v>
      </c>
      <c r="W202" s="838">
        <v>175.89</v>
      </c>
      <c r="X202" s="838">
        <v>156.22999999999999</v>
      </c>
      <c r="Y202" s="838">
        <v>228.36</v>
      </c>
      <c r="Z202" s="838">
        <v>300.27999999999997</v>
      </c>
      <c r="AA202" s="838">
        <v>320.45</v>
      </c>
      <c r="AB202" s="838">
        <v>367.54</v>
      </c>
      <c r="AC202" s="838">
        <v>438.93</v>
      </c>
      <c r="AD202" s="838">
        <v>528.88</v>
      </c>
      <c r="AE202" s="838">
        <v>637.95000000000005</v>
      </c>
      <c r="AF202" s="838">
        <v>630.29</v>
      </c>
      <c r="AG202" s="838">
        <v>738.91</v>
      </c>
      <c r="AH202" s="838">
        <v>680.69</v>
      </c>
      <c r="AI202" s="838">
        <v>538.92999999999995</v>
      </c>
      <c r="AJ202" s="838">
        <v>495.27</v>
      </c>
      <c r="AK202" s="838"/>
      <c r="AL202" s="838"/>
      <c r="AM202" s="838"/>
      <c r="AN202" s="838"/>
      <c r="AO202" s="838"/>
      <c r="AP202" s="838"/>
      <c r="AQ202" s="838"/>
    </row>
    <row r="203" spans="2:43">
      <c r="B203" s="839" t="s">
        <v>964</v>
      </c>
      <c r="C203" s="839">
        <v>0</v>
      </c>
      <c r="D203" s="839">
        <v>0</v>
      </c>
      <c r="E203" s="839">
        <v>0</v>
      </c>
      <c r="F203" s="839">
        <v>0</v>
      </c>
      <c r="G203" s="839">
        <v>0</v>
      </c>
      <c r="H203" s="839">
        <v>0</v>
      </c>
      <c r="I203" s="839">
        <v>0</v>
      </c>
      <c r="J203" s="839">
        <v>0</v>
      </c>
      <c r="K203" s="839">
        <v>0</v>
      </c>
      <c r="L203" s="840">
        <v>0</v>
      </c>
      <c r="M203" s="840">
        <v>0</v>
      </c>
      <c r="N203" s="840">
        <v>0</v>
      </c>
      <c r="O203" s="840">
        <v>0</v>
      </c>
      <c r="P203" s="840">
        <v>0</v>
      </c>
      <c r="Q203" s="840">
        <v>0</v>
      </c>
      <c r="R203" s="840">
        <v>0</v>
      </c>
      <c r="S203" s="840">
        <v>0</v>
      </c>
      <c r="T203" s="840">
        <v>0</v>
      </c>
      <c r="U203" s="840">
        <v>0</v>
      </c>
      <c r="V203" s="840">
        <v>0.01</v>
      </c>
      <c r="W203" s="840">
        <v>0</v>
      </c>
      <c r="X203" s="840">
        <v>0</v>
      </c>
      <c r="Y203" s="840">
        <v>122.97</v>
      </c>
      <c r="Z203" s="840">
        <v>224.61</v>
      </c>
      <c r="AA203" s="840">
        <v>439.93</v>
      </c>
      <c r="AB203" s="840">
        <v>518.57000000000005</v>
      </c>
      <c r="AC203" s="840">
        <v>613.88</v>
      </c>
      <c r="AD203" s="840">
        <v>728.7</v>
      </c>
      <c r="AE203" s="840">
        <v>1231.6600000000001</v>
      </c>
      <c r="AF203" s="840">
        <v>1529.27</v>
      </c>
      <c r="AG203" s="840">
        <v>1690.3</v>
      </c>
      <c r="AH203" s="840">
        <v>1773.8</v>
      </c>
      <c r="AI203" s="840">
        <v>1429.92</v>
      </c>
      <c r="AJ203" s="840">
        <v>1160.56</v>
      </c>
      <c r="AK203" s="840"/>
      <c r="AL203" s="840"/>
      <c r="AM203" s="840"/>
      <c r="AN203" s="840"/>
      <c r="AO203" s="840"/>
      <c r="AP203" s="840"/>
      <c r="AQ203" s="840"/>
    </row>
    <row r="204" spans="2:43">
      <c r="B204" s="837" t="s">
        <v>965</v>
      </c>
      <c r="C204" s="837">
        <v>0</v>
      </c>
      <c r="D204" s="837">
        <v>0</v>
      </c>
      <c r="E204" s="837">
        <v>0</v>
      </c>
      <c r="F204" s="837">
        <v>0</v>
      </c>
      <c r="G204" s="837">
        <v>0</v>
      </c>
      <c r="H204" s="837">
        <v>0</v>
      </c>
      <c r="I204" s="837">
        <v>0</v>
      </c>
      <c r="J204" s="837">
        <v>0</v>
      </c>
      <c r="K204" s="837">
        <v>0</v>
      </c>
      <c r="L204" s="838">
        <v>0</v>
      </c>
      <c r="M204" s="838">
        <v>0</v>
      </c>
      <c r="N204" s="838">
        <v>0</v>
      </c>
      <c r="O204" s="838">
        <v>0</v>
      </c>
      <c r="P204" s="838">
        <v>0</v>
      </c>
      <c r="Q204" s="838">
        <v>0</v>
      </c>
      <c r="R204" s="838">
        <v>0</v>
      </c>
      <c r="S204" s="838">
        <v>0</v>
      </c>
      <c r="T204" s="838">
        <v>0</v>
      </c>
      <c r="U204" s="838">
        <v>25.62</v>
      </c>
      <c r="V204" s="838">
        <v>2341.5500000000002</v>
      </c>
      <c r="W204" s="838">
        <v>3010.66</v>
      </c>
      <c r="X204" s="838">
        <v>3154.84</v>
      </c>
      <c r="Y204" s="838">
        <v>2611.46</v>
      </c>
      <c r="Z204" s="838">
        <v>3438.17</v>
      </c>
      <c r="AA204" s="838">
        <v>3587.68</v>
      </c>
      <c r="AB204" s="838">
        <v>3200.22</v>
      </c>
      <c r="AC204" s="838">
        <v>3463.94</v>
      </c>
      <c r="AD204" s="838">
        <v>3181.52</v>
      </c>
      <c r="AE204" s="838">
        <v>3386.96</v>
      </c>
      <c r="AF204" s="838">
        <v>3381.33</v>
      </c>
      <c r="AG204" s="838">
        <v>3149.91</v>
      </c>
      <c r="AH204" s="838">
        <v>3229</v>
      </c>
      <c r="AI204" s="838">
        <v>3193.6</v>
      </c>
      <c r="AJ204" s="838">
        <v>3280.65</v>
      </c>
      <c r="AK204" s="838"/>
      <c r="AL204" s="838"/>
      <c r="AM204" s="838"/>
      <c r="AN204" s="838"/>
      <c r="AO204" s="838"/>
      <c r="AP204" s="838"/>
      <c r="AQ204" s="838"/>
    </row>
    <row r="205" spans="2:43">
      <c r="B205" s="839" t="s">
        <v>966</v>
      </c>
      <c r="C205" s="839">
        <v>0</v>
      </c>
      <c r="D205" s="839">
        <v>0</v>
      </c>
      <c r="E205" s="839">
        <v>0</v>
      </c>
      <c r="F205" s="839">
        <v>0</v>
      </c>
      <c r="G205" s="839">
        <v>0</v>
      </c>
      <c r="H205" s="839">
        <v>0</v>
      </c>
      <c r="I205" s="839">
        <v>0</v>
      </c>
      <c r="J205" s="839">
        <v>0</v>
      </c>
      <c r="K205" s="839">
        <v>0</v>
      </c>
      <c r="L205" s="840">
        <v>0</v>
      </c>
      <c r="M205" s="840">
        <v>0</v>
      </c>
      <c r="N205" s="840">
        <v>0</v>
      </c>
      <c r="O205" s="840">
        <v>0</v>
      </c>
      <c r="P205" s="840">
        <v>0</v>
      </c>
      <c r="Q205" s="840">
        <v>0</v>
      </c>
      <c r="R205" s="840">
        <v>0</v>
      </c>
      <c r="S205" s="840">
        <v>0</v>
      </c>
      <c r="T205" s="840">
        <v>0</v>
      </c>
      <c r="U205" s="840">
        <v>38572.01</v>
      </c>
      <c r="V205" s="840">
        <v>34118.5</v>
      </c>
      <c r="W205" s="840">
        <v>13022.94</v>
      </c>
      <c r="X205" s="840">
        <v>17112.189999999999</v>
      </c>
      <c r="Y205" s="840">
        <v>29216.04</v>
      </c>
      <c r="Z205" s="840">
        <v>33746.06</v>
      </c>
      <c r="AA205" s="840">
        <v>32322.69</v>
      </c>
      <c r="AB205" s="840">
        <v>23495.62</v>
      </c>
      <c r="AC205" s="840">
        <v>17359.87</v>
      </c>
      <c r="AD205" s="840">
        <v>17657.580000000002</v>
      </c>
      <c r="AE205" s="840">
        <v>22439.84</v>
      </c>
      <c r="AF205" s="840">
        <v>12960.48</v>
      </c>
      <c r="AG205" s="840">
        <v>13313.18</v>
      </c>
      <c r="AH205" s="840">
        <v>14487.26</v>
      </c>
      <c r="AI205" s="840">
        <v>14531.42</v>
      </c>
      <c r="AJ205" s="840">
        <v>15296.96</v>
      </c>
      <c r="AK205" s="840"/>
      <c r="AL205" s="840"/>
      <c r="AM205" s="840"/>
      <c r="AN205" s="840"/>
      <c r="AO205" s="840"/>
      <c r="AP205" s="840"/>
      <c r="AQ205" s="840"/>
    </row>
    <row r="206" spans="2:43">
      <c r="B206" s="837" t="s">
        <v>967</v>
      </c>
      <c r="C206" s="837">
        <v>0</v>
      </c>
      <c r="D206" s="837">
        <v>0</v>
      </c>
      <c r="E206" s="837">
        <v>0</v>
      </c>
      <c r="F206" s="837">
        <v>0</v>
      </c>
      <c r="G206" s="837">
        <v>0</v>
      </c>
      <c r="H206" s="837">
        <v>0</v>
      </c>
      <c r="I206" s="837">
        <v>0</v>
      </c>
      <c r="J206" s="837">
        <v>0</v>
      </c>
      <c r="K206" s="837">
        <v>0</v>
      </c>
      <c r="L206" s="838">
        <v>0</v>
      </c>
      <c r="M206" s="838">
        <v>0</v>
      </c>
      <c r="N206" s="838">
        <v>0</v>
      </c>
      <c r="O206" s="838">
        <v>0</v>
      </c>
      <c r="P206" s="838">
        <v>0</v>
      </c>
      <c r="Q206" s="838">
        <v>0</v>
      </c>
      <c r="R206" s="838">
        <v>0</v>
      </c>
      <c r="S206" s="838">
        <v>0</v>
      </c>
      <c r="T206" s="838">
        <v>0</v>
      </c>
      <c r="U206" s="838">
        <v>68.099999999999994</v>
      </c>
      <c r="V206" s="838">
        <v>8660.26</v>
      </c>
      <c r="W206" s="838">
        <v>14411.03</v>
      </c>
      <c r="X206" s="838">
        <v>13551.57</v>
      </c>
      <c r="Y206" s="838">
        <v>12836.98</v>
      </c>
      <c r="Z206" s="838">
        <v>15155.8</v>
      </c>
      <c r="AA206" s="838">
        <v>15076.8</v>
      </c>
      <c r="AB206" s="838">
        <v>14348.38</v>
      </c>
      <c r="AC206" s="838">
        <v>15476.61</v>
      </c>
      <c r="AD206" s="838">
        <v>15124.83</v>
      </c>
      <c r="AE206" s="838">
        <v>14562.18</v>
      </c>
      <c r="AF206" s="838">
        <v>13922.48</v>
      </c>
      <c r="AG206" s="838">
        <v>13220.8</v>
      </c>
      <c r="AH206" s="838">
        <v>15436.66</v>
      </c>
      <c r="AI206" s="838">
        <v>14780.59</v>
      </c>
      <c r="AJ206" s="838">
        <v>15134.21</v>
      </c>
      <c r="AK206" s="838"/>
      <c r="AL206" s="838"/>
      <c r="AM206" s="838"/>
      <c r="AN206" s="838"/>
      <c r="AO206" s="838"/>
      <c r="AP206" s="838"/>
      <c r="AQ206" s="838"/>
    </row>
    <row r="207" spans="2:43">
      <c r="B207" s="839" t="s">
        <v>968</v>
      </c>
      <c r="C207" s="839">
        <v>0</v>
      </c>
      <c r="D207" s="839">
        <v>0</v>
      </c>
      <c r="E207" s="839">
        <v>0</v>
      </c>
      <c r="F207" s="839">
        <v>0</v>
      </c>
      <c r="G207" s="839">
        <v>0</v>
      </c>
      <c r="H207" s="839">
        <v>0</v>
      </c>
      <c r="I207" s="839">
        <v>0</v>
      </c>
      <c r="J207" s="839">
        <v>0</v>
      </c>
      <c r="K207" s="839">
        <v>0</v>
      </c>
      <c r="L207" s="840">
        <v>0</v>
      </c>
      <c r="M207" s="840">
        <v>0</v>
      </c>
      <c r="N207" s="840">
        <v>0</v>
      </c>
      <c r="O207" s="840">
        <v>0</v>
      </c>
      <c r="P207" s="840">
        <v>0</v>
      </c>
      <c r="Q207" s="840">
        <v>0</v>
      </c>
      <c r="R207" s="840">
        <v>0</v>
      </c>
      <c r="S207" s="840">
        <v>0</v>
      </c>
      <c r="T207" s="840">
        <v>0</v>
      </c>
      <c r="U207" s="840">
        <v>58.75</v>
      </c>
      <c r="V207" s="840">
        <v>2297.34</v>
      </c>
      <c r="W207" s="840">
        <v>9076.6200000000008</v>
      </c>
      <c r="X207" s="840">
        <v>7859.62</v>
      </c>
      <c r="Y207" s="840">
        <v>9969.7800000000007</v>
      </c>
      <c r="Z207" s="840">
        <v>15069.89</v>
      </c>
      <c r="AA207" s="840">
        <v>20469.22</v>
      </c>
      <c r="AB207" s="840">
        <v>17931.919999999998</v>
      </c>
      <c r="AC207" s="840">
        <v>16487.98</v>
      </c>
      <c r="AD207" s="840">
        <v>15932.34</v>
      </c>
      <c r="AE207" s="840">
        <v>12979.61</v>
      </c>
      <c r="AF207" s="840">
        <v>9911.01</v>
      </c>
      <c r="AG207" s="840">
        <v>10867.7</v>
      </c>
      <c r="AH207" s="840">
        <v>11423.62</v>
      </c>
      <c r="AI207" s="840">
        <v>10664.7</v>
      </c>
      <c r="AJ207" s="840">
        <v>13461.92</v>
      </c>
      <c r="AK207" s="840"/>
      <c r="AL207" s="840"/>
      <c r="AM207" s="840"/>
      <c r="AN207" s="840"/>
      <c r="AO207" s="840"/>
      <c r="AP207" s="840"/>
      <c r="AQ207" s="840"/>
    </row>
    <row r="208" spans="2:43">
      <c r="B208" s="837" t="s">
        <v>969</v>
      </c>
      <c r="C208" s="837">
        <v>19183</v>
      </c>
      <c r="D208" s="837">
        <v>17554</v>
      </c>
      <c r="E208" s="837">
        <v>21047</v>
      </c>
      <c r="F208" s="837">
        <v>16296</v>
      </c>
      <c r="G208" s="837">
        <v>17705</v>
      </c>
      <c r="H208" s="837">
        <v>15859</v>
      </c>
      <c r="I208" s="837">
        <v>16126</v>
      </c>
      <c r="J208" s="837">
        <v>16079</v>
      </c>
      <c r="K208" s="837">
        <v>13065</v>
      </c>
      <c r="L208" s="838">
        <v>16043.51953125</v>
      </c>
      <c r="M208" s="838">
        <v>16955.775390625</v>
      </c>
      <c r="N208" s="838">
        <v>20542.78</v>
      </c>
      <c r="O208" s="838">
        <v>21737.599999999999</v>
      </c>
      <c r="P208" s="838">
        <v>19437.7</v>
      </c>
      <c r="Q208" s="838">
        <v>19962.05</v>
      </c>
      <c r="R208" s="838">
        <v>18032.45</v>
      </c>
      <c r="S208" s="838">
        <v>16803.2</v>
      </c>
      <c r="T208" s="838">
        <v>15930.3</v>
      </c>
      <c r="U208" s="838">
        <v>16050.69</v>
      </c>
      <c r="V208" s="838">
        <v>15976</v>
      </c>
      <c r="W208" s="838">
        <v>15878.98</v>
      </c>
      <c r="X208" s="838">
        <v>16958.27</v>
      </c>
      <c r="Y208" s="838">
        <v>16653.060000000001</v>
      </c>
      <c r="Z208" s="838">
        <v>18456.189999999999</v>
      </c>
      <c r="AA208" s="838">
        <v>19718.46</v>
      </c>
      <c r="AB208" s="838">
        <v>18163.580000000002</v>
      </c>
      <c r="AC208" s="838">
        <v>17072.32</v>
      </c>
      <c r="AD208" s="838">
        <v>15618.3</v>
      </c>
      <c r="AE208" s="838">
        <v>16259.01</v>
      </c>
      <c r="AF208" s="838">
        <v>15770.43</v>
      </c>
      <c r="AG208" s="838">
        <v>16057.86</v>
      </c>
      <c r="AH208" s="838">
        <v>16921.34</v>
      </c>
      <c r="AI208" s="838">
        <v>16344.38</v>
      </c>
      <c r="AJ208" s="838">
        <v>4998.66</v>
      </c>
      <c r="AK208" s="838"/>
      <c r="AL208" s="838"/>
      <c r="AM208" s="838"/>
      <c r="AN208" s="838"/>
      <c r="AO208" s="838"/>
      <c r="AP208" s="838"/>
      <c r="AQ208" s="838"/>
    </row>
    <row r="209" spans="2:43">
      <c r="B209" s="839" t="s">
        <v>970</v>
      </c>
      <c r="C209" s="839">
        <v>16135</v>
      </c>
      <c r="D209" s="839">
        <v>14475</v>
      </c>
      <c r="E209" s="839">
        <v>16422</v>
      </c>
      <c r="F209" s="839">
        <v>16890</v>
      </c>
      <c r="G209" s="839">
        <v>17712</v>
      </c>
      <c r="H209" s="839">
        <v>11890</v>
      </c>
      <c r="I209" s="839">
        <v>18759</v>
      </c>
      <c r="J209" s="839">
        <v>25193</v>
      </c>
      <c r="K209" s="839">
        <v>23977</v>
      </c>
      <c r="L209" s="840">
        <v>20465.408203125</v>
      </c>
      <c r="M209" s="840">
        <v>19596.927734375</v>
      </c>
      <c r="N209" s="840">
        <v>21740.35</v>
      </c>
      <c r="O209" s="840">
        <v>21242.69</v>
      </c>
      <c r="P209" s="840">
        <v>20251.71</v>
      </c>
      <c r="Q209" s="840">
        <v>23586.18</v>
      </c>
      <c r="R209" s="840">
        <v>22730.94</v>
      </c>
      <c r="S209" s="840">
        <v>27519.17</v>
      </c>
      <c r="T209" s="840">
        <v>21059.46</v>
      </c>
      <c r="U209" s="840">
        <v>20201.09</v>
      </c>
      <c r="V209" s="840">
        <v>20061.63</v>
      </c>
      <c r="W209" s="840">
        <v>18961.09</v>
      </c>
      <c r="X209" s="840">
        <v>21324.22</v>
      </c>
      <c r="Y209" s="840">
        <v>22159.74</v>
      </c>
      <c r="Z209" s="840">
        <v>23072.639999999999</v>
      </c>
      <c r="AA209" s="840">
        <v>24014.02</v>
      </c>
      <c r="AB209" s="840">
        <v>22193.919999999998</v>
      </c>
      <c r="AC209" s="840">
        <v>22946.240000000002</v>
      </c>
      <c r="AD209" s="840">
        <v>22912.83</v>
      </c>
      <c r="AE209" s="840">
        <v>21671.94</v>
      </c>
      <c r="AF209" s="840">
        <v>22048.58</v>
      </c>
      <c r="AG209" s="840">
        <v>22113.919999999998</v>
      </c>
      <c r="AH209" s="840">
        <v>22291.58</v>
      </c>
      <c r="AI209" s="840">
        <v>26616.06</v>
      </c>
      <c r="AJ209" s="840">
        <v>8508.93</v>
      </c>
      <c r="AK209" s="840"/>
      <c r="AL209" s="840"/>
      <c r="AM209" s="840"/>
      <c r="AN209" s="840"/>
      <c r="AO209" s="840"/>
      <c r="AP209" s="840"/>
      <c r="AQ209" s="840"/>
    </row>
    <row r="210" spans="2:43">
      <c r="B210" s="837" t="s">
        <v>971</v>
      </c>
      <c r="C210" s="837">
        <v>19774</v>
      </c>
      <c r="D210" s="837">
        <v>16966</v>
      </c>
      <c r="E210" s="837">
        <v>18062</v>
      </c>
      <c r="F210" s="837">
        <v>18005</v>
      </c>
      <c r="G210" s="837">
        <v>18770</v>
      </c>
      <c r="H210" s="837">
        <v>20662</v>
      </c>
      <c r="I210" s="837">
        <v>21146</v>
      </c>
      <c r="J210" s="837">
        <v>19967</v>
      </c>
      <c r="K210" s="837">
        <v>17164</v>
      </c>
      <c r="L210" s="838">
        <v>19831.359375</v>
      </c>
      <c r="M210" s="838">
        <v>17433.79296875</v>
      </c>
      <c r="N210" s="838">
        <v>18007.740000000002</v>
      </c>
      <c r="O210" s="838">
        <v>18192.45</v>
      </c>
      <c r="P210" s="838">
        <v>16259.26</v>
      </c>
      <c r="Q210" s="838">
        <v>17619.330000000002</v>
      </c>
      <c r="R210" s="838">
        <v>17123.009999999998</v>
      </c>
      <c r="S210" s="838">
        <v>17994.3</v>
      </c>
      <c r="T210" s="838">
        <v>20977.66</v>
      </c>
      <c r="U210" s="838">
        <v>21659.84</v>
      </c>
      <c r="V210" s="838">
        <v>22392.51</v>
      </c>
      <c r="W210" s="838">
        <v>20184.64</v>
      </c>
      <c r="X210" s="838">
        <v>21251.97</v>
      </c>
      <c r="Y210" s="838">
        <v>21516.42</v>
      </c>
      <c r="Z210" s="838">
        <v>21445.119999999999</v>
      </c>
      <c r="AA210" s="838">
        <v>20203.259999999998</v>
      </c>
      <c r="AB210" s="838">
        <v>17440</v>
      </c>
      <c r="AC210" s="838">
        <v>20443.259999999998</v>
      </c>
      <c r="AD210" s="838">
        <v>18301.7</v>
      </c>
      <c r="AE210" s="838">
        <v>19923.330000000002</v>
      </c>
      <c r="AF210" s="838">
        <v>18401.54</v>
      </c>
      <c r="AG210" s="838">
        <v>19635.71</v>
      </c>
      <c r="AH210" s="838">
        <v>20268.8</v>
      </c>
      <c r="AI210" s="838">
        <v>20445.82</v>
      </c>
      <c r="AJ210" s="838">
        <v>4621.4399999999996</v>
      </c>
      <c r="AK210" s="838"/>
      <c r="AL210" s="838"/>
      <c r="AM210" s="838"/>
      <c r="AN210" s="838"/>
      <c r="AO210" s="838"/>
      <c r="AP210" s="838"/>
      <c r="AQ210" s="838"/>
    </row>
    <row r="211" spans="2:43">
      <c r="B211" s="839" t="s">
        <v>972</v>
      </c>
      <c r="C211" s="839">
        <v>1970</v>
      </c>
      <c r="D211" s="839">
        <v>1740</v>
      </c>
      <c r="E211" s="839">
        <v>1824</v>
      </c>
      <c r="F211" s="839">
        <v>1776</v>
      </c>
      <c r="G211" s="839">
        <v>2006</v>
      </c>
      <c r="H211" s="839">
        <v>2193</v>
      </c>
      <c r="I211" s="839">
        <v>2052</v>
      </c>
      <c r="J211" s="839">
        <v>2361</v>
      </c>
      <c r="K211" s="839">
        <v>1967</v>
      </c>
      <c r="L211" s="840">
        <v>1760.2559814453125</v>
      </c>
      <c r="M211" s="840">
        <v>1722.3680419921875</v>
      </c>
      <c r="N211" s="840">
        <v>1170.43</v>
      </c>
      <c r="O211" s="840">
        <v>1566.21</v>
      </c>
      <c r="P211" s="840">
        <v>1700.35</v>
      </c>
      <c r="Q211" s="840">
        <v>1818.11</v>
      </c>
      <c r="R211" s="840">
        <v>1709.57</v>
      </c>
      <c r="S211" s="840">
        <v>1824.26</v>
      </c>
      <c r="T211" s="840">
        <v>1987.07</v>
      </c>
      <c r="U211" s="840">
        <v>1972.22</v>
      </c>
      <c r="V211" s="840">
        <v>2399.7399999999998</v>
      </c>
      <c r="W211" s="840">
        <v>1886.21</v>
      </c>
      <c r="X211" s="840">
        <v>2053.63</v>
      </c>
      <c r="Y211" s="840">
        <v>2209.79</v>
      </c>
      <c r="Z211" s="840">
        <v>1343.49</v>
      </c>
      <c r="AA211" s="840">
        <v>1619.46</v>
      </c>
      <c r="AB211" s="840">
        <v>1753.09</v>
      </c>
      <c r="AC211" s="840">
        <v>1891.33</v>
      </c>
      <c r="AD211" s="840">
        <v>1772.03</v>
      </c>
      <c r="AE211" s="840">
        <v>2360.83</v>
      </c>
      <c r="AF211" s="840">
        <v>1878.02</v>
      </c>
      <c r="AG211" s="840">
        <v>2570.2399999999998</v>
      </c>
      <c r="AH211" s="840">
        <v>2392.06</v>
      </c>
      <c r="AI211" s="840">
        <v>2007.55</v>
      </c>
      <c r="AJ211" s="840">
        <v>1975.81</v>
      </c>
      <c r="AK211" s="840"/>
      <c r="AL211" s="840"/>
      <c r="AM211" s="840"/>
      <c r="AN211" s="840"/>
      <c r="AO211" s="840"/>
      <c r="AP211" s="840"/>
      <c r="AQ211" s="840"/>
    </row>
    <row r="212" spans="2:43">
      <c r="B212" s="837" t="s">
        <v>973</v>
      </c>
      <c r="C212" s="837">
        <v>0</v>
      </c>
      <c r="D212" s="837">
        <v>0</v>
      </c>
      <c r="E212" s="837">
        <v>0</v>
      </c>
      <c r="F212" s="837">
        <v>0</v>
      </c>
      <c r="G212" s="837">
        <v>0</v>
      </c>
      <c r="H212" s="837">
        <v>0</v>
      </c>
      <c r="I212" s="837">
        <v>0</v>
      </c>
      <c r="J212" s="837">
        <v>0</v>
      </c>
      <c r="K212" s="837">
        <v>0</v>
      </c>
      <c r="L212" s="838">
        <v>0</v>
      </c>
      <c r="M212" s="838">
        <v>0</v>
      </c>
      <c r="N212" s="838">
        <v>0</v>
      </c>
      <c r="O212" s="838">
        <v>0</v>
      </c>
      <c r="P212" s="838">
        <v>0</v>
      </c>
      <c r="Q212" s="838">
        <v>0</v>
      </c>
      <c r="R212" s="838">
        <v>0</v>
      </c>
      <c r="S212" s="838">
        <v>0</v>
      </c>
      <c r="T212" s="838">
        <v>0</v>
      </c>
      <c r="U212" s="838">
        <v>0</v>
      </c>
      <c r="V212" s="838">
        <v>0</v>
      </c>
      <c r="W212" s="838">
        <v>0</v>
      </c>
      <c r="X212" s="838">
        <v>0</v>
      </c>
      <c r="Y212" s="838">
        <v>0</v>
      </c>
      <c r="Z212" s="838">
        <v>0</v>
      </c>
      <c r="AA212" s="838">
        <v>0</v>
      </c>
      <c r="AB212" s="838">
        <v>0</v>
      </c>
      <c r="AC212" s="838">
        <v>0</v>
      </c>
      <c r="AD212" s="838">
        <v>0</v>
      </c>
      <c r="AE212" s="838">
        <v>0</v>
      </c>
      <c r="AF212" s="838">
        <v>0</v>
      </c>
      <c r="AG212" s="838">
        <v>0</v>
      </c>
      <c r="AH212" s="838">
        <v>0</v>
      </c>
      <c r="AI212" s="838">
        <v>0</v>
      </c>
      <c r="AJ212" s="838">
        <v>0</v>
      </c>
      <c r="AK212" s="838"/>
      <c r="AL212" s="838"/>
      <c r="AM212" s="838"/>
      <c r="AN212" s="838"/>
      <c r="AO212" s="838"/>
      <c r="AP212" s="838"/>
      <c r="AQ212" s="838"/>
    </row>
    <row r="213" spans="2:43">
      <c r="B213" s="839" t="s">
        <v>974</v>
      </c>
      <c r="C213" s="839">
        <v>1078</v>
      </c>
      <c r="D213" s="839">
        <v>982</v>
      </c>
      <c r="E213" s="839">
        <v>1152</v>
      </c>
      <c r="F213" s="839">
        <v>935</v>
      </c>
      <c r="G213" s="839">
        <v>1192</v>
      </c>
      <c r="H213" s="839">
        <v>1435</v>
      </c>
      <c r="I213" s="839">
        <v>1891</v>
      </c>
      <c r="J213" s="839">
        <v>1861</v>
      </c>
      <c r="K213" s="839">
        <v>1711</v>
      </c>
      <c r="L213" s="840">
        <v>1650.4959716796875</v>
      </c>
      <c r="M213" s="840">
        <v>1398.8480224609375</v>
      </c>
      <c r="N213" s="840">
        <v>1030.5899999999999</v>
      </c>
      <c r="O213" s="840">
        <v>1103.68</v>
      </c>
      <c r="P213" s="840">
        <v>1110.4000000000001</v>
      </c>
      <c r="Q213" s="840">
        <v>1426.94</v>
      </c>
      <c r="R213" s="840">
        <v>1148.54</v>
      </c>
      <c r="S213" s="840">
        <v>1554.37</v>
      </c>
      <c r="T213" s="840">
        <v>1483.97</v>
      </c>
      <c r="U213" s="840">
        <v>1472.96</v>
      </c>
      <c r="V213" s="840">
        <v>1747.2</v>
      </c>
      <c r="W213" s="840">
        <v>1581.63</v>
      </c>
      <c r="X213" s="840">
        <v>1612.8</v>
      </c>
      <c r="Y213" s="840">
        <v>1495.04</v>
      </c>
      <c r="Z213" s="840">
        <v>1071.3</v>
      </c>
      <c r="AA213" s="840">
        <v>1258.6199999999999</v>
      </c>
      <c r="AB213" s="840">
        <v>1213.31</v>
      </c>
      <c r="AC213" s="840">
        <v>1316.74</v>
      </c>
      <c r="AD213" s="840">
        <v>1294.72</v>
      </c>
      <c r="AE213" s="840">
        <v>1683.9</v>
      </c>
      <c r="AF213" s="840">
        <v>1499.01</v>
      </c>
      <c r="AG213" s="840">
        <v>1702.53</v>
      </c>
      <c r="AH213" s="840">
        <v>1625.15</v>
      </c>
      <c r="AI213" s="840">
        <v>1413.7</v>
      </c>
      <c r="AJ213" s="840">
        <v>323.39</v>
      </c>
      <c r="AK213" s="840"/>
      <c r="AL213" s="840"/>
      <c r="AM213" s="840"/>
      <c r="AN213" s="840"/>
      <c r="AO213" s="840"/>
      <c r="AP213" s="840"/>
      <c r="AQ213" s="840"/>
    </row>
    <row r="214" spans="2:43">
      <c r="B214" s="837" t="s">
        <v>975</v>
      </c>
      <c r="C214" s="837">
        <v>2901</v>
      </c>
      <c r="D214" s="837">
        <v>2723</v>
      </c>
      <c r="E214" s="837">
        <v>2883</v>
      </c>
      <c r="F214" s="837">
        <v>2631</v>
      </c>
      <c r="G214" s="837">
        <v>3153</v>
      </c>
      <c r="H214" s="837">
        <v>3086</v>
      </c>
      <c r="I214" s="837">
        <v>3458</v>
      </c>
      <c r="J214" s="837">
        <v>3420</v>
      </c>
      <c r="K214" s="837">
        <v>3142</v>
      </c>
      <c r="L214" s="838">
        <v>2987.7119140625</v>
      </c>
      <c r="M214" s="838">
        <v>2937.85595703125</v>
      </c>
      <c r="N214" s="838">
        <v>2388.42</v>
      </c>
      <c r="O214" s="838">
        <v>2667.2</v>
      </c>
      <c r="P214" s="838">
        <v>2695.74</v>
      </c>
      <c r="Q214" s="838">
        <v>3315.26</v>
      </c>
      <c r="R214" s="838">
        <v>2644.54</v>
      </c>
      <c r="S214" s="838">
        <v>3119.87</v>
      </c>
      <c r="T214" s="838">
        <v>3139.26</v>
      </c>
      <c r="U214" s="838">
        <v>3184.26</v>
      </c>
      <c r="V214" s="838">
        <v>3556.67</v>
      </c>
      <c r="W214" s="838">
        <v>3521.02</v>
      </c>
      <c r="X214" s="838">
        <v>3372.16</v>
      </c>
      <c r="Y214" s="838">
        <v>3330.75</v>
      </c>
      <c r="Z214" s="838">
        <v>2573.63</v>
      </c>
      <c r="AA214" s="838">
        <v>3077.57</v>
      </c>
      <c r="AB214" s="838">
        <v>3048</v>
      </c>
      <c r="AC214" s="838">
        <v>3283.97</v>
      </c>
      <c r="AD214" s="838">
        <v>3230.21</v>
      </c>
      <c r="AE214" s="838">
        <v>3632.06</v>
      </c>
      <c r="AF214" s="838">
        <v>3137.86</v>
      </c>
      <c r="AG214" s="838">
        <v>3465.41</v>
      </c>
      <c r="AH214" s="838">
        <v>3540.8</v>
      </c>
      <c r="AI214" s="838">
        <v>3173.5</v>
      </c>
      <c r="AJ214" s="838">
        <v>890.88</v>
      </c>
      <c r="AK214" s="838"/>
      <c r="AL214" s="838"/>
      <c r="AM214" s="838"/>
      <c r="AN214" s="838"/>
      <c r="AO214" s="838"/>
      <c r="AP214" s="838"/>
      <c r="AQ214" s="838"/>
    </row>
    <row r="215" spans="2:43">
      <c r="B215" s="839" t="s">
        <v>976</v>
      </c>
      <c r="C215" s="839">
        <v>438</v>
      </c>
      <c r="D215" s="839">
        <v>374</v>
      </c>
      <c r="E215" s="839">
        <v>428</v>
      </c>
      <c r="F215" s="839">
        <v>367</v>
      </c>
      <c r="G215" s="839">
        <v>427</v>
      </c>
      <c r="H215" s="839">
        <v>392</v>
      </c>
      <c r="I215" s="839">
        <v>389</v>
      </c>
      <c r="J215" s="839">
        <v>419</v>
      </c>
      <c r="K215" s="839">
        <v>428</v>
      </c>
      <c r="L215" s="840">
        <v>402.55999755859375</v>
      </c>
      <c r="M215" s="840">
        <v>339.96798706054688</v>
      </c>
      <c r="N215" s="840">
        <v>268.67</v>
      </c>
      <c r="O215" s="840">
        <v>290.43</v>
      </c>
      <c r="P215" s="840">
        <v>289.14999999999998</v>
      </c>
      <c r="Q215" s="840">
        <v>404.86</v>
      </c>
      <c r="R215" s="840">
        <v>348.42</v>
      </c>
      <c r="S215" s="840">
        <v>378.88</v>
      </c>
      <c r="T215" s="840">
        <v>390.27</v>
      </c>
      <c r="U215" s="840">
        <v>375.42</v>
      </c>
      <c r="V215" s="840">
        <v>389.5</v>
      </c>
      <c r="W215" s="840">
        <v>300.29000000000002</v>
      </c>
      <c r="X215" s="840">
        <v>357.63</v>
      </c>
      <c r="Y215" s="840">
        <v>371.84</v>
      </c>
      <c r="Z215" s="840">
        <v>340.86</v>
      </c>
      <c r="AA215" s="840">
        <v>378.11</v>
      </c>
      <c r="AB215" s="840">
        <v>406.66</v>
      </c>
      <c r="AC215" s="840">
        <v>326.66000000000003</v>
      </c>
      <c r="AD215" s="840">
        <v>321.41000000000003</v>
      </c>
      <c r="AE215" s="840">
        <v>450.69</v>
      </c>
      <c r="AF215" s="840">
        <v>359.42</v>
      </c>
      <c r="AG215" s="840">
        <v>309.63</v>
      </c>
      <c r="AH215" s="840">
        <v>326.27</v>
      </c>
      <c r="AI215" s="840">
        <v>359.42</v>
      </c>
      <c r="AJ215" s="840">
        <v>122.75</v>
      </c>
      <c r="AK215" s="840"/>
      <c r="AL215" s="840"/>
      <c r="AM215" s="840"/>
      <c r="AN215" s="840"/>
      <c r="AO215" s="840"/>
      <c r="AP215" s="840"/>
      <c r="AQ215" s="840"/>
    </row>
    <row r="216" spans="2:43">
      <c r="B216" s="837" t="s">
        <v>977</v>
      </c>
      <c r="C216" s="837">
        <v>864</v>
      </c>
      <c r="D216" s="837">
        <v>763</v>
      </c>
      <c r="E216" s="837">
        <v>839</v>
      </c>
      <c r="F216" s="837">
        <v>666</v>
      </c>
      <c r="G216" s="837">
        <v>797</v>
      </c>
      <c r="H216" s="837">
        <v>903</v>
      </c>
      <c r="I216" s="837">
        <v>889</v>
      </c>
      <c r="J216" s="837">
        <v>1199</v>
      </c>
      <c r="K216" s="837">
        <v>984</v>
      </c>
      <c r="L216" s="838">
        <v>874.4959716796875</v>
      </c>
      <c r="M216" s="838">
        <v>1004.7360229492188</v>
      </c>
      <c r="N216" s="838">
        <v>812.42</v>
      </c>
      <c r="O216" s="838">
        <v>1096.3800000000001</v>
      </c>
      <c r="P216" s="838">
        <v>1039.04</v>
      </c>
      <c r="Q216" s="838">
        <v>1378.05</v>
      </c>
      <c r="R216" s="838">
        <v>1073.22</v>
      </c>
      <c r="S216" s="838">
        <v>1658.18</v>
      </c>
      <c r="T216" s="838">
        <v>1567.87</v>
      </c>
      <c r="U216" s="838">
        <v>1551.68</v>
      </c>
      <c r="V216" s="838">
        <v>1389.5</v>
      </c>
      <c r="W216" s="838">
        <v>1281.0899999999999</v>
      </c>
      <c r="X216" s="838">
        <v>1265.98</v>
      </c>
      <c r="Y216" s="838">
        <v>1285.25</v>
      </c>
      <c r="Z216" s="838">
        <v>1049.4100000000001</v>
      </c>
      <c r="AA216" s="838">
        <v>1285.18</v>
      </c>
      <c r="AB216" s="838">
        <v>1465.54</v>
      </c>
      <c r="AC216" s="838">
        <v>1451.65</v>
      </c>
      <c r="AD216" s="838">
        <v>1433.15</v>
      </c>
      <c r="AE216" s="838">
        <v>1831.68</v>
      </c>
      <c r="AF216" s="838">
        <v>1741.95</v>
      </c>
      <c r="AG216" s="838">
        <v>1813.18</v>
      </c>
      <c r="AH216" s="838">
        <v>1659.84</v>
      </c>
      <c r="AI216" s="838">
        <v>1561.22</v>
      </c>
      <c r="AJ216" s="838">
        <v>395.97</v>
      </c>
      <c r="AK216" s="838"/>
      <c r="AL216" s="838"/>
      <c r="AM216" s="838"/>
      <c r="AN216" s="838"/>
      <c r="AO216" s="838"/>
      <c r="AP216" s="838"/>
      <c r="AQ216" s="838"/>
    </row>
    <row r="217" spans="2:43">
      <c r="B217" s="839" t="s">
        <v>978</v>
      </c>
      <c r="C217" s="839">
        <v>544</v>
      </c>
      <c r="D217" s="839">
        <v>459</v>
      </c>
      <c r="E217" s="839">
        <v>477</v>
      </c>
      <c r="F217" s="839">
        <v>382</v>
      </c>
      <c r="G217" s="839">
        <v>414.5</v>
      </c>
      <c r="H217" s="839">
        <v>381.5</v>
      </c>
      <c r="I217" s="839">
        <v>138</v>
      </c>
      <c r="J217" s="839">
        <v>478</v>
      </c>
      <c r="K217" s="839">
        <v>342.5</v>
      </c>
      <c r="L217" s="840">
        <v>412.98001098632813</v>
      </c>
      <c r="M217" s="840">
        <v>440.65798950195313</v>
      </c>
      <c r="N217" s="840">
        <v>376.34</v>
      </c>
      <c r="O217" s="840">
        <v>424.82</v>
      </c>
      <c r="P217" s="840">
        <v>416.87</v>
      </c>
      <c r="Q217" s="840">
        <v>491.06</v>
      </c>
      <c r="R217" s="840">
        <v>362.25</v>
      </c>
      <c r="S217" s="840">
        <v>563.30999999999995</v>
      </c>
      <c r="T217" s="840">
        <v>532.6</v>
      </c>
      <c r="U217" s="840">
        <v>474.58</v>
      </c>
      <c r="V217" s="840">
        <v>533.71</v>
      </c>
      <c r="W217" s="840">
        <v>592.79</v>
      </c>
      <c r="X217" s="840">
        <v>626.39</v>
      </c>
      <c r="Y217" s="840">
        <v>543.73</v>
      </c>
      <c r="Z217" s="840">
        <v>434.91</v>
      </c>
      <c r="AA217" s="840">
        <v>469.13</v>
      </c>
      <c r="AB217" s="840">
        <v>437.56</v>
      </c>
      <c r="AC217" s="840">
        <v>431.41</v>
      </c>
      <c r="AD217" s="840">
        <v>464.62</v>
      </c>
      <c r="AE217" s="840">
        <v>552.83000000000004</v>
      </c>
      <c r="AF217" s="840">
        <v>488.08</v>
      </c>
      <c r="AG217" s="840">
        <v>541.95000000000005</v>
      </c>
      <c r="AH217" s="840">
        <v>504.3</v>
      </c>
      <c r="AI217" s="840">
        <v>530.91999999999996</v>
      </c>
      <c r="AJ217" s="840">
        <v>125.76</v>
      </c>
      <c r="AK217" s="840"/>
      <c r="AL217" s="840"/>
      <c r="AM217" s="840"/>
      <c r="AN217" s="840"/>
      <c r="AO217" s="840"/>
      <c r="AP217" s="840"/>
      <c r="AQ217" s="840"/>
    </row>
    <row r="218" spans="2:43">
      <c r="B218" s="837" t="s">
        <v>979</v>
      </c>
      <c r="C218" s="837">
        <v>24428</v>
      </c>
      <c r="D218" s="837">
        <v>31981</v>
      </c>
      <c r="E218" s="837">
        <v>41349</v>
      </c>
      <c r="F218" s="837">
        <v>42519</v>
      </c>
      <c r="G218" s="837">
        <v>47390</v>
      </c>
      <c r="H218" s="837">
        <v>40643</v>
      </c>
      <c r="I218" s="837">
        <v>43453</v>
      </c>
      <c r="J218" s="837">
        <v>43463</v>
      </c>
      <c r="K218" s="837">
        <v>40566</v>
      </c>
      <c r="L218" s="838">
        <v>42504.19140625</v>
      </c>
      <c r="M218" s="838">
        <v>28613.6328125</v>
      </c>
      <c r="N218" s="838">
        <v>15209.98</v>
      </c>
      <c r="O218" s="838">
        <v>13211.14</v>
      </c>
      <c r="P218" s="838">
        <v>15510.02</v>
      </c>
      <c r="Q218" s="838">
        <v>21478.91</v>
      </c>
      <c r="R218" s="838">
        <v>23137.79</v>
      </c>
      <c r="S218" s="838">
        <v>29737.98</v>
      </c>
      <c r="T218" s="838">
        <v>32390.66</v>
      </c>
      <c r="U218" s="838">
        <v>35868.160000000003</v>
      </c>
      <c r="V218" s="838">
        <v>37566.46</v>
      </c>
      <c r="W218" s="838">
        <v>29501.95</v>
      </c>
      <c r="X218" s="838">
        <v>25748.99</v>
      </c>
      <c r="Y218" s="838">
        <v>21118.46</v>
      </c>
      <c r="Z218" s="838">
        <v>14527.49</v>
      </c>
      <c r="AA218" s="838">
        <v>13933.06</v>
      </c>
      <c r="AB218" s="838">
        <v>16868.86</v>
      </c>
      <c r="AC218" s="838">
        <v>21507.58</v>
      </c>
      <c r="AD218" s="838">
        <v>25192.45</v>
      </c>
      <c r="AE218" s="838">
        <v>35909.629999999997</v>
      </c>
      <c r="AF218" s="838">
        <v>29551.1</v>
      </c>
      <c r="AG218" s="838">
        <v>30858.240000000002</v>
      </c>
      <c r="AH218" s="838">
        <v>32386.05</v>
      </c>
      <c r="AI218" s="838">
        <v>28596.74</v>
      </c>
      <c r="AJ218" s="838">
        <v>23030.27</v>
      </c>
      <c r="AK218" s="838"/>
      <c r="AL218" s="838"/>
      <c r="AM218" s="838"/>
      <c r="AN218" s="838"/>
      <c r="AO218" s="838"/>
      <c r="AP218" s="838"/>
      <c r="AQ218" s="838"/>
    </row>
    <row r="219" spans="2:43" ht="12.75">
      <c r="B219" s="1299" t="s">
        <v>980</v>
      </c>
      <c r="C219" s="839">
        <v>4159</v>
      </c>
      <c r="D219" s="839">
        <v>4213</v>
      </c>
      <c r="E219" s="839">
        <v>4462</v>
      </c>
      <c r="F219" s="839">
        <v>4899</v>
      </c>
      <c r="G219" s="839">
        <v>7513</v>
      </c>
      <c r="H219" s="839">
        <v>8319</v>
      </c>
      <c r="I219" s="839">
        <v>9905</v>
      </c>
      <c r="J219" s="839">
        <v>8569</v>
      </c>
      <c r="K219" s="839">
        <v>6956</v>
      </c>
      <c r="L219" s="840">
        <v>6180.16015625</v>
      </c>
      <c r="M219" s="840">
        <v>4570.6240234375</v>
      </c>
      <c r="N219" s="840">
        <v>4033.54</v>
      </c>
      <c r="O219" s="840">
        <v>3745.02</v>
      </c>
      <c r="P219" s="840">
        <v>4483.6499999999996</v>
      </c>
      <c r="Q219" s="840">
        <v>5464.32</v>
      </c>
      <c r="R219" s="840">
        <v>5151.62</v>
      </c>
      <c r="S219" s="840">
        <v>7102.91</v>
      </c>
      <c r="T219" s="840">
        <v>7957.57</v>
      </c>
      <c r="U219" s="840">
        <v>8297.66</v>
      </c>
      <c r="V219" s="840">
        <v>8760.4500000000007</v>
      </c>
      <c r="W219" s="840">
        <v>6086.34</v>
      </c>
      <c r="X219" s="840">
        <v>5256.13</v>
      </c>
      <c r="Y219" s="840">
        <v>4283.01</v>
      </c>
      <c r="Z219" s="840">
        <v>3581.82</v>
      </c>
      <c r="AA219" s="840">
        <v>3658.88</v>
      </c>
      <c r="AB219" s="840">
        <v>3919.36</v>
      </c>
      <c r="AC219" s="840">
        <v>4868.3500000000004</v>
      </c>
      <c r="AD219" s="840">
        <v>5577.73</v>
      </c>
      <c r="AE219" s="840">
        <v>8603.7099999999991</v>
      </c>
      <c r="AF219" s="840">
        <v>8205.9500000000007</v>
      </c>
      <c r="AG219" s="840">
        <v>7876.67</v>
      </c>
      <c r="AH219" s="840">
        <v>7027.2</v>
      </c>
      <c r="AI219" s="840">
        <v>5983.23</v>
      </c>
      <c r="AJ219" s="840">
        <v>1645.76</v>
      </c>
      <c r="AK219" s="840"/>
      <c r="AL219" s="840"/>
      <c r="AM219" s="840"/>
      <c r="AN219" s="840"/>
      <c r="AO219" s="840"/>
      <c r="AP219" s="840"/>
      <c r="AQ219" s="840"/>
    </row>
    <row r="220" spans="2:43">
      <c r="B220" s="1300" t="s">
        <v>981</v>
      </c>
      <c r="C220" s="837">
        <v>2351</v>
      </c>
      <c r="D220" s="837">
        <v>2427</v>
      </c>
      <c r="E220" s="837">
        <v>2486</v>
      </c>
      <c r="F220" s="837">
        <v>2696</v>
      </c>
      <c r="G220" s="837">
        <v>4219</v>
      </c>
      <c r="H220" s="837">
        <v>4373</v>
      </c>
      <c r="I220" s="837">
        <v>4915</v>
      </c>
      <c r="J220" s="837">
        <v>4599</v>
      </c>
      <c r="K220" s="837">
        <v>3511</v>
      </c>
      <c r="L220" s="838">
        <v>3054.49609375</v>
      </c>
      <c r="M220" s="838">
        <v>2543.840087890625</v>
      </c>
      <c r="N220" s="838">
        <v>2236.58</v>
      </c>
      <c r="O220" s="838">
        <v>2028.67</v>
      </c>
      <c r="P220" s="838">
        <v>2577.02</v>
      </c>
      <c r="Q220" s="838">
        <v>3165.66</v>
      </c>
      <c r="R220" s="838">
        <v>2545.92</v>
      </c>
      <c r="S220" s="838">
        <v>3867.23</v>
      </c>
      <c r="T220" s="838">
        <v>4134.6899999999996</v>
      </c>
      <c r="U220" s="838">
        <v>4436.0600000000004</v>
      </c>
      <c r="V220" s="838">
        <v>4758.75</v>
      </c>
      <c r="W220" s="838">
        <v>3299.65</v>
      </c>
      <c r="X220" s="838">
        <v>2666.82</v>
      </c>
      <c r="Y220" s="838">
        <v>2208.6999999999998</v>
      </c>
      <c r="Z220" s="838">
        <v>1826.69</v>
      </c>
      <c r="AA220" s="838">
        <v>1923.9</v>
      </c>
      <c r="AB220" s="838">
        <v>2131.1</v>
      </c>
      <c r="AC220" s="838">
        <v>2728.7</v>
      </c>
      <c r="AD220" s="838">
        <v>2986.72</v>
      </c>
      <c r="AE220" s="838">
        <v>4776.99</v>
      </c>
      <c r="AF220" s="838">
        <v>4432.16</v>
      </c>
      <c r="AG220" s="838">
        <v>3403.46</v>
      </c>
      <c r="AH220" s="838">
        <v>3233.47</v>
      </c>
      <c r="AI220" s="838">
        <v>2710.69</v>
      </c>
      <c r="AJ220" s="838">
        <v>779.33</v>
      </c>
      <c r="AK220" s="838"/>
      <c r="AL220" s="838"/>
      <c r="AM220" s="838"/>
      <c r="AN220" s="838"/>
      <c r="AO220" s="838"/>
      <c r="AP220" s="838"/>
      <c r="AQ220" s="838"/>
    </row>
    <row r="221" spans="2:43">
      <c r="B221" s="1299" t="s">
        <v>982</v>
      </c>
      <c r="C221" s="839">
        <v>1396</v>
      </c>
      <c r="D221" s="839">
        <v>1439</v>
      </c>
      <c r="E221" s="839">
        <v>1766</v>
      </c>
      <c r="F221" s="839">
        <v>2041</v>
      </c>
      <c r="G221" s="839">
        <v>2908</v>
      </c>
      <c r="H221" s="839">
        <v>3981</v>
      </c>
      <c r="I221" s="839">
        <v>4491</v>
      </c>
      <c r="J221" s="839">
        <v>3435</v>
      </c>
      <c r="K221" s="839">
        <v>2592</v>
      </c>
      <c r="L221" s="840">
        <v>2508.575927734375</v>
      </c>
      <c r="M221" s="840">
        <v>1630.1600341796875</v>
      </c>
      <c r="N221" s="840">
        <v>1586.4</v>
      </c>
      <c r="O221" s="840">
        <v>1353.65</v>
      </c>
      <c r="P221" s="840">
        <v>1185.44</v>
      </c>
      <c r="Q221" s="840">
        <v>1279.98</v>
      </c>
      <c r="R221" s="840">
        <v>1448.19</v>
      </c>
      <c r="S221" s="840">
        <v>2206</v>
      </c>
      <c r="T221" s="840">
        <v>2846.46</v>
      </c>
      <c r="U221" s="840">
        <v>3295.55</v>
      </c>
      <c r="V221" s="840">
        <v>3310.9</v>
      </c>
      <c r="W221" s="840">
        <v>2336.9</v>
      </c>
      <c r="X221" s="840">
        <v>1874.11</v>
      </c>
      <c r="Y221" s="840">
        <v>1565.74</v>
      </c>
      <c r="Z221" s="840">
        <v>1485.54</v>
      </c>
      <c r="AA221" s="840">
        <v>1343.06</v>
      </c>
      <c r="AB221" s="840">
        <v>1400.38</v>
      </c>
      <c r="AC221" s="840">
        <v>1857.15</v>
      </c>
      <c r="AD221" s="840">
        <v>1847.41</v>
      </c>
      <c r="AE221" s="840">
        <v>3072.14</v>
      </c>
      <c r="AF221" s="840">
        <v>3107.06</v>
      </c>
      <c r="AG221" s="840">
        <v>3382.7</v>
      </c>
      <c r="AH221" s="840">
        <v>3422.85</v>
      </c>
      <c r="AI221" s="840">
        <v>2953.65</v>
      </c>
      <c r="AJ221" s="840">
        <v>2253.4899999999998</v>
      </c>
      <c r="AK221" s="840"/>
      <c r="AL221" s="840"/>
      <c r="AM221" s="840"/>
      <c r="AN221" s="840"/>
      <c r="AO221" s="840"/>
      <c r="AP221" s="840"/>
      <c r="AQ221" s="840"/>
    </row>
    <row r="222" spans="2:43">
      <c r="B222" s="1300" t="s">
        <v>983</v>
      </c>
      <c r="C222" s="837">
        <v>732</v>
      </c>
      <c r="D222" s="837">
        <v>720</v>
      </c>
      <c r="E222" s="837">
        <v>798</v>
      </c>
      <c r="F222" s="837">
        <v>1167</v>
      </c>
      <c r="G222" s="837">
        <v>1736</v>
      </c>
      <c r="H222" s="837">
        <v>2247</v>
      </c>
      <c r="I222" s="837">
        <v>2198</v>
      </c>
      <c r="J222" s="837">
        <v>1217</v>
      </c>
      <c r="K222" s="837">
        <v>931</v>
      </c>
      <c r="L222" s="838">
        <v>871.16802978515625</v>
      </c>
      <c r="M222" s="838">
        <v>691.84002685546875</v>
      </c>
      <c r="N222" s="838">
        <v>866.43</v>
      </c>
      <c r="O222" s="838">
        <v>578.17999999999995</v>
      </c>
      <c r="P222" s="838">
        <v>354.82</v>
      </c>
      <c r="Q222" s="838">
        <v>367.87</v>
      </c>
      <c r="R222" s="838">
        <v>623.1</v>
      </c>
      <c r="S222" s="838">
        <v>1086.3399999999999</v>
      </c>
      <c r="T222" s="838">
        <v>1595.26</v>
      </c>
      <c r="U222" s="838">
        <v>1846.66</v>
      </c>
      <c r="V222" s="838">
        <v>1719.17</v>
      </c>
      <c r="W222" s="838">
        <v>1057.28</v>
      </c>
      <c r="X222" s="838">
        <v>718.08</v>
      </c>
      <c r="Y222" s="838">
        <v>592</v>
      </c>
      <c r="Z222" s="838">
        <v>546.69000000000005</v>
      </c>
      <c r="AA222" s="838">
        <v>484.86</v>
      </c>
      <c r="AB222" s="838">
        <v>559.36</v>
      </c>
      <c r="AC222" s="838">
        <v>849.28</v>
      </c>
      <c r="AD222" s="838">
        <v>750.34</v>
      </c>
      <c r="AE222" s="838">
        <v>1440.64</v>
      </c>
      <c r="AF222" s="838">
        <v>1550.98</v>
      </c>
      <c r="AG222" s="838">
        <v>1578.37</v>
      </c>
      <c r="AH222" s="838">
        <v>1646.46</v>
      </c>
      <c r="AI222" s="838">
        <v>1562.62</v>
      </c>
      <c r="AJ222" s="838">
        <v>390.91</v>
      </c>
      <c r="AK222" s="838"/>
      <c r="AL222" s="838"/>
      <c r="AM222" s="838"/>
      <c r="AN222" s="838"/>
      <c r="AO222" s="838"/>
      <c r="AP222" s="838"/>
      <c r="AQ222" s="838"/>
    </row>
    <row r="223" spans="2:43">
      <c r="B223" s="839" t="s">
        <v>984</v>
      </c>
      <c r="C223" s="839">
        <v>2046</v>
      </c>
      <c r="D223" s="839">
        <v>3143</v>
      </c>
      <c r="E223" s="839">
        <v>7402</v>
      </c>
      <c r="F223" s="839">
        <v>7370</v>
      </c>
      <c r="G223" s="839">
        <v>9113</v>
      </c>
      <c r="H223" s="839">
        <v>7785</v>
      </c>
      <c r="I223" s="839">
        <v>9576</v>
      </c>
      <c r="J223" s="839">
        <v>9305</v>
      </c>
      <c r="K223" s="839">
        <v>9950</v>
      </c>
      <c r="L223" s="840">
        <v>9602.431640625</v>
      </c>
      <c r="M223" s="840">
        <v>6606.080078125</v>
      </c>
      <c r="N223" s="840">
        <v>5105.28</v>
      </c>
      <c r="O223" s="840">
        <v>4832.38</v>
      </c>
      <c r="P223" s="840">
        <v>6000.77</v>
      </c>
      <c r="Q223" s="840">
        <v>8767.36</v>
      </c>
      <c r="R223" s="840">
        <v>8822.27</v>
      </c>
      <c r="S223" s="840">
        <v>10405.379999999999</v>
      </c>
      <c r="T223" s="840">
        <v>10161.41</v>
      </c>
      <c r="U223" s="840">
        <v>10889.22</v>
      </c>
      <c r="V223" s="840">
        <v>12704.77</v>
      </c>
      <c r="W223" s="840">
        <v>11391.74</v>
      </c>
      <c r="X223" s="840">
        <v>9798.66</v>
      </c>
      <c r="Y223" s="840">
        <v>7580.8</v>
      </c>
      <c r="Z223" s="840">
        <v>4583.68</v>
      </c>
      <c r="AA223" s="840">
        <v>4526.8500000000004</v>
      </c>
      <c r="AB223" s="840">
        <v>5325.7</v>
      </c>
      <c r="AC223" s="840">
        <v>7833.73</v>
      </c>
      <c r="AD223" s="840">
        <v>9312.1299999999992</v>
      </c>
      <c r="AE223" s="840">
        <v>11677.7</v>
      </c>
      <c r="AF223" s="840">
        <v>9753.4699999999993</v>
      </c>
      <c r="AG223" s="840">
        <v>9657.98</v>
      </c>
      <c r="AH223" s="840">
        <v>12614.14</v>
      </c>
      <c r="AI223" s="840">
        <v>12396.16</v>
      </c>
      <c r="AJ223" s="840">
        <v>8780.67</v>
      </c>
      <c r="AK223" s="840"/>
      <c r="AL223" s="840"/>
      <c r="AM223" s="840"/>
      <c r="AN223" s="840"/>
      <c r="AO223" s="840"/>
      <c r="AP223" s="840"/>
      <c r="AQ223" s="840"/>
    </row>
    <row r="224" spans="2:43">
      <c r="B224" s="837" t="s">
        <v>985</v>
      </c>
      <c r="C224" s="837">
        <v>1136</v>
      </c>
      <c r="D224" s="837">
        <v>2013</v>
      </c>
      <c r="E224" s="837">
        <v>3688</v>
      </c>
      <c r="F224" s="837">
        <v>4092</v>
      </c>
      <c r="G224" s="837">
        <v>4256</v>
      </c>
      <c r="H224" s="837">
        <v>4150</v>
      </c>
      <c r="I224" s="837">
        <v>4715</v>
      </c>
      <c r="J224" s="837">
        <v>4145</v>
      </c>
      <c r="K224" s="837">
        <v>3802</v>
      </c>
      <c r="L224" s="838">
        <v>4117.8720703125</v>
      </c>
      <c r="M224" s="838">
        <v>3987.64794921875</v>
      </c>
      <c r="N224" s="838">
        <v>3645.47</v>
      </c>
      <c r="O224" s="838">
        <v>3559.1</v>
      </c>
      <c r="P224" s="838">
        <v>3823.82</v>
      </c>
      <c r="Q224" s="838">
        <v>4409.49</v>
      </c>
      <c r="R224" s="838">
        <v>4472.22</v>
      </c>
      <c r="S224" s="838">
        <v>4401.76</v>
      </c>
      <c r="T224" s="838">
        <v>4701.5</v>
      </c>
      <c r="U224" s="838">
        <v>5291.39</v>
      </c>
      <c r="V224" s="838">
        <v>6833.6</v>
      </c>
      <c r="W224" s="838">
        <v>5452.22</v>
      </c>
      <c r="X224" s="838">
        <v>4878.5600000000004</v>
      </c>
      <c r="Y224" s="838">
        <v>4401.12</v>
      </c>
      <c r="Z224" s="838">
        <v>2947.33</v>
      </c>
      <c r="AA224" s="838">
        <v>3093.63</v>
      </c>
      <c r="AB224" s="838">
        <v>3085.98</v>
      </c>
      <c r="AC224" s="838">
        <v>3977.28</v>
      </c>
      <c r="AD224" s="838">
        <v>3837.22</v>
      </c>
      <c r="AE224" s="838">
        <v>4699.3900000000003</v>
      </c>
      <c r="AF224" s="838">
        <v>4124.16</v>
      </c>
      <c r="AG224" s="838">
        <v>4414.1400000000003</v>
      </c>
      <c r="AH224" s="838">
        <v>4453.0600000000004</v>
      </c>
      <c r="AI224" s="838">
        <v>4055.49</v>
      </c>
      <c r="AJ224" s="838">
        <v>945.28</v>
      </c>
      <c r="AK224" s="838"/>
      <c r="AL224" s="838"/>
      <c r="AM224" s="838"/>
      <c r="AN224" s="838"/>
      <c r="AO224" s="838"/>
      <c r="AP224" s="838"/>
      <c r="AQ224" s="838"/>
    </row>
    <row r="225" spans="2:43">
      <c r="B225" s="839" t="s">
        <v>986</v>
      </c>
      <c r="C225" s="839">
        <v>47</v>
      </c>
      <c r="D225" s="839">
        <v>47</v>
      </c>
      <c r="E225" s="839">
        <v>308</v>
      </c>
      <c r="F225" s="839">
        <v>240</v>
      </c>
      <c r="G225" s="839">
        <v>471</v>
      </c>
      <c r="H225" s="839">
        <v>608</v>
      </c>
      <c r="I225" s="839">
        <v>674</v>
      </c>
      <c r="J225" s="839">
        <v>582</v>
      </c>
      <c r="K225" s="839">
        <v>492</v>
      </c>
      <c r="L225" s="840">
        <v>420.76800537109375</v>
      </c>
      <c r="M225" s="840">
        <v>540.76800537109375</v>
      </c>
      <c r="N225" s="840">
        <v>399.36</v>
      </c>
      <c r="O225" s="840">
        <v>306.69</v>
      </c>
      <c r="P225" s="840">
        <v>336.9</v>
      </c>
      <c r="Q225" s="840">
        <v>432.26</v>
      </c>
      <c r="R225" s="840">
        <v>398.05</v>
      </c>
      <c r="S225" s="840">
        <v>624.48</v>
      </c>
      <c r="T225" s="840">
        <v>552.86</v>
      </c>
      <c r="U225" s="840">
        <v>485.95</v>
      </c>
      <c r="V225" s="840">
        <v>520.03</v>
      </c>
      <c r="W225" s="840">
        <v>437.7</v>
      </c>
      <c r="X225" s="840">
        <v>391.2</v>
      </c>
      <c r="Y225" s="840">
        <v>537.63</v>
      </c>
      <c r="Z225" s="840">
        <v>336.67</v>
      </c>
      <c r="AA225" s="840">
        <v>263.64999999999998</v>
      </c>
      <c r="AB225" s="840">
        <v>272.89999999999998</v>
      </c>
      <c r="AC225" s="840">
        <v>308.61</v>
      </c>
      <c r="AD225" s="840">
        <v>323.55</v>
      </c>
      <c r="AE225" s="840">
        <v>486.56</v>
      </c>
      <c r="AF225" s="840">
        <v>390.21</v>
      </c>
      <c r="AG225" s="840">
        <v>610.75</v>
      </c>
      <c r="AH225" s="840">
        <v>453.09</v>
      </c>
      <c r="AI225" s="840">
        <v>383.2</v>
      </c>
      <c r="AJ225" s="840">
        <v>69.89</v>
      </c>
      <c r="AK225" s="840"/>
      <c r="AL225" s="840"/>
      <c r="AM225" s="840"/>
      <c r="AN225" s="840"/>
      <c r="AO225" s="840"/>
      <c r="AP225" s="840"/>
      <c r="AQ225" s="840"/>
    </row>
    <row r="226" spans="2:43" s="473" customFormat="1">
      <c r="B226" s="843" t="s">
        <v>987</v>
      </c>
      <c r="C226" s="843">
        <v>31419</v>
      </c>
      <c r="D226" s="843">
        <v>25496</v>
      </c>
      <c r="E226" s="843">
        <v>15194</v>
      </c>
      <c r="F226" s="843">
        <v>13400</v>
      </c>
      <c r="G226" s="843">
        <v>30209</v>
      </c>
      <c r="H226" s="843">
        <v>36638</v>
      </c>
      <c r="I226" s="843">
        <v>38882</v>
      </c>
      <c r="J226" s="843">
        <v>36098</v>
      </c>
      <c r="K226" s="843">
        <v>35638</v>
      </c>
      <c r="L226" s="844">
        <v>34913.0234375</v>
      </c>
      <c r="M226" s="844">
        <v>29409.279296875</v>
      </c>
      <c r="N226" s="844">
        <v>18230.27</v>
      </c>
      <c r="O226" s="844">
        <v>28116.74</v>
      </c>
      <c r="P226" s="844">
        <v>22244.61</v>
      </c>
      <c r="Q226" s="844">
        <v>30897.66</v>
      </c>
      <c r="R226" s="844">
        <v>29659.9</v>
      </c>
      <c r="S226" s="844">
        <v>33690.11</v>
      </c>
      <c r="T226" s="844">
        <v>31861.5</v>
      </c>
      <c r="U226" s="844">
        <v>34324.730000000003</v>
      </c>
      <c r="V226" s="844">
        <v>47605.760000000002</v>
      </c>
      <c r="W226" s="844">
        <v>52403.71</v>
      </c>
      <c r="X226" s="844">
        <v>50401.54</v>
      </c>
      <c r="Y226" s="844">
        <v>45112.57</v>
      </c>
      <c r="Z226" s="844">
        <v>49769.21</v>
      </c>
      <c r="AA226" s="844">
        <v>51949.57</v>
      </c>
      <c r="AB226" s="844">
        <v>47896.32</v>
      </c>
      <c r="AC226" s="844">
        <v>47273.47</v>
      </c>
      <c r="AD226" s="844">
        <v>48058.11</v>
      </c>
      <c r="AE226" s="844">
        <v>54029.57</v>
      </c>
      <c r="AF226" s="844">
        <v>50279.17</v>
      </c>
      <c r="AG226" s="844">
        <v>56715.78</v>
      </c>
      <c r="AH226" s="844">
        <v>59077.38</v>
      </c>
      <c r="AI226" s="844">
        <v>43610.879999999997</v>
      </c>
      <c r="AJ226" s="844">
        <v>10594.3</v>
      </c>
      <c r="AK226" s="844"/>
      <c r="AL226" s="844"/>
      <c r="AM226" s="844"/>
      <c r="AN226" s="844"/>
      <c r="AO226" s="844"/>
      <c r="AP226" s="844"/>
      <c r="AQ226" s="844"/>
    </row>
    <row r="227" spans="2:43" s="473" customFormat="1">
      <c r="B227" s="841" t="s">
        <v>988</v>
      </c>
      <c r="C227" s="841">
        <v>106191</v>
      </c>
      <c r="D227" s="841">
        <v>99866</v>
      </c>
      <c r="E227" s="841">
        <v>106494</v>
      </c>
      <c r="F227" s="841">
        <v>96890</v>
      </c>
      <c r="G227" s="841">
        <v>124722</v>
      </c>
      <c r="H227" s="841">
        <v>117299</v>
      </c>
      <c r="I227" s="841">
        <v>113552</v>
      </c>
      <c r="J227" s="841">
        <v>122058</v>
      </c>
      <c r="K227" s="841">
        <v>116015</v>
      </c>
      <c r="L227" s="842">
        <v>119409.6640625</v>
      </c>
      <c r="M227" s="842">
        <v>97455.1015625</v>
      </c>
      <c r="N227" s="842">
        <v>82209.789999999994</v>
      </c>
      <c r="O227" s="842">
        <v>98179.07</v>
      </c>
      <c r="P227" s="842">
        <v>91636.73</v>
      </c>
      <c r="Q227" s="842">
        <v>115484.67</v>
      </c>
      <c r="R227" s="842">
        <v>109857.79</v>
      </c>
      <c r="S227" s="842">
        <v>124483.59</v>
      </c>
      <c r="T227" s="842">
        <v>113569.79</v>
      </c>
      <c r="U227" s="842">
        <v>107107.33</v>
      </c>
      <c r="V227" s="842">
        <v>133912.57999999999</v>
      </c>
      <c r="W227" s="842">
        <v>136648.70000000001</v>
      </c>
      <c r="X227" s="842">
        <v>141128.70000000001</v>
      </c>
      <c r="Y227" s="842">
        <v>123478.02</v>
      </c>
      <c r="Z227" s="842">
        <v>110941.19</v>
      </c>
      <c r="AA227" s="842">
        <v>119756.8</v>
      </c>
      <c r="AB227" s="842">
        <v>118263.8</v>
      </c>
      <c r="AC227" s="842">
        <v>129538.05</v>
      </c>
      <c r="AD227" s="842">
        <v>132057.09</v>
      </c>
      <c r="AE227" s="842">
        <v>152492.03</v>
      </c>
      <c r="AF227" s="842">
        <v>134993.92000000001</v>
      </c>
      <c r="AG227" s="842">
        <v>132726.78</v>
      </c>
      <c r="AH227" s="842">
        <v>147828.73000000001</v>
      </c>
      <c r="AI227" s="842">
        <v>129300.48</v>
      </c>
      <c r="AJ227" s="842">
        <v>141076.48000000001</v>
      </c>
      <c r="AK227" s="842"/>
      <c r="AL227" s="842"/>
      <c r="AM227" s="842"/>
      <c r="AN227" s="842"/>
      <c r="AO227" s="842"/>
      <c r="AP227" s="842"/>
      <c r="AQ227" s="842"/>
    </row>
    <row r="228" spans="2:43">
      <c r="B228" s="839" t="s">
        <v>989</v>
      </c>
      <c r="C228" s="839">
        <v>1467</v>
      </c>
      <c r="D228" s="839">
        <v>1439</v>
      </c>
      <c r="E228" s="839">
        <v>2402</v>
      </c>
      <c r="F228" s="839">
        <v>2164</v>
      </c>
      <c r="G228" s="839">
        <v>2917</v>
      </c>
      <c r="H228" s="839">
        <v>2671</v>
      </c>
      <c r="I228" s="839">
        <v>1610</v>
      </c>
      <c r="J228" s="839">
        <v>2390</v>
      </c>
      <c r="K228" s="839">
        <v>2458</v>
      </c>
      <c r="L228" s="840">
        <v>2783.52001953125</v>
      </c>
      <c r="M228" s="840">
        <v>1213.8719482421875</v>
      </c>
      <c r="N228" s="840">
        <v>710.82</v>
      </c>
      <c r="O228" s="840">
        <v>865.33</v>
      </c>
      <c r="P228" s="840">
        <v>1027.2</v>
      </c>
      <c r="Q228" s="840">
        <v>2211.73</v>
      </c>
      <c r="R228" s="840">
        <v>1857.54</v>
      </c>
      <c r="S228" s="840">
        <v>3074.17</v>
      </c>
      <c r="T228" s="840">
        <v>2657.21</v>
      </c>
      <c r="U228" s="840">
        <v>1502.92</v>
      </c>
      <c r="V228" s="840">
        <v>2218.42</v>
      </c>
      <c r="W228" s="840">
        <v>2845.27</v>
      </c>
      <c r="X228" s="840">
        <v>3453.35</v>
      </c>
      <c r="Y228" s="840">
        <v>1828.9</v>
      </c>
      <c r="Z228" s="840">
        <v>1266.1400000000001</v>
      </c>
      <c r="AA228" s="840">
        <v>1427.4</v>
      </c>
      <c r="AB228" s="840">
        <v>1587.13</v>
      </c>
      <c r="AC228" s="840">
        <v>2566.66</v>
      </c>
      <c r="AD228" s="840">
        <v>2640.17</v>
      </c>
      <c r="AE228" s="840">
        <v>3441.02</v>
      </c>
      <c r="AF228" s="840">
        <v>2143.58</v>
      </c>
      <c r="AG228" s="840">
        <v>1473.52</v>
      </c>
      <c r="AH228" s="840">
        <v>2482.06</v>
      </c>
      <c r="AI228" s="840">
        <v>2805.54</v>
      </c>
      <c r="AJ228" s="840">
        <v>3633.33</v>
      </c>
      <c r="AK228" s="840"/>
      <c r="AL228" s="840"/>
      <c r="AM228" s="840"/>
      <c r="AN228" s="840"/>
      <c r="AO228" s="840"/>
      <c r="AP228" s="840"/>
      <c r="AQ228" s="840"/>
    </row>
    <row r="229" spans="2:43">
      <c r="B229" s="837" t="s">
        <v>990</v>
      </c>
      <c r="C229" s="837">
        <v>10526</v>
      </c>
      <c r="D229" s="837">
        <v>9924</v>
      </c>
      <c r="E229" s="837">
        <v>10624</v>
      </c>
      <c r="F229" s="837">
        <v>11168</v>
      </c>
      <c r="G229" s="837">
        <v>12329</v>
      </c>
      <c r="H229" s="837">
        <v>12044</v>
      </c>
      <c r="I229" s="837">
        <v>12570</v>
      </c>
      <c r="J229" s="837">
        <v>10140</v>
      </c>
      <c r="K229" s="837">
        <v>7633</v>
      </c>
      <c r="L229" s="838">
        <v>7860.5439453125</v>
      </c>
      <c r="M229" s="838">
        <v>9804.0322265625</v>
      </c>
      <c r="N229" s="838">
        <v>10862.91</v>
      </c>
      <c r="O229" s="838">
        <v>10628.48</v>
      </c>
      <c r="P229" s="838">
        <v>9553.98</v>
      </c>
      <c r="Q229" s="838">
        <v>12096.83</v>
      </c>
      <c r="R229" s="838">
        <v>12412.8</v>
      </c>
      <c r="S229" s="838">
        <v>12894.59</v>
      </c>
      <c r="T229" s="838">
        <v>12848.26</v>
      </c>
      <c r="U229" s="838">
        <v>13157.44</v>
      </c>
      <c r="V229" s="838">
        <v>13065.02</v>
      </c>
      <c r="W229" s="838">
        <v>12413.57</v>
      </c>
      <c r="X229" s="838">
        <v>12744.26</v>
      </c>
      <c r="Y229" s="838">
        <v>11930.94</v>
      </c>
      <c r="Z229" s="838">
        <v>11214.78</v>
      </c>
      <c r="AA229" s="838">
        <v>10853.63</v>
      </c>
      <c r="AB229" s="838">
        <v>10782.02</v>
      </c>
      <c r="AC229" s="838">
        <v>12880.38</v>
      </c>
      <c r="AD229" s="838">
        <v>12601.02</v>
      </c>
      <c r="AE229" s="838">
        <v>13107.65</v>
      </c>
      <c r="AF229" s="838">
        <v>12861.95</v>
      </c>
      <c r="AG229" s="838">
        <v>13517.44</v>
      </c>
      <c r="AH229" s="838">
        <v>13368.06</v>
      </c>
      <c r="AI229" s="838">
        <v>12672.45</v>
      </c>
      <c r="AJ229" s="838">
        <v>12393.73</v>
      </c>
      <c r="AK229" s="838"/>
      <c r="AL229" s="838"/>
      <c r="AM229" s="838"/>
      <c r="AN229" s="838"/>
      <c r="AO229" s="838"/>
      <c r="AP229" s="838"/>
      <c r="AQ229" s="838"/>
    </row>
    <row r="230" spans="2:43">
      <c r="B230" s="839" t="s">
        <v>991</v>
      </c>
      <c r="C230" s="839">
        <v>8673</v>
      </c>
      <c r="D230" s="839">
        <v>7966</v>
      </c>
      <c r="E230" s="839">
        <v>11472</v>
      </c>
      <c r="F230" s="839">
        <v>14898</v>
      </c>
      <c r="G230" s="839">
        <v>17312</v>
      </c>
      <c r="H230" s="839">
        <v>10452</v>
      </c>
      <c r="I230" s="839">
        <v>7755</v>
      </c>
      <c r="J230" s="839">
        <v>12264</v>
      </c>
      <c r="K230" s="839">
        <v>11294</v>
      </c>
      <c r="L230" s="840">
        <v>12478.5283203125</v>
      </c>
      <c r="M230" s="840">
        <v>8069.408203125</v>
      </c>
      <c r="N230" s="840">
        <v>10478.049999999999</v>
      </c>
      <c r="O230" s="840">
        <v>11803.39</v>
      </c>
      <c r="P230" s="840">
        <v>11019.9</v>
      </c>
      <c r="Q230" s="840">
        <v>12657.15</v>
      </c>
      <c r="R230" s="840">
        <v>10622.59</v>
      </c>
      <c r="S230" s="840">
        <v>12455.1</v>
      </c>
      <c r="T230" s="840">
        <v>12723.78</v>
      </c>
      <c r="U230" s="840">
        <v>7362.82</v>
      </c>
      <c r="V230" s="840">
        <v>11965.82</v>
      </c>
      <c r="W230" s="840">
        <v>12333.06</v>
      </c>
      <c r="X230" s="840">
        <v>13328.32</v>
      </c>
      <c r="Y230" s="840">
        <v>11986.56</v>
      </c>
      <c r="Z230" s="840">
        <v>12311.1</v>
      </c>
      <c r="AA230" s="840">
        <v>12544.64</v>
      </c>
      <c r="AB230" s="840">
        <v>10492.42</v>
      </c>
      <c r="AC230" s="840">
        <v>12952.7</v>
      </c>
      <c r="AD230" s="840">
        <v>12841.92</v>
      </c>
      <c r="AE230" s="840">
        <v>18351.55</v>
      </c>
      <c r="AF230" s="840">
        <v>16815.04</v>
      </c>
      <c r="AG230" s="840">
        <v>10795.46</v>
      </c>
      <c r="AH230" s="840">
        <v>14207.74</v>
      </c>
      <c r="AI230" s="840">
        <v>13524.42</v>
      </c>
      <c r="AJ230" s="840">
        <v>12992.45</v>
      </c>
      <c r="AK230" s="840"/>
      <c r="AL230" s="840"/>
      <c r="AM230" s="840"/>
      <c r="AN230" s="840"/>
      <c r="AO230" s="840"/>
      <c r="AP230" s="840"/>
      <c r="AQ230" s="840"/>
    </row>
    <row r="231" spans="2:43">
      <c r="B231" s="837" t="s">
        <v>992</v>
      </c>
      <c r="C231" s="837">
        <v>5710</v>
      </c>
      <c r="D231" s="837">
        <v>6137</v>
      </c>
      <c r="E231" s="837">
        <v>6670</v>
      </c>
      <c r="F231" s="837">
        <v>6236</v>
      </c>
      <c r="G231" s="837">
        <v>6559</v>
      </c>
      <c r="H231" s="837">
        <v>5405</v>
      </c>
      <c r="I231" s="837">
        <v>5206</v>
      </c>
      <c r="J231" s="837">
        <v>6640</v>
      </c>
      <c r="K231" s="837">
        <v>6471</v>
      </c>
      <c r="L231" s="838">
        <v>6724.3837890625</v>
      </c>
      <c r="M231" s="838">
        <v>6395.77587890625</v>
      </c>
      <c r="N231" s="838">
        <v>6023.97</v>
      </c>
      <c r="O231" s="838">
        <v>6281.79</v>
      </c>
      <c r="P231" s="838">
        <v>6482.18</v>
      </c>
      <c r="Q231" s="838">
        <v>6580.54</v>
      </c>
      <c r="R231" s="838">
        <v>5967.26</v>
      </c>
      <c r="S231" s="838">
        <v>6385.95</v>
      </c>
      <c r="T231" s="838">
        <v>5141.8900000000003</v>
      </c>
      <c r="U231" s="838">
        <v>4754.3</v>
      </c>
      <c r="V231" s="838">
        <v>5893.7</v>
      </c>
      <c r="W231" s="838">
        <v>5298.05</v>
      </c>
      <c r="X231" s="838">
        <v>6338.88</v>
      </c>
      <c r="Y231" s="838">
        <v>5940.64</v>
      </c>
      <c r="Z231" s="838">
        <v>4724.26</v>
      </c>
      <c r="AA231" s="838">
        <v>5719.71</v>
      </c>
      <c r="AB231" s="838">
        <v>5223.1000000000004</v>
      </c>
      <c r="AC231" s="838">
        <v>5412.58</v>
      </c>
      <c r="AD231" s="838">
        <v>5899.62</v>
      </c>
      <c r="AE231" s="838">
        <v>6741.86</v>
      </c>
      <c r="AF231" s="838">
        <v>5904.9</v>
      </c>
      <c r="AG231" s="838">
        <v>5719.97</v>
      </c>
      <c r="AH231" s="838">
        <v>7361.86</v>
      </c>
      <c r="AI231" s="838">
        <v>5889.09</v>
      </c>
      <c r="AJ231" s="838">
        <v>6605.15</v>
      </c>
      <c r="AK231" s="838"/>
      <c r="AL231" s="838"/>
      <c r="AM231" s="838"/>
      <c r="AN231" s="838"/>
      <c r="AO231" s="838"/>
      <c r="AP231" s="838"/>
      <c r="AQ231" s="838"/>
    </row>
    <row r="232" spans="2:43">
      <c r="B232" s="839" t="s">
        <v>993</v>
      </c>
      <c r="C232" s="839">
        <v>3766</v>
      </c>
      <c r="D232" s="839">
        <v>4471</v>
      </c>
      <c r="E232" s="839">
        <v>5700</v>
      </c>
      <c r="F232" s="839">
        <v>5434</v>
      </c>
      <c r="G232" s="839">
        <v>6245</v>
      </c>
      <c r="H232" s="839">
        <v>5511</v>
      </c>
      <c r="I232" s="839">
        <v>5159</v>
      </c>
      <c r="J232" s="839">
        <v>5932</v>
      </c>
      <c r="K232" s="839">
        <v>5927</v>
      </c>
      <c r="L232" s="840">
        <v>6252.3837890625</v>
      </c>
      <c r="M232" s="840">
        <v>4484.576171875</v>
      </c>
      <c r="N232" s="840">
        <v>3612.67</v>
      </c>
      <c r="O232" s="840">
        <v>4067.23</v>
      </c>
      <c r="P232" s="840">
        <v>4214.9799999999996</v>
      </c>
      <c r="Q232" s="840">
        <v>5441.22</v>
      </c>
      <c r="R232" s="840">
        <v>5270.78</v>
      </c>
      <c r="S232" s="840">
        <v>6239.74</v>
      </c>
      <c r="T232" s="840">
        <v>5448.64</v>
      </c>
      <c r="U232" s="840">
        <v>4798.3999999999996</v>
      </c>
      <c r="V232" s="840">
        <v>5931.1</v>
      </c>
      <c r="W232" s="840">
        <v>5708.22</v>
      </c>
      <c r="X232" s="840">
        <v>6654.3</v>
      </c>
      <c r="Y232" s="840">
        <v>4582.75</v>
      </c>
      <c r="Z232" s="840">
        <v>3127.71</v>
      </c>
      <c r="AA232" s="840">
        <v>3738.08</v>
      </c>
      <c r="AB232" s="840">
        <v>4565.8599999999997</v>
      </c>
      <c r="AC232" s="840">
        <v>5750.4</v>
      </c>
      <c r="AD232" s="840">
        <v>6004.16</v>
      </c>
      <c r="AE232" s="840">
        <v>6750.59</v>
      </c>
      <c r="AF232" s="840">
        <v>5398.94</v>
      </c>
      <c r="AG232" s="840">
        <v>4937.9799999999996</v>
      </c>
      <c r="AH232" s="840">
        <v>6107.94</v>
      </c>
      <c r="AI232" s="840">
        <v>6061.63</v>
      </c>
      <c r="AJ232" s="840">
        <v>6688.58</v>
      </c>
      <c r="AK232" s="840"/>
      <c r="AL232" s="840"/>
      <c r="AM232" s="840"/>
      <c r="AN232" s="840"/>
      <c r="AO232" s="840"/>
      <c r="AP232" s="840"/>
      <c r="AQ232" s="840"/>
    </row>
    <row r="233" spans="2:43">
      <c r="B233" s="837" t="s">
        <v>994</v>
      </c>
      <c r="C233" s="837">
        <v>4265</v>
      </c>
      <c r="D233" s="837">
        <v>4718</v>
      </c>
      <c r="E233" s="837">
        <v>5812</v>
      </c>
      <c r="F233" s="837">
        <v>5440</v>
      </c>
      <c r="G233" s="837">
        <v>6370</v>
      </c>
      <c r="H233" s="837">
        <v>5594</v>
      </c>
      <c r="I233" s="837">
        <v>5406</v>
      </c>
      <c r="J233" s="837">
        <v>6193</v>
      </c>
      <c r="K233" s="837">
        <v>6051</v>
      </c>
      <c r="L233" s="838">
        <v>6328</v>
      </c>
      <c r="M233" s="838">
        <v>4933.43994140625</v>
      </c>
      <c r="N233" s="838">
        <v>3691.07</v>
      </c>
      <c r="O233" s="838">
        <v>4307.1000000000004</v>
      </c>
      <c r="P233" s="838">
        <v>4609.8599999999997</v>
      </c>
      <c r="Q233" s="838">
        <v>5872.58</v>
      </c>
      <c r="R233" s="838">
        <v>5373.25</v>
      </c>
      <c r="S233" s="838">
        <v>6183.65</v>
      </c>
      <c r="T233" s="838">
        <v>5274.02</v>
      </c>
      <c r="U233" s="838">
        <v>4824.99</v>
      </c>
      <c r="V233" s="838">
        <v>5897.22</v>
      </c>
      <c r="W233" s="838">
        <v>5524.7</v>
      </c>
      <c r="X233" s="838">
        <v>5928.54</v>
      </c>
      <c r="Y233" s="838">
        <v>4780.13</v>
      </c>
      <c r="Z233" s="838">
        <v>3200.7</v>
      </c>
      <c r="AA233" s="838">
        <v>4168.13</v>
      </c>
      <c r="AB233" s="838">
        <v>4638.88</v>
      </c>
      <c r="AC233" s="838">
        <v>5392.83</v>
      </c>
      <c r="AD233" s="838">
        <v>5697.86</v>
      </c>
      <c r="AE233" s="838">
        <v>6280.42</v>
      </c>
      <c r="AF233" s="838">
        <v>5372.22</v>
      </c>
      <c r="AG233" s="838">
        <v>5071.26</v>
      </c>
      <c r="AH233" s="838">
        <v>5967.52</v>
      </c>
      <c r="AI233" s="838">
        <v>5845.98</v>
      </c>
      <c r="AJ233" s="838">
        <v>6333.41</v>
      </c>
      <c r="AK233" s="838"/>
      <c r="AL233" s="838"/>
      <c r="AM233" s="838"/>
      <c r="AN233" s="838"/>
      <c r="AO233" s="838"/>
      <c r="AP233" s="838"/>
      <c r="AQ233" s="838"/>
    </row>
    <row r="234" spans="2:43">
      <c r="B234" s="839" t="s">
        <v>995</v>
      </c>
      <c r="C234" s="839">
        <v>953</v>
      </c>
      <c r="D234" s="839">
        <v>1275</v>
      </c>
      <c r="E234" s="839">
        <v>1994</v>
      </c>
      <c r="F234" s="839">
        <v>1852</v>
      </c>
      <c r="G234" s="839">
        <v>2143</v>
      </c>
      <c r="H234" s="839">
        <v>1950</v>
      </c>
      <c r="I234" s="839">
        <v>1874</v>
      </c>
      <c r="J234" s="839">
        <v>2258</v>
      </c>
      <c r="K234" s="839">
        <v>2001</v>
      </c>
      <c r="L234" s="840">
        <v>2440.3359375</v>
      </c>
      <c r="M234" s="840">
        <v>1571.6319580078125</v>
      </c>
      <c r="N234" s="840">
        <v>812.26</v>
      </c>
      <c r="O234" s="840">
        <v>1067.3800000000001</v>
      </c>
      <c r="P234" s="840">
        <v>1531.14</v>
      </c>
      <c r="Q234" s="840">
        <v>2135.38</v>
      </c>
      <c r="R234" s="840">
        <v>2124.3000000000002</v>
      </c>
      <c r="S234" s="840">
        <v>2360.34</v>
      </c>
      <c r="T234" s="840">
        <v>2017.91</v>
      </c>
      <c r="U234" s="840">
        <v>1619.16</v>
      </c>
      <c r="V234" s="840">
        <v>2303.29</v>
      </c>
      <c r="W234" s="840">
        <v>2247.7800000000002</v>
      </c>
      <c r="X234" s="840">
        <v>2425.6</v>
      </c>
      <c r="Y234" s="840">
        <v>1606.08</v>
      </c>
      <c r="Z234" s="840">
        <v>787.33</v>
      </c>
      <c r="AA234" s="840">
        <v>1043.93</v>
      </c>
      <c r="AB234" s="840">
        <v>1632.14</v>
      </c>
      <c r="AC234" s="840">
        <v>1696.26</v>
      </c>
      <c r="AD234" s="840">
        <v>1835.41</v>
      </c>
      <c r="AE234" s="840">
        <v>2149.2399999999998</v>
      </c>
      <c r="AF234" s="840">
        <v>1775.43</v>
      </c>
      <c r="AG234" s="840">
        <v>1284.45</v>
      </c>
      <c r="AH234" s="840">
        <v>1817.46</v>
      </c>
      <c r="AI234" s="840">
        <v>1734.75</v>
      </c>
      <c r="AJ234" s="840">
        <v>2046.51</v>
      </c>
      <c r="AK234" s="840"/>
      <c r="AL234" s="840"/>
      <c r="AM234" s="840"/>
      <c r="AN234" s="840"/>
      <c r="AO234" s="840"/>
      <c r="AP234" s="840"/>
      <c r="AQ234" s="840"/>
    </row>
    <row r="235" spans="2:43">
      <c r="B235" s="837" t="s">
        <v>996</v>
      </c>
      <c r="C235" s="837">
        <v>6031</v>
      </c>
      <c r="D235" s="837">
        <v>7141</v>
      </c>
      <c r="E235" s="837">
        <v>8755</v>
      </c>
      <c r="F235" s="837">
        <v>8512</v>
      </c>
      <c r="G235" s="837">
        <v>9615</v>
      </c>
      <c r="H235" s="837">
        <v>8414</v>
      </c>
      <c r="I235" s="837">
        <v>7540</v>
      </c>
      <c r="J235" s="837">
        <v>9008</v>
      </c>
      <c r="K235" s="837">
        <v>8794</v>
      </c>
      <c r="L235" s="838">
        <v>9241.9521484375</v>
      </c>
      <c r="M235" s="838">
        <v>6604.92822265625</v>
      </c>
      <c r="N235" s="838">
        <v>5114.0200000000004</v>
      </c>
      <c r="O235" s="838">
        <v>6351.1</v>
      </c>
      <c r="P235" s="838">
        <v>7044.54</v>
      </c>
      <c r="Q235" s="838">
        <v>8855.23</v>
      </c>
      <c r="R235" s="838">
        <v>8510.4599999999991</v>
      </c>
      <c r="S235" s="838">
        <v>9509.1200000000008</v>
      </c>
      <c r="T235" s="838">
        <v>8075.46</v>
      </c>
      <c r="U235" s="838">
        <v>7308.16</v>
      </c>
      <c r="V235" s="838">
        <v>9208.9599999999991</v>
      </c>
      <c r="W235" s="838">
        <v>8797.1200000000008</v>
      </c>
      <c r="X235" s="838">
        <v>9260.0300000000007</v>
      </c>
      <c r="Y235" s="838">
        <v>7054.21</v>
      </c>
      <c r="Z235" s="838">
        <v>4787.33</v>
      </c>
      <c r="AA235" s="838">
        <v>5834.56</v>
      </c>
      <c r="AB235" s="838">
        <v>7020.54</v>
      </c>
      <c r="AC235" s="838">
        <v>8388.93</v>
      </c>
      <c r="AD235" s="838">
        <v>8771.7800000000007</v>
      </c>
      <c r="AE235" s="838">
        <v>9567.8700000000008</v>
      </c>
      <c r="AF235" s="838">
        <v>7840.06</v>
      </c>
      <c r="AG235" s="838">
        <v>7004.93</v>
      </c>
      <c r="AH235" s="838">
        <v>8643.26</v>
      </c>
      <c r="AI235" s="838">
        <v>8552.3799999999992</v>
      </c>
      <c r="AJ235" s="838">
        <v>9489.2199999999993</v>
      </c>
      <c r="AK235" s="838"/>
      <c r="AL235" s="838"/>
      <c r="AM235" s="838"/>
      <c r="AN235" s="838"/>
      <c r="AO235" s="838"/>
      <c r="AP235" s="838"/>
      <c r="AQ235" s="838"/>
    </row>
    <row r="236" spans="2:43">
      <c r="B236" s="839" t="s">
        <v>997</v>
      </c>
      <c r="C236" s="839">
        <v>2876</v>
      </c>
      <c r="D236" s="839">
        <v>2555</v>
      </c>
      <c r="E236" s="839">
        <v>2942</v>
      </c>
      <c r="F236" s="839">
        <v>2582</v>
      </c>
      <c r="G236" s="839">
        <v>3278</v>
      </c>
      <c r="H236" s="839">
        <v>2912</v>
      </c>
      <c r="I236" s="839">
        <v>2662</v>
      </c>
      <c r="J236" s="839">
        <v>3132</v>
      </c>
      <c r="K236" s="839">
        <v>3062</v>
      </c>
      <c r="L236" s="840">
        <v>3146.60791015625</v>
      </c>
      <c r="M236" s="840">
        <v>2881.552001953125</v>
      </c>
      <c r="N236" s="840">
        <v>2384.1</v>
      </c>
      <c r="O236" s="840">
        <v>2788.64</v>
      </c>
      <c r="P236" s="840">
        <v>2795.65</v>
      </c>
      <c r="Q236" s="840">
        <v>3133.6</v>
      </c>
      <c r="R236" s="840">
        <v>3074.53</v>
      </c>
      <c r="S236" s="840">
        <v>3668.83</v>
      </c>
      <c r="T236" s="840">
        <v>3067.5</v>
      </c>
      <c r="U236" s="840">
        <v>2621.98</v>
      </c>
      <c r="V236" s="840">
        <v>3004.77</v>
      </c>
      <c r="W236" s="840">
        <v>3050.94</v>
      </c>
      <c r="X236" s="840">
        <v>3208.99</v>
      </c>
      <c r="Y236" s="840">
        <v>2873.81</v>
      </c>
      <c r="Z236" s="840">
        <v>2229.25</v>
      </c>
      <c r="AA236" s="840">
        <v>2394.21</v>
      </c>
      <c r="AB236" s="840">
        <v>2519.46</v>
      </c>
      <c r="AC236" s="840">
        <v>2656.34</v>
      </c>
      <c r="AD236" s="840">
        <v>2732.29</v>
      </c>
      <c r="AE236" s="840">
        <v>2987.9</v>
      </c>
      <c r="AF236" s="840">
        <v>2536.29</v>
      </c>
      <c r="AG236" s="840">
        <v>2450.58</v>
      </c>
      <c r="AH236" s="840">
        <v>2779.33</v>
      </c>
      <c r="AI236" s="840">
        <v>2484.3000000000002</v>
      </c>
      <c r="AJ236" s="840">
        <v>3418.62</v>
      </c>
      <c r="AK236" s="840"/>
      <c r="AL236" s="840"/>
      <c r="AM236" s="840"/>
      <c r="AN236" s="840"/>
      <c r="AO236" s="840"/>
      <c r="AP236" s="840"/>
      <c r="AQ236" s="840"/>
    </row>
    <row r="237" spans="2:43">
      <c r="B237" s="837" t="s">
        <v>998</v>
      </c>
      <c r="C237" s="837">
        <v>2830</v>
      </c>
      <c r="D237" s="837">
        <v>2855</v>
      </c>
      <c r="E237" s="837">
        <v>3269</v>
      </c>
      <c r="F237" s="837">
        <v>3373</v>
      </c>
      <c r="G237" s="837">
        <v>3765</v>
      </c>
      <c r="H237" s="837">
        <v>3922</v>
      </c>
      <c r="I237" s="837">
        <v>4257</v>
      </c>
      <c r="J237" s="837">
        <v>3948</v>
      </c>
      <c r="K237" s="837">
        <v>3635</v>
      </c>
      <c r="L237" s="838">
        <v>3614.239990234375</v>
      </c>
      <c r="M237" s="838">
        <v>2964.095947265625</v>
      </c>
      <c r="N237" s="838">
        <v>2501.36</v>
      </c>
      <c r="O237" s="838">
        <v>2872.77</v>
      </c>
      <c r="P237" s="838">
        <v>3005.22</v>
      </c>
      <c r="Q237" s="838">
        <v>3618.26</v>
      </c>
      <c r="R237" s="838">
        <v>3422.1</v>
      </c>
      <c r="S237" s="838">
        <v>3988.26</v>
      </c>
      <c r="T237" s="838">
        <v>4040.85</v>
      </c>
      <c r="U237" s="838">
        <v>3812.34</v>
      </c>
      <c r="V237" s="838">
        <v>4294.46</v>
      </c>
      <c r="W237" s="838">
        <v>3721.87</v>
      </c>
      <c r="X237" s="838">
        <v>3645.94</v>
      </c>
      <c r="Y237" s="838">
        <v>2992.29</v>
      </c>
      <c r="Z237" s="838">
        <v>2501.52</v>
      </c>
      <c r="AA237" s="838">
        <v>2966.78</v>
      </c>
      <c r="AB237" s="838">
        <v>3182.37</v>
      </c>
      <c r="AC237" s="838">
        <v>3765.5</v>
      </c>
      <c r="AD237" s="838">
        <v>3882</v>
      </c>
      <c r="AE237" s="838">
        <v>4756.53</v>
      </c>
      <c r="AF237" s="838">
        <v>4014.62</v>
      </c>
      <c r="AG237" s="838">
        <v>4218.9799999999996</v>
      </c>
      <c r="AH237" s="838">
        <v>4440.29</v>
      </c>
      <c r="AI237" s="838">
        <v>3845.25</v>
      </c>
      <c r="AJ237" s="838">
        <v>3914.62</v>
      </c>
      <c r="AK237" s="838"/>
      <c r="AL237" s="838"/>
      <c r="AM237" s="838"/>
      <c r="AN237" s="838"/>
      <c r="AO237" s="838"/>
      <c r="AP237" s="838"/>
      <c r="AQ237" s="838"/>
    </row>
    <row r="238" spans="2:43">
      <c r="B238" s="839" t="s">
        <v>999</v>
      </c>
      <c r="C238" s="839">
        <v>5873</v>
      </c>
      <c r="D238" s="839">
        <v>6232</v>
      </c>
      <c r="E238" s="839">
        <v>7414</v>
      </c>
      <c r="F238" s="839">
        <v>7240</v>
      </c>
      <c r="G238" s="839">
        <v>8145</v>
      </c>
      <c r="H238" s="839">
        <v>7431</v>
      </c>
      <c r="I238" s="839">
        <v>7607</v>
      </c>
      <c r="J238" s="839">
        <v>8376</v>
      </c>
      <c r="K238" s="839">
        <v>8172</v>
      </c>
      <c r="L238" s="840">
        <v>8159.23193359375</v>
      </c>
      <c r="M238" s="840">
        <v>6601.9521484375</v>
      </c>
      <c r="N238" s="840">
        <v>5942.21</v>
      </c>
      <c r="O238" s="840">
        <v>6733.6</v>
      </c>
      <c r="P238" s="840">
        <v>6475.1</v>
      </c>
      <c r="Q238" s="840">
        <v>8019.39</v>
      </c>
      <c r="R238" s="840">
        <v>7369.54</v>
      </c>
      <c r="S238" s="840">
        <v>8423.7800000000007</v>
      </c>
      <c r="T238" s="840">
        <v>7275.01</v>
      </c>
      <c r="U238" s="840">
        <v>7296</v>
      </c>
      <c r="V238" s="840">
        <v>8518.94</v>
      </c>
      <c r="W238" s="840">
        <v>7758.66</v>
      </c>
      <c r="X238" s="840">
        <v>7945.95</v>
      </c>
      <c r="Y238" s="840">
        <v>6575.1</v>
      </c>
      <c r="Z238" s="840">
        <v>4923.26</v>
      </c>
      <c r="AA238" s="840">
        <v>5582.66</v>
      </c>
      <c r="AB238" s="840">
        <v>6414.02</v>
      </c>
      <c r="AC238" s="840">
        <v>7724.48</v>
      </c>
      <c r="AD238" s="840">
        <v>7495.62</v>
      </c>
      <c r="AE238" s="840">
        <v>8593.34</v>
      </c>
      <c r="AF238" s="840">
        <v>6878.08</v>
      </c>
      <c r="AG238" s="840">
        <v>7363.2</v>
      </c>
      <c r="AH238" s="840">
        <v>8316.42</v>
      </c>
      <c r="AI238" s="840">
        <v>7769.41</v>
      </c>
      <c r="AJ238" s="840">
        <v>8092.61</v>
      </c>
      <c r="AK238" s="840"/>
      <c r="AL238" s="840"/>
      <c r="AM238" s="840"/>
      <c r="AN238" s="840"/>
      <c r="AO238" s="840"/>
      <c r="AP238" s="840"/>
      <c r="AQ238" s="840"/>
    </row>
    <row r="239" spans="2:43">
      <c r="B239" s="837" t="s">
        <v>1000</v>
      </c>
      <c r="C239" s="837">
        <v>2569</v>
      </c>
      <c r="D239" s="837">
        <v>2908</v>
      </c>
      <c r="E239" s="837">
        <v>3642</v>
      </c>
      <c r="F239" s="837">
        <v>3785</v>
      </c>
      <c r="G239" s="837">
        <v>4606</v>
      </c>
      <c r="H239" s="837">
        <v>4136</v>
      </c>
      <c r="I239" s="837">
        <v>3754</v>
      </c>
      <c r="J239" s="837">
        <v>4181</v>
      </c>
      <c r="K239" s="837">
        <v>3982</v>
      </c>
      <c r="L239" s="838">
        <v>4090.783935546875</v>
      </c>
      <c r="M239" s="838">
        <v>2973.52001953125</v>
      </c>
      <c r="N239" s="838">
        <v>2629.66</v>
      </c>
      <c r="O239" s="838">
        <v>2705.49</v>
      </c>
      <c r="P239" s="838">
        <v>2773.87</v>
      </c>
      <c r="Q239" s="838">
        <v>3625.97</v>
      </c>
      <c r="R239" s="838">
        <v>3711.39</v>
      </c>
      <c r="S239" s="838">
        <v>4587.09</v>
      </c>
      <c r="T239" s="838">
        <v>3878.24</v>
      </c>
      <c r="U239" s="838">
        <v>3326.62</v>
      </c>
      <c r="V239" s="838">
        <v>4180.45</v>
      </c>
      <c r="W239" s="838">
        <v>3915.5</v>
      </c>
      <c r="X239" s="838">
        <v>3995.38</v>
      </c>
      <c r="Y239" s="838">
        <v>3198</v>
      </c>
      <c r="Z239" s="838">
        <v>2387.2800000000002</v>
      </c>
      <c r="AA239" s="838">
        <v>2482.75</v>
      </c>
      <c r="AB239" s="838">
        <v>2835.81</v>
      </c>
      <c r="AC239" s="838">
        <v>3360.5</v>
      </c>
      <c r="AD239" s="838">
        <v>3747.79</v>
      </c>
      <c r="AE239" s="838">
        <v>4378.5</v>
      </c>
      <c r="AF239" s="838">
        <v>3443.74</v>
      </c>
      <c r="AG239" s="838">
        <v>3038.69</v>
      </c>
      <c r="AH239" s="838">
        <v>3483.42</v>
      </c>
      <c r="AI239" s="838">
        <v>3820.93</v>
      </c>
      <c r="AJ239" s="838">
        <v>4087.71</v>
      </c>
      <c r="AK239" s="838"/>
      <c r="AL239" s="838"/>
      <c r="AM239" s="838"/>
      <c r="AN239" s="838"/>
      <c r="AO239" s="838"/>
      <c r="AP239" s="838"/>
      <c r="AQ239" s="838"/>
    </row>
    <row r="240" spans="2:43">
      <c r="B240" s="839" t="s">
        <v>1001</v>
      </c>
      <c r="C240" s="839">
        <v>2563</v>
      </c>
      <c r="D240" s="839">
        <v>3021</v>
      </c>
      <c r="E240" s="839">
        <v>3837</v>
      </c>
      <c r="F240" s="839">
        <v>3758</v>
      </c>
      <c r="G240" s="839">
        <v>4468</v>
      </c>
      <c r="H240" s="839">
        <v>3997</v>
      </c>
      <c r="I240" s="839">
        <v>3560</v>
      </c>
      <c r="J240" s="839">
        <v>4107</v>
      </c>
      <c r="K240" s="839">
        <v>4101</v>
      </c>
      <c r="L240" s="840">
        <v>4341.423828125</v>
      </c>
      <c r="M240" s="840">
        <v>3102.01611328125</v>
      </c>
      <c r="N240" s="840">
        <v>2567.8200000000002</v>
      </c>
      <c r="O240" s="840">
        <v>2880.77</v>
      </c>
      <c r="P240" s="840">
        <v>2846.18</v>
      </c>
      <c r="Q240" s="840">
        <v>3714.64</v>
      </c>
      <c r="R240" s="840">
        <v>3661.97</v>
      </c>
      <c r="S240" s="840">
        <v>4289.47</v>
      </c>
      <c r="T240" s="840">
        <v>3752.38</v>
      </c>
      <c r="U240" s="840">
        <v>3231.06</v>
      </c>
      <c r="V240" s="840">
        <v>4053.09</v>
      </c>
      <c r="W240" s="840">
        <v>3834.05</v>
      </c>
      <c r="X240" s="840">
        <v>4464.3500000000004</v>
      </c>
      <c r="Y240" s="840">
        <v>3116.19</v>
      </c>
      <c r="Z240" s="840">
        <v>2306.5</v>
      </c>
      <c r="AA240" s="840">
        <v>2807.07</v>
      </c>
      <c r="AB240" s="840">
        <v>3312.51</v>
      </c>
      <c r="AC240" s="840">
        <v>3885.15</v>
      </c>
      <c r="AD240" s="840">
        <v>4027.97</v>
      </c>
      <c r="AE240" s="840">
        <v>4596.29</v>
      </c>
      <c r="AF240" s="840">
        <v>3761.15</v>
      </c>
      <c r="AG240" s="840">
        <v>3384.06</v>
      </c>
      <c r="AH240" s="840">
        <v>4078.72</v>
      </c>
      <c r="AI240" s="840">
        <v>4066.02</v>
      </c>
      <c r="AJ240" s="840">
        <v>4569.1499999999996</v>
      </c>
      <c r="AK240" s="840"/>
      <c r="AL240" s="840"/>
      <c r="AM240" s="840"/>
      <c r="AN240" s="840"/>
      <c r="AO240" s="840"/>
      <c r="AP240" s="840"/>
      <c r="AQ240" s="840"/>
    </row>
    <row r="241" spans="1:43" s="473" customFormat="1">
      <c r="B241" s="841" t="s">
        <v>1002</v>
      </c>
      <c r="C241" s="841">
        <v>67415</v>
      </c>
      <c r="D241" s="841">
        <v>66056</v>
      </c>
      <c r="E241" s="841">
        <v>79632</v>
      </c>
      <c r="F241" s="841">
        <v>73150</v>
      </c>
      <c r="G241" s="841">
        <v>77485</v>
      </c>
      <c r="H241" s="841">
        <v>65926</v>
      </c>
      <c r="I241" s="841">
        <v>75629</v>
      </c>
      <c r="J241" s="841">
        <v>83256</v>
      </c>
      <c r="K241" s="841">
        <v>77640</v>
      </c>
      <c r="L241" s="842">
        <v>82713.6015625</v>
      </c>
      <c r="M241" s="842">
        <v>67924.9921875</v>
      </c>
      <c r="N241" s="842">
        <v>56032.26</v>
      </c>
      <c r="O241" s="842">
        <v>69399.55</v>
      </c>
      <c r="P241" s="842">
        <v>69150.720000000001</v>
      </c>
      <c r="Q241" s="842">
        <v>78668.800000000003</v>
      </c>
      <c r="R241" s="842">
        <v>71229.440000000002</v>
      </c>
      <c r="S241" s="842">
        <v>81840.13</v>
      </c>
      <c r="T241" s="842">
        <v>74998.78</v>
      </c>
      <c r="U241" s="842">
        <v>77108.23</v>
      </c>
      <c r="V241" s="842">
        <v>76828.67</v>
      </c>
      <c r="W241" s="842">
        <v>72892.41</v>
      </c>
      <c r="X241" s="842">
        <v>71126.02</v>
      </c>
      <c r="Y241" s="842">
        <v>64583.68</v>
      </c>
      <c r="Z241" s="842">
        <v>54615.040000000001</v>
      </c>
      <c r="AA241" s="842">
        <v>62146.559999999998</v>
      </c>
      <c r="AB241" s="842">
        <v>62659.59</v>
      </c>
      <c r="AC241" s="842">
        <v>74797.05</v>
      </c>
      <c r="AD241" s="842">
        <v>68229.119999999995</v>
      </c>
      <c r="AE241" s="842">
        <v>69748.73</v>
      </c>
      <c r="AF241" s="842">
        <v>61980.67</v>
      </c>
      <c r="AG241" s="842">
        <v>65738.75</v>
      </c>
      <c r="AH241" s="842">
        <v>74898.429999999993</v>
      </c>
      <c r="AI241" s="842">
        <v>71747.59</v>
      </c>
      <c r="AJ241" s="842">
        <v>72336.38</v>
      </c>
      <c r="AK241" s="842"/>
      <c r="AL241" s="842"/>
      <c r="AM241" s="842"/>
      <c r="AN241" s="842"/>
      <c r="AO241" s="842"/>
      <c r="AP241" s="842"/>
      <c r="AQ241" s="842"/>
    </row>
    <row r="242" spans="1:43" s="1084" customFormat="1">
      <c r="B242" s="1086" t="s">
        <v>1003</v>
      </c>
      <c r="C242" s="1086">
        <v>2713</v>
      </c>
      <c r="D242" s="1086">
        <v>4225</v>
      </c>
      <c r="E242" s="1086">
        <v>5191</v>
      </c>
      <c r="F242" s="1086">
        <v>4062</v>
      </c>
      <c r="G242" s="1086">
        <v>3783</v>
      </c>
      <c r="H242" s="1086">
        <v>3408</v>
      </c>
      <c r="I242" s="1086">
        <v>4212</v>
      </c>
      <c r="J242" s="1086">
        <v>3886</v>
      </c>
      <c r="K242" s="1086">
        <v>3856</v>
      </c>
      <c r="L242" s="1087">
        <v>4271</v>
      </c>
      <c r="M242" s="1087">
        <v>3844.706298828125</v>
      </c>
      <c r="N242" s="1087">
        <v>3265.16</v>
      </c>
      <c r="O242" s="1087">
        <v>4316.4799999999996</v>
      </c>
      <c r="P242" s="1087">
        <v>3795.88</v>
      </c>
      <c r="Q242" s="1087">
        <v>4381.91</v>
      </c>
      <c r="R242" s="1087">
        <v>3839.9</v>
      </c>
      <c r="S242" s="1087">
        <v>4326.71</v>
      </c>
      <c r="T242" s="1087">
        <v>3678.7</v>
      </c>
      <c r="U242" s="1087">
        <v>3805.68</v>
      </c>
      <c r="V242" s="1087">
        <v>4240.08</v>
      </c>
      <c r="W242" s="1087">
        <v>4179.8100000000004</v>
      </c>
      <c r="X242" s="1087">
        <v>4345.43</v>
      </c>
      <c r="Y242" s="1087">
        <v>4144.72</v>
      </c>
      <c r="Z242" s="1087">
        <v>3819.37</v>
      </c>
      <c r="AA242" s="1087">
        <v>4203.76</v>
      </c>
      <c r="AB242" s="1087">
        <v>4294.92</v>
      </c>
      <c r="AC242" s="1087">
        <v>4144.8</v>
      </c>
      <c r="AD242" s="1087">
        <v>3923.22</v>
      </c>
      <c r="AE242" s="1087">
        <v>3953.75</v>
      </c>
      <c r="AF242" s="1087">
        <v>3346.78</v>
      </c>
      <c r="AG242" s="1087">
        <v>3318.23</v>
      </c>
      <c r="AH242" s="1087">
        <v>3458.13</v>
      </c>
      <c r="AI242" s="1087">
        <v>3366.78</v>
      </c>
      <c r="AJ242" s="1087">
        <v>3729.89</v>
      </c>
      <c r="AK242" s="1087"/>
      <c r="AL242" s="1087"/>
      <c r="AM242" s="1087"/>
      <c r="AN242" s="1087"/>
      <c r="AO242" s="1087"/>
      <c r="AP242" s="1087"/>
      <c r="AQ242" s="1087"/>
    </row>
    <row r="243" spans="1:43" s="1084" customFormat="1" ht="39.6">
      <c r="A243" s="1085" t="s">
        <v>1004</v>
      </c>
      <c r="B243" s="1088" t="s">
        <v>1005</v>
      </c>
      <c r="C243" s="1088">
        <v>41</v>
      </c>
      <c r="D243" s="1088">
        <v>228</v>
      </c>
      <c r="E243" s="1088">
        <v>1220</v>
      </c>
      <c r="F243" s="1088">
        <v>1015</v>
      </c>
      <c r="G243" s="1088">
        <v>1116</v>
      </c>
      <c r="H243" s="1088">
        <v>310</v>
      </c>
      <c r="I243" s="1088">
        <v>650</v>
      </c>
      <c r="J243" s="1088">
        <v>548</v>
      </c>
      <c r="K243" s="1088">
        <v>687</v>
      </c>
      <c r="L243" s="1089">
        <v>675</v>
      </c>
      <c r="M243" s="1089">
        <v>202.12678527832031</v>
      </c>
      <c r="N243" s="1089">
        <v>213.72</v>
      </c>
      <c r="O243" s="1089">
        <v>210.83</v>
      </c>
      <c r="P243" s="1089">
        <v>272.42</v>
      </c>
      <c r="Q243" s="1089">
        <v>555.72</v>
      </c>
      <c r="R243" s="1089">
        <v>550.62</v>
      </c>
      <c r="S243" s="1089">
        <v>793.13</v>
      </c>
      <c r="T243" s="1089">
        <v>327.82</v>
      </c>
      <c r="U243" s="1089">
        <v>467.99</v>
      </c>
      <c r="V243" s="1089">
        <v>563.44000000000005</v>
      </c>
      <c r="W243" s="1089">
        <v>711.96</v>
      </c>
      <c r="X243" s="1089">
        <v>620.26</v>
      </c>
      <c r="Y243" s="1089">
        <v>272.69</v>
      </c>
      <c r="Z243" s="1089">
        <v>235.52</v>
      </c>
      <c r="AA243" s="1089">
        <v>260.89999999999998</v>
      </c>
      <c r="AB243" s="1089">
        <v>250.33</v>
      </c>
      <c r="AC243" s="1089">
        <v>990.63</v>
      </c>
      <c r="AD243" s="1089">
        <v>652.41</v>
      </c>
      <c r="AE243" s="1089">
        <v>810.45</v>
      </c>
      <c r="AF243" s="1089">
        <v>199.48</v>
      </c>
      <c r="AG243" s="1089">
        <v>232.53</v>
      </c>
      <c r="AH243" s="1089">
        <v>967.61</v>
      </c>
      <c r="AI243" s="1089">
        <v>818.14</v>
      </c>
      <c r="AJ243" s="1089">
        <v>559.73</v>
      </c>
      <c r="AK243" s="1089"/>
      <c r="AL243" s="1089"/>
      <c r="AM243" s="1089"/>
      <c r="AN243" s="1089"/>
      <c r="AO243" s="1089"/>
      <c r="AP243" s="1089"/>
      <c r="AQ243" s="1089"/>
    </row>
    <row r="244" spans="1:43" s="1084" customFormat="1">
      <c r="B244" s="1086" t="s">
        <v>1006</v>
      </c>
      <c r="C244" s="1086">
        <v>1743</v>
      </c>
      <c r="D244" s="1086">
        <v>1842</v>
      </c>
      <c r="E244" s="1086">
        <v>2116</v>
      </c>
      <c r="F244" s="1086">
        <v>1928</v>
      </c>
      <c r="G244" s="1086">
        <v>2067</v>
      </c>
      <c r="H244" s="1086">
        <v>1825</v>
      </c>
      <c r="I244" s="1086">
        <v>2111</v>
      </c>
      <c r="J244" s="1086">
        <v>2108</v>
      </c>
      <c r="K244" s="1086">
        <v>2160</v>
      </c>
      <c r="L244" s="1087">
        <v>2473</v>
      </c>
      <c r="M244" s="1087">
        <v>2054.921875</v>
      </c>
      <c r="N244" s="1087">
        <v>1755.49</v>
      </c>
      <c r="O244" s="1087">
        <v>1810.44</v>
      </c>
      <c r="P244" s="1087">
        <v>1897.98</v>
      </c>
      <c r="Q244" s="1087">
        <v>2285.46</v>
      </c>
      <c r="R244" s="1087">
        <v>1935</v>
      </c>
      <c r="S244" s="1087">
        <v>2228.31</v>
      </c>
      <c r="T244" s="1087">
        <v>1987.76</v>
      </c>
      <c r="U244" s="1087">
        <v>1973.9</v>
      </c>
      <c r="V244" s="1087">
        <v>2081.67</v>
      </c>
      <c r="W244" s="1087">
        <v>2022.47</v>
      </c>
      <c r="X244" s="1087">
        <v>2098.85</v>
      </c>
      <c r="Y244" s="1087">
        <v>1981.07</v>
      </c>
      <c r="Z244" s="1087">
        <v>1592.05</v>
      </c>
      <c r="AA244" s="1087">
        <v>1838.91</v>
      </c>
      <c r="AB244" s="1087">
        <v>1916.41</v>
      </c>
      <c r="AC244" s="1087">
        <v>2110.3000000000002</v>
      </c>
      <c r="AD244" s="1087">
        <v>2064.62</v>
      </c>
      <c r="AE244" s="1087">
        <v>2330.39</v>
      </c>
      <c r="AF244" s="1087">
        <v>1984.57</v>
      </c>
      <c r="AG244" s="1087">
        <v>2110.41</v>
      </c>
      <c r="AH244" s="1087">
        <v>2096.7800000000002</v>
      </c>
      <c r="AI244" s="1087">
        <v>1874.44</v>
      </c>
      <c r="AJ244" s="1087">
        <v>2055.3200000000002</v>
      </c>
      <c r="AK244" s="1087"/>
      <c r="AL244" s="1087"/>
      <c r="AM244" s="1087"/>
      <c r="AN244" s="1087"/>
      <c r="AO244" s="1087"/>
      <c r="AP244" s="1087"/>
      <c r="AQ244" s="1087"/>
    </row>
    <row r="245" spans="1:43" s="1084" customFormat="1" ht="13.9" customHeight="1">
      <c r="B245" s="1088" t="s">
        <v>1007</v>
      </c>
      <c r="C245" s="1088">
        <v>526</v>
      </c>
      <c r="D245" s="1088">
        <v>893</v>
      </c>
      <c r="E245" s="1088">
        <v>1038</v>
      </c>
      <c r="F245" s="1088">
        <v>1168</v>
      </c>
      <c r="G245" s="1088">
        <v>1068</v>
      </c>
      <c r="H245" s="1088">
        <v>713</v>
      </c>
      <c r="I245" s="1088">
        <v>1254</v>
      </c>
      <c r="J245" s="1088">
        <v>1152</v>
      </c>
      <c r="K245" s="1088">
        <v>1023</v>
      </c>
      <c r="L245" s="1089">
        <v>126.42234039306641</v>
      </c>
      <c r="M245" s="1089">
        <v>134.23281860351563</v>
      </c>
      <c r="N245" s="1089">
        <v>148.05000000000001</v>
      </c>
      <c r="O245" s="1089">
        <v>151.66999999999999</v>
      </c>
      <c r="P245" s="1089">
        <v>142.69999999999999</v>
      </c>
      <c r="Q245" s="1089">
        <v>134.30000000000001</v>
      </c>
      <c r="R245" s="1089">
        <v>105.9</v>
      </c>
      <c r="S245" s="1089">
        <v>106.97</v>
      </c>
      <c r="T245" s="1089">
        <v>101.7</v>
      </c>
      <c r="U245" s="1089">
        <v>109.58</v>
      </c>
      <c r="V245" s="1089">
        <v>103.91</v>
      </c>
      <c r="W245" s="1089">
        <v>39.43</v>
      </c>
      <c r="X245" s="1089">
        <v>26.17</v>
      </c>
      <c r="Y245" s="1089">
        <v>25.28</v>
      </c>
      <c r="Z245" s="1089">
        <v>26.32</v>
      </c>
      <c r="AA245" s="1089">
        <v>26.55</v>
      </c>
      <c r="AB245" s="1089">
        <v>24.86</v>
      </c>
      <c r="AC245" s="1089">
        <v>26.19</v>
      </c>
      <c r="AD245" s="1089">
        <v>25.17</v>
      </c>
      <c r="AE245" s="1089">
        <v>15.37</v>
      </c>
      <c r="AF245" s="1089">
        <v>14.53</v>
      </c>
      <c r="AG245" s="1089">
        <v>15</v>
      </c>
      <c r="AH245" s="1089">
        <v>15.02</v>
      </c>
      <c r="AI245" s="1089">
        <v>14.88</v>
      </c>
      <c r="AJ245" s="1089">
        <v>15.72</v>
      </c>
      <c r="AK245" s="1089"/>
      <c r="AL245" s="1089"/>
      <c r="AM245" s="1089"/>
      <c r="AN245" s="1089"/>
      <c r="AO245" s="1089"/>
      <c r="AP245" s="1089"/>
      <c r="AQ245" s="1089"/>
    </row>
    <row r="246" spans="1:43">
      <c r="B246" s="839" t="s">
        <v>1008</v>
      </c>
      <c r="C246" s="839">
        <v>925</v>
      </c>
      <c r="D246" s="839">
        <v>1003</v>
      </c>
      <c r="E246" s="839">
        <v>1110</v>
      </c>
      <c r="F246" s="839">
        <v>1067</v>
      </c>
      <c r="G246" s="839">
        <v>1220</v>
      </c>
      <c r="H246" s="839">
        <v>1152</v>
      </c>
      <c r="I246" s="839">
        <v>1142</v>
      </c>
      <c r="J246" s="839">
        <v>1293</v>
      </c>
      <c r="K246" s="839">
        <v>1157</v>
      </c>
      <c r="L246" s="840">
        <v>1136.4200439453125</v>
      </c>
      <c r="M246" s="840">
        <v>1168.6800537109375</v>
      </c>
      <c r="N246" s="840">
        <v>906.78</v>
      </c>
      <c r="O246" s="840">
        <v>913.67</v>
      </c>
      <c r="P246" s="840">
        <v>1040.1199999999999</v>
      </c>
      <c r="Q246" s="840">
        <v>1230.25</v>
      </c>
      <c r="R246" s="840">
        <v>920.83</v>
      </c>
      <c r="S246" s="840">
        <v>1104.3499999999999</v>
      </c>
      <c r="T246" s="840">
        <v>1024.48</v>
      </c>
      <c r="U246" s="840">
        <v>1065.5899999999999</v>
      </c>
      <c r="V246" s="840">
        <v>1084.73</v>
      </c>
      <c r="W246" s="840">
        <v>993.9</v>
      </c>
      <c r="X246" s="840">
        <v>923.99</v>
      </c>
      <c r="Y246" s="840">
        <v>1011.98</v>
      </c>
      <c r="Z246" s="840">
        <v>822.56</v>
      </c>
      <c r="AA246" s="840">
        <v>761.43</v>
      </c>
      <c r="AB246" s="840">
        <v>925.83</v>
      </c>
      <c r="AC246" s="840">
        <v>1138.4100000000001</v>
      </c>
      <c r="AD246" s="840">
        <v>1049.58</v>
      </c>
      <c r="AE246" s="840">
        <v>1262.02</v>
      </c>
      <c r="AF246" s="840">
        <v>976.21</v>
      </c>
      <c r="AG246" s="840">
        <v>1046.92</v>
      </c>
      <c r="AH246" s="840">
        <v>1066.82</v>
      </c>
      <c r="AI246" s="840">
        <v>1063.3699999999999</v>
      </c>
      <c r="AJ246" s="840">
        <v>1124.53</v>
      </c>
      <c r="AK246" s="840"/>
      <c r="AL246" s="840"/>
      <c r="AM246" s="840"/>
      <c r="AN246" s="840"/>
      <c r="AO246" s="840"/>
      <c r="AP246" s="840"/>
      <c r="AQ246" s="840"/>
    </row>
    <row r="247" spans="1:43">
      <c r="B247" s="837" t="s">
        <v>1009</v>
      </c>
      <c r="C247" s="837">
        <v>0</v>
      </c>
      <c r="D247" s="837">
        <v>0</v>
      </c>
      <c r="E247" s="837">
        <v>0</v>
      </c>
      <c r="F247" s="837">
        <v>0</v>
      </c>
      <c r="G247" s="837">
        <v>0</v>
      </c>
      <c r="H247" s="837">
        <v>0</v>
      </c>
      <c r="I247" s="837">
        <v>0</v>
      </c>
      <c r="J247" s="837">
        <v>0</v>
      </c>
      <c r="K247" s="837">
        <v>0</v>
      </c>
      <c r="L247" s="838">
        <v>0</v>
      </c>
      <c r="M247" s="838">
        <v>0</v>
      </c>
      <c r="N247" s="838">
        <v>0</v>
      </c>
      <c r="O247" s="838">
        <v>0</v>
      </c>
      <c r="P247" s="838">
        <v>0</v>
      </c>
      <c r="Q247" s="838">
        <v>0</v>
      </c>
      <c r="R247" s="838">
        <v>0</v>
      </c>
      <c r="S247" s="838">
        <v>0</v>
      </c>
      <c r="T247" s="838">
        <v>0</v>
      </c>
      <c r="U247" s="838">
        <v>0</v>
      </c>
      <c r="V247" s="838">
        <v>0</v>
      </c>
      <c r="W247" s="838">
        <v>0</v>
      </c>
      <c r="X247" s="838">
        <v>0</v>
      </c>
      <c r="Y247" s="838">
        <v>0</v>
      </c>
      <c r="Z247" s="838">
        <v>0</v>
      </c>
      <c r="AA247" s="838">
        <v>0</v>
      </c>
      <c r="AB247" s="838">
        <v>0</v>
      </c>
      <c r="AC247" s="838">
        <v>0</v>
      </c>
      <c r="AD247" s="838">
        <v>0</v>
      </c>
      <c r="AE247" s="838">
        <v>0</v>
      </c>
      <c r="AF247" s="838">
        <v>0</v>
      </c>
      <c r="AG247" s="838">
        <v>0</v>
      </c>
      <c r="AH247" s="838">
        <v>0</v>
      </c>
      <c r="AI247" s="838">
        <v>0</v>
      </c>
      <c r="AJ247" s="838">
        <v>0</v>
      </c>
      <c r="AK247" s="838"/>
      <c r="AL247" s="838"/>
      <c r="AM247" s="838"/>
      <c r="AN247" s="838"/>
      <c r="AO247" s="838"/>
      <c r="AP247" s="838"/>
      <c r="AQ247" s="838"/>
    </row>
    <row r="248" spans="1:43">
      <c r="B248" s="839" t="s">
        <v>1010</v>
      </c>
      <c r="C248" s="839">
        <v>3167</v>
      </c>
      <c r="D248" s="839">
        <v>3698</v>
      </c>
      <c r="E248" s="839">
        <v>4276</v>
      </c>
      <c r="F248" s="839">
        <v>4768</v>
      </c>
      <c r="G248" s="839">
        <v>5548</v>
      </c>
      <c r="H248" s="839">
        <v>7376</v>
      </c>
      <c r="I248" s="839">
        <v>7382</v>
      </c>
      <c r="J248" s="839">
        <v>6981</v>
      </c>
      <c r="K248" s="839">
        <v>5509</v>
      </c>
      <c r="L248" s="840">
        <v>4342.27197265625</v>
      </c>
      <c r="M248" s="840">
        <v>3785.18408203125</v>
      </c>
      <c r="N248" s="840">
        <v>3841.18</v>
      </c>
      <c r="O248" s="840">
        <v>4049.95</v>
      </c>
      <c r="P248" s="840">
        <v>3828.83</v>
      </c>
      <c r="Q248" s="840">
        <v>4289.5</v>
      </c>
      <c r="R248" s="840">
        <v>4555.3900000000003</v>
      </c>
      <c r="S248" s="840">
        <v>4871.2</v>
      </c>
      <c r="T248" s="840">
        <v>5876.06</v>
      </c>
      <c r="U248" s="840">
        <v>6939.33</v>
      </c>
      <c r="V248" s="840">
        <v>7294.91</v>
      </c>
      <c r="W248" s="840">
        <v>6466.72</v>
      </c>
      <c r="X248" s="840">
        <v>6163.23</v>
      </c>
      <c r="Y248" s="840">
        <v>5134.5</v>
      </c>
      <c r="Z248" s="840">
        <v>4383.58</v>
      </c>
      <c r="AA248" s="840">
        <v>4174.05</v>
      </c>
      <c r="AB248" s="840">
        <v>3730.18</v>
      </c>
      <c r="AC248" s="840">
        <v>4863.55</v>
      </c>
      <c r="AD248" s="840">
        <v>4008.67</v>
      </c>
      <c r="AE248" s="840">
        <v>4185.66</v>
      </c>
      <c r="AF248" s="840">
        <v>4931.46</v>
      </c>
      <c r="AG248" s="840">
        <v>6629.57</v>
      </c>
      <c r="AH248" s="840">
        <v>6963.49</v>
      </c>
      <c r="AI248" s="840">
        <v>6923.74</v>
      </c>
      <c r="AJ248" s="840">
        <v>5305.12</v>
      </c>
      <c r="AK248" s="840"/>
      <c r="AL248" s="840"/>
      <c r="AM248" s="840"/>
      <c r="AN248" s="840"/>
      <c r="AO248" s="840"/>
      <c r="AP248" s="840"/>
      <c r="AQ248" s="840"/>
    </row>
    <row r="249" spans="1:43">
      <c r="B249" s="837" t="s">
        <v>1011</v>
      </c>
      <c r="C249" s="837">
        <v>620</v>
      </c>
      <c r="D249" s="837">
        <v>581</v>
      </c>
      <c r="E249" s="837">
        <v>588</v>
      </c>
      <c r="F249" s="837">
        <v>442</v>
      </c>
      <c r="G249" s="837">
        <v>440</v>
      </c>
      <c r="H249" s="837">
        <v>329</v>
      </c>
      <c r="I249" s="837">
        <v>320</v>
      </c>
      <c r="J249" s="837">
        <v>402</v>
      </c>
      <c r="K249" s="837">
        <v>377</v>
      </c>
      <c r="L249" s="838">
        <v>428.4639892578125</v>
      </c>
      <c r="M249" s="838">
        <v>451.72799682617188</v>
      </c>
      <c r="N249" s="838">
        <v>277.04000000000002</v>
      </c>
      <c r="O249" s="838">
        <v>639.54999999999995</v>
      </c>
      <c r="P249" s="838">
        <v>682.67</v>
      </c>
      <c r="Q249" s="838">
        <v>565.14</v>
      </c>
      <c r="R249" s="838">
        <v>407.14</v>
      </c>
      <c r="S249" s="838">
        <v>432.27</v>
      </c>
      <c r="T249" s="838">
        <v>340.5</v>
      </c>
      <c r="U249" s="838">
        <v>360.58</v>
      </c>
      <c r="V249" s="838">
        <v>416.62</v>
      </c>
      <c r="W249" s="838">
        <v>438.06</v>
      </c>
      <c r="X249" s="838">
        <v>471.55</v>
      </c>
      <c r="Y249" s="838">
        <v>442.66</v>
      </c>
      <c r="Z249" s="838">
        <v>415.81</v>
      </c>
      <c r="AA249" s="838">
        <v>580.27</v>
      </c>
      <c r="AB249" s="838">
        <v>498.75</v>
      </c>
      <c r="AC249" s="838">
        <v>454.56</v>
      </c>
      <c r="AD249" s="838">
        <v>407.07</v>
      </c>
      <c r="AE249" s="838">
        <v>356.42</v>
      </c>
      <c r="AF249" s="838">
        <v>344.22</v>
      </c>
      <c r="AG249" s="838">
        <v>382.61</v>
      </c>
      <c r="AH249" s="838">
        <v>422.8</v>
      </c>
      <c r="AI249" s="838">
        <v>408.06</v>
      </c>
      <c r="AJ249" s="838">
        <v>443.39</v>
      </c>
      <c r="AK249" s="838"/>
      <c r="AL249" s="838"/>
      <c r="AM249" s="838"/>
      <c r="AN249" s="838"/>
      <c r="AO249" s="838"/>
      <c r="AP249" s="838"/>
      <c r="AQ249" s="838"/>
    </row>
    <row r="250" spans="1:43">
      <c r="B250" s="839" t="s">
        <v>1012</v>
      </c>
      <c r="C250" s="839">
        <v>5258</v>
      </c>
      <c r="D250" s="839">
        <v>5798</v>
      </c>
      <c r="E250" s="839">
        <v>6035</v>
      </c>
      <c r="F250" s="839">
        <v>5846</v>
      </c>
      <c r="G250" s="839">
        <v>5980</v>
      </c>
      <c r="H250" s="839">
        <v>5766</v>
      </c>
      <c r="I250" s="839">
        <v>11035</v>
      </c>
      <c r="J250" s="839">
        <v>12476</v>
      </c>
      <c r="K250" s="839">
        <v>8941</v>
      </c>
      <c r="L250" s="840">
        <v>10228.736328125</v>
      </c>
      <c r="M250" s="840">
        <v>10048.6083984375</v>
      </c>
      <c r="N250" s="840">
        <v>7347.2</v>
      </c>
      <c r="O250" s="840">
        <v>7379.52</v>
      </c>
      <c r="P250" s="840">
        <v>7101.79</v>
      </c>
      <c r="Q250" s="840">
        <v>11537.54</v>
      </c>
      <c r="R250" s="840">
        <v>11455.78</v>
      </c>
      <c r="S250" s="840">
        <v>13548.61</v>
      </c>
      <c r="T250" s="840">
        <v>9761.3799999999992</v>
      </c>
      <c r="U250" s="840">
        <v>11035.07</v>
      </c>
      <c r="V250" s="840">
        <v>5358.75</v>
      </c>
      <c r="W250" s="840">
        <v>4647.71</v>
      </c>
      <c r="X250" s="840">
        <v>4881.4399999999996</v>
      </c>
      <c r="Y250" s="840">
        <v>5065.79</v>
      </c>
      <c r="Z250" s="840">
        <v>4253.95</v>
      </c>
      <c r="AA250" s="840">
        <v>5249.73</v>
      </c>
      <c r="AB250" s="840">
        <v>7137.63</v>
      </c>
      <c r="AC250" s="840">
        <v>12388.7</v>
      </c>
      <c r="AD250" s="840">
        <v>8520.9</v>
      </c>
      <c r="AE250" s="840">
        <v>5320.93</v>
      </c>
      <c r="AF250" s="840">
        <v>4630.08</v>
      </c>
      <c r="AG250" s="840">
        <v>5206.78</v>
      </c>
      <c r="AH250" s="840">
        <v>8506.94</v>
      </c>
      <c r="AI250" s="840">
        <v>9571.68</v>
      </c>
      <c r="AJ250" s="840">
        <v>9103.01</v>
      </c>
      <c r="AK250" s="840"/>
      <c r="AL250" s="840"/>
      <c r="AM250" s="840"/>
      <c r="AN250" s="840"/>
      <c r="AO250" s="840"/>
      <c r="AP250" s="840"/>
      <c r="AQ250" s="840"/>
    </row>
    <row r="251" spans="1:43">
      <c r="B251" s="837" t="s">
        <v>1013</v>
      </c>
      <c r="C251" s="837">
        <v>13852</v>
      </c>
      <c r="D251" s="837">
        <v>14319</v>
      </c>
      <c r="E251" s="837">
        <v>17199</v>
      </c>
      <c r="F251" s="837">
        <v>16766</v>
      </c>
      <c r="G251" s="837">
        <v>18651</v>
      </c>
      <c r="H251" s="837">
        <v>16847</v>
      </c>
      <c r="I251" s="837">
        <v>16093</v>
      </c>
      <c r="J251" s="837">
        <v>17956</v>
      </c>
      <c r="K251" s="837">
        <v>17159</v>
      </c>
      <c r="L251" s="838">
        <v>18266.048828125</v>
      </c>
      <c r="M251" s="838">
        <v>14062.591796875</v>
      </c>
      <c r="N251" s="838">
        <v>12210.75</v>
      </c>
      <c r="O251" s="838">
        <v>13677.76</v>
      </c>
      <c r="P251" s="838">
        <v>13364.29</v>
      </c>
      <c r="Q251" s="838">
        <v>16423.169999999998</v>
      </c>
      <c r="R251" s="838">
        <v>15619.46</v>
      </c>
      <c r="S251" s="838">
        <v>17114.689999999999</v>
      </c>
      <c r="T251" s="838">
        <v>15177.09</v>
      </c>
      <c r="U251" s="838">
        <v>14896</v>
      </c>
      <c r="V251" s="838">
        <v>17621.25</v>
      </c>
      <c r="W251" s="838">
        <v>17310.849999999999</v>
      </c>
      <c r="X251" s="838">
        <v>17529.919999999998</v>
      </c>
      <c r="Y251" s="838">
        <v>13859.84</v>
      </c>
      <c r="Z251" s="838">
        <v>10859.46</v>
      </c>
      <c r="AA251" s="838">
        <v>12389.12</v>
      </c>
      <c r="AB251" s="838">
        <v>14093.25</v>
      </c>
      <c r="AC251" s="838">
        <v>16372.1</v>
      </c>
      <c r="AD251" s="838">
        <v>16552.77</v>
      </c>
      <c r="AE251" s="838">
        <v>18155.330000000002</v>
      </c>
      <c r="AF251" s="838">
        <v>15521.22</v>
      </c>
      <c r="AG251" s="838">
        <v>14596.16</v>
      </c>
      <c r="AH251" s="838">
        <v>17256.38</v>
      </c>
      <c r="AI251" s="838">
        <v>16758.59</v>
      </c>
      <c r="AJ251" s="838">
        <v>18341.57</v>
      </c>
      <c r="AK251" s="838"/>
      <c r="AL251" s="838"/>
      <c r="AM251" s="838"/>
      <c r="AN251" s="838"/>
      <c r="AO251" s="838"/>
      <c r="AP251" s="838"/>
      <c r="AQ251" s="838"/>
    </row>
    <row r="252" spans="1:43">
      <c r="B252" s="839" t="s">
        <v>1014</v>
      </c>
      <c r="C252" s="839">
        <v>17489</v>
      </c>
      <c r="D252" s="839">
        <v>16631</v>
      </c>
      <c r="E252" s="839">
        <v>20693</v>
      </c>
      <c r="F252" s="839">
        <v>18569</v>
      </c>
      <c r="G252" s="839">
        <v>21369</v>
      </c>
      <c r="H252" s="839">
        <v>18899</v>
      </c>
      <c r="I252" s="839">
        <v>19160</v>
      </c>
      <c r="J252" s="839">
        <v>20604</v>
      </c>
      <c r="K252" s="839">
        <v>19705</v>
      </c>
      <c r="L252" s="840">
        <v>20203.455078125</v>
      </c>
      <c r="M252" s="840">
        <v>17351.744140625</v>
      </c>
      <c r="N252" s="840">
        <v>14004.99</v>
      </c>
      <c r="O252" s="840">
        <v>16792.64</v>
      </c>
      <c r="P252" s="840">
        <v>16205.57</v>
      </c>
      <c r="Q252" s="840">
        <v>18834.3</v>
      </c>
      <c r="R252" s="840">
        <v>17156.22</v>
      </c>
      <c r="S252" s="840">
        <v>19463.36</v>
      </c>
      <c r="T252" s="840">
        <v>17452.86</v>
      </c>
      <c r="U252" s="840">
        <v>17966.080000000002</v>
      </c>
      <c r="V252" s="840">
        <v>19182.21</v>
      </c>
      <c r="W252" s="840">
        <v>18257.28</v>
      </c>
      <c r="X252" s="840">
        <v>18917.439999999999</v>
      </c>
      <c r="Y252" s="840">
        <v>16465.47</v>
      </c>
      <c r="Z252" s="840">
        <v>13903.36</v>
      </c>
      <c r="AA252" s="840">
        <v>15801.73</v>
      </c>
      <c r="AB252" s="840">
        <v>15863.3</v>
      </c>
      <c r="AC252" s="840">
        <v>18153.66</v>
      </c>
      <c r="AD252" s="840">
        <v>17563.52</v>
      </c>
      <c r="AE252" s="840">
        <v>18863.23</v>
      </c>
      <c r="AF252" s="840">
        <v>15741.82</v>
      </c>
      <c r="AG252" s="840">
        <v>16093.12</v>
      </c>
      <c r="AH252" s="840">
        <v>17635.900000000001</v>
      </c>
      <c r="AI252" s="840">
        <v>16793.73</v>
      </c>
      <c r="AJ252" s="840">
        <v>17984.509999999998</v>
      </c>
      <c r="AK252" s="840"/>
      <c r="AL252" s="840"/>
      <c r="AM252" s="840"/>
      <c r="AN252" s="840"/>
      <c r="AO252" s="840"/>
      <c r="AP252" s="840"/>
      <c r="AQ252" s="840"/>
    </row>
    <row r="253" spans="1:43">
      <c r="B253" s="837" t="s">
        <v>1015</v>
      </c>
      <c r="C253" s="837">
        <v>7669</v>
      </c>
      <c r="D253" s="837">
        <v>6827</v>
      </c>
      <c r="E253" s="837">
        <v>7667</v>
      </c>
      <c r="F253" s="837">
        <v>7691</v>
      </c>
      <c r="G253" s="837">
        <v>7843</v>
      </c>
      <c r="H253" s="837">
        <v>7604</v>
      </c>
      <c r="I253" s="837">
        <v>7542</v>
      </c>
      <c r="J253" s="837">
        <v>7571</v>
      </c>
      <c r="K253" s="837">
        <v>7171</v>
      </c>
      <c r="L253" s="838">
        <v>7159.80810546875</v>
      </c>
      <c r="M253" s="838">
        <v>6457.248046875</v>
      </c>
      <c r="N253" s="838">
        <v>6068.96</v>
      </c>
      <c r="O253" s="838">
        <v>6016.32</v>
      </c>
      <c r="P253" s="838">
        <v>5805.54</v>
      </c>
      <c r="Q253" s="838">
        <v>6204.32</v>
      </c>
      <c r="R253" s="838">
        <v>5893.92</v>
      </c>
      <c r="S253" s="838">
        <v>7878.85</v>
      </c>
      <c r="T253" s="838">
        <v>7695.71</v>
      </c>
      <c r="U253" s="838">
        <v>7806.69</v>
      </c>
      <c r="V253" s="838">
        <v>7507.36</v>
      </c>
      <c r="W253" s="838">
        <v>7101.38</v>
      </c>
      <c r="X253" s="838">
        <v>7234.62</v>
      </c>
      <c r="Y253" s="838">
        <v>7162.18</v>
      </c>
      <c r="Z253" s="838">
        <v>6868.64</v>
      </c>
      <c r="AA253" s="838">
        <v>6870.56</v>
      </c>
      <c r="AB253" s="838">
        <v>6354.18</v>
      </c>
      <c r="AC253" s="838">
        <v>6726.66</v>
      </c>
      <c r="AD253" s="838">
        <v>6389.34</v>
      </c>
      <c r="AE253" s="838">
        <v>6524.54</v>
      </c>
      <c r="AF253" s="838">
        <v>5961.18</v>
      </c>
      <c r="AG253" s="838">
        <v>6178.24</v>
      </c>
      <c r="AH253" s="838">
        <v>6606.88</v>
      </c>
      <c r="AI253" s="838">
        <v>6571.2</v>
      </c>
      <c r="AJ253" s="838">
        <v>6131.97</v>
      </c>
      <c r="AK253" s="838"/>
      <c r="AL253" s="838"/>
      <c r="AM253" s="838"/>
      <c r="AN253" s="838"/>
      <c r="AO253" s="838"/>
      <c r="AP253" s="838"/>
      <c r="AQ253" s="838"/>
    </row>
    <row r="254" spans="1:43" s="473" customFormat="1">
      <c r="B254" s="843" t="s">
        <v>1016</v>
      </c>
      <c r="C254" s="843">
        <v>42196</v>
      </c>
      <c r="D254" s="843">
        <v>45182</v>
      </c>
      <c r="E254" s="843">
        <v>63029</v>
      </c>
      <c r="F254" s="843">
        <v>57916</v>
      </c>
      <c r="G254" s="843">
        <v>71804</v>
      </c>
      <c r="H254" s="843">
        <v>66601</v>
      </c>
      <c r="I254" s="843">
        <v>70282</v>
      </c>
      <c r="J254" s="843">
        <v>74224</v>
      </c>
      <c r="K254" s="843">
        <v>69644</v>
      </c>
      <c r="L254" s="844">
        <v>66495.6171875</v>
      </c>
      <c r="M254" s="844">
        <v>55495.6796875</v>
      </c>
      <c r="N254" s="844">
        <v>45352.19</v>
      </c>
      <c r="O254" s="844">
        <v>44661.5</v>
      </c>
      <c r="P254" s="844">
        <v>47564.800000000003</v>
      </c>
      <c r="Q254" s="844">
        <v>66122.490000000005</v>
      </c>
      <c r="R254" s="844">
        <v>58931.71</v>
      </c>
      <c r="S254" s="844">
        <v>71376.13</v>
      </c>
      <c r="T254" s="844">
        <v>66795.77</v>
      </c>
      <c r="U254" s="844">
        <v>64429.05</v>
      </c>
      <c r="V254" s="844">
        <v>72911.62</v>
      </c>
      <c r="W254" s="844">
        <v>68458.75</v>
      </c>
      <c r="X254" s="844">
        <v>70875.13</v>
      </c>
      <c r="Y254" s="844">
        <v>58141.18</v>
      </c>
      <c r="Z254" s="844">
        <v>47395.59</v>
      </c>
      <c r="AA254" s="844">
        <v>47764.22</v>
      </c>
      <c r="AB254" s="844">
        <v>54753.02</v>
      </c>
      <c r="AC254" s="844">
        <v>65436.41</v>
      </c>
      <c r="AD254" s="844">
        <v>62444.29</v>
      </c>
      <c r="AE254" s="844">
        <v>74567.679999999993</v>
      </c>
      <c r="AF254" s="844">
        <v>65186.559999999998</v>
      </c>
      <c r="AG254" s="844">
        <v>66982.399999999994</v>
      </c>
      <c r="AH254" s="844">
        <v>70731.009999999995</v>
      </c>
      <c r="AI254" s="844">
        <v>63757.57</v>
      </c>
      <c r="AJ254" s="844">
        <v>70908.929999999993</v>
      </c>
      <c r="AK254" s="844"/>
      <c r="AL254" s="844"/>
      <c r="AM254" s="844"/>
      <c r="AN254" s="844"/>
      <c r="AO254" s="844"/>
      <c r="AP254" s="844"/>
      <c r="AQ254" s="844"/>
    </row>
    <row r="255" spans="1:43">
      <c r="B255" s="837" t="s">
        <v>1017</v>
      </c>
      <c r="C255" s="837">
        <v>8359</v>
      </c>
      <c r="D255" s="837">
        <v>8545</v>
      </c>
      <c r="E255" s="837">
        <v>11000</v>
      </c>
      <c r="F255" s="837">
        <v>10113</v>
      </c>
      <c r="G255" s="837">
        <v>13919</v>
      </c>
      <c r="H255" s="837">
        <v>14447</v>
      </c>
      <c r="I255" s="837">
        <v>13287</v>
      </c>
      <c r="J255" s="837">
        <v>14562</v>
      </c>
      <c r="K255" s="837">
        <v>14071</v>
      </c>
      <c r="L255" s="838">
        <v>14336.767578125</v>
      </c>
      <c r="M255" s="838">
        <v>11752</v>
      </c>
      <c r="N255" s="838">
        <v>7411.01</v>
      </c>
      <c r="O255" s="838">
        <v>7289.41</v>
      </c>
      <c r="P255" s="838">
        <v>8286.7199999999993</v>
      </c>
      <c r="Q255" s="838">
        <v>13136</v>
      </c>
      <c r="R255" s="838">
        <v>11275.84</v>
      </c>
      <c r="S255" s="838">
        <v>14034.24</v>
      </c>
      <c r="T255" s="838">
        <v>13642.24</v>
      </c>
      <c r="U255" s="838">
        <v>12685.7</v>
      </c>
      <c r="V255" s="838">
        <v>14319.94</v>
      </c>
      <c r="W255" s="838">
        <v>14025.54</v>
      </c>
      <c r="X255" s="838">
        <v>15176.77</v>
      </c>
      <c r="Y255" s="838">
        <v>12795.07</v>
      </c>
      <c r="Z255" s="838">
        <v>12192.58</v>
      </c>
      <c r="AA255" s="838">
        <v>11862.78</v>
      </c>
      <c r="AB255" s="838">
        <v>14886.66</v>
      </c>
      <c r="AC255" s="838">
        <v>15977.54</v>
      </c>
      <c r="AD255" s="838">
        <v>14687.62</v>
      </c>
      <c r="AE255" s="838">
        <v>17745.150000000001</v>
      </c>
      <c r="AF255" s="838">
        <v>14918.91</v>
      </c>
      <c r="AG255" s="838">
        <v>15665.41</v>
      </c>
      <c r="AH255" s="838">
        <v>16211.65</v>
      </c>
      <c r="AI255" s="838">
        <v>13410.5</v>
      </c>
      <c r="AJ255" s="838">
        <v>15365.18</v>
      </c>
      <c r="AK255" s="838"/>
      <c r="AL255" s="838"/>
      <c r="AM255" s="838"/>
      <c r="AN255" s="838"/>
      <c r="AO255" s="838"/>
      <c r="AP255" s="838"/>
      <c r="AQ255" s="838"/>
    </row>
    <row r="256" spans="1:43">
      <c r="B256" s="839" t="s">
        <v>1018</v>
      </c>
      <c r="C256" s="839">
        <v>8373</v>
      </c>
      <c r="D256" s="839">
        <v>8558</v>
      </c>
      <c r="E256" s="839">
        <v>11020</v>
      </c>
      <c r="F256" s="839">
        <v>10131</v>
      </c>
      <c r="G256" s="839">
        <v>13953</v>
      </c>
      <c r="H256" s="839">
        <v>14483</v>
      </c>
      <c r="I256" s="839">
        <v>13319</v>
      </c>
      <c r="J256" s="839">
        <v>14595</v>
      </c>
      <c r="K256" s="839">
        <v>14100</v>
      </c>
      <c r="L256" s="840">
        <v>14373.18359375</v>
      </c>
      <c r="M256" s="840">
        <v>11782.1435546875</v>
      </c>
      <c r="N256" s="840">
        <v>7430.53</v>
      </c>
      <c r="O256" s="840">
        <v>7308.8</v>
      </c>
      <c r="P256" s="840">
        <v>8312.16</v>
      </c>
      <c r="Q256" s="840">
        <v>13170.3</v>
      </c>
      <c r="R256" s="840">
        <v>11304.42</v>
      </c>
      <c r="S256" s="840">
        <v>14074.82</v>
      </c>
      <c r="T256" s="840">
        <v>13685.54</v>
      </c>
      <c r="U256" s="840">
        <v>12720.45</v>
      </c>
      <c r="V256" s="840">
        <v>14359.14</v>
      </c>
      <c r="W256" s="840">
        <v>14062.78</v>
      </c>
      <c r="X256" s="840">
        <v>15229.54</v>
      </c>
      <c r="Y256" s="840">
        <v>12835.81</v>
      </c>
      <c r="Z256" s="840">
        <v>12217.44</v>
      </c>
      <c r="AA256" s="840">
        <v>11887.39</v>
      </c>
      <c r="AB256" s="840">
        <v>14923.84</v>
      </c>
      <c r="AC256" s="840">
        <v>16023.36</v>
      </c>
      <c r="AD256" s="840">
        <v>14730.82</v>
      </c>
      <c r="AE256" s="840">
        <v>17801.54</v>
      </c>
      <c r="AF256" s="840">
        <v>14967.81</v>
      </c>
      <c r="AG256" s="840">
        <v>15709.57</v>
      </c>
      <c r="AH256" s="840">
        <v>16259.14</v>
      </c>
      <c r="AI256" s="840">
        <v>13308.35</v>
      </c>
      <c r="AJ256" s="840">
        <v>3945.6</v>
      </c>
      <c r="AK256" s="840"/>
      <c r="AL256" s="840"/>
      <c r="AM256" s="840"/>
      <c r="AN256" s="840"/>
      <c r="AO256" s="840"/>
      <c r="AP256" s="840"/>
      <c r="AQ256" s="840"/>
    </row>
    <row r="257" spans="2:43">
      <c r="B257" s="837" t="s">
        <v>1019</v>
      </c>
      <c r="C257" s="837">
        <v>2106</v>
      </c>
      <c r="D257" s="837">
        <v>12343</v>
      </c>
      <c r="E257" s="837">
        <v>15329</v>
      </c>
      <c r="F257" s="837">
        <v>13890</v>
      </c>
      <c r="G257" s="837">
        <v>18899</v>
      </c>
      <c r="H257" s="837">
        <v>16085</v>
      </c>
      <c r="I257" s="837">
        <v>17519</v>
      </c>
      <c r="J257" s="837">
        <v>17689</v>
      </c>
      <c r="K257" s="837">
        <v>17120</v>
      </c>
      <c r="L257" s="838">
        <v>15721.6640625</v>
      </c>
      <c r="M257" s="838">
        <v>14420.2080078125</v>
      </c>
      <c r="N257" s="838">
        <v>12669.39</v>
      </c>
      <c r="O257" s="838">
        <v>13526.27</v>
      </c>
      <c r="P257" s="838">
        <v>14266.02</v>
      </c>
      <c r="Q257" s="838">
        <v>18228.98</v>
      </c>
      <c r="R257" s="838">
        <v>15987.36</v>
      </c>
      <c r="S257" s="838">
        <v>19265.34</v>
      </c>
      <c r="T257" s="838">
        <v>17325.36</v>
      </c>
      <c r="U257" s="838">
        <v>17479.939999999999</v>
      </c>
      <c r="V257" s="838">
        <v>19102.27</v>
      </c>
      <c r="W257" s="838">
        <v>18140.419999999998</v>
      </c>
      <c r="X257" s="838">
        <v>19515.52</v>
      </c>
      <c r="Y257" s="838">
        <v>16021.06</v>
      </c>
      <c r="Z257" s="838">
        <v>13422.37</v>
      </c>
      <c r="AA257" s="838">
        <v>13519.46</v>
      </c>
      <c r="AB257" s="838">
        <v>14623.33</v>
      </c>
      <c r="AC257" s="838">
        <v>18576.349999999999</v>
      </c>
      <c r="AD257" s="838">
        <v>17263.04</v>
      </c>
      <c r="AE257" s="838">
        <v>20196.349999999999</v>
      </c>
      <c r="AF257" s="838">
        <v>17772.7</v>
      </c>
      <c r="AG257" s="838">
        <v>19312.16</v>
      </c>
      <c r="AH257" s="838">
        <v>18873.599999999999</v>
      </c>
      <c r="AI257" s="838">
        <v>17564.349999999999</v>
      </c>
      <c r="AJ257" s="838">
        <v>4608.13</v>
      </c>
      <c r="AK257" s="838"/>
      <c r="AL257" s="838"/>
      <c r="AM257" s="838"/>
      <c r="AN257" s="838"/>
      <c r="AO257" s="838"/>
      <c r="AP257" s="838"/>
      <c r="AQ257" s="838"/>
    </row>
    <row r="258" spans="2:43">
      <c r="B258" s="839" t="s">
        <v>1020</v>
      </c>
      <c r="C258" s="839">
        <v>991</v>
      </c>
      <c r="D258" s="839">
        <v>6284</v>
      </c>
      <c r="E258" s="839">
        <v>12660</v>
      </c>
      <c r="F258" s="839">
        <v>11132</v>
      </c>
      <c r="G258" s="839">
        <v>14117</v>
      </c>
      <c r="H258" s="839">
        <v>12784</v>
      </c>
      <c r="I258" s="839">
        <v>13775</v>
      </c>
      <c r="J258" s="839">
        <v>15491</v>
      </c>
      <c r="K258" s="839">
        <v>13671</v>
      </c>
      <c r="L258" s="840">
        <v>12990.51953125</v>
      </c>
      <c r="M258" s="840">
        <v>9759.064453125</v>
      </c>
      <c r="N258" s="840">
        <v>7102.2</v>
      </c>
      <c r="O258" s="840">
        <v>6525.37</v>
      </c>
      <c r="P258" s="840">
        <v>6671.54</v>
      </c>
      <c r="Q258" s="840">
        <v>13250.5</v>
      </c>
      <c r="R258" s="840">
        <v>12007.07</v>
      </c>
      <c r="S258" s="840">
        <v>15011.97</v>
      </c>
      <c r="T258" s="840">
        <v>14172.85</v>
      </c>
      <c r="U258" s="840">
        <v>12645.97</v>
      </c>
      <c r="V258" s="840">
        <v>15174.93</v>
      </c>
      <c r="W258" s="840">
        <v>14360.27</v>
      </c>
      <c r="X258" s="840">
        <v>14325.63</v>
      </c>
      <c r="Y258" s="840">
        <v>11266.37</v>
      </c>
      <c r="Z258" s="840">
        <v>6586.27</v>
      </c>
      <c r="AA258" s="840">
        <v>6313.95</v>
      </c>
      <c r="AB258" s="840">
        <v>7613.73</v>
      </c>
      <c r="AC258" s="840">
        <v>11014.46</v>
      </c>
      <c r="AD258" s="840">
        <v>11562.37</v>
      </c>
      <c r="AE258" s="840">
        <v>13822.85</v>
      </c>
      <c r="AF258" s="840">
        <v>11023.78</v>
      </c>
      <c r="AG258" s="840">
        <v>10917.12</v>
      </c>
      <c r="AH258" s="840">
        <v>12528.96</v>
      </c>
      <c r="AI258" s="840">
        <v>11271.33</v>
      </c>
      <c r="AJ258" s="840">
        <v>3435.04</v>
      </c>
      <c r="AK258" s="840"/>
      <c r="AL258" s="840"/>
      <c r="AM258" s="840"/>
      <c r="AN258" s="840"/>
      <c r="AO258" s="840"/>
      <c r="AP258" s="840"/>
      <c r="AQ258" s="840"/>
    </row>
    <row r="259" spans="2:43">
      <c r="B259" s="837" t="s">
        <v>1021</v>
      </c>
      <c r="C259" s="837">
        <v>1390</v>
      </c>
      <c r="D259" s="837">
        <v>5869</v>
      </c>
      <c r="E259" s="837">
        <v>7368</v>
      </c>
      <c r="F259" s="837">
        <v>6889</v>
      </c>
      <c r="G259" s="837">
        <v>8132</v>
      </c>
      <c r="H259" s="837">
        <v>7534</v>
      </c>
      <c r="I259" s="837">
        <v>8729</v>
      </c>
      <c r="J259" s="837">
        <v>9388</v>
      </c>
      <c r="K259" s="837">
        <v>8698</v>
      </c>
      <c r="L259" s="838">
        <v>8648.8603515625</v>
      </c>
      <c r="M259" s="838">
        <v>7761.51220703125</v>
      </c>
      <c r="N259" s="838">
        <v>6417.98</v>
      </c>
      <c r="O259" s="838">
        <v>6542.74</v>
      </c>
      <c r="P259" s="838">
        <v>6756.5</v>
      </c>
      <c r="Q259" s="838">
        <v>9012.61</v>
      </c>
      <c r="R259" s="838">
        <v>8289.15</v>
      </c>
      <c r="S259" s="838">
        <v>9083.9599999999991</v>
      </c>
      <c r="T259" s="838">
        <v>8465.43</v>
      </c>
      <c r="U259" s="838">
        <v>8166.74</v>
      </c>
      <c r="V259" s="838">
        <v>8286.3700000000008</v>
      </c>
      <c r="W259" s="838">
        <v>7899.65</v>
      </c>
      <c r="X259" s="838">
        <v>8529.4699999999993</v>
      </c>
      <c r="Y259" s="838">
        <v>7118.34</v>
      </c>
      <c r="Z259" s="838">
        <v>5972.8</v>
      </c>
      <c r="AA259" s="838">
        <v>6059.81</v>
      </c>
      <c r="AB259" s="838">
        <v>6798.21</v>
      </c>
      <c r="AC259" s="838">
        <v>8202.42</v>
      </c>
      <c r="AD259" s="838">
        <v>7752.69</v>
      </c>
      <c r="AE259" s="838">
        <v>8653.57</v>
      </c>
      <c r="AF259" s="838">
        <v>8316.16</v>
      </c>
      <c r="AG259" s="838">
        <v>7787.95</v>
      </c>
      <c r="AH259" s="838">
        <v>8616.9</v>
      </c>
      <c r="AI259" s="838">
        <v>7832.96</v>
      </c>
      <c r="AJ259" s="838">
        <v>2256.29</v>
      </c>
      <c r="AK259" s="838"/>
      <c r="AL259" s="838"/>
      <c r="AM259" s="838"/>
      <c r="AN259" s="838"/>
      <c r="AO259" s="838"/>
      <c r="AP259" s="838"/>
      <c r="AQ259" s="838"/>
    </row>
    <row r="260" spans="2:43" s="473" customFormat="1">
      <c r="B260" s="843" t="s">
        <v>1022</v>
      </c>
      <c r="C260" s="843">
        <v>64658</v>
      </c>
      <c r="D260" s="843">
        <v>55883</v>
      </c>
      <c r="E260" s="843">
        <v>60869</v>
      </c>
      <c r="F260" s="843">
        <v>60244</v>
      </c>
      <c r="G260" s="843">
        <v>68401</v>
      </c>
      <c r="H260" s="843">
        <v>70394</v>
      </c>
      <c r="I260" s="843">
        <v>78622</v>
      </c>
      <c r="J260" s="843">
        <v>75705</v>
      </c>
      <c r="K260" s="843">
        <v>69088</v>
      </c>
      <c r="L260" s="844">
        <v>65721.34375</v>
      </c>
      <c r="M260" s="844">
        <v>49899.0078125</v>
      </c>
      <c r="N260" s="844">
        <v>42282.5</v>
      </c>
      <c r="O260" s="844">
        <v>42954.239999999998</v>
      </c>
      <c r="P260" s="844">
        <v>46019.07</v>
      </c>
      <c r="Q260" s="844">
        <v>63485.440000000002</v>
      </c>
      <c r="R260" s="844">
        <v>59393.54</v>
      </c>
      <c r="S260" s="844">
        <v>75973.63</v>
      </c>
      <c r="T260" s="844">
        <v>77335.039999999994</v>
      </c>
      <c r="U260" s="844">
        <v>82413.570000000007</v>
      </c>
      <c r="V260" s="844">
        <v>86464</v>
      </c>
      <c r="W260" s="844">
        <v>70950.399999999994</v>
      </c>
      <c r="X260" s="844">
        <v>70077.95</v>
      </c>
      <c r="Y260" s="844">
        <v>60879.360000000001</v>
      </c>
      <c r="Z260" s="844">
        <v>46409.21</v>
      </c>
      <c r="AA260" s="844">
        <v>45349.38</v>
      </c>
      <c r="AB260" s="844">
        <v>48733.7</v>
      </c>
      <c r="AC260" s="844">
        <v>62504.959999999999</v>
      </c>
      <c r="AD260" s="844">
        <v>63364.1</v>
      </c>
      <c r="AE260" s="844">
        <v>82024.45</v>
      </c>
      <c r="AF260" s="844">
        <v>75386.880000000005</v>
      </c>
      <c r="AG260" s="844">
        <v>85308.93</v>
      </c>
      <c r="AH260" s="844">
        <v>75644.41</v>
      </c>
      <c r="AI260" s="844">
        <v>60437.5</v>
      </c>
      <c r="AJ260" s="844">
        <v>18971.650000000001</v>
      </c>
      <c r="AK260" s="844"/>
      <c r="AL260" s="844"/>
      <c r="AM260" s="844"/>
      <c r="AN260" s="844"/>
      <c r="AO260" s="844"/>
      <c r="AP260" s="844"/>
      <c r="AQ260" s="844"/>
    </row>
    <row r="261" spans="2:43">
      <c r="B261" s="837" t="s">
        <v>1023</v>
      </c>
      <c r="C261" s="837">
        <v>9498</v>
      </c>
      <c r="D261" s="837">
        <v>12009</v>
      </c>
      <c r="E261" s="837">
        <v>8734</v>
      </c>
      <c r="F261" s="837">
        <v>8572</v>
      </c>
      <c r="G261" s="837">
        <v>3837</v>
      </c>
      <c r="H261" s="837">
        <v>2217</v>
      </c>
      <c r="I261" s="837">
        <v>4204</v>
      </c>
      <c r="J261" s="837">
        <v>5171</v>
      </c>
      <c r="K261" s="837">
        <v>3813</v>
      </c>
      <c r="L261" s="838">
        <v>4762</v>
      </c>
      <c r="M261" s="838">
        <v>1663</v>
      </c>
      <c r="N261" s="838" t="s">
        <v>699</v>
      </c>
      <c r="O261" s="838" t="s">
        <v>699</v>
      </c>
      <c r="P261" s="838" t="s">
        <v>699</v>
      </c>
      <c r="Q261" s="838" t="s">
        <v>699</v>
      </c>
      <c r="R261" s="838" t="s">
        <v>699</v>
      </c>
      <c r="S261" s="838" t="s">
        <v>699</v>
      </c>
      <c r="T261" s="838" t="s">
        <v>699</v>
      </c>
      <c r="U261" s="838" t="s">
        <v>699</v>
      </c>
      <c r="V261" s="838" t="s">
        <v>699</v>
      </c>
      <c r="W261" s="838" t="s">
        <v>699</v>
      </c>
      <c r="X261" s="838" t="s">
        <v>699</v>
      </c>
      <c r="Y261" s="838" t="s">
        <v>699</v>
      </c>
      <c r="Z261" s="838" t="s">
        <v>699</v>
      </c>
      <c r="AA261" s="838" t="s">
        <v>699</v>
      </c>
      <c r="AB261" s="838" t="s">
        <v>699</v>
      </c>
      <c r="AC261" s="838" t="s">
        <v>699</v>
      </c>
      <c r="AD261" s="838" t="s">
        <v>699</v>
      </c>
      <c r="AE261" s="838" t="s">
        <v>699</v>
      </c>
      <c r="AF261" s="838" t="s">
        <v>699</v>
      </c>
      <c r="AG261" s="838" t="s">
        <v>699</v>
      </c>
      <c r="AH261" s="838" t="s">
        <v>699</v>
      </c>
      <c r="AI261" s="838" t="s">
        <v>699</v>
      </c>
      <c r="AJ261" s="838" t="s">
        <v>699</v>
      </c>
      <c r="AK261" s="838"/>
      <c r="AL261" s="838"/>
      <c r="AM261" s="838"/>
      <c r="AN261" s="838"/>
      <c r="AO261" s="838"/>
      <c r="AP261" s="838"/>
      <c r="AQ261" s="838"/>
    </row>
    <row r="262" spans="2:43">
      <c r="B262" s="839" t="s">
        <v>1024</v>
      </c>
      <c r="C262" s="839">
        <v>24409</v>
      </c>
      <c r="D262" s="839">
        <v>18815</v>
      </c>
      <c r="E262" s="839">
        <v>12531</v>
      </c>
      <c r="F262" s="839">
        <v>11650</v>
      </c>
      <c r="G262" s="839">
        <v>4573</v>
      </c>
      <c r="H262" s="839">
        <v>2217</v>
      </c>
      <c r="I262" s="839">
        <v>4204</v>
      </c>
      <c r="J262" s="839">
        <v>5171</v>
      </c>
      <c r="K262" s="839">
        <v>3813</v>
      </c>
      <c r="L262" s="840">
        <v>4761.98388671875</v>
      </c>
      <c r="M262" s="840">
        <v>1662.592041015625</v>
      </c>
      <c r="N262" s="840">
        <v>1767.94</v>
      </c>
      <c r="O262" s="840">
        <v>2028.29</v>
      </c>
      <c r="P262" s="840">
        <v>4389.12</v>
      </c>
      <c r="Q262" s="840">
        <v>5787.26</v>
      </c>
      <c r="R262" s="840">
        <v>6258.3</v>
      </c>
      <c r="S262" s="840">
        <v>7464.19</v>
      </c>
      <c r="T262" s="840">
        <v>9266.94</v>
      </c>
      <c r="U262" s="840">
        <v>8491.39</v>
      </c>
      <c r="V262" s="840">
        <v>9432.4500000000007</v>
      </c>
      <c r="W262" s="840">
        <v>8642.82</v>
      </c>
      <c r="X262" s="840">
        <v>8657.02</v>
      </c>
      <c r="Y262" s="840">
        <v>7422.98</v>
      </c>
      <c r="Z262" s="840">
        <v>5461.38</v>
      </c>
      <c r="AA262" s="840">
        <v>5417.22</v>
      </c>
      <c r="AB262" s="840">
        <v>6315.01</v>
      </c>
      <c r="AC262" s="840">
        <v>8296.4500000000007</v>
      </c>
      <c r="AD262" s="840">
        <v>8019.46</v>
      </c>
      <c r="AE262" s="840">
        <v>9064.83</v>
      </c>
      <c r="AF262" s="840">
        <v>7568.26</v>
      </c>
      <c r="AG262" s="840">
        <v>6684.29</v>
      </c>
      <c r="AH262" s="840">
        <v>2031.1</v>
      </c>
      <c r="AI262" s="840">
        <v>177.28</v>
      </c>
      <c r="AJ262" s="840">
        <v>116.74</v>
      </c>
      <c r="AK262" s="840"/>
      <c r="AL262" s="840"/>
      <c r="AM262" s="840"/>
      <c r="AN262" s="840"/>
      <c r="AO262" s="840"/>
      <c r="AP262" s="840"/>
      <c r="AQ262" s="840"/>
    </row>
    <row r="263" spans="2:43">
      <c r="B263" s="837" t="s">
        <v>1025</v>
      </c>
      <c r="C263" s="837">
        <v>4899</v>
      </c>
      <c r="D263" s="837">
        <v>4998</v>
      </c>
      <c r="E263" s="837">
        <v>7633</v>
      </c>
      <c r="F263" s="837">
        <v>5553</v>
      </c>
      <c r="G263" s="837">
        <v>6892</v>
      </c>
      <c r="H263" s="837">
        <v>5131</v>
      </c>
      <c r="I263" s="837">
        <v>6231</v>
      </c>
      <c r="J263" s="837">
        <v>6654</v>
      </c>
      <c r="K263" s="837">
        <v>6369</v>
      </c>
      <c r="L263" s="838">
        <v>6869.6318359375</v>
      </c>
      <c r="M263" s="838">
        <v>6037.69580078125</v>
      </c>
      <c r="N263" s="838">
        <v>3597.38</v>
      </c>
      <c r="O263" s="838">
        <v>3481.86</v>
      </c>
      <c r="P263" s="838">
        <v>4778.88</v>
      </c>
      <c r="Q263" s="838">
        <v>7829.63</v>
      </c>
      <c r="R263" s="838">
        <v>5654.08</v>
      </c>
      <c r="S263" s="838">
        <v>7244.74</v>
      </c>
      <c r="T263" s="838">
        <v>6684.74</v>
      </c>
      <c r="U263" s="838">
        <v>6180.1</v>
      </c>
      <c r="V263" s="838">
        <v>7001.02</v>
      </c>
      <c r="W263" s="838">
        <v>8875.52</v>
      </c>
      <c r="X263" s="838">
        <v>10146.5</v>
      </c>
      <c r="Y263" s="838">
        <v>8451.2000000000007</v>
      </c>
      <c r="Z263" s="838">
        <v>7197.18</v>
      </c>
      <c r="AA263" s="838">
        <v>7733.38</v>
      </c>
      <c r="AB263" s="838">
        <v>8492.5400000000009</v>
      </c>
      <c r="AC263" s="838">
        <v>9660.0300000000007</v>
      </c>
      <c r="AD263" s="838">
        <v>9106.69</v>
      </c>
      <c r="AE263" s="838">
        <v>10010.82</v>
      </c>
      <c r="AF263" s="838">
        <v>9833.02</v>
      </c>
      <c r="AG263" s="838">
        <v>9308.99</v>
      </c>
      <c r="AH263" s="838">
        <v>9649.2199999999993</v>
      </c>
      <c r="AI263" s="838">
        <v>8745.7900000000009</v>
      </c>
      <c r="AJ263" s="838">
        <v>2644.35</v>
      </c>
      <c r="AK263" s="838"/>
      <c r="AL263" s="838"/>
      <c r="AM263" s="838"/>
      <c r="AN263" s="838"/>
      <c r="AO263" s="838"/>
      <c r="AP263" s="838"/>
      <c r="AQ263" s="838"/>
    </row>
    <row r="264" spans="2:43">
      <c r="B264" s="839" t="s">
        <v>1026</v>
      </c>
      <c r="C264" s="839">
        <v>14911</v>
      </c>
      <c r="D264" s="839">
        <v>6806</v>
      </c>
      <c r="E264" s="839">
        <v>3797</v>
      </c>
      <c r="F264" s="839">
        <v>3078</v>
      </c>
      <c r="G264" s="839">
        <v>736</v>
      </c>
      <c r="H264" s="839">
        <v>0</v>
      </c>
      <c r="I264" s="839">
        <v>0</v>
      </c>
      <c r="J264" s="839">
        <v>0</v>
      </c>
      <c r="K264" s="839">
        <v>0</v>
      </c>
      <c r="L264" s="840">
        <v>0</v>
      </c>
      <c r="M264" s="840">
        <v>0</v>
      </c>
      <c r="N264" s="840" t="s">
        <v>699</v>
      </c>
      <c r="O264" s="840" t="s">
        <v>699</v>
      </c>
      <c r="P264" s="840" t="s">
        <v>699</v>
      </c>
      <c r="Q264" s="840" t="s">
        <v>699</v>
      </c>
      <c r="R264" s="840" t="s">
        <v>699</v>
      </c>
      <c r="S264" s="840" t="s">
        <v>699</v>
      </c>
      <c r="T264" s="840" t="s">
        <v>699</v>
      </c>
      <c r="U264" s="840" t="s">
        <v>699</v>
      </c>
      <c r="V264" s="840" t="s">
        <v>699</v>
      </c>
      <c r="W264" s="840" t="s">
        <v>699</v>
      </c>
      <c r="X264" s="840" t="s">
        <v>699</v>
      </c>
      <c r="Y264" s="840" t="s">
        <v>699</v>
      </c>
      <c r="Z264" s="840" t="s">
        <v>699</v>
      </c>
      <c r="AA264" s="840" t="s">
        <v>699</v>
      </c>
      <c r="AB264" s="840" t="s">
        <v>699</v>
      </c>
      <c r="AC264" s="840" t="s">
        <v>699</v>
      </c>
      <c r="AD264" s="840" t="s">
        <v>699</v>
      </c>
      <c r="AE264" s="840" t="s">
        <v>699</v>
      </c>
      <c r="AF264" s="840" t="s">
        <v>699</v>
      </c>
      <c r="AG264" s="840" t="s">
        <v>699</v>
      </c>
      <c r="AH264" s="840" t="s">
        <v>699</v>
      </c>
      <c r="AI264" s="840" t="s">
        <v>699</v>
      </c>
      <c r="AJ264" s="840" t="s">
        <v>699</v>
      </c>
      <c r="AK264" s="840"/>
      <c r="AL264" s="840"/>
      <c r="AM264" s="840"/>
      <c r="AN264" s="840"/>
      <c r="AO264" s="840"/>
      <c r="AP264" s="840"/>
      <c r="AQ264" s="840"/>
    </row>
    <row r="265" spans="2:43" s="473" customFormat="1">
      <c r="B265" s="841" t="s">
        <v>1027</v>
      </c>
      <c r="C265" s="841">
        <v>0</v>
      </c>
      <c r="D265" s="841">
        <v>0</v>
      </c>
      <c r="E265" s="841">
        <v>0</v>
      </c>
      <c r="F265" s="841">
        <v>0</v>
      </c>
      <c r="G265" s="841">
        <v>0</v>
      </c>
      <c r="H265" s="841">
        <v>0</v>
      </c>
      <c r="I265" s="841">
        <v>0</v>
      </c>
      <c r="J265" s="841">
        <v>0</v>
      </c>
      <c r="K265" s="841">
        <v>0</v>
      </c>
      <c r="L265" s="842">
        <v>0</v>
      </c>
      <c r="M265" s="842">
        <v>0</v>
      </c>
      <c r="N265" s="842">
        <v>0</v>
      </c>
      <c r="O265" s="842">
        <v>0</v>
      </c>
      <c r="P265" s="842">
        <v>0</v>
      </c>
      <c r="Q265" s="842">
        <v>0</v>
      </c>
      <c r="R265" s="842">
        <v>0</v>
      </c>
      <c r="S265" s="842">
        <v>0</v>
      </c>
      <c r="T265" s="842">
        <v>0</v>
      </c>
      <c r="U265" s="842">
        <v>0</v>
      </c>
      <c r="V265" s="842">
        <v>0</v>
      </c>
      <c r="W265" s="842">
        <v>0</v>
      </c>
      <c r="X265" s="842">
        <v>0</v>
      </c>
      <c r="Y265" s="842">
        <v>0</v>
      </c>
      <c r="Z265" s="842">
        <v>0</v>
      </c>
      <c r="AA265" s="842">
        <v>0</v>
      </c>
      <c r="AB265" s="842">
        <v>0</v>
      </c>
      <c r="AC265" s="842">
        <v>0</v>
      </c>
      <c r="AD265" s="842">
        <v>0</v>
      </c>
      <c r="AE265" s="842">
        <v>0</v>
      </c>
      <c r="AF265" s="842">
        <v>0</v>
      </c>
      <c r="AG265" s="842">
        <v>0</v>
      </c>
      <c r="AH265" s="842">
        <v>0</v>
      </c>
      <c r="AI265" s="842">
        <v>0</v>
      </c>
      <c r="AJ265" s="842">
        <v>0</v>
      </c>
      <c r="AK265" s="842"/>
      <c r="AL265" s="842"/>
      <c r="AM265" s="842"/>
      <c r="AN265" s="842"/>
      <c r="AO265" s="842"/>
      <c r="AP265" s="842"/>
      <c r="AQ265" s="842"/>
    </row>
    <row r="266" spans="2:43">
      <c r="B266" s="839" t="s">
        <v>1028</v>
      </c>
      <c r="C266" s="839">
        <v>0</v>
      </c>
      <c r="D266" s="839">
        <v>0</v>
      </c>
      <c r="E266" s="839">
        <v>0</v>
      </c>
      <c r="F266" s="839">
        <v>0</v>
      </c>
      <c r="G266" s="839">
        <v>0</v>
      </c>
      <c r="H266" s="839">
        <v>0</v>
      </c>
      <c r="I266" s="839">
        <v>0</v>
      </c>
      <c r="J266" s="839">
        <v>0</v>
      </c>
      <c r="K266" s="839">
        <v>0</v>
      </c>
      <c r="L266" s="840">
        <v>0</v>
      </c>
      <c r="M266" s="840">
        <v>0</v>
      </c>
      <c r="N266" s="840">
        <v>0</v>
      </c>
      <c r="O266" s="840">
        <v>0</v>
      </c>
      <c r="P266" s="840">
        <v>0</v>
      </c>
      <c r="Q266" s="840">
        <v>0</v>
      </c>
      <c r="R266" s="840">
        <v>0</v>
      </c>
      <c r="S266" s="840">
        <v>122.3</v>
      </c>
      <c r="T266" s="840">
        <v>139.02000000000001</v>
      </c>
      <c r="U266" s="840">
        <v>46.99</v>
      </c>
      <c r="V266" s="840">
        <v>159.86000000000001</v>
      </c>
      <c r="W266" s="840">
        <v>234.82</v>
      </c>
      <c r="X266" s="840">
        <v>204.78</v>
      </c>
      <c r="Y266" s="840">
        <v>481.13</v>
      </c>
      <c r="Z266" s="840">
        <v>387.99</v>
      </c>
      <c r="AA266" s="840">
        <v>325.66000000000003</v>
      </c>
      <c r="AB266" s="840">
        <v>480.1</v>
      </c>
      <c r="AC266" s="840">
        <v>417.72</v>
      </c>
      <c r="AD266" s="840">
        <v>408.3</v>
      </c>
      <c r="AE266" s="840">
        <v>564.44000000000005</v>
      </c>
      <c r="AF266" s="840">
        <v>208.72</v>
      </c>
      <c r="AG266" s="840">
        <v>337.86</v>
      </c>
      <c r="AH266" s="840">
        <v>413.31</v>
      </c>
      <c r="AI266" s="840">
        <v>352.54</v>
      </c>
      <c r="AJ266" s="840">
        <v>63.56</v>
      </c>
      <c r="AK266" s="840"/>
      <c r="AL266" s="840"/>
      <c r="AM266" s="840"/>
      <c r="AN266" s="840"/>
      <c r="AO266" s="840"/>
      <c r="AP266" s="840"/>
      <c r="AQ266" s="840"/>
    </row>
    <row r="267" spans="2:43">
      <c r="B267" s="837" t="s">
        <v>1029</v>
      </c>
      <c r="C267" s="837">
        <v>8925</v>
      </c>
      <c r="D267" s="837">
        <v>8601</v>
      </c>
      <c r="E267" s="837">
        <v>8384</v>
      </c>
      <c r="F267" s="837">
        <v>9325</v>
      </c>
      <c r="G267" s="837">
        <v>10612</v>
      </c>
      <c r="H267" s="837">
        <v>11454</v>
      </c>
      <c r="I267" s="837">
        <v>11788</v>
      </c>
      <c r="J267" s="837">
        <v>12001</v>
      </c>
      <c r="K267" s="837">
        <v>10843</v>
      </c>
      <c r="L267" s="838">
        <v>9768.1923828125</v>
      </c>
      <c r="M267" s="838">
        <v>8450.0478515625</v>
      </c>
      <c r="N267" s="838">
        <v>7751.3</v>
      </c>
      <c r="O267" s="838">
        <v>7671.68</v>
      </c>
      <c r="P267" s="838">
        <v>7719.17</v>
      </c>
      <c r="Q267" s="838">
        <v>9321.98</v>
      </c>
      <c r="R267" s="838">
        <v>8925.57</v>
      </c>
      <c r="S267" s="838">
        <v>11371.01</v>
      </c>
      <c r="T267" s="838">
        <v>11525.5</v>
      </c>
      <c r="U267" s="838">
        <v>11780.22</v>
      </c>
      <c r="V267" s="838">
        <v>11873.54</v>
      </c>
      <c r="W267" s="838">
        <v>10135.81</v>
      </c>
      <c r="X267" s="838">
        <v>9876.61</v>
      </c>
      <c r="Y267" s="838">
        <v>9826.18</v>
      </c>
      <c r="Z267" s="838">
        <v>8429.44</v>
      </c>
      <c r="AA267" s="838">
        <v>8487.68</v>
      </c>
      <c r="AB267" s="838">
        <v>8558.2099999999991</v>
      </c>
      <c r="AC267" s="838">
        <v>9200.51</v>
      </c>
      <c r="AD267" s="838">
        <v>9395.7099999999991</v>
      </c>
      <c r="AE267" s="838">
        <v>12193.41</v>
      </c>
      <c r="AF267" s="838">
        <v>10942.59</v>
      </c>
      <c r="AG267" s="838">
        <v>12135.17</v>
      </c>
      <c r="AH267" s="838">
        <v>12339.71</v>
      </c>
      <c r="AI267" s="838">
        <v>9947.7800000000007</v>
      </c>
      <c r="AJ267" s="838">
        <v>10444.799999999999</v>
      </c>
      <c r="AK267" s="838"/>
      <c r="AL267" s="838"/>
      <c r="AM267" s="838"/>
      <c r="AN267" s="838"/>
      <c r="AO267" s="838"/>
      <c r="AP267" s="838"/>
      <c r="AQ267" s="838"/>
    </row>
    <row r="268" spans="2:43">
      <c r="B268" s="839" t="s">
        <v>1030</v>
      </c>
      <c r="C268" s="839">
        <v>8859</v>
      </c>
      <c r="D268" s="839">
        <v>8557</v>
      </c>
      <c r="E268" s="839">
        <v>8462</v>
      </c>
      <c r="F268" s="839">
        <v>9265</v>
      </c>
      <c r="G268" s="839">
        <v>10694</v>
      </c>
      <c r="H268" s="839">
        <v>11457</v>
      </c>
      <c r="I268" s="839">
        <v>11892</v>
      </c>
      <c r="J268" s="839">
        <v>11976</v>
      </c>
      <c r="K268" s="839">
        <v>10882</v>
      </c>
      <c r="L268" s="840">
        <v>9810.9443359375</v>
      </c>
      <c r="M268" s="840">
        <v>8533.3759765625</v>
      </c>
      <c r="N268" s="840">
        <v>7771.14</v>
      </c>
      <c r="O268" s="840">
        <v>7647.94</v>
      </c>
      <c r="P268" s="840">
        <v>7790.21</v>
      </c>
      <c r="Q268" s="840">
        <v>9347.01</v>
      </c>
      <c r="R268" s="840">
        <v>8968.64</v>
      </c>
      <c r="S268" s="840">
        <v>11355.58</v>
      </c>
      <c r="T268" s="840">
        <v>11567.94</v>
      </c>
      <c r="U268" s="840">
        <v>11785.09</v>
      </c>
      <c r="V268" s="840">
        <v>12094.21</v>
      </c>
      <c r="W268" s="840">
        <v>10137.219999999999</v>
      </c>
      <c r="X268" s="840">
        <v>9889.02</v>
      </c>
      <c r="Y268" s="840">
        <v>9829.76</v>
      </c>
      <c r="Z268" s="840">
        <v>8455.42</v>
      </c>
      <c r="AA268" s="840">
        <v>8498.11</v>
      </c>
      <c r="AB268" s="840">
        <v>8560.19</v>
      </c>
      <c r="AC268" s="840">
        <v>9217.66</v>
      </c>
      <c r="AD268" s="840">
        <v>9415.8700000000008</v>
      </c>
      <c r="AE268" s="840">
        <v>12253.82</v>
      </c>
      <c r="AF268" s="840">
        <v>10970.5</v>
      </c>
      <c r="AG268" s="840">
        <v>12178.75</v>
      </c>
      <c r="AH268" s="840">
        <v>12376.83</v>
      </c>
      <c r="AI268" s="840">
        <v>9948.42</v>
      </c>
      <c r="AJ268" s="840">
        <v>10476.16</v>
      </c>
      <c r="AK268" s="840"/>
      <c r="AL268" s="840"/>
      <c r="AM268" s="840"/>
      <c r="AN268" s="840"/>
      <c r="AO268" s="840"/>
      <c r="AP268" s="840"/>
      <c r="AQ268" s="840"/>
    </row>
    <row r="269" spans="2:43">
      <c r="B269" s="837" t="s">
        <v>1031</v>
      </c>
      <c r="C269" s="837">
        <v>1442</v>
      </c>
      <c r="D269" s="837">
        <v>1420</v>
      </c>
      <c r="E269" s="837">
        <v>1624</v>
      </c>
      <c r="F269" s="837">
        <v>1752</v>
      </c>
      <c r="G269" s="837">
        <v>2704</v>
      </c>
      <c r="H269" s="837">
        <v>3403</v>
      </c>
      <c r="I269" s="837">
        <v>3595</v>
      </c>
      <c r="J269" s="837">
        <v>3815</v>
      </c>
      <c r="K269" s="837">
        <v>3040</v>
      </c>
      <c r="L269" s="838">
        <v>2163.280029296875</v>
      </c>
      <c r="M269" s="838">
        <v>1105.72802734375</v>
      </c>
      <c r="N269" s="838">
        <v>1358.19</v>
      </c>
      <c r="O269" s="838">
        <v>816.88</v>
      </c>
      <c r="P269" s="838">
        <v>821.36</v>
      </c>
      <c r="Q269" s="838">
        <v>1530.34</v>
      </c>
      <c r="R269" s="838">
        <v>2040.94</v>
      </c>
      <c r="S269" s="838">
        <v>2507.66</v>
      </c>
      <c r="T269" s="838">
        <v>2819.33</v>
      </c>
      <c r="U269" s="838">
        <v>2937.6</v>
      </c>
      <c r="V269" s="838">
        <v>2830.11</v>
      </c>
      <c r="W269" s="838">
        <v>2041.44</v>
      </c>
      <c r="X269" s="838">
        <v>2138.46</v>
      </c>
      <c r="Y269" s="838">
        <v>1342.98</v>
      </c>
      <c r="Z269" s="838">
        <v>906.98</v>
      </c>
      <c r="AA269" s="838">
        <v>749.68</v>
      </c>
      <c r="AB269" s="838">
        <v>674.8</v>
      </c>
      <c r="AC269" s="838">
        <v>739.36</v>
      </c>
      <c r="AD269" s="838">
        <v>774</v>
      </c>
      <c r="AE269" s="838">
        <v>769.6</v>
      </c>
      <c r="AF269" s="838">
        <v>878.05</v>
      </c>
      <c r="AG269" s="838">
        <v>4558.1099999999997</v>
      </c>
      <c r="AH269" s="838">
        <v>4973.25</v>
      </c>
      <c r="AI269" s="838">
        <v>3683.2</v>
      </c>
      <c r="AJ269" s="838">
        <v>3430.02</v>
      </c>
      <c r="AK269" s="838"/>
      <c r="AL269" s="838"/>
      <c r="AM269" s="838"/>
      <c r="AN269" s="838"/>
      <c r="AO269" s="838"/>
      <c r="AP269" s="838"/>
      <c r="AQ269" s="838"/>
    </row>
    <row r="270" spans="2:43">
      <c r="B270" s="839" t="s">
        <v>1032</v>
      </c>
      <c r="C270" s="839">
        <v>14960</v>
      </c>
      <c r="D270" s="839">
        <v>14374</v>
      </c>
      <c r="E270" s="839">
        <v>17839</v>
      </c>
      <c r="F270" s="839">
        <v>18857</v>
      </c>
      <c r="G270" s="839">
        <v>24552</v>
      </c>
      <c r="H270" s="839">
        <v>23107</v>
      </c>
      <c r="I270" s="839">
        <v>26447</v>
      </c>
      <c r="J270" s="839">
        <v>25929</v>
      </c>
      <c r="K270" s="839">
        <v>24463</v>
      </c>
      <c r="L270" s="840">
        <v>25156.720703125</v>
      </c>
      <c r="M270" s="840">
        <v>21770.767578125</v>
      </c>
      <c r="N270" s="840">
        <v>16056.58</v>
      </c>
      <c r="O270" s="840">
        <v>18610.099999999999</v>
      </c>
      <c r="P270" s="840">
        <v>18506.53</v>
      </c>
      <c r="Q270" s="840">
        <v>25238.78</v>
      </c>
      <c r="R270" s="840">
        <v>22181.7</v>
      </c>
      <c r="S270" s="840">
        <v>28210.91</v>
      </c>
      <c r="T270" s="840">
        <v>27693.47</v>
      </c>
      <c r="U270" s="840">
        <v>28881.02</v>
      </c>
      <c r="V270" s="840">
        <v>29567.9</v>
      </c>
      <c r="W270" s="840">
        <v>25602.53</v>
      </c>
      <c r="X270" s="840">
        <v>26680.1</v>
      </c>
      <c r="Y270" s="840">
        <v>22550.14</v>
      </c>
      <c r="Z270" s="840">
        <v>17165.63</v>
      </c>
      <c r="AA270" s="840">
        <v>16609.09</v>
      </c>
      <c r="AB270" s="840">
        <v>18652.740000000002</v>
      </c>
      <c r="AC270" s="840">
        <v>24431.68</v>
      </c>
      <c r="AD270" s="840">
        <v>24194.37</v>
      </c>
      <c r="AE270" s="840">
        <v>29080.7</v>
      </c>
      <c r="AF270" s="840">
        <v>28928.58</v>
      </c>
      <c r="AG270" s="840">
        <v>29561.66</v>
      </c>
      <c r="AH270" s="840">
        <v>29324.35</v>
      </c>
      <c r="AI270" s="840">
        <v>25865.919999999998</v>
      </c>
      <c r="AJ270" s="840">
        <v>28894.98</v>
      </c>
      <c r="AK270" s="840"/>
      <c r="AL270" s="840"/>
      <c r="AM270" s="840"/>
      <c r="AN270" s="840"/>
      <c r="AO270" s="840"/>
      <c r="AP270" s="840"/>
      <c r="AQ270" s="840"/>
    </row>
    <row r="271" spans="2:43">
      <c r="B271" s="837" t="s">
        <v>1033</v>
      </c>
      <c r="C271" s="837">
        <v>8377</v>
      </c>
      <c r="D271" s="837">
        <v>8673</v>
      </c>
      <c r="E271" s="837">
        <v>11000</v>
      </c>
      <c r="F271" s="837">
        <v>9675</v>
      </c>
      <c r="G271" s="837">
        <v>13479</v>
      </c>
      <c r="H271" s="837">
        <v>13380</v>
      </c>
      <c r="I271" s="837">
        <v>13937</v>
      </c>
      <c r="J271" s="837">
        <v>13077</v>
      </c>
      <c r="K271" s="837">
        <v>13644</v>
      </c>
      <c r="L271" s="838">
        <v>14232.51953125</v>
      </c>
      <c r="M271" s="838">
        <v>11884.232421875</v>
      </c>
      <c r="N271" s="838">
        <v>8756.98</v>
      </c>
      <c r="O271" s="838">
        <v>9650.93</v>
      </c>
      <c r="P271" s="838">
        <v>9710.5</v>
      </c>
      <c r="Q271" s="838">
        <v>13221.52</v>
      </c>
      <c r="R271" s="838">
        <v>11915.87</v>
      </c>
      <c r="S271" s="838">
        <v>14914.14</v>
      </c>
      <c r="T271" s="838">
        <v>16057.68</v>
      </c>
      <c r="U271" s="838">
        <v>15611.57</v>
      </c>
      <c r="V271" s="838">
        <v>16209.63</v>
      </c>
      <c r="W271" s="838">
        <v>13266.48</v>
      </c>
      <c r="X271" s="838">
        <v>14547.18</v>
      </c>
      <c r="Y271" s="838">
        <v>12228.45</v>
      </c>
      <c r="Z271" s="838">
        <v>8941.31</v>
      </c>
      <c r="AA271" s="838">
        <v>8822.66</v>
      </c>
      <c r="AB271" s="838">
        <v>9685.4699999999993</v>
      </c>
      <c r="AC271" s="838">
        <v>12618.91</v>
      </c>
      <c r="AD271" s="838">
        <v>12068.48</v>
      </c>
      <c r="AE271" s="838">
        <v>14475.65</v>
      </c>
      <c r="AF271" s="838">
        <v>15353.18</v>
      </c>
      <c r="AG271" s="838">
        <v>15435.68</v>
      </c>
      <c r="AH271" s="838">
        <v>14934.37</v>
      </c>
      <c r="AI271" s="838">
        <v>11454.56</v>
      </c>
      <c r="AJ271" s="838">
        <v>15139.58</v>
      </c>
      <c r="AK271" s="838"/>
      <c r="AL271" s="838"/>
      <c r="AM271" s="838"/>
      <c r="AN271" s="838"/>
      <c r="AO271" s="838"/>
      <c r="AP271" s="838"/>
      <c r="AQ271" s="838"/>
    </row>
    <row r="272" spans="2:43">
      <c r="B272" s="839" t="s">
        <v>1034</v>
      </c>
      <c r="C272" s="839">
        <v>4820</v>
      </c>
      <c r="D272" s="839">
        <v>5070</v>
      </c>
      <c r="E272" s="839">
        <v>6839</v>
      </c>
      <c r="F272" s="839">
        <v>6573</v>
      </c>
      <c r="G272" s="839">
        <v>7971</v>
      </c>
      <c r="H272" s="839">
        <v>6892</v>
      </c>
      <c r="I272" s="839">
        <v>7605</v>
      </c>
      <c r="J272" s="839">
        <v>7256</v>
      </c>
      <c r="K272" s="839">
        <v>7491</v>
      </c>
      <c r="L272" s="840">
        <v>7598.80419921875</v>
      </c>
      <c r="M272" s="840">
        <v>6474.912109375</v>
      </c>
      <c r="N272" s="840">
        <v>5008.16</v>
      </c>
      <c r="O272" s="840">
        <v>5311.74</v>
      </c>
      <c r="P272" s="840">
        <v>5724.48</v>
      </c>
      <c r="Q272" s="840">
        <v>7559.79</v>
      </c>
      <c r="R272" s="840">
        <v>6261.25</v>
      </c>
      <c r="S272" s="840">
        <v>8469.83</v>
      </c>
      <c r="T272" s="840">
        <v>7787.22</v>
      </c>
      <c r="U272" s="840">
        <v>8973.61</v>
      </c>
      <c r="V272" s="840">
        <v>8177.25</v>
      </c>
      <c r="W272" s="840">
        <v>7567.71</v>
      </c>
      <c r="X272" s="840">
        <v>7430.42</v>
      </c>
      <c r="Y272" s="840">
        <v>6572.48</v>
      </c>
      <c r="Z272" s="840">
        <v>5185.4399999999996</v>
      </c>
      <c r="AA272" s="840">
        <v>4903.34</v>
      </c>
      <c r="AB272" s="840">
        <v>5703.74</v>
      </c>
      <c r="AC272" s="840">
        <v>7423.52</v>
      </c>
      <c r="AD272" s="840">
        <v>7482.16</v>
      </c>
      <c r="AE272" s="840">
        <v>8893.14</v>
      </c>
      <c r="AF272" s="840">
        <v>8523.41</v>
      </c>
      <c r="AG272" s="840">
        <v>8854.2900000000009</v>
      </c>
      <c r="AH272" s="840">
        <v>8729.84</v>
      </c>
      <c r="AI272" s="840">
        <v>6643.39</v>
      </c>
      <c r="AJ272" s="840">
        <v>8154.9</v>
      </c>
      <c r="AK272" s="840"/>
      <c r="AL272" s="840"/>
      <c r="AM272" s="840"/>
      <c r="AN272" s="840"/>
      <c r="AO272" s="840"/>
      <c r="AP272" s="840"/>
      <c r="AQ272" s="840"/>
    </row>
    <row r="273" spans="2:43">
      <c r="B273" s="837" t="s">
        <v>1035</v>
      </c>
      <c r="C273" s="837">
        <v>15010</v>
      </c>
      <c r="D273" s="837">
        <v>15576</v>
      </c>
      <c r="E273" s="837">
        <v>20140</v>
      </c>
      <c r="F273" s="837">
        <v>18985</v>
      </c>
      <c r="G273" s="837">
        <v>24770</v>
      </c>
      <c r="H273" s="837">
        <v>23266</v>
      </c>
      <c r="I273" s="837">
        <v>26674</v>
      </c>
      <c r="J273" s="837">
        <v>26168</v>
      </c>
      <c r="K273" s="837">
        <v>24665</v>
      </c>
      <c r="L273" s="838">
        <v>25358.9765625</v>
      </c>
      <c r="M273" s="838">
        <v>21948.16015625</v>
      </c>
      <c r="N273" s="838">
        <v>16164.1</v>
      </c>
      <c r="O273" s="838">
        <v>18730.37</v>
      </c>
      <c r="P273" s="838">
        <v>18657.28</v>
      </c>
      <c r="Q273" s="838">
        <v>25466.880000000001</v>
      </c>
      <c r="R273" s="838">
        <v>22370.3</v>
      </c>
      <c r="S273" s="838">
        <v>28472.7</v>
      </c>
      <c r="T273" s="838">
        <v>27943.81</v>
      </c>
      <c r="U273" s="838">
        <v>29148.93</v>
      </c>
      <c r="V273" s="838">
        <v>29842.18</v>
      </c>
      <c r="W273" s="838">
        <v>25832.45</v>
      </c>
      <c r="X273" s="838">
        <v>26910.85</v>
      </c>
      <c r="Y273" s="838">
        <v>22734.85</v>
      </c>
      <c r="Z273" s="838">
        <v>17265.919999999998</v>
      </c>
      <c r="AA273" s="838">
        <v>16705.150000000001</v>
      </c>
      <c r="AB273" s="838">
        <v>18801.79</v>
      </c>
      <c r="AC273" s="838">
        <v>24628.74</v>
      </c>
      <c r="AD273" s="838">
        <v>24371.200000000001</v>
      </c>
      <c r="AE273" s="838">
        <v>29312.51</v>
      </c>
      <c r="AF273" s="838">
        <v>29158.78</v>
      </c>
      <c r="AG273" s="838">
        <v>29791.23</v>
      </c>
      <c r="AH273" s="838">
        <v>29594.880000000001</v>
      </c>
      <c r="AI273" s="838">
        <v>25797.89</v>
      </c>
      <c r="AJ273" s="838">
        <v>8177.28</v>
      </c>
      <c r="AK273" s="838"/>
      <c r="AL273" s="838"/>
      <c r="AM273" s="838"/>
      <c r="AN273" s="838"/>
      <c r="AO273" s="838"/>
      <c r="AP273" s="838"/>
      <c r="AQ273" s="838"/>
    </row>
    <row r="274" spans="2:43">
      <c r="B274" s="839" t="s">
        <v>1036</v>
      </c>
      <c r="C274" s="839">
        <v>1358</v>
      </c>
      <c r="D274" s="839">
        <v>1418</v>
      </c>
      <c r="E274" s="839">
        <v>1729</v>
      </c>
      <c r="F274" s="839">
        <v>1970</v>
      </c>
      <c r="G274" s="839">
        <v>2236</v>
      </c>
      <c r="H274" s="839">
        <v>2298</v>
      </c>
      <c r="I274" s="839">
        <v>2366</v>
      </c>
      <c r="J274" s="839">
        <v>2206</v>
      </c>
      <c r="K274" s="839">
        <v>1985</v>
      </c>
      <c r="L274" s="840">
        <v>1863.095947265625</v>
      </c>
      <c r="M274" s="840">
        <v>1512.5040283203125</v>
      </c>
      <c r="N274" s="840">
        <v>1432.22</v>
      </c>
      <c r="O274" s="840">
        <v>1318.56</v>
      </c>
      <c r="P274" s="840">
        <v>1315.75</v>
      </c>
      <c r="Q274" s="840">
        <v>1789.47</v>
      </c>
      <c r="R274" s="840">
        <v>2041.34</v>
      </c>
      <c r="S274" s="840">
        <v>2305.8200000000002</v>
      </c>
      <c r="T274" s="840">
        <v>2328.64</v>
      </c>
      <c r="U274" s="840">
        <v>2384.54</v>
      </c>
      <c r="V274" s="840">
        <v>2152.84</v>
      </c>
      <c r="W274" s="840">
        <v>1807.01</v>
      </c>
      <c r="X274" s="840">
        <v>1686.69</v>
      </c>
      <c r="Y274" s="840">
        <v>1313.86</v>
      </c>
      <c r="Z274" s="840">
        <v>939.09</v>
      </c>
      <c r="AA274" s="840">
        <v>950.58</v>
      </c>
      <c r="AB274" s="840">
        <v>989.73</v>
      </c>
      <c r="AC274" s="840">
        <v>1223.22</v>
      </c>
      <c r="AD274" s="840">
        <v>1342.9</v>
      </c>
      <c r="AE274" s="840">
        <v>1610.53</v>
      </c>
      <c r="AF274" s="840">
        <v>2048.27</v>
      </c>
      <c r="AG274" s="840">
        <v>2080.7199999999998</v>
      </c>
      <c r="AH274" s="840">
        <v>1994.62</v>
      </c>
      <c r="AI274" s="840">
        <v>1725.25</v>
      </c>
      <c r="AJ274" s="840">
        <v>1609.36</v>
      </c>
      <c r="AK274" s="840"/>
      <c r="AL274" s="840"/>
      <c r="AM274" s="840"/>
      <c r="AN274" s="840"/>
      <c r="AO274" s="840"/>
      <c r="AP274" s="840"/>
      <c r="AQ274" s="840"/>
    </row>
    <row r="275" spans="2:43">
      <c r="B275" s="837" t="s">
        <v>1037</v>
      </c>
      <c r="C275" s="837">
        <v>1893</v>
      </c>
      <c r="D275" s="837">
        <v>2108</v>
      </c>
      <c r="E275" s="837">
        <v>2450</v>
      </c>
      <c r="F275" s="837">
        <v>3415</v>
      </c>
      <c r="G275" s="837">
        <v>5207</v>
      </c>
      <c r="H275" s="837">
        <v>7292</v>
      </c>
      <c r="I275" s="837">
        <v>6982</v>
      </c>
      <c r="J275" s="837">
        <v>6318</v>
      </c>
      <c r="K275" s="837">
        <v>5694</v>
      </c>
      <c r="L275" s="838">
        <v>4524.576171875</v>
      </c>
      <c r="M275" s="838">
        <v>2547.60009765625</v>
      </c>
      <c r="N275" s="838">
        <v>2727.65</v>
      </c>
      <c r="O275" s="838">
        <v>1726.66</v>
      </c>
      <c r="P275" s="838">
        <v>1766.53</v>
      </c>
      <c r="Q275" s="838">
        <v>3924.58</v>
      </c>
      <c r="R275" s="838">
        <v>4417.1499999999996</v>
      </c>
      <c r="S275" s="838">
        <v>5700.22</v>
      </c>
      <c r="T275" s="838">
        <v>6213.41</v>
      </c>
      <c r="U275" s="838">
        <v>6225.47</v>
      </c>
      <c r="V275" s="838">
        <v>6771.26</v>
      </c>
      <c r="W275" s="838">
        <v>4667.74</v>
      </c>
      <c r="X275" s="838">
        <v>4161.8599999999997</v>
      </c>
      <c r="Y275" s="838">
        <v>3351.97</v>
      </c>
      <c r="Z275" s="838">
        <v>2452.8000000000002</v>
      </c>
      <c r="AA275" s="838">
        <v>2028.7</v>
      </c>
      <c r="AB275" s="838">
        <v>1989.12</v>
      </c>
      <c r="AC275" s="838">
        <v>3735.94</v>
      </c>
      <c r="AD275" s="838">
        <v>4375.74</v>
      </c>
      <c r="AE275" s="838">
        <v>6409.76</v>
      </c>
      <c r="AF275" s="838">
        <v>5394.75</v>
      </c>
      <c r="AG275" s="838">
        <v>6444.61</v>
      </c>
      <c r="AH275" s="838">
        <v>6903.68</v>
      </c>
      <c r="AI275" s="838">
        <v>4202.72</v>
      </c>
      <c r="AJ275" s="838">
        <v>3674.3</v>
      </c>
      <c r="AK275" s="838"/>
      <c r="AL275" s="838"/>
      <c r="AM275" s="838"/>
      <c r="AN275" s="838"/>
      <c r="AO275" s="838"/>
      <c r="AP275" s="838"/>
      <c r="AQ275" s="838"/>
    </row>
    <row r="276" spans="2:43">
      <c r="B276" s="839" t="s">
        <v>1038</v>
      </c>
      <c r="C276" s="839">
        <v>337</v>
      </c>
      <c r="D276" s="839">
        <v>1341</v>
      </c>
      <c r="E276" s="839">
        <v>1714</v>
      </c>
      <c r="F276" s="839">
        <v>1877</v>
      </c>
      <c r="G276" s="839">
        <v>2732</v>
      </c>
      <c r="H276" s="839">
        <v>2461</v>
      </c>
      <c r="I276" s="839">
        <v>3480</v>
      </c>
      <c r="J276" s="839">
        <v>3118</v>
      </c>
      <c r="K276" s="839">
        <v>2912</v>
      </c>
      <c r="L276" s="840">
        <v>2637.39990234375</v>
      </c>
      <c r="M276" s="840">
        <v>612.0159912109375</v>
      </c>
      <c r="N276" s="840">
        <v>75.42</v>
      </c>
      <c r="O276" s="840">
        <v>84.91</v>
      </c>
      <c r="P276" s="840">
        <v>287.14999999999998</v>
      </c>
      <c r="Q276" s="840">
        <v>899.2</v>
      </c>
      <c r="R276" s="840">
        <v>1226.75</v>
      </c>
      <c r="S276" s="840">
        <v>1559.28</v>
      </c>
      <c r="T276" s="840">
        <v>1275.52</v>
      </c>
      <c r="U276" s="840">
        <v>2541.1999999999998</v>
      </c>
      <c r="V276" s="840">
        <v>2914.06</v>
      </c>
      <c r="W276" s="840">
        <v>2267.6</v>
      </c>
      <c r="X276" s="840">
        <v>2008.4</v>
      </c>
      <c r="Y276" s="840">
        <v>1106.46</v>
      </c>
      <c r="Z276" s="840">
        <v>508.74</v>
      </c>
      <c r="AA276" s="840">
        <v>85.41</v>
      </c>
      <c r="AB276" s="840">
        <v>193.94</v>
      </c>
      <c r="AC276" s="840">
        <v>1485.57</v>
      </c>
      <c r="AD276" s="840">
        <v>1740.46</v>
      </c>
      <c r="AE276" s="840">
        <v>2738.5</v>
      </c>
      <c r="AF276" s="840">
        <v>1804.64</v>
      </c>
      <c r="AG276" s="840">
        <v>2435.7800000000002</v>
      </c>
      <c r="AH276" s="840">
        <v>2551.79</v>
      </c>
      <c r="AI276" s="840">
        <v>2118.77</v>
      </c>
      <c r="AJ276" s="840">
        <v>518.29999999999995</v>
      </c>
      <c r="AK276" s="840"/>
      <c r="AL276" s="840"/>
      <c r="AM276" s="840"/>
      <c r="AN276" s="840"/>
      <c r="AO276" s="840"/>
      <c r="AP276" s="840"/>
      <c r="AQ276" s="840"/>
    </row>
    <row r="277" spans="2:43">
      <c r="B277" s="837" t="s">
        <v>1039</v>
      </c>
      <c r="C277" s="837">
        <v>11048</v>
      </c>
      <c r="D277" s="837">
        <v>11084</v>
      </c>
      <c r="E277" s="837">
        <v>13227</v>
      </c>
      <c r="F277" s="837">
        <v>12487</v>
      </c>
      <c r="G277" s="837">
        <v>16919</v>
      </c>
      <c r="H277" s="837">
        <v>18958</v>
      </c>
      <c r="I277" s="837">
        <v>21226</v>
      </c>
      <c r="J277" s="837">
        <v>18932</v>
      </c>
      <c r="K277" s="837">
        <v>17569</v>
      </c>
      <c r="L277" s="838">
        <v>16241.408203125</v>
      </c>
      <c r="M277" s="838">
        <v>12175.6162109375</v>
      </c>
      <c r="N277" s="838">
        <v>10394.620000000001</v>
      </c>
      <c r="O277" s="838">
        <v>10430.719999999999</v>
      </c>
      <c r="P277" s="838">
        <v>10886.66</v>
      </c>
      <c r="Q277" s="838">
        <v>15039.36</v>
      </c>
      <c r="R277" s="838">
        <v>12305.92</v>
      </c>
      <c r="S277" s="838">
        <v>17015.169999999998</v>
      </c>
      <c r="T277" s="838">
        <v>17297.54</v>
      </c>
      <c r="U277" s="838">
        <v>20066.18</v>
      </c>
      <c r="V277" s="838">
        <v>21996.03</v>
      </c>
      <c r="W277" s="838">
        <v>16686.98</v>
      </c>
      <c r="X277" s="838">
        <v>15477.12</v>
      </c>
      <c r="Y277" s="838">
        <v>13941.38</v>
      </c>
      <c r="Z277" s="838">
        <v>10205.44</v>
      </c>
      <c r="AA277" s="838">
        <v>10414.08</v>
      </c>
      <c r="AB277" s="838">
        <v>8337.15</v>
      </c>
      <c r="AC277" s="838">
        <v>13967.26</v>
      </c>
      <c r="AD277" s="838">
        <v>14429.33</v>
      </c>
      <c r="AE277" s="838">
        <v>21846.11</v>
      </c>
      <c r="AF277" s="838">
        <v>18883.12</v>
      </c>
      <c r="AG277" s="838">
        <v>21129.22</v>
      </c>
      <c r="AH277" s="838">
        <v>15028.6</v>
      </c>
      <c r="AI277" s="838">
        <v>13101.85</v>
      </c>
      <c r="AJ277" s="838">
        <v>12213.45</v>
      </c>
      <c r="AK277" s="838"/>
      <c r="AL277" s="838"/>
      <c r="AM277" s="838"/>
      <c r="AN277" s="838"/>
      <c r="AO277" s="838"/>
      <c r="AP277" s="838"/>
      <c r="AQ277" s="838"/>
    </row>
    <row r="278" spans="2:43">
      <c r="B278" s="839" t="s">
        <v>1040</v>
      </c>
      <c r="C278" s="839">
        <v>11042</v>
      </c>
      <c r="D278" s="839">
        <v>11034</v>
      </c>
      <c r="E278" s="839">
        <v>13249</v>
      </c>
      <c r="F278" s="839">
        <v>12447</v>
      </c>
      <c r="G278" s="839">
        <v>16998</v>
      </c>
      <c r="H278" s="839">
        <v>18932</v>
      </c>
      <c r="I278" s="839">
        <v>21304</v>
      </c>
      <c r="J278" s="839">
        <v>18891</v>
      </c>
      <c r="K278" s="839">
        <v>17655</v>
      </c>
      <c r="L278" s="840">
        <v>16305.919921875</v>
      </c>
      <c r="M278" s="840">
        <v>12126.4638671875</v>
      </c>
      <c r="N278" s="840">
        <v>10453.25</v>
      </c>
      <c r="O278" s="840">
        <v>10371.33</v>
      </c>
      <c r="P278" s="840">
        <v>10945.02</v>
      </c>
      <c r="Q278" s="840">
        <v>15004.67</v>
      </c>
      <c r="R278" s="840">
        <v>12361.47</v>
      </c>
      <c r="S278" s="840">
        <v>16950.02</v>
      </c>
      <c r="T278" s="840">
        <v>17369.599999999999</v>
      </c>
      <c r="U278" s="840">
        <v>20095.23</v>
      </c>
      <c r="V278" s="840">
        <v>21949.18</v>
      </c>
      <c r="W278" s="840">
        <v>16705.79</v>
      </c>
      <c r="X278" s="840">
        <v>15501.31</v>
      </c>
      <c r="Y278" s="840">
        <v>13838.08</v>
      </c>
      <c r="Z278" s="840">
        <v>10203.14</v>
      </c>
      <c r="AA278" s="840">
        <v>10400.26</v>
      </c>
      <c r="AB278" s="840">
        <v>10660.86</v>
      </c>
      <c r="AC278" s="840">
        <v>13974.02</v>
      </c>
      <c r="AD278" s="840">
        <v>14436.86</v>
      </c>
      <c r="AE278" s="840">
        <v>21875.200000000001</v>
      </c>
      <c r="AF278" s="840">
        <v>18903.55</v>
      </c>
      <c r="AG278" s="840">
        <v>21159.94</v>
      </c>
      <c r="AH278" s="840">
        <v>15041.02</v>
      </c>
      <c r="AI278" s="840">
        <v>13106.69</v>
      </c>
      <c r="AJ278" s="840">
        <v>12218.88</v>
      </c>
      <c r="AK278" s="840"/>
      <c r="AL278" s="840"/>
      <c r="AM278" s="840"/>
      <c r="AN278" s="840"/>
      <c r="AO278" s="840"/>
      <c r="AP278" s="840"/>
      <c r="AQ278" s="840"/>
    </row>
    <row r="279" spans="2:43">
      <c r="B279" s="837" t="s">
        <v>1041</v>
      </c>
      <c r="C279" s="837">
        <v>758</v>
      </c>
      <c r="D279" s="837">
        <v>845</v>
      </c>
      <c r="E279" s="837">
        <v>961</v>
      </c>
      <c r="F279" s="837">
        <v>1131</v>
      </c>
      <c r="G279" s="837">
        <v>1885</v>
      </c>
      <c r="H279" s="837">
        <v>2511</v>
      </c>
      <c r="I279" s="837">
        <v>2481</v>
      </c>
      <c r="J279" s="837">
        <v>2366</v>
      </c>
      <c r="K279" s="837">
        <v>1893</v>
      </c>
      <c r="L279" s="838">
        <v>1445.3599853515625</v>
      </c>
      <c r="M279" s="838">
        <v>798.072021484375</v>
      </c>
      <c r="N279" s="838">
        <v>808.62</v>
      </c>
      <c r="O279" s="838">
        <v>600.17999999999995</v>
      </c>
      <c r="P279" s="838">
        <v>632.22</v>
      </c>
      <c r="Q279" s="838">
        <v>1114.01</v>
      </c>
      <c r="R279" s="838">
        <v>1038.99</v>
      </c>
      <c r="S279" s="838">
        <v>1844.94</v>
      </c>
      <c r="T279" s="838">
        <v>2174.81</v>
      </c>
      <c r="U279" s="838">
        <v>2294.7399999999998</v>
      </c>
      <c r="V279" s="838">
        <v>2447.4899999999998</v>
      </c>
      <c r="W279" s="838">
        <v>1584.54</v>
      </c>
      <c r="X279" s="838">
        <v>1408.72</v>
      </c>
      <c r="Y279" s="838">
        <v>1044.43</v>
      </c>
      <c r="Z279" s="838">
        <v>714.1</v>
      </c>
      <c r="AA279" s="838">
        <v>613.01</v>
      </c>
      <c r="AB279" s="838">
        <v>419.95</v>
      </c>
      <c r="AC279" s="838">
        <v>1001.7</v>
      </c>
      <c r="AD279" s="838">
        <v>1304.8</v>
      </c>
      <c r="AE279" s="838">
        <v>2294.88</v>
      </c>
      <c r="AF279" s="838">
        <v>2138.9</v>
      </c>
      <c r="AG279" s="838">
        <v>2339.9499999999998</v>
      </c>
      <c r="AH279" s="838">
        <v>2400.94</v>
      </c>
      <c r="AI279" s="838">
        <v>1686.3</v>
      </c>
      <c r="AJ279" s="838">
        <v>431.63</v>
      </c>
      <c r="AK279" s="838"/>
      <c r="AL279" s="838"/>
      <c r="AM279" s="838"/>
      <c r="AN279" s="838"/>
      <c r="AO279" s="838"/>
      <c r="AP279" s="838"/>
      <c r="AQ279" s="838"/>
    </row>
    <row r="280" spans="2:43">
      <c r="B280" s="839" t="s">
        <v>1042</v>
      </c>
      <c r="C280" s="839">
        <v>48411</v>
      </c>
      <c r="D280" s="839">
        <v>49618</v>
      </c>
      <c r="E280" s="839">
        <v>57196</v>
      </c>
      <c r="F280" s="839">
        <v>57539</v>
      </c>
      <c r="G280" s="839">
        <v>70147</v>
      </c>
      <c r="H280" s="839">
        <v>70875</v>
      </c>
      <c r="I280" s="839">
        <v>76809</v>
      </c>
      <c r="J280" s="839">
        <v>74135</v>
      </c>
      <c r="K280" s="839">
        <v>69071</v>
      </c>
      <c r="L280" s="840">
        <v>70300.15625</v>
      </c>
      <c r="M280" s="840">
        <v>58430.9765625</v>
      </c>
      <c r="N280" s="840">
        <v>53123.07</v>
      </c>
      <c r="O280" s="840">
        <v>47486.46</v>
      </c>
      <c r="P280" s="840">
        <v>48112.13</v>
      </c>
      <c r="Q280" s="840">
        <v>61686.79</v>
      </c>
      <c r="R280" s="840">
        <v>55425.02</v>
      </c>
      <c r="S280" s="840">
        <v>65879.55</v>
      </c>
      <c r="T280" s="840">
        <v>66482.179999999993</v>
      </c>
      <c r="U280" s="840">
        <v>68857.34</v>
      </c>
      <c r="V280" s="840">
        <v>73185.279999999999</v>
      </c>
      <c r="W280" s="840">
        <v>58049.54</v>
      </c>
      <c r="X280" s="840">
        <v>54295.040000000001</v>
      </c>
      <c r="Y280" s="840">
        <v>47420.41</v>
      </c>
      <c r="Z280" s="840">
        <v>43467.27</v>
      </c>
      <c r="AA280" s="840">
        <v>45851.14</v>
      </c>
      <c r="AB280" s="840">
        <v>45396.99</v>
      </c>
      <c r="AC280" s="840">
        <v>56550.400000000001</v>
      </c>
      <c r="AD280" s="840">
        <v>70272.52</v>
      </c>
      <c r="AE280" s="840">
        <v>86793.22</v>
      </c>
      <c r="AF280" s="840">
        <v>70441.98</v>
      </c>
      <c r="AG280" s="840">
        <v>76777.98</v>
      </c>
      <c r="AH280" s="840">
        <v>77723.13</v>
      </c>
      <c r="AI280" s="840">
        <v>70376.960000000006</v>
      </c>
      <c r="AJ280" s="840">
        <v>69843.97</v>
      </c>
      <c r="AK280" s="840"/>
      <c r="AL280" s="840"/>
      <c r="AM280" s="840"/>
      <c r="AN280" s="840"/>
      <c r="AO280" s="840"/>
      <c r="AP280" s="840"/>
      <c r="AQ280" s="840"/>
    </row>
    <row r="281" spans="2:43">
      <c r="B281" s="837" t="s">
        <v>1043</v>
      </c>
      <c r="C281" s="837">
        <v>14693</v>
      </c>
      <c r="D281" s="837">
        <v>16974</v>
      </c>
      <c r="E281" s="837">
        <v>24041</v>
      </c>
      <c r="F281" s="837">
        <v>29151</v>
      </c>
      <c r="G281" s="837">
        <v>42569</v>
      </c>
      <c r="H281" s="837">
        <v>54060</v>
      </c>
      <c r="I281" s="837">
        <v>63677</v>
      </c>
      <c r="J281" s="837">
        <v>56549</v>
      </c>
      <c r="K281" s="837">
        <v>49924</v>
      </c>
      <c r="L281" s="838">
        <v>44551.6796875</v>
      </c>
      <c r="M281" s="838">
        <v>24031.744140625</v>
      </c>
      <c r="N281" s="838">
        <v>24773.63</v>
      </c>
      <c r="O281" s="838">
        <v>15986.18</v>
      </c>
      <c r="P281" s="838">
        <v>16455.169999999998</v>
      </c>
      <c r="Q281" s="838">
        <v>29668.86</v>
      </c>
      <c r="R281" s="838">
        <v>34327.040000000001</v>
      </c>
      <c r="S281" s="838">
        <v>46530.559999999998</v>
      </c>
      <c r="T281" s="838">
        <v>53007.360000000001</v>
      </c>
      <c r="U281" s="838">
        <v>62631.43</v>
      </c>
      <c r="V281" s="838">
        <v>71435.27</v>
      </c>
      <c r="W281" s="838">
        <v>50806.27</v>
      </c>
      <c r="X281" s="838">
        <v>44785.15</v>
      </c>
      <c r="Y281" s="838">
        <v>36296.699999999997</v>
      </c>
      <c r="Z281" s="838">
        <v>27548.67</v>
      </c>
      <c r="AA281" s="838">
        <v>22679.040000000001</v>
      </c>
      <c r="AB281" s="838">
        <v>25709.06</v>
      </c>
      <c r="AC281" s="838">
        <v>32000</v>
      </c>
      <c r="AD281" s="838">
        <v>39407.11</v>
      </c>
      <c r="AE281" s="838">
        <v>74491.91</v>
      </c>
      <c r="AF281" s="838">
        <v>59953.15</v>
      </c>
      <c r="AG281" s="838">
        <v>67025.919999999998</v>
      </c>
      <c r="AH281" s="838">
        <v>65711.62</v>
      </c>
      <c r="AI281" s="838">
        <v>54946.82</v>
      </c>
      <c r="AJ281" s="838">
        <v>14749.7</v>
      </c>
      <c r="AK281" s="838"/>
      <c r="AL281" s="838"/>
      <c r="AM281" s="838"/>
      <c r="AN281" s="838"/>
      <c r="AO281" s="838"/>
      <c r="AP281" s="838"/>
      <c r="AQ281" s="838"/>
    </row>
    <row r="282" spans="2:43">
      <c r="B282" s="839" t="s">
        <v>1044</v>
      </c>
      <c r="C282" s="839">
        <v>0</v>
      </c>
      <c r="D282" s="839">
        <v>0</v>
      </c>
      <c r="E282" s="839">
        <v>0</v>
      </c>
      <c r="F282" s="839">
        <v>0</v>
      </c>
      <c r="G282" s="839">
        <v>0</v>
      </c>
      <c r="H282" s="839">
        <v>0</v>
      </c>
      <c r="I282" s="839">
        <v>0</v>
      </c>
      <c r="J282" s="839">
        <v>0</v>
      </c>
      <c r="K282" s="839">
        <v>0</v>
      </c>
      <c r="L282" s="839">
        <v>0</v>
      </c>
      <c r="M282" s="840">
        <v>1065.8062744140625</v>
      </c>
      <c r="N282" s="839">
        <v>3563.95</v>
      </c>
      <c r="O282" s="840">
        <v>3572.72</v>
      </c>
      <c r="P282" s="1058">
        <v>3375.47</v>
      </c>
      <c r="Q282" s="840">
        <v>4054.48</v>
      </c>
      <c r="R282" s="1058">
        <v>3678.35</v>
      </c>
      <c r="S282" s="840">
        <v>4169.84</v>
      </c>
      <c r="T282" s="1058">
        <v>3911.37</v>
      </c>
      <c r="U282" s="840">
        <v>3904.68</v>
      </c>
      <c r="V282" s="1058">
        <v>3695.59</v>
      </c>
      <c r="W282" s="840">
        <v>3628.47</v>
      </c>
      <c r="X282" s="1058">
        <v>3839.89</v>
      </c>
      <c r="Y282" s="840">
        <v>3709.09</v>
      </c>
      <c r="Z282" s="1058">
        <v>3654.04</v>
      </c>
      <c r="AA282" s="840">
        <v>3566.53</v>
      </c>
      <c r="AB282" s="1058">
        <v>3599.27</v>
      </c>
      <c r="AC282" s="840">
        <v>4166.58</v>
      </c>
      <c r="AD282" s="1058">
        <v>4022.04</v>
      </c>
      <c r="AE282" s="840">
        <v>4117.28</v>
      </c>
      <c r="AF282" s="1058">
        <v>3567.81</v>
      </c>
      <c r="AG282" s="840">
        <v>3868.13</v>
      </c>
      <c r="AH282" s="1058">
        <v>4075.49</v>
      </c>
      <c r="AI282" s="840">
        <v>3918.36</v>
      </c>
      <c r="AJ282" s="1058">
        <v>4078.4</v>
      </c>
      <c r="AK282" s="840"/>
      <c r="AL282" s="839"/>
      <c r="AM282" s="840"/>
      <c r="AN282" s="839"/>
      <c r="AO282" s="840"/>
      <c r="AP282" s="839"/>
      <c r="AQ282" s="840"/>
    </row>
    <row r="283" spans="2:43">
      <c r="B283" s="837" t="s">
        <v>1045</v>
      </c>
      <c r="C283" s="837">
        <v>0</v>
      </c>
      <c r="D283" s="837">
        <v>0</v>
      </c>
      <c r="E283" s="837">
        <v>0</v>
      </c>
      <c r="F283" s="837">
        <v>0</v>
      </c>
      <c r="G283" s="837">
        <v>0</v>
      </c>
      <c r="H283" s="837">
        <v>0</v>
      </c>
      <c r="I283" s="837">
        <v>0</v>
      </c>
      <c r="J283" s="837">
        <v>0</v>
      </c>
      <c r="K283" s="837">
        <v>0</v>
      </c>
      <c r="L283" s="837">
        <v>0</v>
      </c>
      <c r="M283" s="838">
        <v>1459.8951416015625</v>
      </c>
      <c r="N283" s="837">
        <v>4533.78</v>
      </c>
      <c r="O283" s="838">
        <v>4477.2</v>
      </c>
      <c r="P283" s="1059">
        <v>4418.93</v>
      </c>
      <c r="Q283" s="838">
        <v>5058.18</v>
      </c>
      <c r="R283" s="1059">
        <v>4584.75</v>
      </c>
      <c r="S283" s="838">
        <v>5146.54</v>
      </c>
      <c r="T283" s="1059">
        <v>4910.46</v>
      </c>
      <c r="U283" s="838">
        <v>4919.82</v>
      </c>
      <c r="V283" s="1059">
        <v>5098.34</v>
      </c>
      <c r="W283" s="838">
        <v>5009.3500000000004</v>
      </c>
      <c r="X283" s="1059">
        <v>5159.67</v>
      </c>
      <c r="Y283" s="838">
        <v>4984.5</v>
      </c>
      <c r="Z283" s="1059">
        <v>4456.59</v>
      </c>
      <c r="AA283" s="838">
        <v>4828.6899999999996</v>
      </c>
      <c r="AB283" s="1059">
        <v>4794.12</v>
      </c>
      <c r="AC283" s="838">
        <v>5233.45</v>
      </c>
      <c r="AD283" s="1059">
        <v>5258.02</v>
      </c>
      <c r="AE283" s="838">
        <v>5431.38</v>
      </c>
      <c r="AF283" s="1059">
        <v>4928.0600000000004</v>
      </c>
      <c r="AG283" s="838">
        <v>5091.7700000000004</v>
      </c>
      <c r="AH283" s="1059">
        <v>5166.87</v>
      </c>
      <c r="AI283" s="838">
        <v>5030.58</v>
      </c>
      <c r="AJ283" s="1059">
        <v>5350.11</v>
      </c>
      <c r="AK283" s="838"/>
      <c r="AL283" s="837"/>
      <c r="AM283" s="838"/>
      <c r="AN283" s="837"/>
      <c r="AO283" s="838"/>
      <c r="AP283" s="837"/>
      <c r="AQ283" s="838"/>
    </row>
    <row r="284" spans="2:43">
      <c r="B284" s="839" t="s">
        <v>1046</v>
      </c>
      <c r="C284" s="839">
        <v>0</v>
      </c>
      <c r="D284" s="839">
        <v>0</v>
      </c>
      <c r="E284" s="839">
        <v>0</v>
      </c>
      <c r="F284" s="839">
        <v>0</v>
      </c>
      <c r="G284" s="839">
        <v>0</v>
      </c>
      <c r="H284" s="839">
        <v>0</v>
      </c>
      <c r="I284" s="839">
        <v>0</v>
      </c>
      <c r="J284" s="839">
        <v>0</v>
      </c>
      <c r="K284" s="839">
        <v>0</v>
      </c>
      <c r="L284" s="839">
        <v>0</v>
      </c>
      <c r="M284" s="840">
        <v>2903.829345703125</v>
      </c>
      <c r="N284" s="839">
        <v>9963.69</v>
      </c>
      <c r="O284" s="840">
        <v>9034.84</v>
      </c>
      <c r="P284" s="1058">
        <v>9191.43</v>
      </c>
      <c r="Q284" s="840">
        <v>10287.43</v>
      </c>
      <c r="R284" s="1058">
        <v>7434.67</v>
      </c>
      <c r="S284" s="840">
        <v>9791.44</v>
      </c>
      <c r="T284" s="1058">
        <v>8876.98</v>
      </c>
      <c r="U284" s="840">
        <v>11182.18</v>
      </c>
      <c r="V284" s="839">
        <v>12716.7</v>
      </c>
      <c r="W284" s="840">
        <v>6745.38</v>
      </c>
      <c r="X284" s="1058">
        <v>4485.84</v>
      </c>
      <c r="Y284" s="840">
        <v>4217.09</v>
      </c>
      <c r="Z284" s="1058">
        <v>3348.07</v>
      </c>
      <c r="AA284" s="840">
        <v>4142.5200000000004</v>
      </c>
      <c r="AB284" s="1058">
        <v>3891.11</v>
      </c>
      <c r="AC284" s="840">
        <v>5153.88</v>
      </c>
      <c r="AD284" s="1058">
        <v>4474.49</v>
      </c>
      <c r="AE284" s="840">
        <v>8011.24</v>
      </c>
      <c r="AF284" s="1058">
        <v>8167.04</v>
      </c>
      <c r="AG284" s="840">
        <v>8571.31</v>
      </c>
      <c r="AH284" s="1058">
        <v>8747.6</v>
      </c>
      <c r="AI284" s="840">
        <v>6535.15</v>
      </c>
      <c r="AJ284" s="1058">
        <v>5628.42</v>
      </c>
      <c r="AK284" s="840"/>
      <c r="AL284" s="839"/>
      <c r="AM284" s="840"/>
      <c r="AN284" s="839"/>
      <c r="AO284" s="840"/>
      <c r="AP284" s="839"/>
      <c r="AQ284" s="840"/>
    </row>
    <row r="285" spans="2:43">
      <c r="B285" s="837" t="s">
        <v>1047</v>
      </c>
      <c r="C285" s="837">
        <v>0</v>
      </c>
      <c r="D285" s="837">
        <v>0</v>
      </c>
      <c r="E285" s="837">
        <v>0</v>
      </c>
      <c r="F285" s="837">
        <v>0</v>
      </c>
      <c r="G285" s="837">
        <v>0</v>
      </c>
      <c r="H285" s="837">
        <v>0</v>
      </c>
      <c r="I285" s="837">
        <v>0</v>
      </c>
      <c r="J285" s="837">
        <v>0</v>
      </c>
      <c r="K285" s="837">
        <v>0</v>
      </c>
      <c r="L285" s="837">
        <v>0</v>
      </c>
      <c r="M285" s="838">
        <v>4.9775552749633789</v>
      </c>
      <c r="N285" s="837">
        <v>14.07</v>
      </c>
      <c r="O285" s="838">
        <v>13.03</v>
      </c>
      <c r="P285" s="837">
        <v>13.34</v>
      </c>
      <c r="Q285" s="838">
        <v>15.47</v>
      </c>
      <c r="R285" s="837">
        <v>19.739999999999998</v>
      </c>
      <c r="S285" s="838">
        <v>10.62</v>
      </c>
      <c r="T285" s="837">
        <v>9.69</v>
      </c>
      <c r="U285" s="838">
        <v>23.95</v>
      </c>
      <c r="V285" s="1059">
        <v>75.400000000000006</v>
      </c>
      <c r="W285" s="838">
        <v>74.47</v>
      </c>
      <c r="X285" s="837">
        <v>76.88</v>
      </c>
      <c r="Y285" s="838">
        <v>74.540000000000006</v>
      </c>
      <c r="Z285" s="837">
        <v>75.97</v>
      </c>
      <c r="AA285" s="838">
        <v>76.290000000000006</v>
      </c>
      <c r="AB285" s="837">
        <v>69.989999999999995</v>
      </c>
      <c r="AC285" s="838">
        <v>77.34</v>
      </c>
      <c r="AD285" s="837">
        <v>74.25</v>
      </c>
      <c r="AE285" s="838">
        <v>77.11</v>
      </c>
      <c r="AF285" s="837">
        <v>89.66</v>
      </c>
      <c r="AG285" s="838">
        <v>85.89</v>
      </c>
      <c r="AH285" s="837">
        <v>77.290000000000006</v>
      </c>
      <c r="AI285" s="838">
        <v>74.180000000000007</v>
      </c>
      <c r="AJ285" s="837">
        <v>77.98</v>
      </c>
      <c r="AK285" s="838"/>
      <c r="AL285" s="837"/>
      <c r="AM285" s="838"/>
      <c r="AN285" s="837"/>
      <c r="AO285" s="838"/>
      <c r="AP285" s="837"/>
      <c r="AQ285" s="838"/>
    </row>
    <row r="286" spans="2:43">
      <c r="B286" s="839" t="s">
        <v>1048</v>
      </c>
      <c r="C286" s="839">
        <v>0</v>
      </c>
      <c r="D286" s="839">
        <v>0</v>
      </c>
      <c r="E286" s="839">
        <v>0</v>
      </c>
      <c r="F286" s="839">
        <v>0</v>
      </c>
      <c r="G286" s="839">
        <v>0</v>
      </c>
      <c r="H286" s="839">
        <v>0</v>
      </c>
      <c r="I286" s="839">
        <v>0</v>
      </c>
      <c r="J286" s="839">
        <v>0</v>
      </c>
      <c r="K286" s="839">
        <v>0</v>
      </c>
      <c r="L286" s="839">
        <v>0</v>
      </c>
      <c r="M286" s="840">
        <v>643.31744384765625</v>
      </c>
      <c r="N286" s="839">
        <v>1892.49</v>
      </c>
      <c r="O286" s="840">
        <v>1377.45</v>
      </c>
      <c r="P286" s="1058">
        <v>1550.87</v>
      </c>
      <c r="Q286" s="840">
        <v>3279.85</v>
      </c>
      <c r="R286" s="1058">
        <v>3264.65</v>
      </c>
      <c r="S286" s="840">
        <v>4876.9399999999996</v>
      </c>
      <c r="T286" s="1058">
        <v>4770.4799999999996</v>
      </c>
      <c r="U286" s="840">
        <v>5654.09</v>
      </c>
      <c r="V286" s="839">
        <v>7339.86</v>
      </c>
      <c r="W286" s="840">
        <v>3959.24</v>
      </c>
      <c r="X286" s="1058">
        <v>3219.7</v>
      </c>
      <c r="Y286" s="840">
        <v>2346.71</v>
      </c>
      <c r="Z286" s="1058">
        <v>1887.02</v>
      </c>
      <c r="AA286" s="840">
        <v>1821.9</v>
      </c>
      <c r="AB286" s="1058">
        <v>1501.88</v>
      </c>
      <c r="AC286" s="840">
        <v>3288.09</v>
      </c>
      <c r="AD286" s="1058">
        <v>3132.69</v>
      </c>
      <c r="AE286" s="840">
        <v>5079.1400000000003</v>
      </c>
      <c r="AF286" s="1058">
        <v>4832.04</v>
      </c>
      <c r="AG286" s="840">
        <v>5769.78</v>
      </c>
      <c r="AH286" s="1058">
        <v>5422.78</v>
      </c>
      <c r="AI286" s="840">
        <v>3838.73</v>
      </c>
      <c r="AJ286" s="1058">
        <v>3240.12</v>
      </c>
      <c r="AK286" s="840"/>
      <c r="AL286" s="839"/>
      <c r="AM286" s="840"/>
      <c r="AN286" s="839"/>
      <c r="AO286" s="840"/>
      <c r="AP286" s="839"/>
      <c r="AQ286" s="840"/>
    </row>
    <row r="287" spans="2:43">
      <c r="B287" s="837" t="s">
        <v>1049</v>
      </c>
      <c r="C287" s="837">
        <v>0</v>
      </c>
      <c r="D287" s="837">
        <v>0</v>
      </c>
      <c r="E287" s="837">
        <v>0</v>
      </c>
      <c r="F287" s="837">
        <v>0</v>
      </c>
      <c r="G287" s="837">
        <v>0</v>
      </c>
      <c r="H287" s="837">
        <v>0</v>
      </c>
      <c r="I287" s="837">
        <v>0</v>
      </c>
      <c r="J287" s="837">
        <v>0</v>
      </c>
      <c r="K287" s="837">
        <v>0</v>
      </c>
      <c r="L287" s="837">
        <v>0</v>
      </c>
      <c r="M287" s="838">
        <v>415.41082763671875</v>
      </c>
      <c r="N287" s="837">
        <v>1084.26</v>
      </c>
      <c r="O287" s="838">
        <v>1116.02</v>
      </c>
      <c r="P287" s="1059">
        <v>1209.7</v>
      </c>
      <c r="Q287" s="838">
        <v>1722.67</v>
      </c>
      <c r="R287" s="1059">
        <v>1351.73</v>
      </c>
      <c r="S287" s="838">
        <v>1768.8</v>
      </c>
      <c r="T287" s="1059">
        <v>2224.64</v>
      </c>
      <c r="U287" s="838">
        <v>2291.89</v>
      </c>
      <c r="V287" s="1059">
        <v>1990.63</v>
      </c>
      <c r="W287" s="838">
        <v>1643.04</v>
      </c>
      <c r="X287" s="1059">
        <v>1286.8699999999999</v>
      </c>
      <c r="Y287" s="838">
        <v>962.66</v>
      </c>
      <c r="Z287" s="1059">
        <v>1184.58</v>
      </c>
      <c r="AA287" s="838">
        <v>1193.01</v>
      </c>
      <c r="AB287" s="1059">
        <v>1143.18</v>
      </c>
      <c r="AC287" s="838">
        <v>1886.6</v>
      </c>
      <c r="AD287" s="1059">
        <v>1737.86</v>
      </c>
      <c r="AE287" s="838">
        <v>1961.13</v>
      </c>
      <c r="AF287" s="1059">
        <v>1594.71</v>
      </c>
      <c r="AG287" s="838">
        <v>1676.89</v>
      </c>
      <c r="AH287" s="1059">
        <v>2119.0500000000002</v>
      </c>
      <c r="AI287" s="838">
        <v>1715.54</v>
      </c>
      <c r="AJ287" s="1059">
        <v>1683.01</v>
      </c>
      <c r="AK287" s="838"/>
      <c r="AL287" s="837"/>
      <c r="AM287" s="838"/>
      <c r="AN287" s="837"/>
      <c r="AO287" s="838"/>
      <c r="AP287" s="837"/>
      <c r="AQ287" s="838"/>
    </row>
    <row r="288" spans="2:43">
      <c r="B288" s="839" t="s">
        <v>1050</v>
      </c>
      <c r="C288" s="839">
        <v>0</v>
      </c>
      <c r="D288" s="839">
        <v>0</v>
      </c>
      <c r="E288" s="839">
        <v>0</v>
      </c>
      <c r="F288" s="839">
        <v>0</v>
      </c>
      <c r="G288" s="839">
        <v>0</v>
      </c>
      <c r="H288" s="839">
        <v>0</v>
      </c>
      <c r="I288" s="839">
        <v>0</v>
      </c>
      <c r="J288" s="839">
        <v>0</v>
      </c>
      <c r="K288" s="839">
        <v>0</v>
      </c>
      <c r="L288" s="839">
        <v>0</v>
      </c>
      <c r="M288" s="840">
        <v>659.40850830078125</v>
      </c>
      <c r="N288" s="839">
        <v>1741.47</v>
      </c>
      <c r="O288" s="840">
        <v>1578.16</v>
      </c>
      <c r="P288" s="1058">
        <v>1535.64</v>
      </c>
      <c r="Q288" s="840">
        <v>2118.35</v>
      </c>
      <c r="R288" s="1058">
        <v>1803.87</v>
      </c>
      <c r="S288" s="840">
        <v>2005.28</v>
      </c>
      <c r="T288" s="1058">
        <v>1924.9</v>
      </c>
      <c r="U288" s="840">
        <v>1885.23</v>
      </c>
      <c r="V288" s="1058">
        <v>2141.9299999999998</v>
      </c>
      <c r="W288" s="840">
        <v>1867.15</v>
      </c>
      <c r="X288" s="1058">
        <v>1854.49</v>
      </c>
      <c r="Y288" s="840">
        <v>1523.3</v>
      </c>
      <c r="Z288" s="1058">
        <v>1420.21</v>
      </c>
      <c r="AA288" s="840">
        <v>1620.3</v>
      </c>
      <c r="AB288" s="1058">
        <v>1645.28</v>
      </c>
      <c r="AC288" s="840">
        <v>2008.09</v>
      </c>
      <c r="AD288" s="1058">
        <v>2278.59</v>
      </c>
      <c r="AE288" s="840">
        <v>2185.42</v>
      </c>
      <c r="AF288" s="1058">
        <v>2056.65</v>
      </c>
      <c r="AG288" s="840">
        <v>1838.73</v>
      </c>
      <c r="AH288" s="1058">
        <v>2241.66</v>
      </c>
      <c r="AI288" s="840">
        <v>2205.42</v>
      </c>
      <c r="AJ288" s="1058">
        <v>2463.5300000000002</v>
      </c>
      <c r="AK288" s="840"/>
      <c r="AL288" s="839"/>
      <c r="AM288" s="840"/>
      <c r="AN288" s="839"/>
      <c r="AO288" s="840"/>
      <c r="AP288" s="839"/>
      <c r="AQ288" s="840"/>
    </row>
    <row r="289" spans="2:43">
      <c r="B289" s="837" t="s">
        <v>1051</v>
      </c>
      <c r="C289" s="837">
        <v>0</v>
      </c>
      <c r="D289" s="837">
        <v>0</v>
      </c>
      <c r="E289" s="837">
        <v>0</v>
      </c>
      <c r="F289" s="837">
        <v>0</v>
      </c>
      <c r="G289" s="837">
        <v>0</v>
      </c>
      <c r="H289" s="837">
        <v>0</v>
      </c>
      <c r="I289" s="837">
        <v>0</v>
      </c>
      <c r="J289" s="837">
        <v>0</v>
      </c>
      <c r="K289" s="837">
        <v>0</v>
      </c>
      <c r="L289" s="837">
        <v>0</v>
      </c>
      <c r="M289" s="838">
        <v>1413.55908203125</v>
      </c>
      <c r="N289" s="837">
        <v>4096.46</v>
      </c>
      <c r="O289" s="838">
        <v>3062.88</v>
      </c>
      <c r="P289" s="1059">
        <v>3349.61</v>
      </c>
      <c r="Q289" s="838">
        <v>4159.8999999999996</v>
      </c>
      <c r="R289" s="1059">
        <v>3735.6</v>
      </c>
      <c r="S289" s="838">
        <v>3845.82</v>
      </c>
      <c r="T289" s="1059">
        <v>4450.78</v>
      </c>
      <c r="U289" s="838">
        <v>3663.83</v>
      </c>
      <c r="V289" s="1059">
        <v>4094.24</v>
      </c>
      <c r="W289" s="838">
        <v>3758.63</v>
      </c>
      <c r="X289" s="1059">
        <v>4396.47</v>
      </c>
      <c r="Y289" s="838">
        <v>3428.61</v>
      </c>
      <c r="Z289" s="1059">
        <v>3626.11</v>
      </c>
      <c r="AA289" s="838">
        <v>4032.76</v>
      </c>
      <c r="AB289" s="1059">
        <v>3982.44</v>
      </c>
      <c r="AC289" s="838">
        <v>3773.45</v>
      </c>
      <c r="AD289" s="1059">
        <v>5077.1899999999996</v>
      </c>
      <c r="AE289" s="838">
        <v>4293.79</v>
      </c>
      <c r="AF289" s="1059">
        <v>3935.56</v>
      </c>
      <c r="AG289" s="838">
        <v>3852.1</v>
      </c>
      <c r="AH289" s="1059">
        <v>4384.4399999999996</v>
      </c>
      <c r="AI289" s="838">
        <v>4061.3</v>
      </c>
      <c r="AJ289" s="1059">
        <v>4872.37</v>
      </c>
      <c r="AK289" s="838"/>
      <c r="AL289" s="837"/>
      <c r="AM289" s="838"/>
      <c r="AN289" s="837"/>
      <c r="AO289" s="838"/>
      <c r="AP289" s="837"/>
      <c r="AQ289" s="838"/>
    </row>
    <row r="290" spans="2:43">
      <c r="B290" s="839" t="s">
        <v>1052</v>
      </c>
      <c r="C290" s="839">
        <v>0</v>
      </c>
      <c r="D290" s="839">
        <v>0</v>
      </c>
      <c r="E290" s="839">
        <v>0</v>
      </c>
      <c r="F290" s="839">
        <v>0</v>
      </c>
      <c r="G290" s="839">
        <v>0</v>
      </c>
      <c r="H290" s="839">
        <v>0</v>
      </c>
      <c r="I290" s="839">
        <v>0</v>
      </c>
      <c r="J290" s="839">
        <v>0</v>
      </c>
      <c r="K290" s="839">
        <v>0</v>
      </c>
      <c r="L290" s="839">
        <v>0</v>
      </c>
      <c r="M290" s="840">
        <v>67.723335266113281</v>
      </c>
      <c r="N290" s="839">
        <v>226.54</v>
      </c>
      <c r="O290" s="840">
        <v>246.66</v>
      </c>
      <c r="P290" s="839">
        <v>225.58</v>
      </c>
      <c r="Q290" s="840">
        <v>590.12</v>
      </c>
      <c r="R290" s="839">
        <v>504.43</v>
      </c>
      <c r="S290" s="840">
        <v>770.27</v>
      </c>
      <c r="T290" s="839">
        <v>591.16</v>
      </c>
      <c r="U290" s="840">
        <v>75.45</v>
      </c>
      <c r="V290" s="1058">
        <v>57.88</v>
      </c>
      <c r="W290" s="840">
        <v>136.1</v>
      </c>
      <c r="X290" s="839">
        <v>147.28</v>
      </c>
      <c r="Y290" s="840">
        <v>134.77000000000001</v>
      </c>
      <c r="Z290" s="839">
        <v>121.15</v>
      </c>
      <c r="AA290" s="840">
        <v>100.33</v>
      </c>
      <c r="AB290" s="839">
        <v>288.23</v>
      </c>
      <c r="AC290" s="840">
        <v>252.21</v>
      </c>
      <c r="AD290" s="1058">
        <v>2165.84</v>
      </c>
      <c r="AE290" s="840">
        <v>4553.63</v>
      </c>
      <c r="AF290" s="1058">
        <v>1357.39</v>
      </c>
      <c r="AG290" s="840">
        <v>1711.2</v>
      </c>
      <c r="AH290" s="1058">
        <v>1344.53</v>
      </c>
      <c r="AI290" s="840">
        <v>2065.92</v>
      </c>
      <c r="AJ290" s="1058">
        <v>1698.73</v>
      </c>
      <c r="AK290" s="840"/>
      <c r="AL290" s="839"/>
      <c r="AM290" s="840"/>
      <c r="AN290" s="839"/>
      <c r="AO290" s="840"/>
      <c r="AP290" s="839"/>
      <c r="AQ290" s="840"/>
    </row>
    <row r="291" spans="2:43">
      <c r="B291" s="837" t="s">
        <v>1053</v>
      </c>
      <c r="C291" s="837">
        <v>0</v>
      </c>
      <c r="D291" s="837">
        <v>0</v>
      </c>
      <c r="E291" s="837">
        <v>0</v>
      </c>
      <c r="F291" s="837">
        <v>0</v>
      </c>
      <c r="G291" s="837">
        <v>0</v>
      </c>
      <c r="H291" s="837">
        <v>0</v>
      </c>
      <c r="I291" s="837">
        <v>0</v>
      </c>
      <c r="J291" s="837">
        <v>0</v>
      </c>
      <c r="K291" s="837">
        <v>0</v>
      </c>
      <c r="L291" s="837">
        <v>0</v>
      </c>
      <c r="M291" s="838">
        <v>374.94247436523438</v>
      </c>
      <c r="N291" s="837">
        <v>1462.4</v>
      </c>
      <c r="O291" s="838">
        <v>1218.94</v>
      </c>
      <c r="P291" s="1059">
        <v>1064.6199999999999</v>
      </c>
      <c r="Q291" s="838">
        <v>1580.15</v>
      </c>
      <c r="R291" s="1059">
        <v>1769.13</v>
      </c>
      <c r="S291" s="838">
        <v>1917.81</v>
      </c>
      <c r="T291" s="1059">
        <v>1670.63</v>
      </c>
      <c r="U291" s="838">
        <v>1126.7</v>
      </c>
      <c r="V291" s="1059">
        <v>1141.9100000000001</v>
      </c>
      <c r="W291" s="838">
        <v>2253.0500000000002</v>
      </c>
      <c r="X291" s="1059">
        <v>2502.11</v>
      </c>
      <c r="Y291" s="838">
        <v>1938.1</v>
      </c>
      <c r="Z291" s="1059">
        <v>1225.72</v>
      </c>
      <c r="AA291" s="838">
        <v>1328.05</v>
      </c>
      <c r="AB291" s="1059">
        <v>1014.35</v>
      </c>
      <c r="AC291" s="838">
        <v>1358.12</v>
      </c>
      <c r="AD291" s="1059">
        <v>3021.81</v>
      </c>
      <c r="AE291" s="838">
        <v>3789.81</v>
      </c>
      <c r="AF291" s="1059">
        <v>2863.34</v>
      </c>
      <c r="AG291" s="838">
        <v>3492.2</v>
      </c>
      <c r="AH291" s="1059">
        <v>3088.17</v>
      </c>
      <c r="AI291" s="838">
        <v>2658</v>
      </c>
      <c r="AJ291" s="1059">
        <v>2488.12</v>
      </c>
      <c r="AK291" s="838"/>
      <c r="AL291" s="837"/>
      <c r="AM291" s="838"/>
      <c r="AN291" s="837"/>
      <c r="AO291" s="838"/>
      <c r="AP291" s="837"/>
      <c r="AQ291" s="838"/>
    </row>
    <row r="292" spans="2:43">
      <c r="B292" s="839" t="s">
        <v>1054</v>
      </c>
      <c r="C292" s="839">
        <v>0</v>
      </c>
      <c r="D292" s="839">
        <v>0</v>
      </c>
      <c r="E292" s="839">
        <v>0</v>
      </c>
      <c r="F292" s="839">
        <v>0</v>
      </c>
      <c r="G292" s="839">
        <v>0</v>
      </c>
      <c r="H292" s="839">
        <v>0</v>
      </c>
      <c r="I292" s="839">
        <v>0</v>
      </c>
      <c r="J292" s="839">
        <v>0</v>
      </c>
      <c r="K292" s="839">
        <v>0</v>
      </c>
      <c r="L292" s="839">
        <v>0</v>
      </c>
      <c r="M292" s="840">
        <v>102.79906463623047</v>
      </c>
      <c r="N292" s="839">
        <v>425.02</v>
      </c>
      <c r="O292" s="840">
        <v>347.07</v>
      </c>
      <c r="P292" s="839">
        <v>371.48</v>
      </c>
      <c r="Q292" s="840">
        <v>665.43</v>
      </c>
      <c r="R292" s="839">
        <v>714.72</v>
      </c>
      <c r="S292" s="840">
        <v>1016.11</v>
      </c>
      <c r="T292" s="1058">
        <v>1211.8599999999999</v>
      </c>
      <c r="U292" s="840">
        <v>204.42</v>
      </c>
      <c r="V292" s="1058">
        <v>137.15</v>
      </c>
      <c r="W292" s="840">
        <v>83.34</v>
      </c>
      <c r="X292" s="839">
        <v>63.53</v>
      </c>
      <c r="Y292" s="840">
        <v>159.44</v>
      </c>
      <c r="Z292" s="839">
        <v>92.08</v>
      </c>
      <c r="AA292" s="840">
        <v>111.87</v>
      </c>
      <c r="AB292" s="839">
        <v>912.19</v>
      </c>
      <c r="AC292" s="840">
        <v>1130.8800000000001</v>
      </c>
      <c r="AD292" s="1058">
        <v>4146.2700000000004</v>
      </c>
      <c r="AE292" s="840">
        <v>5068.4399999999996</v>
      </c>
      <c r="AF292" s="1058">
        <v>2462.04</v>
      </c>
      <c r="AG292" s="840">
        <v>3034.03</v>
      </c>
      <c r="AH292" s="1058">
        <v>2242.0700000000002</v>
      </c>
      <c r="AI292" s="840">
        <v>2340.4</v>
      </c>
      <c r="AJ292" s="1058">
        <v>2210.14</v>
      </c>
      <c r="AK292" s="840"/>
      <c r="AL292" s="839"/>
      <c r="AM292" s="840"/>
      <c r="AN292" s="839"/>
      <c r="AO292" s="840"/>
      <c r="AP292" s="839"/>
      <c r="AQ292" s="840"/>
    </row>
    <row r="293" spans="2:43">
      <c r="B293" s="837" t="s">
        <v>1055</v>
      </c>
      <c r="C293" s="837">
        <v>0</v>
      </c>
      <c r="D293" s="837">
        <v>0</v>
      </c>
      <c r="E293" s="837">
        <v>0</v>
      </c>
      <c r="F293" s="837">
        <v>0</v>
      </c>
      <c r="G293" s="837">
        <v>0</v>
      </c>
      <c r="H293" s="837">
        <v>0</v>
      </c>
      <c r="I293" s="837">
        <v>0</v>
      </c>
      <c r="J293" s="837">
        <v>0</v>
      </c>
      <c r="K293" s="837">
        <v>0</v>
      </c>
      <c r="L293" s="837">
        <v>0</v>
      </c>
      <c r="M293" s="838">
        <v>1089.78857421875</v>
      </c>
      <c r="N293" s="837">
        <v>4021.55</v>
      </c>
      <c r="O293" s="838">
        <v>3837.13</v>
      </c>
      <c r="P293" s="1059">
        <v>3615.55</v>
      </c>
      <c r="Q293" s="838">
        <v>4135.6499999999996</v>
      </c>
      <c r="R293" s="1059">
        <v>3607.61</v>
      </c>
      <c r="S293" s="838">
        <v>4202.1400000000003</v>
      </c>
      <c r="T293" s="1059">
        <v>3187.32</v>
      </c>
      <c r="U293" s="838">
        <v>3271.06</v>
      </c>
      <c r="V293" s="1059">
        <v>3294.58</v>
      </c>
      <c r="W293" s="838">
        <v>2967.9</v>
      </c>
      <c r="X293" s="1059">
        <v>2566.12</v>
      </c>
      <c r="Y293" s="838">
        <v>2452.86</v>
      </c>
      <c r="Z293" s="1059">
        <v>2444.79</v>
      </c>
      <c r="AA293" s="838">
        <v>2747.62</v>
      </c>
      <c r="AB293" s="1059">
        <v>2018.12</v>
      </c>
      <c r="AC293" s="838">
        <v>2485.7199999999998</v>
      </c>
      <c r="AD293" s="1059">
        <v>6745.42</v>
      </c>
      <c r="AE293" s="838">
        <v>8552.6299999999992</v>
      </c>
      <c r="AF293" s="1059">
        <v>5712.03</v>
      </c>
      <c r="AG293" s="838">
        <v>6652.49</v>
      </c>
      <c r="AH293" s="1059">
        <v>6578.56</v>
      </c>
      <c r="AI293" s="838">
        <v>6357.07</v>
      </c>
      <c r="AJ293" s="1059">
        <v>6453.12</v>
      </c>
      <c r="AK293" s="838"/>
      <c r="AL293" s="837"/>
      <c r="AM293" s="838"/>
      <c r="AN293" s="837"/>
      <c r="AO293" s="838"/>
      <c r="AP293" s="837"/>
      <c r="AQ293" s="838"/>
    </row>
    <row r="294" spans="2:43">
      <c r="B294" s="839" t="s">
        <v>1056</v>
      </c>
      <c r="C294" s="839">
        <v>0</v>
      </c>
      <c r="D294" s="839">
        <v>0</v>
      </c>
      <c r="E294" s="839">
        <v>0</v>
      </c>
      <c r="F294" s="839">
        <v>0</v>
      </c>
      <c r="G294" s="839">
        <v>0</v>
      </c>
      <c r="H294" s="839">
        <v>0</v>
      </c>
      <c r="I294" s="839">
        <v>0</v>
      </c>
      <c r="J294" s="839">
        <v>0</v>
      </c>
      <c r="K294" s="839">
        <v>0</v>
      </c>
      <c r="L294" s="839">
        <v>0</v>
      </c>
      <c r="M294" s="840">
        <v>1608.750732421875</v>
      </c>
      <c r="N294" s="839">
        <v>4096.6099999999997</v>
      </c>
      <c r="O294" s="840">
        <v>3435.13</v>
      </c>
      <c r="P294" s="1058">
        <v>3469.34</v>
      </c>
      <c r="Q294" s="840">
        <v>5743.95</v>
      </c>
      <c r="R294" s="1058">
        <v>6813.33</v>
      </c>
      <c r="S294" s="840">
        <v>8896.82</v>
      </c>
      <c r="T294" s="1058">
        <v>9155.61</v>
      </c>
      <c r="U294" s="840">
        <v>10734.21</v>
      </c>
      <c r="V294" s="1058">
        <v>11740.24</v>
      </c>
      <c r="W294" s="840">
        <v>8312.11</v>
      </c>
      <c r="X294" s="1058">
        <v>7183.32</v>
      </c>
      <c r="Y294" s="840">
        <v>6021.53</v>
      </c>
      <c r="Z294" s="1058">
        <v>3884.62</v>
      </c>
      <c r="AA294" s="840">
        <v>4215.8999999999996</v>
      </c>
      <c r="AB294" s="1058">
        <v>5307.34</v>
      </c>
      <c r="AC294" s="840">
        <v>8409.42</v>
      </c>
      <c r="AD294" s="1058">
        <v>8386.6200000000008</v>
      </c>
      <c r="AE294" s="840">
        <v>11656.26</v>
      </c>
      <c r="AF294" s="1058">
        <v>10310.14</v>
      </c>
      <c r="AG294" s="840">
        <v>12247.44</v>
      </c>
      <c r="AH294" s="1058">
        <v>11218.59</v>
      </c>
      <c r="AI294" s="840">
        <v>9896.77</v>
      </c>
      <c r="AJ294" s="1058">
        <v>8841.09</v>
      </c>
      <c r="AK294" s="840"/>
      <c r="AL294" s="839"/>
      <c r="AM294" s="840"/>
      <c r="AN294" s="839"/>
      <c r="AO294" s="840"/>
      <c r="AP294" s="839"/>
      <c r="AQ294" s="840"/>
    </row>
    <row r="295" spans="2:43">
      <c r="B295" s="837" t="s">
        <v>1057</v>
      </c>
      <c r="C295" s="837">
        <v>0</v>
      </c>
      <c r="D295" s="837">
        <v>0</v>
      </c>
      <c r="E295" s="837">
        <v>0</v>
      </c>
      <c r="F295" s="837">
        <v>0</v>
      </c>
      <c r="G295" s="837">
        <v>0</v>
      </c>
      <c r="H295" s="837">
        <v>0</v>
      </c>
      <c r="I295" s="837">
        <v>0</v>
      </c>
      <c r="J295" s="837">
        <v>0</v>
      </c>
      <c r="K295" s="837">
        <v>0</v>
      </c>
      <c r="L295" s="837">
        <v>0</v>
      </c>
      <c r="M295" s="838">
        <v>2348.521240234375</v>
      </c>
      <c r="N295" s="837">
        <v>6961.17</v>
      </c>
      <c r="O295" s="838">
        <v>5307.94</v>
      </c>
      <c r="P295" s="1059">
        <v>5889.32</v>
      </c>
      <c r="Q295" s="838">
        <v>7597.07</v>
      </c>
      <c r="R295" s="1059">
        <v>6580.65</v>
      </c>
      <c r="S295" s="838">
        <v>7299.62</v>
      </c>
      <c r="T295" s="1059">
        <v>7599.7</v>
      </c>
      <c r="U295" s="838">
        <v>6908.31</v>
      </c>
      <c r="V295" s="1059">
        <v>7580.79</v>
      </c>
      <c r="W295" s="838">
        <v>7163.14</v>
      </c>
      <c r="X295" s="1059">
        <v>6787.02</v>
      </c>
      <c r="Y295" s="838">
        <v>6292.23</v>
      </c>
      <c r="Z295" s="1059">
        <v>6784.63</v>
      </c>
      <c r="AA295" s="838">
        <v>7301.44</v>
      </c>
      <c r="AB295" s="1059">
        <v>7119.3</v>
      </c>
      <c r="AC295" s="838">
        <v>6908.2</v>
      </c>
      <c r="AD295" s="1059">
        <v>7158.66</v>
      </c>
      <c r="AE295" s="838">
        <v>7050.45</v>
      </c>
      <c r="AF295" s="1059">
        <v>6515.02</v>
      </c>
      <c r="AG295" s="838">
        <v>6614.32</v>
      </c>
      <c r="AH295" s="1059">
        <v>7251.87</v>
      </c>
      <c r="AI295" s="838">
        <v>7042.29</v>
      </c>
      <c r="AJ295" s="1059">
        <v>7615.41</v>
      </c>
      <c r="AK295" s="838"/>
      <c r="AL295" s="837"/>
      <c r="AM295" s="838"/>
      <c r="AN295" s="837"/>
      <c r="AO295" s="838"/>
      <c r="AP295" s="837"/>
      <c r="AQ295" s="838"/>
    </row>
    <row r="296" spans="2:43">
      <c r="B296" s="839" t="s">
        <v>1058</v>
      </c>
      <c r="C296" s="839">
        <v>0</v>
      </c>
      <c r="D296" s="839">
        <v>0</v>
      </c>
      <c r="E296" s="839">
        <v>0</v>
      </c>
      <c r="F296" s="839">
        <v>0</v>
      </c>
      <c r="G296" s="839">
        <v>0</v>
      </c>
      <c r="H296" s="839">
        <v>0</v>
      </c>
      <c r="I296" s="839">
        <v>0</v>
      </c>
      <c r="J296" s="839">
        <v>0</v>
      </c>
      <c r="K296" s="839">
        <v>0</v>
      </c>
      <c r="L296" s="839">
        <v>0</v>
      </c>
      <c r="M296" s="840">
        <v>1081.4986572265625</v>
      </c>
      <c r="N296" s="839">
        <v>4003.36</v>
      </c>
      <c r="O296" s="840">
        <v>3203.64</v>
      </c>
      <c r="P296" s="1058">
        <v>3206.9</v>
      </c>
      <c r="Q296" s="840">
        <v>4097.66</v>
      </c>
      <c r="R296" s="1058">
        <v>3614.71</v>
      </c>
      <c r="S296" s="840">
        <v>4176.18</v>
      </c>
      <c r="T296" s="1058">
        <v>3895.64</v>
      </c>
      <c r="U296" s="840">
        <v>3821.16</v>
      </c>
      <c r="V296" s="1058">
        <v>3713.03</v>
      </c>
      <c r="W296" s="840">
        <v>3478.43</v>
      </c>
      <c r="X296" s="1058">
        <v>3411.22</v>
      </c>
      <c r="Y296" s="840">
        <v>3069.5</v>
      </c>
      <c r="Z296" s="1058">
        <v>3414.33</v>
      </c>
      <c r="AA296" s="840">
        <v>3409.2</v>
      </c>
      <c r="AB296" s="1058">
        <v>3261.2</v>
      </c>
      <c r="AC296" s="840">
        <v>3907.79</v>
      </c>
      <c r="AD296" s="1058">
        <v>4009</v>
      </c>
      <c r="AE296" s="840">
        <v>4067.87</v>
      </c>
      <c r="AF296" s="1058">
        <v>3888.33</v>
      </c>
      <c r="AG296" s="840">
        <v>3707.65</v>
      </c>
      <c r="AH296" s="1058">
        <v>4148.1499999999996</v>
      </c>
      <c r="AI296" s="840">
        <v>3876.23</v>
      </c>
      <c r="AJ296" s="1058">
        <v>4100.8900000000003</v>
      </c>
      <c r="AK296" s="840"/>
      <c r="AL296" s="839"/>
      <c r="AM296" s="840"/>
      <c r="AN296" s="839"/>
      <c r="AO296" s="840"/>
      <c r="AP296" s="839"/>
      <c r="AQ296" s="840"/>
    </row>
    <row r="297" spans="2:43">
      <c r="B297" s="837" t="s">
        <v>1059</v>
      </c>
      <c r="C297" s="837">
        <v>0</v>
      </c>
      <c r="D297" s="837">
        <v>0</v>
      </c>
      <c r="E297" s="837">
        <v>0</v>
      </c>
      <c r="F297" s="837">
        <v>0</v>
      </c>
      <c r="G297" s="837">
        <v>0</v>
      </c>
      <c r="H297" s="837">
        <v>0</v>
      </c>
      <c r="I297" s="837">
        <v>0</v>
      </c>
      <c r="J297" s="837">
        <v>0</v>
      </c>
      <c r="K297" s="837">
        <v>0</v>
      </c>
      <c r="L297" s="837">
        <v>0</v>
      </c>
      <c r="M297" s="838">
        <v>397.61306762695313</v>
      </c>
      <c r="N297" s="837">
        <v>1129.28</v>
      </c>
      <c r="O297" s="838">
        <v>1034.23</v>
      </c>
      <c r="P297" s="1059">
        <v>1012.85</v>
      </c>
      <c r="Q297" s="838">
        <v>1630.59</v>
      </c>
      <c r="R297" s="1059">
        <v>1577.78</v>
      </c>
      <c r="S297" s="838">
        <v>2471.34</v>
      </c>
      <c r="T297" s="1059">
        <v>2800.87</v>
      </c>
      <c r="U297" s="838">
        <v>3924.4</v>
      </c>
      <c r="V297" s="1059">
        <v>3538.29</v>
      </c>
      <c r="W297" s="838">
        <v>2684.52</v>
      </c>
      <c r="X297" s="1059">
        <v>2062.42</v>
      </c>
      <c r="Y297" s="838">
        <v>1281.95</v>
      </c>
      <c r="Z297" s="1059">
        <v>1433.44</v>
      </c>
      <c r="AA297" s="838">
        <v>1052.26</v>
      </c>
      <c r="AB297" s="1059">
        <v>1000.83</v>
      </c>
      <c r="AC297" s="838">
        <v>1644.24</v>
      </c>
      <c r="AD297" s="1059">
        <v>1664.06</v>
      </c>
      <c r="AE297" s="838">
        <v>3118.33</v>
      </c>
      <c r="AF297" s="1059">
        <v>2228.94</v>
      </c>
      <c r="AG297" s="838">
        <v>2294.8200000000002</v>
      </c>
      <c r="AH297" s="1059">
        <v>3484.64</v>
      </c>
      <c r="AI297" s="838">
        <v>2343.77</v>
      </c>
      <c r="AJ297" s="1059">
        <v>2838.07</v>
      </c>
      <c r="AK297" s="838"/>
      <c r="AL297" s="837"/>
      <c r="AM297" s="838"/>
      <c r="AN297" s="837"/>
      <c r="AO297" s="838"/>
      <c r="AP297" s="837"/>
      <c r="AQ297" s="838"/>
    </row>
    <row r="298" spans="2:43">
      <c r="B298" s="839" t="s">
        <v>1060</v>
      </c>
      <c r="C298" s="839">
        <v>0</v>
      </c>
      <c r="D298" s="839">
        <v>0</v>
      </c>
      <c r="E298" s="839">
        <v>0</v>
      </c>
      <c r="F298" s="839">
        <v>0</v>
      </c>
      <c r="G298" s="839">
        <v>0</v>
      </c>
      <c r="H298" s="839">
        <v>0</v>
      </c>
      <c r="I298" s="839">
        <v>0</v>
      </c>
      <c r="J298" s="839">
        <v>0</v>
      </c>
      <c r="K298" s="839">
        <v>0</v>
      </c>
      <c r="L298" s="839">
        <v>0</v>
      </c>
      <c r="M298" s="840">
        <v>1130.2982177734375</v>
      </c>
      <c r="N298" s="839">
        <v>3779.75</v>
      </c>
      <c r="O298" s="840">
        <v>4085.65</v>
      </c>
      <c r="P298" s="1058">
        <v>4018.57</v>
      </c>
      <c r="Q298" s="840">
        <v>4477.5600000000004</v>
      </c>
      <c r="R298" s="1058">
        <v>3984.53</v>
      </c>
      <c r="S298" s="840">
        <v>4916.2700000000004</v>
      </c>
      <c r="T298" s="1058">
        <v>4857.34</v>
      </c>
      <c r="U298" s="840">
        <v>4934.46</v>
      </c>
      <c r="V298" s="1058">
        <v>4708.38</v>
      </c>
      <c r="W298" s="840">
        <v>4441.68</v>
      </c>
      <c r="X298" s="1058">
        <v>4619.67</v>
      </c>
      <c r="Y298" s="840">
        <v>4316.5</v>
      </c>
      <c r="Z298" s="1058">
        <v>4087.36</v>
      </c>
      <c r="AA298" s="840">
        <v>3958.92</v>
      </c>
      <c r="AB298" s="1058">
        <v>3883.48</v>
      </c>
      <c r="AC298" s="840">
        <v>4367.05</v>
      </c>
      <c r="AD298" s="1058">
        <v>4153.3999999999996</v>
      </c>
      <c r="AE298" s="840">
        <v>4827.4399999999996</v>
      </c>
      <c r="AF298" s="1058">
        <v>4536.03</v>
      </c>
      <c r="AG298" s="840">
        <v>4690.04</v>
      </c>
      <c r="AH298" s="1058">
        <v>4617.63</v>
      </c>
      <c r="AI298" s="840">
        <v>4541.25</v>
      </c>
      <c r="AJ298" s="1058">
        <v>4500.71</v>
      </c>
      <c r="AK298" s="840"/>
      <c r="AL298" s="839"/>
      <c r="AM298" s="840"/>
      <c r="AN298" s="839"/>
      <c r="AO298" s="840"/>
      <c r="AP298" s="839"/>
      <c r="AQ298" s="840"/>
    </row>
    <row r="299" spans="2:43" s="473" customFormat="1">
      <c r="B299" s="841" t="s">
        <v>1061</v>
      </c>
      <c r="C299" s="841">
        <v>57577</v>
      </c>
      <c r="D299" s="841">
        <v>66046</v>
      </c>
      <c r="E299" s="841">
        <v>75304</v>
      </c>
      <c r="F299" s="841">
        <v>44891</v>
      </c>
      <c r="G299" s="841">
        <v>53599</v>
      </c>
      <c r="H299" s="841">
        <v>90860</v>
      </c>
      <c r="I299" s="841">
        <v>98211</v>
      </c>
      <c r="J299" s="841">
        <v>107876</v>
      </c>
      <c r="K299" s="841">
        <v>95473</v>
      </c>
      <c r="L299" s="842">
        <v>92428.2890625</v>
      </c>
      <c r="M299" s="842">
        <v>73483.265625</v>
      </c>
      <c r="N299" s="842">
        <v>64457.73</v>
      </c>
      <c r="O299" s="842">
        <v>67116.03</v>
      </c>
      <c r="P299" s="842">
        <v>85586.95</v>
      </c>
      <c r="Q299" s="842">
        <v>84045.82</v>
      </c>
      <c r="R299" s="842">
        <v>79712.259999999995</v>
      </c>
      <c r="S299" s="842">
        <v>98728.960000000006</v>
      </c>
      <c r="T299" s="842">
        <v>102009.86</v>
      </c>
      <c r="U299" s="842">
        <v>108556.29</v>
      </c>
      <c r="V299" s="842">
        <v>120033.28</v>
      </c>
      <c r="W299" s="842">
        <v>101186.56</v>
      </c>
      <c r="X299" s="842">
        <v>104367.1</v>
      </c>
      <c r="Y299" s="842">
        <v>98383.88</v>
      </c>
      <c r="Z299" s="842">
        <v>95669.25</v>
      </c>
      <c r="AA299" s="842">
        <v>95974.399999999994</v>
      </c>
      <c r="AB299" s="842">
        <v>83159.039999999994</v>
      </c>
      <c r="AC299" s="842">
        <v>90723.33</v>
      </c>
      <c r="AD299" s="842">
        <v>94680.06</v>
      </c>
      <c r="AE299" s="842">
        <v>120805.38</v>
      </c>
      <c r="AF299" s="842">
        <v>102550.53</v>
      </c>
      <c r="AG299" s="842">
        <v>116712.45</v>
      </c>
      <c r="AH299" s="842">
        <v>114256.9</v>
      </c>
      <c r="AI299" s="842">
        <v>98271.23</v>
      </c>
      <c r="AJ299" s="842">
        <v>90706.95</v>
      </c>
      <c r="AK299" s="842"/>
      <c r="AL299" s="842"/>
      <c r="AM299" s="842"/>
      <c r="AN299" s="842"/>
      <c r="AO299" s="842"/>
      <c r="AP299" s="842"/>
      <c r="AQ299" s="842"/>
    </row>
    <row r="300" spans="2:43">
      <c r="B300" s="839" t="s">
        <v>1062</v>
      </c>
      <c r="C300" s="839">
        <v>1728</v>
      </c>
      <c r="D300" s="839">
        <v>1596</v>
      </c>
      <c r="E300" s="839">
        <v>2192</v>
      </c>
      <c r="F300" s="839">
        <v>2335</v>
      </c>
      <c r="G300" s="839">
        <v>4766</v>
      </c>
      <c r="H300" s="839">
        <v>6535</v>
      </c>
      <c r="I300" s="839">
        <v>7336</v>
      </c>
      <c r="J300" s="839">
        <v>6447</v>
      </c>
      <c r="K300" s="839">
        <v>5368</v>
      </c>
      <c r="L300" s="840">
        <v>4766.97607421875</v>
      </c>
      <c r="M300" s="840">
        <v>2771.552001953125</v>
      </c>
      <c r="N300" s="840">
        <v>2708.45</v>
      </c>
      <c r="O300" s="840">
        <v>1731.2</v>
      </c>
      <c r="P300" s="840">
        <v>1977.06</v>
      </c>
      <c r="Q300" s="840">
        <v>3306.66</v>
      </c>
      <c r="R300" s="840">
        <v>3786.59</v>
      </c>
      <c r="S300" s="840">
        <v>5281.7</v>
      </c>
      <c r="T300" s="840">
        <v>5222.75</v>
      </c>
      <c r="U300" s="840">
        <v>4812.99</v>
      </c>
      <c r="V300" s="840">
        <v>5697.95</v>
      </c>
      <c r="W300" s="840">
        <v>3910.27</v>
      </c>
      <c r="X300" s="840">
        <v>2728.1</v>
      </c>
      <c r="Y300" s="840">
        <v>2347.3000000000002</v>
      </c>
      <c r="Z300" s="840">
        <v>1529.44</v>
      </c>
      <c r="AA300" s="840">
        <v>957.02</v>
      </c>
      <c r="AB300" s="840">
        <v>1414.46</v>
      </c>
      <c r="AC300" s="840">
        <v>2936.45</v>
      </c>
      <c r="AD300" s="840">
        <v>3317.95</v>
      </c>
      <c r="AE300" s="840">
        <v>5377.47</v>
      </c>
      <c r="AF300" s="840">
        <v>4216</v>
      </c>
      <c r="AG300" s="840">
        <v>6186.69</v>
      </c>
      <c r="AH300" s="840">
        <v>5640.83</v>
      </c>
      <c r="AI300" s="840">
        <v>4834.43</v>
      </c>
      <c r="AJ300" s="840">
        <v>1298.69</v>
      </c>
      <c r="AK300" s="840"/>
      <c r="AL300" s="840"/>
      <c r="AM300" s="840"/>
      <c r="AN300" s="840"/>
      <c r="AO300" s="840"/>
      <c r="AP300" s="840"/>
      <c r="AQ300" s="840"/>
    </row>
    <row r="301" spans="2:43">
      <c r="B301" s="837" t="s">
        <v>1063</v>
      </c>
      <c r="C301" s="837">
        <v>2592</v>
      </c>
      <c r="D301" s="837">
        <v>2568</v>
      </c>
      <c r="E301" s="837">
        <v>3074</v>
      </c>
      <c r="F301" s="837">
        <v>3802</v>
      </c>
      <c r="G301" s="837">
        <v>6220</v>
      </c>
      <c r="H301" s="837">
        <v>7432</v>
      </c>
      <c r="I301" s="837">
        <v>8971</v>
      </c>
      <c r="J301" s="837">
        <v>7828</v>
      </c>
      <c r="K301" s="837">
        <v>6731</v>
      </c>
      <c r="L301" s="838">
        <v>5665.2158203125</v>
      </c>
      <c r="M301" s="838">
        <v>4077.31201171875</v>
      </c>
      <c r="N301" s="838">
        <v>2929.15</v>
      </c>
      <c r="O301" s="838">
        <v>1223.17</v>
      </c>
      <c r="P301" s="838">
        <v>1603.07</v>
      </c>
      <c r="Q301" s="838">
        <v>4041.86</v>
      </c>
      <c r="R301" s="838">
        <v>3954.56</v>
      </c>
      <c r="S301" s="838">
        <v>7078.53</v>
      </c>
      <c r="T301" s="838">
        <v>6699.84</v>
      </c>
      <c r="U301" s="838">
        <v>7547.01</v>
      </c>
      <c r="V301" s="838">
        <v>8939.33</v>
      </c>
      <c r="W301" s="838">
        <v>6338.11</v>
      </c>
      <c r="X301" s="838">
        <v>5867.9</v>
      </c>
      <c r="Y301" s="838">
        <v>4320.6400000000003</v>
      </c>
      <c r="Z301" s="838">
        <v>3156.93</v>
      </c>
      <c r="AA301" s="838">
        <v>1790.34</v>
      </c>
      <c r="AB301" s="838">
        <v>1958.85</v>
      </c>
      <c r="AC301" s="838">
        <v>3763.39</v>
      </c>
      <c r="AD301" s="838">
        <v>5074.62</v>
      </c>
      <c r="AE301" s="838">
        <v>7646.02</v>
      </c>
      <c r="AF301" s="838">
        <v>5862.85</v>
      </c>
      <c r="AG301" s="838">
        <v>6146.24</v>
      </c>
      <c r="AH301" s="838">
        <v>9713.09</v>
      </c>
      <c r="AI301" s="838">
        <v>8466.3700000000008</v>
      </c>
      <c r="AJ301" s="838">
        <v>2173.12</v>
      </c>
      <c r="AK301" s="838"/>
      <c r="AL301" s="838"/>
      <c r="AM301" s="838"/>
      <c r="AN301" s="838"/>
      <c r="AO301" s="838"/>
      <c r="AP301" s="838"/>
      <c r="AQ301" s="838"/>
    </row>
    <row r="302" spans="2:43">
      <c r="B302" s="839" t="s">
        <v>1064</v>
      </c>
      <c r="C302" s="839">
        <v>10807</v>
      </c>
      <c r="D302" s="839">
        <v>13218</v>
      </c>
      <c r="E302" s="839">
        <v>16210</v>
      </c>
      <c r="F302" s="839">
        <v>12628</v>
      </c>
      <c r="G302" s="839">
        <v>9174</v>
      </c>
      <c r="H302" s="839">
        <v>19619</v>
      </c>
      <c r="I302" s="839">
        <v>29762</v>
      </c>
      <c r="J302" s="839">
        <v>28226</v>
      </c>
      <c r="K302" s="839">
        <v>25049</v>
      </c>
      <c r="L302" s="840">
        <v>23448.064453125</v>
      </c>
      <c r="M302" s="840">
        <v>12592.255859375</v>
      </c>
      <c r="N302" s="840">
        <v>12119.81</v>
      </c>
      <c r="O302" s="840">
        <v>13778.43</v>
      </c>
      <c r="P302" s="840">
        <v>17338.62</v>
      </c>
      <c r="Q302" s="840">
        <v>17220.349999999999</v>
      </c>
      <c r="R302" s="840">
        <v>16498.3</v>
      </c>
      <c r="S302" s="840">
        <v>22693.63</v>
      </c>
      <c r="T302" s="840">
        <v>26579.200000000001</v>
      </c>
      <c r="U302" s="840">
        <v>30450.05</v>
      </c>
      <c r="V302" s="840">
        <v>35184.89</v>
      </c>
      <c r="W302" s="840">
        <v>28660.86</v>
      </c>
      <c r="X302" s="840">
        <v>29397.38</v>
      </c>
      <c r="Y302" s="840">
        <v>33199.620000000003</v>
      </c>
      <c r="Z302" s="840">
        <v>35433.730000000003</v>
      </c>
      <c r="AA302" s="840">
        <v>36868.99</v>
      </c>
      <c r="AB302" s="840">
        <v>27040.26</v>
      </c>
      <c r="AC302" s="840">
        <v>25902.85</v>
      </c>
      <c r="AD302" s="840">
        <v>25903.62</v>
      </c>
      <c r="AE302" s="840">
        <v>34200.06</v>
      </c>
      <c r="AF302" s="840">
        <v>26844.799999999999</v>
      </c>
      <c r="AG302" s="840">
        <v>31633.41</v>
      </c>
      <c r="AH302" s="840">
        <v>28612.99</v>
      </c>
      <c r="AI302" s="840">
        <v>23501.06</v>
      </c>
      <c r="AJ302" s="840">
        <v>5851.65</v>
      </c>
      <c r="AK302" s="840"/>
      <c r="AL302" s="840"/>
      <c r="AM302" s="840"/>
      <c r="AN302" s="840"/>
      <c r="AO302" s="840"/>
      <c r="AP302" s="840"/>
      <c r="AQ302" s="840"/>
    </row>
    <row r="303" spans="2:43">
      <c r="B303" s="837" t="s">
        <v>1065</v>
      </c>
      <c r="C303" s="837">
        <v>9170</v>
      </c>
      <c r="D303" s="837">
        <v>9109</v>
      </c>
      <c r="E303" s="837">
        <v>9898</v>
      </c>
      <c r="F303" s="837">
        <v>12506</v>
      </c>
      <c r="G303" s="837">
        <v>14224</v>
      </c>
      <c r="H303" s="837">
        <v>18974</v>
      </c>
      <c r="I303" s="837">
        <v>21294</v>
      </c>
      <c r="J303" s="837">
        <v>21019</v>
      </c>
      <c r="K303" s="837">
        <v>20616</v>
      </c>
      <c r="L303" s="838">
        <v>19479.6796875</v>
      </c>
      <c r="M303" s="838">
        <v>13856</v>
      </c>
      <c r="N303" s="838">
        <v>11448.32</v>
      </c>
      <c r="O303" s="838">
        <v>9788.5400000000009</v>
      </c>
      <c r="P303" s="838">
        <v>11828.99</v>
      </c>
      <c r="Q303" s="838">
        <v>13244.29</v>
      </c>
      <c r="R303" s="838">
        <v>14508.67</v>
      </c>
      <c r="S303" s="838">
        <v>16765.439999999999</v>
      </c>
      <c r="T303" s="838">
        <v>17742.72</v>
      </c>
      <c r="U303" s="838">
        <v>18041.09</v>
      </c>
      <c r="V303" s="838">
        <v>19069.060000000001</v>
      </c>
      <c r="W303" s="838">
        <v>15911.04</v>
      </c>
      <c r="X303" s="838">
        <v>15683.84</v>
      </c>
      <c r="Y303" s="838">
        <v>13332.48</v>
      </c>
      <c r="Z303" s="838">
        <v>11686.91</v>
      </c>
      <c r="AA303" s="838">
        <v>10715.14</v>
      </c>
      <c r="AB303" s="838">
        <v>10419.200000000001</v>
      </c>
      <c r="AC303" s="838">
        <v>13104</v>
      </c>
      <c r="AD303" s="838">
        <v>14700.93</v>
      </c>
      <c r="AE303" s="838">
        <v>19636.61</v>
      </c>
      <c r="AF303" s="838">
        <v>19073.28</v>
      </c>
      <c r="AG303" s="838">
        <v>21407.1</v>
      </c>
      <c r="AH303" s="838">
        <v>19861.89</v>
      </c>
      <c r="AI303" s="838">
        <v>14955.78</v>
      </c>
      <c r="AJ303" s="838">
        <v>3699.07</v>
      </c>
      <c r="AK303" s="838"/>
      <c r="AL303" s="838"/>
      <c r="AM303" s="838"/>
      <c r="AN303" s="838"/>
      <c r="AO303" s="838"/>
      <c r="AP303" s="838"/>
      <c r="AQ303" s="838"/>
    </row>
    <row r="304" spans="2:43">
      <c r="B304" s="839" t="s">
        <v>1066</v>
      </c>
      <c r="C304" s="839">
        <v>4841</v>
      </c>
      <c r="D304" s="839">
        <v>4575</v>
      </c>
      <c r="E304" s="839">
        <v>4383</v>
      </c>
      <c r="F304" s="839">
        <v>2501</v>
      </c>
      <c r="G304" s="839">
        <v>2498</v>
      </c>
      <c r="H304" s="839">
        <v>1830</v>
      </c>
      <c r="I304" s="839">
        <v>2307</v>
      </c>
      <c r="J304" s="839">
        <v>2765</v>
      </c>
      <c r="K304" s="839">
        <v>2883</v>
      </c>
      <c r="L304" s="840">
        <v>3199.904052734375</v>
      </c>
      <c r="M304" s="840">
        <v>3768.35205078125</v>
      </c>
      <c r="N304" s="840">
        <v>3916.13</v>
      </c>
      <c r="O304" s="840">
        <v>6105.06</v>
      </c>
      <c r="P304" s="840">
        <v>7022.11</v>
      </c>
      <c r="Q304" s="840">
        <v>4961.0600000000004</v>
      </c>
      <c r="R304" s="840">
        <v>2669.95</v>
      </c>
      <c r="S304" s="840">
        <v>2956.93</v>
      </c>
      <c r="T304" s="840">
        <v>2261.5</v>
      </c>
      <c r="U304" s="840">
        <v>2042.72</v>
      </c>
      <c r="V304" s="840">
        <v>2265.31</v>
      </c>
      <c r="W304" s="840">
        <v>3310.59</v>
      </c>
      <c r="X304" s="840">
        <v>3203.97</v>
      </c>
      <c r="Y304" s="840">
        <v>3015.33</v>
      </c>
      <c r="Z304" s="840">
        <v>3345.7</v>
      </c>
      <c r="AA304" s="840">
        <v>4792.6099999999997</v>
      </c>
      <c r="AB304" s="840">
        <v>4468.29</v>
      </c>
      <c r="AC304" s="840">
        <v>4060.93</v>
      </c>
      <c r="AD304" s="840">
        <v>3721.6</v>
      </c>
      <c r="AE304" s="840">
        <v>3323.65</v>
      </c>
      <c r="AF304" s="840">
        <v>3194.05</v>
      </c>
      <c r="AG304" s="840">
        <v>3483.3</v>
      </c>
      <c r="AH304" s="840">
        <v>3548.54</v>
      </c>
      <c r="AI304" s="840">
        <v>3691.36</v>
      </c>
      <c r="AJ304" s="840">
        <v>1044.93</v>
      </c>
      <c r="AK304" s="840"/>
      <c r="AL304" s="840"/>
      <c r="AM304" s="840"/>
      <c r="AN304" s="840"/>
      <c r="AO304" s="840"/>
      <c r="AP304" s="840"/>
      <c r="AQ304" s="840"/>
    </row>
    <row r="305" spans="2:43" s="473" customFormat="1">
      <c r="B305" s="841" t="s">
        <v>1067</v>
      </c>
      <c r="C305" s="841">
        <v>14916</v>
      </c>
      <c r="D305" s="841">
        <v>2185</v>
      </c>
      <c r="E305" s="841">
        <v>285</v>
      </c>
      <c r="F305" s="841">
        <v>43154</v>
      </c>
      <c r="G305" s="841">
        <v>38917</v>
      </c>
      <c r="H305" s="841">
        <v>13019</v>
      </c>
      <c r="I305" s="841">
        <v>26514</v>
      </c>
      <c r="J305" s="841">
        <v>9625</v>
      </c>
      <c r="K305" s="841">
        <v>14254</v>
      </c>
      <c r="L305" s="842">
        <v>9528.576171875</v>
      </c>
      <c r="M305" s="842">
        <v>1574.7840576171875</v>
      </c>
      <c r="N305" s="842">
        <v>3198.34</v>
      </c>
      <c r="O305" s="842">
        <v>558.21</v>
      </c>
      <c r="P305" s="842">
        <v>0</v>
      </c>
      <c r="Q305" s="842">
        <v>16.13</v>
      </c>
      <c r="R305" s="842">
        <v>7.17</v>
      </c>
      <c r="S305" s="842">
        <v>112.77</v>
      </c>
      <c r="T305" s="842">
        <v>8.6999999999999993</v>
      </c>
      <c r="U305" s="842">
        <v>105.09</v>
      </c>
      <c r="V305" s="842">
        <v>54.27</v>
      </c>
      <c r="W305" s="842">
        <v>52.22</v>
      </c>
      <c r="X305" s="842">
        <v>59.9</v>
      </c>
      <c r="Y305" s="842">
        <v>649.34</v>
      </c>
      <c r="Z305" s="842">
        <v>0</v>
      </c>
      <c r="AA305" s="842">
        <v>0</v>
      </c>
      <c r="AB305" s="842">
        <v>0</v>
      </c>
      <c r="AC305" s="842">
        <v>0</v>
      </c>
      <c r="AD305" s="842">
        <v>134.02000000000001</v>
      </c>
      <c r="AE305" s="842">
        <v>0</v>
      </c>
      <c r="AF305" s="842">
        <v>0</v>
      </c>
      <c r="AG305" s="842">
        <v>0</v>
      </c>
      <c r="AH305" s="842">
        <v>0</v>
      </c>
      <c r="AI305" s="842">
        <v>0</v>
      </c>
      <c r="AJ305" s="842">
        <v>0</v>
      </c>
      <c r="AK305" s="842"/>
      <c r="AL305" s="842"/>
      <c r="AM305" s="842"/>
      <c r="AN305" s="842"/>
      <c r="AO305" s="842"/>
      <c r="AP305" s="842"/>
      <c r="AQ305" s="842"/>
    </row>
    <row r="306" spans="2:43">
      <c r="B306" s="839" t="s">
        <v>1068</v>
      </c>
      <c r="C306" s="839">
        <v>28108</v>
      </c>
      <c r="D306" s="839">
        <v>23711</v>
      </c>
      <c r="E306" s="839">
        <v>24868</v>
      </c>
      <c r="F306" s="839">
        <v>23996</v>
      </c>
      <c r="G306" s="839">
        <v>26675</v>
      </c>
      <c r="H306" s="839">
        <v>26586</v>
      </c>
      <c r="I306" s="839">
        <v>29303</v>
      </c>
      <c r="J306" s="839">
        <v>27912</v>
      </c>
      <c r="K306" s="839">
        <v>27682</v>
      </c>
      <c r="L306" s="840">
        <v>24886.720703125</v>
      </c>
      <c r="M306" s="840">
        <v>23254.591796875</v>
      </c>
      <c r="N306" s="840">
        <v>21912.51</v>
      </c>
      <c r="O306" s="840">
        <v>25484.48</v>
      </c>
      <c r="P306" s="840">
        <v>32538.5</v>
      </c>
      <c r="Q306" s="840">
        <v>25855.62</v>
      </c>
      <c r="R306" s="840">
        <v>21706.05</v>
      </c>
      <c r="S306" s="840">
        <v>24319.81</v>
      </c>
      <c r="T306" s="840">
        <v>22877.38</v>
      </c>
      <c r="U306" s="840">
        <v>23319.94</v>
      </c>
      <c r="V306" s="840">
        <v>25144.32</v>
      </c>
      <c r="W306" s="840">
        <v>23463.23</v>
      </c>
      <c r="X306" s="840">
        <v>25968.77</v>
      </c>
      <c r="Y306" s="840">
        <v>22645.06</v>
      </c>
      <c r="Z306" s="840">
        <v>20946.43</v>
      </c>
      <c r="AA306" s="840">
        <v>22778.05</v>
      </c>
      <c r="AB306" s="840">
        <v>22696.51</v>
      </c>
      <c r="AC306" s="840">
        <v>24324.42</v>
      </c>
      <c r="AD306" s="840">
        <v>25230.080000000002</v>
      </c>
      <c r="AE306" s="840">
        <v>27514.75</v>
      </c>
      <c r="AF306" s="840">
        <v>24761.54</v>
      </c>
      <c r="AG306" s="840">
        <v>25986.3</v>
      </c>
      <c r="AH306" s="840">
        <v>26440.7</v>
      </c>
      <c r="AI306" s="840">
        <v>26137.73</v>
      </c>
      <c r="AJ306" s="840">
        <v>6702.08</v>
      </c>
      <c r="AK306" s="840"/>
      <c r="AL306" s="840"/>
      <c r="AM306" s="840"/>
      <c r="AN306" s="840"/>
      <c r="AO306" s="840"/>
      <c r="AP306" s="840"/>
      <c r="AQ306" s="840"/>
    </row>
    <row r="307" spans="2:43">
      <c r="B307" s="837" t="s">
        <v>1069</v>
      </c>
      <c r="C307" s="837">
        <v>44870</v>
      </c>
      <c r="D307" s="837">
        <v>47871</v>
      </c>
      <c r="E307" s="837">
        <v>52828</v>
      </c>
      <c r="F307" s="837">
        <v>29975</v>
      </c>
      <c r="G307" s="837">
        <v>36190</v>
      </c>
      <c r="H307" s="837">
        <v>57346</v>
      </c>
      <c r="I307" s="837">
        <v>53957</v>
      </c>
      <c r="J307" s="837">
        <v>64949</v>
      </c>
      <c r="K307" s="837">
        <v>59014</v>
      </c>
      <c r="L307" s="838">
        <v>58636.03125</v>
      </c>
      <c r="M307" s="838">
        <v>54007.55078125</v>
      </c>
      <c r="N307" s="838">
        <v>47311.11</v>
      </c>
      <c r="O307" s="838">
        <v>50065.41</v>
      </c>
      <c r="P307" s="838">
        <v>62632.45</v>
      </c>
      <c r="Q307" s="838">
        <v>57187.07</v>
      </c>
      <c r="R307" s="838">
        <v>53339.65</v>
      </c>
      <c r="S307" s="838">
        <v>60864.51</v>
      </c>
      <c r="T307" s="838">
        <v>59515.9</v>
      </c>
      <c r="U307" s="838">
        <v>61583.360000000001</v>
      </c>
      <c r="V307" s="838">
        <v>65105.41</v>
      </c>
      <c r="W307" s="838">
        <v>58033.15</v>
      </c>
      <c r="X307" s="838">
        <v>60503.55</v>
      </c>
      <c r="Y307" s="838">
        <v>52430.85</v>
      </c>
      <c r="Z307" s="838">
        <v>47832.06</v>
      </c>
      <c r="AA307" s="838">
        <v>49205.760000000002</v>
      </c>
      <c r="AB307" s="838">
        <v>47991.3</v>
      </c>
      <c r="AC307" s="838">
        <v>54545.41</v>
      </c>
      <c r="AD307" s="838">
        <v>56813.57</v>
      </c>
      <c r="AE307" s="838">
        <v>68323.839999999997</v>
      </c>
      <c r="AF307" s="838">
        <v>61904.38</v>
      </c>
      <c r="AG307" s="838">
        <v>68179.97</v>
      </c>
      <c r="AH307" s="838">
        <v>66640.899999999994</v>
      </c>
      <c r="AI307" s="838">
        <v>58046.98</v>
      </c>
      <c r="AJ307" s="838">
        <v>15096.32</v>
      </c>
      <c r="AK307" s="838"/>
      <c r="AL307" s="838"/>
      <c r="AM307" s="838"/>
      <c r="AN307" s="838"/>
      <c r="AO307" s="838"/>
      <c r="AP307" s="838"/>
      <c r="AQ307" s="838"/>
    </row>
    <row r="308" spans="2:43" ht="39.6">
      <c r="B308" s="836" t="s">
        <v>1070</v>
      </c>
      <c r="C308" s="815">
        <v>44562</v>
      </c>
      <c r="D308" s="815">
        <v>44593</v>
      </c>
      <c r="E308" s="815">
        <v>44621</v>
      </c>
      <c r="F308" s="815">
        <v>44652</v>
      </c>
      <c r="G308" s="815">
        <v>44682</v>
      </c>
      <c r="H308" s="815">
        <v>44713</v>
      </c>
      <c r="I308" s="815">
        <v>44743</v>
      </c>
      <c r="J308" s="815">
        <v>44774</v>
      </c>
      <c r="K308" s="815">
        <v>44805</v>
      </c>
      <c r="L308" s="814">
        <v>44835</v>
      </c>
      <c r="M308" s="814">
        <v>44866</v>
      </c>
      <c r="N308" s="814">
        <v>44896</v>
      </c>
      <c r="O308" s="814">
        <v>44927</v>
      </c>
      <c r="P308" s="814">
        <v>44958</v>
      </c>
      <c r="Q308" s="814">
        <v>44986</v>
      </c>
      <c r="R308" s="814">
        <v>45017</v>
      </c>
      <c r="S308" s="814">
        <v>45047</v>
      </c>
      <c r="T308" s="814">
        <v>45078</v>
      </c>
      <c r="U308" s="814">
        <v>45108</v>
      </c>
      <c r="V308" s="814">
        <v>45139</v>
      </c>
      <c r="W308" s="814">
        <v>45170</v>
      </c>
      <c r="X308" s="814">
        <v>45200</v>
      </c>
      <c r="Y308" s="814">
        <v>45231</v>
      </c>
      <c r="Z308" s="814">
        <v>45261</v>
      </c>
      <c r="AA308" s="814">
        <v>45292</v>
      </c>
      <c r="AB308" s="814">
        <v>45323</v>
      </c>
      <c r="AC308" s="814">
        <v>45352</v>
      </c>
      <c r="AD308" s="814">
        <v>45383</v>
      </c>
      <c r="AE308" s="814">
        <v>45413</v>
      </c>
      <c r="AF308" s="814">
        <v>45444</v>
      </c>
      <c r="AG308" s="814">
        <v>45474</v>
      </c>
      <c r="AH308" s="814">
        <v>45505</v>
      </c>
      <c r="AI308" s="814">
        <v>45536</v>
      </c>
      <c r="AJ308" s="814">
        <v>45566</v>
      </c>
      <c r="AK308" s="814">
        <v>45597</v>
      </c>
      <c r="AL308" s="814">
        <v>45627</v>
      </c>
      <c r="AM308" s="814">
        <v>45658</v>
      </c>
      <c r="AN308" s="814">
        <v>45689</v>
      </c>
      <c r="AO308" s="814">
        <v>45717</v>
      </c>
      <c r="AP308" s="814">
        <v>45748</v>
      </c>
      <c r="AQ308" s="814">
        <v>45778</v>
      </c>
    </row>
    <row r="309" spans="2:43">
      <c r="B309" s="837" t="s">
        <v>1071</v>
      </c>
      <c r="C309" s="837">
        <v>0</v>
      </c>
      <c r="D309" s="837">
        <v>0</v>
      </c>
      <c r="E309" s="837">
        <v>1</v>
      </c>
      <c r="F309" s="837">
        <v>1</v>
      </c>
      <c r="G309" s="837">
        <v>1979</v>
      </c>
      <c r="H309" s="837">
        <v>3502</v>
      </c>
      <c r="I309" s="837">
        <v>3640</v>
      </c>
      <c r="J309" s="837">
        <v>3534</v>
      </c>
      <c r="K309" s="837">
        <v>3354</v>
      </c>
      <c r="L309" s="838">
        <v>3598.3798828125</v>
      </c>
      <c r="M309" s="838">
        <v>3572.0419921875</v>
      </c>
      <c r="N309" s="838">
        <v>3561.76</v>
      </c>
      <c r="O309" s="838">
        <v>3606.8</v>
      </c>
      <c r="P309" s="838">
        <v>3349.28</v>
      </c>
      <c r="Q309" s="838">
        <v>3661.29</v>
      </c>
      <c r="R309" s="838">
        <v>3602.26</v>
      </c>
      <c r="S309" s="838">
        <v>3725.27</v>
      </c>
      <c r="T309" s="838">
        <v>3551.44</v>
      </c>
      <c r="U309" s="838">
        <v>3450.73</v>
      </c>
      <c r="V309" s="838">
        <v>3536.92</v>
      </c>
      <c r="W309" s="838">
        <v>3259.1</v>
      </c>
      <c r="X309" s="838">
        <v>3377.14</v>
      </c>
      <c r="Y309" s="838">
        <v>3329.76</v>
      </c>
      <c r="Z309" s="838">
        <v>3294.86</v>
      </c>
      <c r="AA309" s="838">
        <v>3579.94</v>
      </c>
      <c r="AB309" s="838">
        <v>3273.88</v>
      </c>
      <c r="AC309" s="838">
        <v>3463.2</v>
      </c>
      <c r="AD309" s="838">
        <v>3418.05</v>
      </c>
      <c r="AE309" s="838">
        <v>3589.35</v>
      </c>
      <c r="AF309" s="838">
        <v>3400.14</v>
      </c>
      <c r="AG309" s="838">
        <v>3544.98</v>
      </c>
      <c r="AH309" s="838">
        <v>3657.54</v>
      </c>
      <c r="AI309" s="838">
        <v>3435.73</v>
      </c>
      <c r="AJ309" s="838">
        <v>3651.2</v>
      </c>
      <c r="AK309" s="838"/>
      <c r="AL309" s="838"/>
      <c r="AM309" s="838"/>
      <c r="AN309" s="838"/>
      <c r="AO309" s="838"/>
      <c r="AP309" s="838"/>
      <c r="AQ309" s="838"/>
    </row>
    <row r="310" spans="2:43">
      <c r="B310" s="839" t="s">
        <v>1072</v>
      </c>
      <c r="C310" s="839">
        <v>23896</v>
      </c>
      <c r="D310" s="839">
        <v>41009</v>
      </c>
      <c r="E310" s="839">
        <v>45788.830000000075</v>
      </c>
      <c r="F310" s="839">
        <v>55406.169999999925</v>
      </c>
      <c r="G310" s="839">
        <v>45911</v>
      </c>
      <c r="H310" s="839">
        <v>42061</v>
      </c>
      <c r="I310" s="839">
        <v>23995</v>
      </c>
      <c r="J310" s="839">
        <v>40635</v>
      </c>
      <c r="K310" s="839">
        <v>42556.849999999627</v>
      </c>
      <c r="L310" s="840">
        <v>30000</v>
      </c>
      <c r="M310" s="840">
        <v>25056.77734375</v>
      </c>
      <c r="N310" s="840">
        <v>28787.15</v>
      </c>
      <c r="O310" s="840">
        <v>29568.1</v>
      </c>
      <c r="P310" s="840">
        <v>35017.51</v>
      </c>
      <c r="Q310" s="840">
        <v>40530.639999999999</v>
      </c>
      <c r="R310" s="840">
        <v>36706.53</v>
      </c>
      <c r="S310" s="840">
        <v>43112.02</v>
      </c>
      <c r="T310" s="840">
        <v>40615.519999999997</v>
      </c>
      <c r="U310" s="840">
        <v>35981.25</v>
      </c>
      <c r="V310" s="840">
        <v>42779.199999999997</v>
      </c>
      <c r="W310" s="840">
        <v>39511.269999999997</v>
      </c>
      <c r="X310" s="840">
        <v>41467.78</v>
      </c>
      <c r="Y310" s="840">
        <v>35617.89</v>
      </c>
      <c r="Z310" s="840">
        <v>26966.18</v>
      </c>
      <c r="AA310" s="840">
        <v>28010.66</v>
      </c>
      <c r="AB310" s="840">
        <v>32932.86</v>
      </c>
      <c r="AC310" s="840">
        <v>38208.32</v>
      </c>
      <c r="AD310" s="840">
        <v>36607.43</v>
      </c>
      <c r="AE310" s="840">
        <v>41156.86</v>
      </c>
      <c r="AF310" s="840">
        <v>40019.519999999997</v>
      </c>
      <c r="AG310" s="840">
        <v>35773.120000000003</v>
      </c>
      <c r="AH310" s="840">
        <v>40405.5</v>
      </c>
      <c r="AI310" s="840">
        <v>41482.43</v>
      </c>
      <c r="AJ310" s="840">
        <v>42255.17</v>
      </c>
      <c r="AK310" s="840"/>
      <c r="AL310" s="840"/>
      <c r="AM310" s="840"/>
      <c r="AN310" s="840"/>
      <c r="AO310" s="840"/>
      <c r="AP310" s="840"/>
      <c r="AQ310" s="840"/>
    </row>
    <row r="311" spans="2:43">
      <c r="B311" s="837" t="s">
        <v>1073</v>
      </c>
      <c r="C311" s="837">
        <v>0</v>
      </c>
      <c r="D311" s="837">
        <v>0</v>
      </c>
      <c r="E311" s="837">
        <v>0</v>
      </c>
      <c r="F311" s="837">
        <v>0</v>
      </c>
      <c r="G311" s="837">
        <v>0</v>
      </c>
      <c r="H311" s="837">
        <v>0</v>
      </c>
      <c r="I311" s="837">
        <v>0</v>
      </c>
      <c r="J311" s="837">
        <v>0</v>
      </c>
      <c r="K311" s="837">
        <v>0</v>
      </c>
      <c r="L311" s="838">
        <v>2.388956090726424E-7</v>
      </c>
      <c r="M311" s="838">
        <v>20342.90625</v>
      </c>
      <c r="N311" s="838">
        <v>14415.87</v>
      </c>
      <c r="O311" s="838">
        <v>14934.88</v>
      </c>
      <c r="P311" s="838">
        <v>18226.09</v>
      </c>
      <c r="Q311" s="838">
        <v>22036.58</v>
      </c>
      <c r="R311" s="838">
        <v>20753.73</v>
      </c>
      <c r="S311" s="838">
        <v>22495.599999999999</v>
      </c>
      <c r="T311" s="838">
        <v>20724.919999999998</v>
      </c>
      <c r="U311" s="838">
        <v>18767.3</v>
      </c>
      <c r="V311" s="838">
        <v>22483.3</v>
      </c>
      <c r="W311" s="838">
        <v>20676.59</v>
      </c>
      <c r="X311" s="838">
        <v>22207.46</v>
      </c>
      <c r="Y311" s="838">
        <v>18124.02</v>
      </c>
      <c r="Z311" s="838">
        <v>13850.1</v>
      </c>
      <c r="AA311" s="838">
        <v>13776.8</v>
      </c>
      <c r="AB311" s="838">
        <v>17002.849999999999</v>
      </c>
      <c r="AC311" s="838">
        <v>20268.86</v>
      </c>
      <c r="AD311" s="838">
        <v>19669.98</v>
      </c>
      <c r="AE311" s="838">
        <v>20437.47</v>
      </c>
      <c r="AF311" s="838">
        <v>19957.310000000001</v>
      </c>
      <c r="AG311" s="838">
        <v>16312.45</v>
      </c>
      <c r="AH311" s="838">
        <v>19803.419999999998</v>
      </c>
      <c r="AI311" s="838">
        <v>19036.830000000002</v>
      </c>
      <c r="AJ311" s="838">
        <v>20030.5</v>
      </c>
      <c r="AK311" s="838"/>
      <c r="AL311" s="838"/>
      <c r="AM311" s="838"/>
      <c r="AN311" s="838"/>
      <c r="AO311" s="838"/>
      <c r="AP311" s="838"/>
      <c r="AQ311" s="838"/>
    </row>
    <row r="312" spans="2:43">
      <c r="B312" s="839" t="s">
        <v>1074</v>
      </c>
      <c r="C312" s="839">
        <v>0</v>
      </c>
      <c r="D312" s="839">
        <v>0</v>
      </c>
      <c r="E312" s="839">
        <v>0</v>
      </c>
      <c r="F312" s="839">
        <v>0</v>
      </c>
      <c r="G312" s="839">
        <v>0</v>
      </c>
      <c r="H312" s="839">
        <v>0</v>
      </c>
      <c r="I312" s="839">
        <v>0</v>
      </c>
      <c r="J312" s="839">
        <v>0</v>
      </c>
      <c r="K312" s="839">
        <v>0</v>
      </c>
      <c r="L312" s="840">
        <v>0</v>
      </c>
      <c r="M312" s="840">
        <v>8403.7646484375</v>
      </c>
      <c r="N312" s="840">
        <v>6039.95</v>
      </c>
      <c r="O312" s="840">
        <v>5756.21</v>
      </c>
      <c r="P312" s="840">
        <v>6378.46</v>
      </c>
      <c r="Q312" s="840">
        <v>6971.48</v>
      </c>
      <c r="R312" s="840">
        <v>6091.92</v>
      </c>
      <c r="S312" s="840">
        <v>7971.29</v>
      </c>
      <c r="T312" s="840">
        <v>8363.1299999999992</v>
      </c>
      <c r="U312" s="840">
        <v>7861.77</v>
      </c>
      <c r="V312" s="840">
        <v>9115.52</v>
      </c>
      <c r="W312" s="840">
        <v>8066.7</v>
      </c>
      <c r="X312" s="840">
        <v>7939.45</v>
      </c>
      <c r="Y312" s="840">
        <v>7711.33</v>
      </c>
      <c r="Z312" s="840">
        <v>6150.94</v>
      </c>
      <c r="AA312" s="840">
        <v>5966.76</v>
      </c>
      <c r="AB312" s="840">
        <v>6535.86</v>
      </c>
      <c r="AC312" s="840">
        <v>7782.98</v>
      </c>
      <c r="AD312" s="840">
        <v>6347.73</v>
      </c>
      <c r="AE312" s="840">
        <v>9389.36</v>
      </c>
      <c r="AF312" s="840">
        <v>9255.9699999999993</v>
      </c>
      <c r="AG312" s="840">
        <v>9990.06</v>
      </c>
      <c r="AH312" s="840">
        <v>9517.06</v>
      </c>
      <c r="AI312" s="840">
        <v>10543.47</v>
      </c>
      <c r="AJ312" s="840">
        <v>9981.23</v>
      </c>
      <c r="AK312" s="840"/>
      <c r="AL312" s="840"/>
      <c r="AM312" s="840"/>
      <c r="AN312" s="840"/>
      <c r="AO312" s="840"/>
      <c r="AP312" s="840"/>
      <c r="AQ312" s="840"/>
    </row>
    <row r="313" spans="2:43">
      <c r="B313" s="837" t="s">
        <v>1075</v>
      </c>
      <c r="C313" s="837">
        <v>0</v>
      </c>
      <c r="D313" s="837">
        <v>0</v>
      </c>
      <c r="E313" s="837">
        <v>0</v>
      </c>
      <c r="F313" s="837">
        <v>0</v>
      </c>
      <c r="G313" s="837">
        <v>0</v>
      </c>
      <c r="H313" s="837">
        <v>0</v>
      </c>
      <c r="I313" s="837">
        <v>0</v>
      </c>
      <c r="J313" s="837">
        <v>0</v>
      </c>
      <c r="K313" s="837">
        <v>0</v>
      </c>
      <c r="L313" s="838">
        <v>0</v>
      </c>
      <c r="M313" s="838">
        <v>9017.310546875</v>
      </c>
      <c r="N313" s="838">
        <v>5514.49</v>
      </c>
      <c r="O313" s="838">
        <v>5920.46</v>
      </c>
      <c r="P313" s="838">
        <v>7150.13</v>
      </c>
      <c r="Q313" s="838">
        <v>8233.56</v>
      </c>
      <c r="R313" s="838">
        <v>7322.59</v>
      </c>
      <c r="S313" s="838">
        <v>8710.84</v>
      </c>
      <c r="T313" s="838">
        <v>7794.03</v>
      </c>
      <c r="U313" s="838">
        <v>6454.4</v>
      </c>
      <c r="V313" s="838">
        <v>7789.76</v>
      </c>
      <c r="W313" s="838">
        <v>7447.41</v>
      </c>
      <c r="X313" s="838">
        <v>8014.81</v>
      </c>
      <c r="Y313" s="838">
        <v>6588.58</v>
      </c>
      <c r="Z313" s="838">
        <v>4707.13</v>
      </c>
      <c r="AA313" s="838">
        <v>5387.98</v>
      </c>
      <c r="AB313" s="838">
        <v>6402.14</v>
      </c>
      <c r="AC313" s="838">
        <v>7123.86</v>
      </c>
      <c r="AD313" s="838">
        <v>7484.14</v>
      </c>
      <c r="AE313" s="838">
        <v>7489.26</v>
      </c>
      <c r="AF313" s="838">
        <v>7175.15</v>
      </c>
      <c r="AG313" s="838">
        <v>5759.98</v>
      </c>
      <c r="AH313" s="838">
        <v>7244.16</v>
      </c>
      <c r="AI313" s="838">
        <v>7395.34</v>
      </c>
      <c r="AJ313" s="838">
        <v>7818.42</v>
      </c>
      <c r="AK313" s="838"/>
      <c r="AL313" s="838"/>
      <c r="AM313" s="838"/>
      <c r="AN313" s="838"/>
      <c r="AO313" s="838"/>
      <c r="AP313" s="838"/>
      <c r="AQ313" s="838"/>
    </row>
    <row r="314" spans="2:43" s="473" customFormat="1">
      <c r="B314" s="843" t="s">
        <v>1076</v>
      </c>
      <c r="C314" s="843">
        <v>41218</v>
      </c>
      <c r="D314" s="843">
        <v>42817</v>
      </c>
      <c r="E314" s="843">
        <v>52080</v>
      </c>
      <c r="F314" s="843">
        <v>50826</v>
      </c>
      <c r="G314" s="843">
        <v>65791</v>
      </c>
      <c r="H314" s="843">
        <v>68473</v>
      </c>
      <c r="I314" s="843">
        <v>78740</v>
      </c>
      <c r="J314" s="843">
        <v>77890</v>
      </c>
      <c r="K314" s="843">
        <v>72182</v>
      </c>
      <c r="L314" s="844">
        <v>64169.7265625</v>
      </c>
      <c r="M314" s="844">
        <v>54991.87109375</v>
      </c>
      <c r="N314" s="844">
        <v>45253.89</v>
      </c>
      <c r="O314" s="844">
        <v>42995.71</v>
      </c>
      <c r="P314" s="844">
        <v>44410.37</v>
      </c>
      <c r="Q314" s="844">
        <v>61436.41</v>
      </c>
      <c r="R314" s="844">
        <v>56999.43</v>
      </c>
      <c r="S314" s="844">
        <v>71126.53</v>
      </c>
      <c r="T314" s="844">
        <v>72977.41</v>
      </c>
      <c r="U314" s="844">
        <v>77682.69</v>
      </c>
      <c r="V314" s="844">
        <v>78244.87</v>
      </c>
      <c r="W314" s="844">
        <v>66817.539999999994</v>
      </c>
      <c r="X314" s="844">
        <v>64708.61</v>
      </c>
      <c r="Y314" s="844">
        <v>58582.02</v>
      </c>
      <c r="Z314" s="844">
        <v>48693.25</v>
      </c>
      <c r="AA314" s="844">
        <v>48257.54</v>
      </c>
      <c r="AB314" s="844">
        <v>51019.78</v>
      </c>
      <c r="AC314" s="844">
        <v>64135.17</v>
      </c>
      <c r="AD314" s="844">
        <v>66313.73</v>
      </c>
      <c r="AE314" s="844">
        <v>82352.639999999999</v>
      </c>
      <c r="AF314" s="844">
        <v>76380.67</v>
      </c>
      <c r="AG314" s="844">
        <v>83773.95</v>
      </c>
      <c r="AH314" s="844">
        <v>88843.27</v>
      </c>
      <c r="AI314" s="844">
        <v>76053.509999999995</v>
      </c>
      <c r="AJ314" s="844">
        <v>70326.27</v>
      </c>
      <c r="AK314" s="844"/>
      <c r="AL314" s="844"/>
      <c r="AM314" s="844"/>
      <c r="AN314" s="844"/>
      <c r="AO314" s="844"/>
      <c r="AP314" s="844"/>
      <c r="AQ314" s="844"/>
    </row>
    <row r="315" spans="2:43" ht="17.25" customHeight="1">
      <c r="B315" s="837" t="s">
        <v>1077</v>
      </c>
      <c r="C315" s="837">
        <v>1850</v>
      </c>
      <c r="D315" s="837">
        <v>2066</v>
      </c>
      <c r="E315" s="837">
        <v>2365</v>
      </c>
      <c r="F315" s="837">
        <v>2359</v>
      </c>
      <c r="G315" s="837">
        <v>3173</v>
      </c>
      <c r="H315" s="837">
        <v>3778</v>
      </c>
      <c r="I315" s="837">
        <v>5130</v>
      </c>
      <c r="J315" s="837">
        <v>4591</v>
      </c>
      <c r="K315" s="837">
        <v>4368</v>
      </c>
      <c r="L315" s="838">
        <v>3231.407958984375</v>
      </c>
      <c r="M315" s="838">
        <v>2382.575927734375</v>
      </c>
      <c r="N315" s="838">
        <v>1845.55</v>
      </c>
      <c r="O315" s="838">
        <v>1575.84</v>
      </c>
      <c r="P315" s="838">
        <v>1793.74</v>
      </c>
      <c r="Q315" s="838">
        <v>3119.3</v>
      </c>
      <c r="R315" s="838">
        <v>2774.46</v>
      </c>
      <c r="S315" s="838">
        <v>4464.83</v>
      </c>
      <c r="T315" s="838">
        <v>4320.83</v>
      </c>
      <c r="U315" s="838">
        <v>4790.53</v>
      </c>
      <c r="V315" s="838">
        <v>4741.47</v>
      </c>
      <c r="W315" s="838">
        <v>4241.7299999999996</v>
      </c>
      <c r="X315" s="838">
        <v>3131.46</v>
      </c>
      <c r="Y315" s="838">
        <v>2579.87</v>
      </c>
      <c r="Z315" s="838">
        <v>1796.06</v>
      </c>
      <c r="AA315" s="838">
        <v>1579.07</v>
      </c>
      <c r="AB315" s="838">
        <v>2046.27</v>
      </c>
      <c r="AC315" s="838">
        <v>3073.25</v>
      </c>
      <c r="AD315" s="838">
        <v>3359.55</v>
      </c>
      <c r="AE315" s="838">
        <v>5081.8900000000003</v>
      </c>
      <c r="AF315" s="838">
        <v>3550.85</v>
      </c>
      <c r="AG315" s="838">
        <v>4719.2</v>
      </c>
      <c r="AH315" s="838">
        <v>6342.34</v>
      </c>
      <c r="AI315" s="838">
        <v>5275.84</v>
      </c>
      <c r="AJ315" s="838">
        <v>1434.27</v>
      </c>
      <c r="AK315" s="838"/>
      <c r="AL315" s="838"/>
      <c r="AM315" s="838"/>
      <c r="AN315" s="838"/>
      <c r="AO315" s="838"/>
      <c r="AP315" s="838"/>
      <c r="AQ315" s="838"/>
    </row>
    <row r="316" spans="2:43" s="473" customFormat="1" ht="17.25" customHeight="1">
      <c r="B316" s="841" t="s">
        <v>1078</v>
      </c>
      <c r="C316" s="841"/>
      <c r="D316" s="841"/>
      <c r="E316" s="841"/>
      <c r="F316" s="841"/>
      <c r="G316" s="841"/>
      <c r="H316" s="841"/>
      <c r="I316" s="841"/>
      <c r="J316" s="841"/>
      <c r="K316" s="841"/>
      <c r="L316" s="842"/>
      <c r="M316" s="842"/>
      <c r="N316" s="842"/>
      <c r="O316" s="842"/>
      <c r="P316" s="842"/>
      <c r="Q316" s="842"/>
      <c r="R316" s="842"/>
      <c r="S316" s="842"/>
      <c r="T316" s="842"/>
      <c r="U316" s="842"/>
      <c r="V316" s="842"/>
      <c r="W316" s="842"/>
      <c r="X316" s="842">
        <v>0</v>
      </c>
      <c r="Y316" s="842">
        <v>0</v>
      </c>
      <c r="Z316" s="842">
        <v>0</v>
      </c>
      <c r="AA316" s="842">
        <v>80</v>
      </c>
      <c r="AB316" s="842">
        <v>1078</v>
      </c>
      <c r="AC316" s="842">
        <v>1441.15</v>
      </c>
      <c r="AD316" s="842">
        <v>1645.73</v>
      </c>
      <c r="AE316" s="842">
        <v>2640.93</v>
      </c>
      <c r="AF316" s="842">
        <v>2180.5100000000002</v>
      </c>
      <c r="AG316" s="842">
        <v>2499.3000000000002</v>
      </c>
      <c r="AH316" s="842">
        <v>2420.9</v>
      </c>
      <c r="AI316" s="842">
        <v>1815.52</v>
      </c>
      <c r="AJ316" s="842">
        <v>1778.91</v>
      </c>
      <c r="AK316" s="842"/>
      <c r="AL316" s="842"/>
      <c r="AM316" s="842"/>
      <c r="AN316" s="842"/>
      <c r="AO316" s="842"/>
      <c r="AP316" s="842"/>
      <c r="AQ316" s="842"/>
    </row>
    <row r="317" spans="2:43">
      <c r="B317" s="839" t="s">
        <v>1079</v>
      </c>
      <c r="C317" s="839">
        <v>1348</v>
      </c>
      <c r="D317" s="839">
        <v>1386</v>
      </c>
      <c r="E317" s="839">
        <v>1407</v>
      </c>
      <c r="F317" s="839">
        <v>1292</v>
      </c>
      <c r="G317" s="839">
        <v>1409</v>
      </c>
      <c r="H317" s="839">
        <v>1502</v>
      </c>
      <c r="I317" s="839">
        <v>2083</v>
      </c>
      <c r="J317" s="839">
        <v>2177</v>
      </c>
      <c r="K317" s="839">
        <v>1849</v>
      </c>
      <c r="L317" s="840">
        <v>1727.8079833984375</v>
      </c>
      <c r="M317" s="840">
        <v>1593.199951171875</v>
      </c>
      <c r="N317" s="840">
        <v>1428.53</v>
      </c>
      <c r="O317" s="840">
        <v>1617.06</v>
      </c>
      <c r="P317" s="840">
        <v>1535.01</v>
      </c>
      <c r="Q317" s="840">
        <v>1527.23</v>
      </c>
      <c r="R317" s="840">
        <v>1397.3</v>
      </c>
      <c r="S317" s="840">
        <v>1837.58</v>
      </c>
      <c r="T317" s="840">
        <v>1676.83</v>
      </c>
      <c r="U317" s="840">
        <v>1674.74</v>
      </c>
      <c r="V317" s="840">
        <v>1488.32</v>
      </c>
      <c r="W317" s="840">
        <v>1668.91</v>
      </c>
      <c r="X317" s="840">
        <v>1456.74</v>
      </c>
      <c r="Y317" s="840">
        <v>1312.05</v>
      </c>
      <c r="Z317" s="840">
        <v>1448.4</v>
      </c>
      <c r="AA317" s="840">
        <v>1497.44</v>
      </c>
      <c r="AB317" s="840">
        <v>1564.34</v>
      </c>
      <c r="AC317" s="840">
        <v>1614.61</v>
      </c>
      <c r="AD317" s="840">
        <v>1702.37</v>
      </c>
      <c r="AE317" s="840">
        <v>1887.58</v>
      </c>
      <c r="AF317" s="840">
        <v>1863.92</v>
      </c>
      <c r="AG317" s="840">
        <v>1888.72</v>
      </c>
      <c r="AH317" s="840">
        <v>1954.64</v>
      </c>
      <c r="AI317" s="840">
        <v>1766.03</v>
      </c>
      <c r="AJ317" s="840">
        <v>535.46</v>
      </c>
      <c r="AK317" s="840"/>
      <c r="AL317" s="840"/>
      <c r="AM317" s="840"/>
      <c r="AN317" s="840"/>
      <c r="AO317" s="840"/>
      <c r="AP317" s="840"/>
      <c r="AQ317" s="840"/>
    </row>
    <row r="318" spans="2:43">
      <c r="B318" s="837" t="s">
        <v>1080</v>
      </c>
      <c r="C318" s="837">
        <v>1918</v>
      </c>
      <c r="D318" s="837">
        <v>2395</v>
      </c>
      <c r="E318" s="837">
        <v>2502</v>
      </c>
      <c r="F318" s="837">
        <v>2246</v>
      </c>
      <c r="G318" s="837">
        <v>3247</v>
      </c>
      <c r="H318" s="837">
        <v>1913</v>
      </c>
      <c r="I318" s="837">
        <v>3193</v>
      </c>
      <c r="J318" s="837">
        <v>3278</v>
      </c>
      <c r="K318" s="837">
        <v>3771</v>
      </c>
      <c r="L318" s="838">
        <v>2749.31201171875</v>
      </c>
      <c r="M318" s="838">
        <v>1807.5999755859375</v>
      </c>
      <c r="N318" s="838">
        <v>2052.4299999999998</v>
      </c>
      <c r="O318" s="838">
        <v>1896.45</v>
      </c>
      <c r="P318" s="838">
        <v>1920.58</v>
      </c>
      <c r="Q318" s="838">
        <v>3157.9</v>
      </c>
      <c r="R318" s="838">
        <v>2524.5100000000002</v>
      </c>
      <c r="S318" s="838">
        <v>3763.65</v>
      </c>
      <c r="T318" s="838">
        <v>2683.6</v>
      </c>
      <c r="U318" s="838">
        <v>3614.59</v>
      </c>
      <c r="V318" s="838">
        <v>3026.4</v>
      </c>
      <c r="W318" s="838">
        <v>3601.26</v>
      </c>
      <c r="X318" s="838">
        <v>2499.63</v>
      </c>
      <c r="Y318" s="838">
        <v>2233.42</v>
      </c>
      <c r="Z318" s="838">
        <v>1912.7</v>
      </c>
      <c r="AA318" s="838">
        <v>1853.2</v>
      </c>
      <c r="AB318" s="838">
        <v>2268.0500000000002</v>
      </c>
      <c r="AC318" s="838">
        <v>3195.25</v>
      </c>
      <c r="AD318" s="838">
        <v>2805.31</v>
      </c>
      <c r="AE318" s="838">
        <v>3957.57</v>
      </c>
      <c r="AF318" s="838">
        <v>1905.94</v>
      </c>
      <c r="AG318" s="838">
        <v>2978.21</v>
      </c>
      <c r="AH318" s="838">
        <v>3743.95</v>
      </c>
      <c r="AI318" s="838">
        <v>3538.21</v>
      </c>
      <c r="AJ318" s="838">
        <v>775.04</v>
      </c>
      <c r="AK318" s="838"/>
      <c r="AL318" s="838"/>
      <c r="AM318" s="838"/>
      <c r="AN318" s="838"/>
      <c r="AO318" s="838"/>
      <c r="AP318" s="838"/>
      <c r="AQ318" s="838"/>
    </row>
    <row r="319" spans="2:43">
      <c r="B319" s="839" t="s">
        <v>1081</v>
      </c>
      <c r="C319" s="839">
        <v>61</v>
      </c>
      <c r="D319" s="839">
        <v>226</v>
      </c>
      <c r="E319" s="839">
        <v>191</v>
      </c>
      <c r="F319" s="839">
        <v>233</v>
      </c>
      <c r="G319" s="839">
        <v>347</v>
      </c>
      <c r="H319" s="839">
        <v>460</v>
      </c>
      <c r="I319" s="839">
        <v>656</v>
      </c>
      <c r="J319" s="839">
        <v>383</v>
      </c>
      <c r="K319" s="839">
        <v>380</v>
      </c>
      <c r="L319" s="840">
        <v>183.79400634765625</v>
      </c>
      <c r="M319" s="840">
        <v>91.924003601074219</v>
      </c>
      <c r="N319" s="840">
        <v>208.48</v>
      </c>
      <c r="O319" s="840">
        <v>88.01</v>
      </c>
      <c r="P319" s="840">
        <v>118.2</v>
      </c>
      <c r="Q319" s="840">
        <v>280.8</v>
      </c>
      <c r="R319" s="840">
        <v>566.49</v>
      </c>
      <c r="S319" s="840">
        <v>352.85</v>
      </c>
      <c r="T319" s="840">
        <v>410.32</v>
      </c>
      <c r="U319" s="840">
        <v>590.29</v>
      </c>
      <c r="V319" s="840">
        <v>315.31</v>
      </c>
      <c r="W319" s="840">
        <v>281.98</v>
      </c>
      <c r="X319" s="840">
        <v>177.72</v>
      </c>
      <c r="Y319" s="840">
        <v>192.26</v>
      </c>
      <c r="Z319" s="840">
        <v>147.15</v>
      </c>
      <c r="AA319" s="840">
        <v>146.38999999999999</v>
      </c>
      <c r="AB319" s="840">
        <v>148.13</v>
      </c>
      <c r="AC319" s="840">
        <v>233.52</v>
      </c>
      <c r="AD319" s="840">
        <v>245.87</v>
      </c>
      <c r="AE319" s="840">
        <v>347.27</v>
      </c>
      <c r="AF319" s="840">
        <v>295.20999999999998</v>
      </c>
      <c r="AG319" s="840">
        <v>370.32</v>
      </c>
      <c r="AH319" s="840">
        <v>341.56</v>
      </c>
      <c r="AI319" s="840">
        <v>487.68</v>
      </c>
      <c r="AJ319" s="840">
        <v>68.12</v>
      </c>
      <c r="AK319" s="840"/>
      <c r="AL319" s="840"/>
      <c r="AM319" s="840"/>
      <c r="AN319" s="840"/>
      <c r="AO319" s="840"/>
      <c r="AP319" s="840"/>
      <c r="AQ319" s="840"/>
    </row>
    <row r="320" spans="2:43">
      <c r="B320" s="837" t="s">
        <v>1082</v>
      </c>
      <c r="C320" s="837">
        <v>3894</v>
      </c>
      <c r="D320" s="837">
        <v>3596</v>
      </c>
      <c r="E320" s="837">
        <v>4170</v>
      </c>
      <c r="F320" s="837">
        <v>3760</v>
      </c>
      <c r="G320" s="837">
        <v>4306</v>
      </c>
      <c r="H320" s="837">
        <v>4065</v>
      </c>
      <c r="I320" s="837">
        <v>4395</v>
      </c>
      <c r="J320" s="837">
        <v>4480</v>
      </c>
      <c r="K320" s="837">
        <v>4292</v>
      </c>
      <c r="L320" s="838">
        <v>4178.47998046875</v>
      </c>
      <c r="M320" s="838">
        <v>3562.864013671875</v>
      </c>
      <c r="N320" s="838">
        <v>3335.28</v>
      </c>
      <c r="O320" s="838">
        <v>3339.07</v>
      </c>
      <c r="P320" s="838">
        <v>3167.65</v>
      </c>
      <c r="Q320" s="838">
        <v>4034.5</v>
      </c>
      <c r="R320" s="838">
        <v>3595.52</v>
      </c>
      <c r="S320" s="838">
        <v>4032.24</v>
      </c>
      <c r="T320" s="838">
        <v>3767.66</v>
      </c>
      <c r="U320" s="838">
        <v>3987.1</v>
      </c>
      <c r="V320" s="838">
        <v>4121.46</v>
      </c>
      <c r="W320" s="838">
        <v>3861.18</v>
      </c>
      <c r="X320" s="838">
        <v>4036.37</v>
      </c>
      <c r="Y320" s="838">
        <v>3504.74</v>
      </c>
      <c r="Z320" s="838">
        <v>3273.39</v>
      </c>
      <c r="AA320" s="838">
        <v>3429.49</v>
      </c>
      <c r="AB320" s="838">
        <v>3426.67</v>
      </c>
      <c r="AC320" s="838">
        <v>3822.83</v>
      </c>
      <c r="AD320" s="838">
        <v>3663.54</v>
      </c>
      <c r="AE320" s="838">
        <v>4030.24</v>
      </c>
      <c r="AF320" s="838">
        <v>3637.26</v>
      </c>
      <c r="AG320" s="838">
        <v>4633.8900000000003</v>
      </c>
      <c r="AH320" s="838">
        <v>4107.82</v>
      </c>
      <c r="AI320" s="838">
        <v>3886.1</v>
      </c>
      <c r="AJ320" s="838">
        <v>1045.97</v>
      </c>
      <c r="AK320" s="838"/>
      <c r="AL320" s="838"/>
      <c r="AM320" s="838"/>
      <c r="AN320" s="838"/>
      <c r="AO320" s="838"/>
      <c r="AP320" s="838"/>
      <c r="AQ320" s="838"/>
    </row>
    <row r="321" spans="2:43">
      <c r="B321" s="839" t="s">
        <v>1083</v>
      </c>
      <c r="C321" s="839">
        <v>495</v>
      </c>
      <c r="D321" s="839">
        <v>521</v>
      </c>
      <c r="E321" s="839">
        <v>1093</v>
      </c>
      <c r="F321" s="839">
        <v>727</v>
      </c>
      <c r="G321" s="839">
        <v>822</v>
      </c>
      <c r="H321" s="839">
        <v>563</v>
      </c>
      <c r="I321" s="839">
        <v>589</v>
      </c>
      <c r="J321" s="839">
        <v>697</v>
      </c>
      <c r="K321" s="839">
        <v>578</v>
      </c>
      <c r="L321" s="840">
        <v>594.83599853515625</v>
      </c>
      <c r="M321" s="840">
        <v>541.3599853515625</v>
      </c>
      <c r="N321" s="840">
        <v>653.14</v>
      </c>
      <c r="O321" s="840">
        <v>549.97</v>
      </c>
      <c r="P321" s="840">
        <v>514.99</v>
      </c>
      <c r="Q321" s="840">
        <v>1066.02</v>
      </c>
      <c r="R321" s="840">
        <v>733.1</v>
      </c>
      <c r="S321" s="840">
        <v>972.78</v>
      </c>
      <c r="T321" s="840">
        <v>441.8</v>
      </c>
      <c r="U321" s="840">
        <v>621.07000000000005</v>
      </c>
      <c r="V321" s="840">
        <v>637.80999999999995</v>
      </c>
      <c r="W321" s="840">
        <v>543.64</v>
      </c>
      <c r="X321" s="840">
        <v>549.9</v>
      </c>
      <c r="Y321" s="840">
        <v>478.85</v>
      </c>
      <c r="Z321" s="840">
        <v>512.37</v>
      </c>
      <c r="AA321" s="840">
        <v>461.36</v>
      </c>
      <c r="AB321" s="840">
        <v>645.1</v>
      </c>
      <c r="AC321" s="840">
        <v>870.63</v>
      </c>
      <c r="AD321" s="840">
        <v>703.48</v>
      </c>
      <c r="AE321" s="840">
        <v>852.77</v>
      </c>
      <c r="AF321" s="840">
        <v>521.58000000000004</v>
      </c>
      <c r="AG321" s="840">
        <v>625.48</v>
      </c>
      <c r="AH321" s="840">
        <v>717.98</v>
      </c>
      <c r="AI321" s="840">
        <v>698.75</v>
      </c>
      <c r="AJ321" s="840">
        <v>246.47</v>
      </c>
      <c r="AK321" s="840"/>
      <c r="AL321" s="840"/>
      <c r="AM321" s="840"/>
      <c r="AN321" s="840"/>
      <c r="AO321" s="840"/>
      <c r="AP321" s="840"/>
      <c r="AQ321" s="840"/>
    </row>
    <row r="322" spans="2:43">
      <c r="B322" s="837" t="s">
        <v>1084</v>
      </c>
      <c r="C322" s="837">
        <v>139</v>
      </c>
      <c r="D322" s="837">
        <v>133</v>
      </c>
      <c r="E322" s="837">
        <v>222</v>
      </c>
      <c r="F322" s="837">
        <v>151</v>
      </c>
      <c r="G322" s="837">
        <v>186</v>
      </c>
      <c r="H322" s="837">
        <v>155</v>
      </c>
      <c r="I322" s="837">
        <v>239</v>
      </c>
      <c r="J322" s="837">
        <v>274</v>
      </c>
      <c r="K322" s="837">
        <v>244</v>
      </c>
      <c r="L322" s="838">
        <v>207.53999328613281</v>
      </c>
      <c r="M322" s="838">
        <v>86.511001586914063</v>
      </c>
      <c r="N322" s="838">
        <v>54.79</v>
      </c>
      <c r="O322" s="838">
        <v>69.819999999999993</v>
      </c>
      <c r="P322" s="838">
        <v>52.53</v>
      </c>
      <c r="Q322" s="838">
        <v>224.26</v>
      </c>
      <c r="R322" s="838">
        <v>126.57</v>
      </c>
      <c r="S322" s="838">
        <v>258.08999999999997</v>
      </c>
      <c r="T322" s="838">
        <v>174.72</v>
      </c>
      <c r="U322" s="838">
        <v>240.37</v>
      </c>
      <c r="V322" s="838">
        <v>230.48</v>
      </c>
      <c r="W322" s="838">
        <v>222.02</v>
      </c>
      <c r="X322" s="838">
        <v>180.89</v>
      </c>
      <c r="Y322" s="838">
        <v>252.49</v>
      </c>
      <c r="Z322" s="838">
        <v>309.47000000000003</v>
      </c>
      <c r="AA322" s="838">
        <v>111.14</v>
      </c>
      <c r="AB322" s="838">
        <v>111.35</v>
      </c>
      <c r="AC322" s="838">
        <v>255.52</v>
      </c>
      <c r="AD322" s="838">
        <v>182.88</v>
      </c>
      <c r="AE322" s="838">
        <v>167.18</v>
      </c>
      <c r="AF322" s="838">
        <v>90.85</v>
      </c>
      <c r="AG322" s="838">
        <v>565.66999999999996</v>
      </c>
      <c r="AH322" s="838">
        <v>637.58000000000004</v>
      </c>
      <c r="AI322" s="838">
        <v>581.23</v>
      </c>
      <c r="AJ322" s="838">
        <v>159.69999999999999</v>
      </c>
      <c r="AK322" s="838"/>
      <c r="AL322" s="838"/>
      <c r="AM322" s="838"/>
      <c r="AN322" s="838"/>
      <c r="AO322" s="838"/>
      <c r="AP322" s="838"/>
      <c r="AQ322" s="838"/>
    </row>
    <row r="323" spans="2:43">
      <c r="B323" s="839" t="s">
        <v>1085</v>
      </c>
      <c r="C323" s="839">
        <v>957</v>
      </c>
      <c r="D323" s="839">
        <v>603</v>
      </c>
      <c r="E323" s="839">
        <v>626</v>
      </c>
      <c r="F323" s="839">
        <v>603</v>
      </c>
      <c r="G323" s="839">
        <v>669</v>
      </c>
      <c r="H323" s="839">
        <v>643</v>
      </c>
      <c r="I323" s="839">
        <v>716</v>
      </c>
      <c r="J323" s="839">
        <v>827</v>
      </c>
      <c r="K323" s="839">
        <v>1804</v>
      </c>
      <c r="L323" s="840">
        <v>1891.97998046875</v>
      </c>
      <c r="M323" s="840">
        <v>1716.2359619140625</v>
      </c>
      <c r="N323" s="840">
        <v>1704.91</v>
      </c>
      <c r="O323" s="840">
        <v>1696.53</v>
      </c>
      <c r="P323" s="840">
        <v>1551.45</v>
      </c>
      <c r="Q323" s="840">
        <v>1989.85</v>
      </c>
      <c r="R323" s="840">
        <v>1857.12</v>
      </c>
      <c r="S323" s="840">
        <v>2021.93</v>
      </c>
      <c r="T323" s="840">
        <v>1760.42</v>
      </c>
      <c r="U323" s="840">
        <v>1779.27</v>
      </c>
      <c r="V323" s="840">
        <v>2001.82</v>
      </c>
      <c r="W323" s="840">
        <v>1451.62</v>
      </c>
      <c r="X323" s="840">
        <v>1335.9</v>
      </c>
      <c r="Y323" s="840">
        <v>1229.26</v>
      </c>
      <c r="Z323" s="840">
        <v>1021.04</v>
      </c>
      <c r="AA323" s="840">
        <v>1014.5</v>
      </c>
      <c r="AB323" s="840">
        <v>1001.95</v>
      </c>
      <c r="AC323" s="840">
        <v>1218.02</v>
      </c>
      <c r="AD323" s="840">
        <v>1185.45</v>
      </c>
      <c r="AE323" s="840">
        <v>1378.09</v>
      </c>
      <c r="AF323" s="840">
        <v>1286.5899999999999</v>
      </c>
      <c r="AG323" s="840">
        <v>1749.06</v>
      </c>
      <c r="AH323" s="840">
        <v>1392.66</v>
      </c>
      <c r="AI323" s="840">
        <v>1081.1400000000001</v>
      </c>
      <c r="AJ323" s="840">
        <v>300.41000000000003</v>
      </c>
      <c r="AK323" s="840"/>
      <c r="AL323" s="840"/>
      <c r="AM323" s="840"/>
      <c r="AN323" s="840"/>
      <c r="AO323" s="840"/>
      <c r="AP323" s="840"/>
      <c r="AQ323" s="840"/>
    </row>
    <row r="324" spans="2:43">
      <c r="B324" s="837" t="s">
        <v>1085</v>
      </c>
      <c r="C324" s="837">
        <v>957</v>
      </c>
      <c r="D324" s="837">
        <v>603</v>
      </c>
      <c r="E324" s="837">
        <v>626</v>
      </c>
      <c r="F324" s="837">
        <v>603</v>
      </c>
      <c r="G324" s="837">
        <v>669</v>
      </c>
      <c r="H324" s="837">
        <v>643</v>
      </c>
      <c r="I324" s="837">
        <v>716</v>
      </c>
      <c r="J324" s="837">
        <v>827</v>
      </c>
      <c r="K324" s="837">
        <v>1804</v>
      </c>
      <c r="L324" s="838">
        <v>1891.97998046875</v>
      </c>
      <c r="M324" s="838">
        <v>1716.2359619140625</v>
      </c>
      <c r="N324" s="838">
        <v>1704.91</v>
      </c>
      <c r="O324" s="838">
        <v>1696.53</v>
      </c>
      <c r="P324" s="838">
        <v>1551.46</v>
      </c>
      <c r="Q324" s="838">
        <v>1989.85</v>
      </c>
      <c r="R324" s="838">
        <v>1857.12</v>
      </c>
      <c r="S324" s="838">
        <v>2021.93</v>
      </c>
      <c r="T324" s="838">
        <v>1760.42</v>
      </c>
      <c r="U324" s="838">
        <v>1779.27</v>
      </c>
      <c r="V324" s="838">
        <v>2001.82</v>
      </c>
      <c r="W324" s="838">
        <v>1451.62</v>
      </c>
      <c r="X324" s="838">
        <v>1335.9</v>
      </c>
      <c r="Y324" s="838">
        <v>1229.26</v>
      </c>
      <c r="Z324" s="838">
        <v>1021.04</v>
      </c>
      <c r="AA324" s="838">
        <v>1014.5</v>
      </c>
      <c r="AB324" s="838">
        <v>1001.95</v>
      </c>
      <c r="AC324" s="838">
        <v>1218.02</v>
      </c>
      <c r="AD324" s="838">
        <v>1185.45</v>
      </c>
      <c r="AE324" s="838">
        <v>1378.09</v>
      </c>
      <c r="AF324" s="838">
        <v>1286.5899999999999</v>
      </c>
      <c r="AG324" s="838">
        <v>1749.06</v>
      </c>
      <c r="AH324" s="838">
        <v>1392.66</v>
      </c>
      <c r="AI324" s="838">
        <v>1081.1400000000001</v>
      </c>
      <c r="AJ324" s="838">
        <v>300.41000000000003</v>
      </c>
      <c r="AK324" s="838"/>
      <c r="AL324" s="838"/>
      <c r="AM324" s="838"/>
      <c r="AN324" s="838"/>
      <c r="AO324" s="838"/>
      <c r="AP324" s="838"/>
      <c r="AQ324" s="838"/>
    </row>
    <row r="325" spans="2:43">
      <c r="B325" s="839" t="s">
        <v>1086</v>
      </c>
      <c r="C325" s="839">
        <v>714</v>
      </c>
      <c r="D325" s="839">
        <v>949</v>
      </c>
      <c r="E325" s="839">
        <v>1478</v>
      </c>
      <c r="F325" s="839">
        <v>1763</v>
      </c>
      <c r="G325" s="839">
        <v>1737</v>
      </c>
      <c r="H325" s="839">
        <v>1220</v>
      </c>
      <c r="I325" s="839">
        <v>1343</v>
      </c>
      <c r="J325" s="839">
        <v>1793</v>
      </c>
      <c r="K325" s="839">
        <v>1831</v>
      </c>
      <c r="L325" s="840">
        <v>1835.991943359375</v>
      </c>
      <c r="M325" s="840">
        <v>1088.64794921875</v>
      </c>
      <c r="N325" s="840">
        <v>342.47</v>
      </c>
      <c r="O325" s="840">
        <v>507.7</v>
      </c>
      <c r="P325" s="840">
        <v>719.36</v>
      </c>
      <c r="Q325" s="840">
        <v>1554.44</v>
      </c>
      <c r="R325" s="840">
        <v>1212.51</v>
      </c>
      <c r="S325" s="840">
        <v>1830.23</v>
      </c>
      <c r="T325" s="840">
        <v>2026.4</v>
      </c>
      <c r="U325" s="840">
        <v>1601.25</v>
      </c>
      <c r="V325" s="840">
        <v>1689.06</v>
      </c>
      <c r="W325" s="840">
        <v>1364.68</v>
      </c>
      <c r="X325" s="840">
        <v>1674.06</v>
      </c>
      <c r="Y325" s="840">
        <v>1432.7</v>
      </c>
      <c r="Z325" s="840">
        <v>693.02</v>
      </c>
      <c r="AA325" s="840">
        <v>302.83</v>
      </c>
      <c r="AB325" s="840">
        <v>1045.3399999999999</v>
      </c>
      <c r="AC325" s="840">
        <v>1356.29</v>
      </c>
      <c r="AD325" s="840">
        <v>1312.18</v>
      </c>
      <c r="AE325" s="840">
        <v>1671.58</v>
      </c>
      <c r="AF325" s="840">
        <v>1713.27</v>
      </c>
      <c r="AG325" s="840">
        <v>1270.7</v>
      </c>
      <c r="AH325" s="840">
        <v>1721.22</v>
      </c>
      <c r="AI325" s="840">
        <v>1372.24</v>
      </c>
      <c r="AJ325" s="840">
        <v>434.5</v>
      </c>
      <c r="AK325" s="840"/>
      <c r="AL325" s="840"/>
      <c r="AM325" s="840"/>
      <c r="AN325" s="840"/>
      <c r="AO325" s="840"/>
      <c r="AP325" s="840"/>
      <c r="AQ325" s="840"/>
    </row>
    <row r="326" spans="2:43">
      <c r="B326" s="837" t="s">
        <v>1087</v>
      </c>
      <c r="C326" s="837">
        <v>718</v>
      </c>
      <c r="D326" s="837">
        <v>955</v>
      </c>
      <c r="E326" s="837">
        <v>1996</v>
      </c>
      <c r="F326" s="837">
        <v>1792</v>
      </c>
      <c r="G326" s="837">
        <v>2087</v>
      </c>
      <c r="H326" s="837">
        <v>1193</v>
      </c>
      <c r="I326" s="837">
        <v>1689</v>
      </c>
      <c r="J326" s="837">
        <v>2389</v>
      </c>
      <c r="K326" s="837">
        <v>1824</v>
      </c>
      <c r="L326" s="838">
        <v>1878.239990234375</v>
      </c>
      <c r="M326" s="838">
        <v>930.76800537109375</v>
      </c>
      <c r="N326" s="838">
        <v>450.78</v>
      </c>
      <c r="O326" s="838">
        <v>1027.98</v>
      </c>
      <c r="P326" s="838">
        <v>1240.08</v>
      </c>
      <c r="Q326" s="838">
        <v>2377.2800000000002</v>
      </c>
      <c r="R326" s="838">
        <v>1787.86</v>
      </c>
      <c r="S326" s="838">
        <v>2206.4499999999998</v>
      </c>
      <c r="T326" s="838">
        <v>2339.6799999999998</v>
      </c>
      <c r="U326" s="838">
        <v>2044.9</v>
      </c>
      <c r="V326" s="838">
        <v>2047.1</v>
      </c>
      <c r="W326" s="838">
        <v>1607.92</v>
      </c>
      <c r="X326" s="838">
        <v>2551.7800000000002</v>
      </c>
      <c r="Y326" s="838">
        <v>3293.97</v>
      </c>
      <c r="Z326" s="838">
        <v>1617.98</v>
      </c>
      <c r="AA326" s="838">
        <v>577.44000000000005</v>
      </c>
      <c r="AB326" s="838">
        <v>1835.02</v>
      </c>
      <c r="AC326" s="838">
        <v>1993.55</v>
      </c>
      <c r="AD326" s="838">
        <v>1957.33</v>
      </c>
      <c r="AE326" s="838">
        <v>2470.7399999999998</v>
      </c>
      <c r="AF326" s="838">
        <v>2006.16</v>
      </c>
      <c r="AG326" s="838">
        <v>2163.79</v>
      </c>
      <c r="AH326" s="838">
        <v>2557.62</v>
      </c>
      <c r="AI326" s="838">
        <v>1861.42</v>
      </c>
      <c r="AJ326" s="838">
        <v>594.74</v>
      </c>
      <c r="AK326" s="838"/>
      <c r="AL326" s="838"/>
      <c r="AM326" s="838"/>
      <c r="AN326" s="838"/>
      <c r="AO326" s="838"/>
      <c r="AP326" s="838"/>
      <c r="AQ326" s="838"/>
    </row>
    <row r="327" spans="2:43">
      <c r="B327" s="839" t="s">
        <v>1088</v>
      </c>
      <c r="C327" s="839">
        <v>1887</v>
      </c>
      <c r="D327" s="839">
        <v>1769</v>
      </c>
      <c r="E327" s="839">
        <v>1899</v>
      </c>
      <c r="F327" s="839">
        <v>1783</v>
      </c>
      <c r="G327" s="839">
        <v>2017</v>
      </c>
      <c r="H327" s="839">
        <v>1770</v>
      </c>
      <c r="I327" s="839">
        <v>2050</v>
      </c>
      <c r="J327" s="839">
        <v>2148</v>
      </c>
      <c r="K327" s="839">
        <v>2043</v>
      </c>
      <c r="L327" s="840">
        <v>1957.93603515625</v>
      </c>
      <c r="M327" s="840">
        <v>1818.8480224609375</v>
      </c>
      <c r="N327" s="840">
        <v>1929.82</v>
      </c>
      <c r="O327" s="840">
        <v>1957.98</v>
      </c>
      <c r="P327" s="840">
        <v>1666.82</v>
      </c>
      <c r="Q327" s="840">
        <v>2116.08</v>
      </c>
      <c r="R327" s="840">
        <v>1932.1</v>
      </c>
      <c r="S327" s="840">
        <v>2034.78</v>
      </c>
      <c r="T327" s="840">
        <v>1771.38</v>
      </c>
      <c r="U327" s="840">
        <v>1987.44</v>
      </c>
      <c r="V327" s="840">
        <v>2066.7600000000002</v>
      </c>
      <c r="W327" s="840">
        <v>2027.1</v>
      </c>
      <c r="X327" s="840">
        <v>1953.34</v>
      </c>
      <c r="Y327" s="840">
        <v>1787.26</v>
      </c>
      <c r="Z327" s="840">
        <v>2104.9</v>
      </c>
      <c r="AA327" s="840">
        <v>2138.5</v>
      </c>
      <c r="AB327" s="840">
        <v>1750.26</v>
      </c>
      <c r="AC327" s="840">
        <v>2060.0100000000002</v>
      </c>
      <c r="AD327" s="840">
        <v>1945.05</v>
      </c>
      <c r="AE327" s="840">
        <v>2044.03</v>
      </c>
      <c r="AF327" s="840">
        <v>1804.78</v>
      </c>
      <c r="AG327" s="840">
        <v>1970.42</v>
      </c>
      <c r="AH327" s="840">
        <v>2105.62</v>
      </c>
      <c r="AI327" s="840">
        <v>1917.98</v>
      </c>
      <c r="AJ327" s="840">
        <v>531.65</v>
      </c>
      <c r="AK327" s="840"/>
      <c r="AL327" s="840"/>
      <c r="AM327" s="840"/>
      <c r="AN327" s="840"/>
      <c r="AO327" s="840"/>
      <c r="AP327" s="840"/>
      <c r="AQ327" s="840"/>
    </row>
    <row r="328" spans="2:43">
      <c r="B328" s="837" t="s">
        <v>1089</v>
      </c>
      <c r="C328" s="837">
        <v>1719</v>
      </c>
      <c r="D328" s="837">
        <v>1566</v>
      </c>
      <c r="E328" s="837">
        <v>2023</v>
      </c>
      <c r="F328" s="837">
        <v>1943</v>
      </c>
      <c r="G328" s="837">
        <v>2313</v>
      </c>
      <c r="H328" s="837">
        <v>2164</v>
      </c>
      <c r="I328" s="837">
        <v>2381</v>
      </c>
      <c r="J328" s="837">
        <v>2247</v>
      </c>
      <c r="K328" s="837">
        <v>1959</v>
      </c>
      <c r="L328" s="838">
        <v>2056.14404296875</v>
      </c>
      <c r="M328" s="838">
        <v>1788.343994140625</v>
      </c>
      <c r="N328" s="838">
        <v>2173.11</v>
      </c>
      <c r="O328" s="838">
        <v>2173.5</v>
      </c>
      <c r="P328" s="838">
        <v>1729.82</v>
      </c>
      <c r="Q328" s="838">
        <v>2159.3200000000002</v>
      </c>
      <c r="R328" s="838">
        <v>1904.7</v>
      </c>
      <c r="S328" s="838">
        <v>2108.9</v>
      </c>
      <c r="T328" s="838">
        <v>1872.24</v>
      </c>
      <c r="U328" s="838">
        <v>2108.2199999999998</v>
      </c>
      <c r="V328" s="838">
        <v>2124.56</v>
      </c>
      <c r="W328" s="838">
        <v>2098.7800000000002</v>
      </c>
      <c r="X328" s="838">
        <v>2083.16</v>
      </c>
      <c r="Y328" s="838">
        <v>2063.9899999999998</v>
      </c>
      <c r="Z328" s="838">
        <v>2136.83</v>
      </c>
      <c r="AA328" s="838">
        <v>1821.02</v>
      </c>
      <c r="AB328" s="838">
        <v>1663.76</v>
      </c>
      <c r="AC328" s="838">
        <v>2073.6799999999998</v>
      </c>
      <c r="AD328" s="838">
        <v>1915.04</v>
      </c>
      <c r="AE328" s="838">
        <v>2044.94</v>
      </c>
      <c r="AF328" s="838">
        <v>1794.82</v>
      </c>
      <c r="AG328" s="838">
        <v>2000.53</v>
      </c>
      <c r="AH328" s="838">
        <v>2043.7</v>
      </c>
      <c r="AI328" s="838">
        <v>1850</v>
      </c>
      <c r="AJ328" s="838">
        <v>515.1</v>
      </c>
      <c r="AK328" s="838"/>
      <c r="AL328" s="838"/>
      <c r="AM328" s="838"/>
      <c r="AN328" s="838"/>
      <c r="AO328" s="838"/>
      <c r="AP328" s="838"/>
      <c r="AQ328" s="838"/>
    </row>
    <row r="329" spans="2:43">
      <c r="B329" s="839" t="s">
        <v>1090</v>
      </c>
      <c r="C329" s="839">
        <v>836</v>
      </c>
      <c r="D329" s="839">
        <v>947</v>
      </c>
      <c r="E329" s="839">
        <v>1213</v>
      </c>
      <c r="F329" s="839">
        <v>1098</v>
      </c>
      <c r="G329" s="839">
        <v>1378</v>
      </c>
      <c r="H329" s="839">
        <v>1819</v>
      </c>
      <c r="I329" s="839">
        <v>1357</v>
      </c>
      <c r="J329" s="839">
        <v>1423</v>
      </c>
      <c r="K329" s="839">
        <v>1153</v>
      </c>
      <c r="L329" s="840">
        <v>1611.06396484375</v>
      </c>
      <c r="M329" s="840">
        <v>1531.4959716796875</v>
      </c>
      <c r="N329" s="840">
        <v>731.98</v>
      </c>
      <c r="O329" s="840">
        <v>884.95</v>
      </c>
      <c r="P329" s="840">
        <v>1080.57</v>
      </c>
      <c r="Q329" s="840">
        <v>1578.11</v>
      </c>
      <c r="R329" s="840">
        <v>1342.54</v>
      </c>
      <c r="S329" s="840">
        <v>1671.57</v>
      </c>
      <c r="T329" s="840">
        <v>2141.46</v>
      </c>
      <c r="U329" s="840">
        <v>1662.15</v>
      </c>
      <c r="V329" s="840">
        <v>1756.91</v>
      </c>
      <c r="W329" s="840">
        <v>1558.93</v>
      </c>
      <c r="X329" s="840">
        <v>1892.58</v>
      </c>
      <c r="Y329" s="840">
        <v>1877.34</v>
      </c>
      <c r="Z329" s="840">
        <v>730.32</v>
      </c>
      <c r="AA329" s="840">
        <v>671.12</v>
      </c>
      <c r="AB329" s="840">
        <v>824.94</v>
      </c>
      <c r="AC329" s="840">
        <v>1404.24</v>
      </c>
      <c r="AD329" s="840">
        <v>1336.86</v>
      </c>
      <c r="AE329" s="840">
        <v>1686.7</v>
      </c>
      <c r="AF329" s="840">
        <v>2063.0700000000002</v>
      </c>
      <c r="AG329" s="840">
        <v>1989.71</v>
      </c>
      <c r="AH329" s="840">
        <v>2212.8000000000002</v>
      </c>
      <c r="AI329" s="840">
        <v>1306.8800000000001</v>
      </c>
      <c r="AJ329" s="840">
        <v>318.51</v>
      </c>
      <c r="AK329" s="840"/>
      <c r="AL329" s="840"/>
      <c r="AM329" s="840"/>
      <c r="AN329" s="840"/>
      <c r="AO329" s="840"/>
      <c r="AP329" s="840"/>
      <c r="AQ329" s="840"/>
    </row>
    <row r="330" spans="2:43">
      <c r="B330" s="837" t="s">
        <v>1091</v>
      </c>
      <c r="C330" s="837">
        <v>1431</v>
      </c>
      <c r="D330" s="837">
        <v>1365</v>
      </c>
      <c r="E330" s="837">
        <v>1480</v>
      </c>
      <c r="F330" s="837">
        <v>1335</v>
      </c>
      <c r="G330" s="837">
        <v>1580</v>
      </c>
      <c r="H330" s="837">
        <v>1642</v>
      </c>
      <c r="I330" s="837">
        <v>1615</v>
      </c>
      <c r="J330" s="837">
        <v>1578</v>
      </c>
      <c r="K330" s="837">
        <v>1579</v>
      </c>
      <c r="L330" s="838">
        <v>1482.8399658203125</v>
      </c>
      <c r="M330" s="838">
        <v>1504.2960205078125</v>
      </c>
      <c r="N330" s="838">
        <v>1336.86</v>
      </c>
      <c r="O330" s="838">
        <v>1374.01</v>
      </c>
      <c r="P330" s="838">
        <v>1421.7</v>
      </c>
      <c r="Q330" s="838">
        <v>1699.74</v>
      </c>
      <c r="R330" s="838">
        <v>1508.01</v>
      </c>
      <c r="S330" s="838">
        <v>1887.39</v>
      </c>
      <c r="T330" s="838">
        <v>2101.02</v>
      </c>
      <c r="U330" s="838">
        <v>1790.08</v>
      </c>
      <c r="V330" s="838">
        <v>1709.34</v>
      </c>
      <c r="W330" s="838">
        <v>1461.07</v>
      </c>
      <c r="X330" s="838">
        <v>1445.7</v>
      </c>
      <c r="Y330" s="838">
        <v>1440.61</v>
      </c>
      <c r="Z330" s="838">
        <v>1154.73</v>
      </c>
      <c r="AA330" s="838">
        <v>1276.69</v>
      </c>
      <c r="AB330" s="838">
        <v>1330.84</v>
      </c>
      <c r="AC330" s="838">
        <v>2197.56</v>
      </c>
      <c r="AD330" s="838">
        <v>2102.7199999999998</v>
      </c>
      <c r="AE330" s="838">
        <v>2381.27</v>
      </c>
      <c r="AF330" s="838">
        <v>2268.59</v>
      </c>
      <c r="AG330" s="838">
        <v>2498.9</v>
      </c>
      <c r="AH330" s="838">
        <v>1643.74</v>
      </c>
      <c r="AI330" s="838">
        <v>1402.58</v>
      </c>
      <c r="AJ330" s="838">
        <v>347.28</v>
      </c>
      <c r="AK330" s="838"/>
      <c r="AL330" s="838"/>
      <c r="AM330" s="838"/>
      <c r="AN330" s="838"/>
      <c r="AO330" s="838"/>
      <c r="AP330" s="838"/>
      <c r="AQ330" s="838"/>
    </row>
    <row r="331" spans="2:43">
      <c r="B331" s="839" t="s">
        <v>1092</v>
      </c>
      <c r="C331" s="839">
        <v>1919</v>
      </c>
      <c r="D331" s="839">
        <v>1827</v>
      </c>
      <c r="E331" s="839">
        <v>2654</v>
      </c>
      <c r="F331" s="839">
        <v>2537</v>
      </c>
      <c r="G331" s="839">
        <v>3751</v>
      </c>
      <c r="H331" s="839">
        <v>3636</v>
      </c>
      <c r="I331" s="839">
        <v>3762</v>
      </c>
      <c r="J331" s="839">
        <v>3987</v>
      </c>
      <c r="K331" s="839">
        <v>3614</v>
      </c>
      <c r="L331" s="840">
        <v>3470.2880859375</v>
      </c>
      <c r="M331" s="840">
        <v>2797.18408203125</v>
      </c>
      <c r="N331" s="840">
        <v>1689.22</v>
      </c>
      <c r="O331" s="840">
        <v>2136.4299999999998</v>
      </c>
      <c r="P331" s="840">
        <v>2196.13</v>
      </c>
      <c r="Q331" s="840">
        <v>3879.79</v>
      </c>
      <c r="R331" s="840">
        <v>3007.06</v>
      </c>
      <c r="S331" s="840">
        <v>3688.93</v>
      </c>
      <c r="T331" s="840">
        <v>4400.78</v>
      </c>
      <c r="U331" s="840">
        <v>3969.12</v>
      </c>
      <c r="V331" s="840">
        <v>4321.47</v>
      </c>
      <c r="W331" s="840">
        <v>3489.97</v>
      </c>
      <c r="X331" s="840">
        <v>4099.62</v>
      </c>
      <c r="Y331" s="840">
        <v>3304.61</v>
      </c>
      <c r="Z331" s="840">
        <v>2074.61</v>
      </c>
      <c r="AA331" s="840">
        <v>2244.96</v>
      </c>
      <c r="AB331" s="840">
        <v>2825.92</v>
      </c>
      <c r="AC331" s="840">
        <v>3627.17</v>
      </c>
      <c r="AD331" s="840">
        <v>3507.95</v>
      </c>
      <c r="AE331" s="840">
        <v>4048.59</v>
      </c>
      <c r="AF331" s="840">
        <v>3432.94</v>
      </c>
      <c r="AG331" s="840">
        <v>4879.5</v>
      </c>
      <c r="AH331" s="840">
        <v>4485.82</v>
      </c>
      <c r="AI331" s="840">
        <v>3919.94</v>
      </c>
      <c r="AJ331" s="840">
        <v>1021.34</v>
      </c>
      <c r="AK331" s="840"/>
      <c r="AL331" s="840"/>
      <c r="AM331" s="840"/>
      <c r="AN331" s="840"/>
      <c r="AO331" s="840"/>
      <c r="AP331" s="840"/>
      <c r="AQ331" s="840"/>
    </row>
    <row r="332" spans="2:43">
      <c r="B332" s="837" t="s">
        <v>1093</v>
      </c>
      <c r="C332" s="837">
        <v>654</v>
      </c>
      <c r="D332" s="837">
        <v>677</v>
      </c>
      <c r="E332" s="837">
        <v>811</v>
      </c>
      <c r="F332" s="837">
        <v>660</v>
      </c>
      <c r="G332" s="837">
        <v>894</v>
      </c>
      <c r="H332" s="837">
        <v>727</v>
      </c>
      <c r="I332" s="837">
        <v>815</v>
      </c>
      <c r="J332" s="837">
        <v>920</v>
      </c>
      <c r="K332" s="837">
        <v>864</v>
      </c>
      <c r="L332" s="838">
        <v>826.60797119140625</v>
      </c>
      <c r="M332" s="838">
        <v>766.37200927734375</v>
      </c>
      <c r="N332" s="838">
        <v>589.46</v>
      </c>
      <c r="O332" s="838">
        <v>646.80999999999995</v>
      </c>
      <c r="P332" s="838">
        <v>791.91</v>
      </c>
      <c r="Q332" s="838">
        <v>1029.82</v>
      </c>
      <c r="R332" s="838">
        <v>877.88</v>
      </c>
      <c r="S332" s="838">
        <v>990.92</v>
      </c>
      <c r="T332" s="838">
        <v>879.34</v>
      </c>
      <c r="U332" s="838">
        <v>878.04</v>
      </c>
      <c r="V332" s="838">
        <v>947.68</v>
      </c>
      <c r="W332" s="838">
        <v>854.14</v>
      </c>
      <c r="X332" s="838">
        <v>865.35</v>
      </c>
      <c r="Y332" s="838">
        <v>778.05</v>
      </c>
      <c r="Z332" s="838">
        <v>563.76</v>
      </c>
      <c r="AA332" s="838">
        <v>612.86</v>
      </c>
      <c r="AB332" s="838">
        <v>725.25</v>
      </c>
      <c r="AC332" s="838">
        <v>859.82</v>
      </c>
      <c r="AD332" s="838">
        <v>818.2</v>
      </c>
      <c r="AE332" s="838">
        <v>965.49</v>
      </c>
      <c r="AF332" s="838">
        <v>763.08</v>
      </c>
      <c r="AG332" s="838">
        <v>915.09</v>
      </c>
      <c r="AH332" s="838">
        <v>909.14</v>
      </c>
      <c r="AI332" s="838">
        <v>809.33</v>
      </c>
      <c r="AJ332" s="838">
        <v>218.08</v>
      </c>
      <c r="AK332" s="838"/>
      <c r="AL332" s="838"/>
      <c r="AM332" s="838"/>
      <c r="AN332" s="838"/>
      <c r="AO332" s="838"/>
      <c r="AP332" s="838"/>
      <c r="AQ332" s="838"/>
    </row>
    <row r="333" spans="2:43">
      <c r="B333" s="839" t="s">
        <v>1094</v>
      </c>
      <c r="C333" s="839">
        <v>308</v>
      </c>
      <c r="D333" s="839">
        <v>319</v>
      </c>
      <c r="E333" s="839">
        <v>355</v>
      </c>
      <c r="F333" s="839">
        <v>315</v>
      </c>
      <c r="G333" s="839">
        <v>344</v>
      </c>
      <c r="H333" s="839">
        <v>332</v>
      </c>
      <c r="I333" s="839">
        <v>373</v>
      </c>
      <c r="J333" s="839">
        <v>436</v>
      </c>
      <c r="K333" s="839">
        <v>465</v>
      </c>
      <c r="L333" s="840">
        <v>434.1090087890625</v>
      </c>
      <c r="M333" s="840">
        <v>473.2080078125</v>
      </c>
      <c r="N333" s="840">
        <v>331.36</v>
      </c>
      <c r="O333" s="840">
        <v>333.1</v>
      </c>
      <c r="P333" s="840">
        <v>369.76</v>
      </c>
      <c r="Q333" s="840">
        <v>361.78</v>
      </c>
      <c r="R333" s="840">
        <v>260.49</v>
      </c>
      <c r="S333" s="840">
        <v>294.58999999999997</v>
      </c>
      <c r="T333" s="840">
        <v>274.27</v>
      </c>
      <c r="U333" s="840">
        <v>360.51</v>
      </c>
      <c r="V333" s="840">
        <v>319.25</v>
      </c>
      <c r="W333" s="840">
        <v>286.74</v>
      </c>
      <c r="X333" s="840">
        <v>292.89</v>
      </c>
      <c r="Y333" s="840">
        <v>331.83</v>
      </c>
      <c r="Z333" s="840">
        <v>189.31</v>
      </c>
      <c r="AA333" s="840">
        <v>272.99</v>
      </c>
      <c r="AB333" s="840">
        <v>211.7</v>
      </c>
      <c r="AC333" s="840">
        <v>243.9</v>
      </c>
      <c r="AD333" s="840">
        <v>272.43</v>
      </c>
      <c r="AE333" s="840">
        <v>266.67</v>
      </c>
      <c r="AF333" s="840">
        <v>268.05</v>
      </c>
      <c r="AG333" s="840">
        <v>222.36</v>
      </c>
      <c r="AH333" s="840">
        <v>258.45999999999998</v>
      </c>
      <c r="AI333" s="840">
        <v>232.29</v>
      </c>
      <c r="AJ333" s="840">
        <v>94.73</v>
      </c>
      <c r="AK333" s="840"/>
      <c r="AL333" s="840"/>
      <c r="AM333" s="840"/>
      <c r="AN333" s="840"/>
      <c r="AO333" s="840"/>
      <c r="AP333" s="840"/>
      <c r="AQ333" s="840"/>
    </row>
    <row r="334" spans="2:43">
      <c r="B334" s="837" t="s">
        <v>1095</v>
      </c>
      <c r="C334" s="837">
        <v>1914</v>
      </c>
      <c r="D334" s="837">
        <v>2124</v>
      </c>
      <c r="E334" s="837">
        <v>2661</v>
      </c>
      <c r="F334" s="837">
        <v>2238</v>
      </c>
      <c r="G334" s="837">
        <v>3597</v>
      </c>
      <c r="H334" s="837">
        <v>2738</v>
      </c>
      <c r="I334" s="837">
        <v>3202</v>
      </c>
      <c r="J334" s="837">
        <v>3145</v>
      </c>
      <c r="K334" s="837">
        <v>2948</v>
      </c>
      <c r="L334" s="838">
        <v>2747.8720703125</v>
      </c>
      <c r="M334" s="838">
        <v>2100.9599609375</v>
      </c>
      <c r="N334" s="838">
        <v>1975.79</v>
      </c>
      <c r="O334" s="838">
        <v>2353.46</v>
      </c>
      <c r="P334" s="838">
        <v>2510.37</v>
      </c>
      <c r="Q334" s="838">
        <v>3120.29</v>
      </c>
      <c r="R334" s="838">
        <v>3072.85</v>
      </c>
      <c r="S334" s="838">
        <v>3554.43</v>
      </c>
      <c r="T334" s="838">
        <v>3373.01</v>
      </c>
      <c r="U334" s="838">
        <v>5442.38</v>
      </c>
      <c r="V334" s="838">
        <v>4294.5600000000004</v>
      </c>
      <c r="W334" s="838">
        <v>3135.15</v>
      </c>
      <c r="X334" s="838">
        <v>2733.2</v>
      </c>
      <c r="Y334" s="838">
        <v>2504.2199999999998</v>
      </c>
      <c r="Z334" s="838">
        <v>2736.16</v>
      </c>
      <c r="AA334" s="838">
        <v>2358.29</v>
      </c>
      <c r="AB334" s="838">
        <v>2181.63</v>
      </c>
      <c r="AC334" s="838">
        <v>3253.65</v>
      </c>
      <c r="AD334" s="838">
        <v>3053.6</v>
      </c>
      <c r="AE334" s="838">
        <v>3391.28</v>
      </c>
      <c r="AF334" s="838">
        <v>3304.54</v>
      </c>
      <c r="AG334" s="838">
        <v>3378.66</v>
      </c>
      <c r="AH334" s="838">
        <v>3722.03</v>
      </c>
      <c r="AI334" s="838">
        <v>3677.76</v>
      </c>
      <c r="AJ334" s="838">
        <v>1039.26</v>
      </c>
      <c r="AK334" s="838"/>
      <c r="AL334" s="838"/>
      <c r="AM334" s="838"/>
      <c r="AN334" s="838"/>
      <c r="AO334" s="838"/>
      <c r="AP334" s="838"/>
      <c r="AQ334" s="838"/>
    </row>
    <row r="335" spans="2:43">
      <c r="B335" s="839" t="s">
        <v>1096</v>
      </c>
      <c r="C335" s="839">
        <v>786</v>
      </c>
      <c r="D335" s="839">
        <v>833</v>
      </c>
      <c r="E335" s="839">
        <v>2041</v>
      </c>
      <c r="F335" s="839">
        <v>1892</v>
      </c>
      <c r="G335" s="839">
        <v>1859</v>
      </c>
      <c r="H335" s="839">
        <v>2460</v>
      </c>
      <c r="I335" s="839">
        <v>3394</v>
      </c>
      <c r="J335" s="839">
        <v>3122</v>
      </c>
      <c r="K335" s="839">
        <v>3479</v>
      </c>
      <c r="L335" s="840">
        <v>3608.864013671875</v>
      </c>
      <c r="M335" s="840">
        <v>3744.384033203125</v>
      </c>
      <c r="N335" s="840">
        <v>2919.62</v>
      </c>
      <c r="O335" s="840">
        <v>1090.8800000000001</v>
      </c>
      <c r="P335" s="840">
        <v>1031.68</v>
      </c>
      <c r="Q335" s="840">
        <v>1734.21</v>
      </c>
      <c r="R335" s="840">
        <v>3551.62</v>
      </c>
      <c r="S335" s="840">
        <v>3448.96</v>
      </c>
      <c r="T335" s="840">
        <v>4577.7299999999996</v>
      </c>
      <c r="U335" s="840">
        <v>4017.12</v>
      </c>
      <c r="V335" s="840">
        <v>4306.37</v>
      </c>
      <c r="W335" s="840">
        <v>3814.66</v>
      </c>
      <c r="X335" s="840">
        <v>3767.94</v>
      </c>
      <c r="Y335" s="840">
        <v>2633.28</v>
      </c>
      <c r="Z335" s="840">
        <v>2450.59</v>
      </c>
      <c r="AA335" s="840">
        <v>2232.16</v>
      </c>
      <c r="AB335" s="840">
        <v>2111.3000000000002</v>
      </c>
      <c r="AC335" s="840">
        <v>4161.79</v>
      </c>
      <c r="AD335" s="840">
        <v>4103.74</v>
      </c>
      <c r="AE335" s="840">
        <v>4306.82</v>
      </c>
      <c r="AF335" s="840">
        <v>3509.57</v>
      </c>
      <c r="AG335" s="840">
        <v>3627.49</v>
      </c>
      <c r="AH335" s="840">
        <v>4436.8</v>
      </c>
      <c r="AI335" s="840">
        <v>4043.84</v>
      </c>
      <c r="AJ335" s="840">
        <v>836.1</v>
      </c>
      <c r="AK335" s="840"/>
      <c r="AL335" s="840"/>
      <c r="AM335" s="840"/>
      <c r="AN335" s="840"/>
      <c r="AO335" s="840"/>
      <c r="AP335" s="840"/>
      <c r="AQ335" s="840"/>
    </row>
    <row r="336" spans="2:43">
      <c r="B336" s="837" t="s">
        <v>1097</v>
      </c>
      <c r="C336" s="837">
        <v>0</v>
      </c>
      <c r="D336" s="837">
        <v>1</v>
      </c>
      <c r="E336" s="837">
        <v>53</v>
      </c>
      <c r="F336" s="837">
        <v>1657</v>
      </c>
      <c r="G336" s="837">
        <v>4109</v>
      </c>
      <c r="H336" s="837">
        <v>3965</v>
      </c>
      <c r="I336" s="837">
        <v>3824</v>
      </c>
      <c r="J336" s="837">
        <v>4821</v>
      </c>
      <c r="K336" s="837">
        <v>4502</v>
      </c>
      <c r="L336" s="838">
        <v>3514.83203125</v>
      </c>
      <c r="M336" s="838">
        <v>2783.16796875</v>
      </c>
      <c r="N336" s="838">
        <v>0</v>
      </c>
      <c r="O336" s="838">
        <v>0</v>
      </c>
      <c r="P336" s="838">
        <v>1.58</v>
      </c>
      <c r="Q336" s="838">
        <v>694.59</v>
      </c>
      <c r="R336" s="838">
        <v>2689.81</v>
      </c>
      <c r="S336" s="838">
        <v>4697.41</v>
      </c>
      <c r="T336" s="838">
        <v>3575.78</v>
      </c>
      <c r="U336" s="838">
        <v>4209.62</v>
      </c>
      <c r="V336" s="838">
        <v>4744.93</v>
      </c>
      <c r="W336" s="838">
        <v>3945.71</v>
      </c>
      <c r="X336" s="838">
        <v>3870.3</v>
      </c>
      <c r="Y336" s="838">
        <v>2759.3</v>
      </c>
      <c r="Z336" s="838">
        <v>22.91</v>
      </c>
      <c r="AA336" s="838">
        <v>0</v>
      </c>
      <c r="AB336" s="838">
        <v>3.15</v>
      </c>
      <c r="AC336" s="838">
        <v>1104.29</v>
      </c>
      <c r="AD336" s="838">
        <v>3648.19</v>
      </c>
      <c r="AE336" s="838">
        <v>4859.8599999999997</v>
      </c>
      <c r="AF336" s="838">
        <v>2329.6799999999998</v>
      </c>
      <c r="AG336" s="838">
        <v>962.53</v>
      </c>
      <c r="AH336" s="838">
        <v>5246.46</v>
      </c>
      <c r="AI336" s="838">
        <v>4260.88</v>
      </c>
      <c r="AJ336" s="838">
        <v>1129.6600000000001</v>
      </c>
      <c r="AK336" s="838"/>
      <c r="AL336" s="838"/>
      <c r="AM336" s="838"/>
      <c r="AN336" s="838"/>
      <c r="AO336" s="838"/>
      <c r="AP336" s="838"/>
      <c r="AQ336" s="838"/>
    </row>
    <row r="337" spans="2:43">
      <c r="B337" s="839" t="s">
        <v>1098</v>
      </c>
      <c r="C337" s="839">
        <v>31</v>
      </c>
      <c r="D337" s="839">
        <v>25</v>
      </c>
      <c r="E337" s="839">
        <v>32</v>
      </c>
      <c r="F337" s="839">
        <v>41</v>
      </c>
      <c r="G337" s="839">
        <v>60</v>
      </c>
      <c r="H337" s="839">
        <v>63</v>
      </c>
      <c r="I337" s="839">
        <v>64</v>
      </c>
      <c r="J337" s="839">
        <v>79</v>
      </c>
      <c r="K337" s="839">
        <v>239</v>
      </c>
      <c r="L337" s="840">
        <v>61.148998260498047</v>
      </c>
      <c r="M337" s="840">
        <v>38.027999877929688</v>
      </c>
      <c r="N337" s="840">
        <v>0</v>
      </c>
      <c r="O337" s="840">
        <v>0</v>
      </c>
      <c r="P337" s="840">
        <v>0.83</v>
      </c>
      <c r="Q337" s="840">
        <v>18.16</v>
      </c>
      <c r="R337" s="840">
        <v>123.19</v>
      </c>
      <c r="S337" s="840">
        <v>187.63</v>
      </c>
      <c r="T337" s="840">
        <v>54.4</v>
      </c>
      <c r="U337" s="840">
        <v>64.790000000000006</v>
      </c>
      <c r="V337" s="840">
        <v>72.58</v>
      </c>
      <c r="W337" s="840">
        <v>127.76</v>
      </c>
      <c r="X337" s="840">
        <v>332.93</v>
      </c>
      <c r="Y337" s="840">
        <v>43.98</v>
      </c>
      <c r="Z337" s="840">
        <v>66.66</v>
      </c>
      <c r="AA337" s="840">
        <v>28.75</v>
      </c>
      <c r="AB337" s="840">
        <v>188.23</v>
      </c>
      <c r="AC337" s="840">
        <v>41.61</v>
      </c>
      <c r="AD337" s="840">
        <v>48.21</v>
      </c>
      <c r="AE337" s="840">
        <v>62.83</v>
      </c>
      <c r="AF337" s="840">
        <v>44.1</v>
      </c>
      <c r="AG337" s="840">
        <v>35.82</v>
      </c>
      <c r="AH337" s="840">
        <v>63.92</v>
      </c>
      <c r="AI337" s="840">
        <v>55.08</v>
      </c>
      <c r="AJ337" s="840">
        <v>13.94</v>
      </c>
      <c r="AK337" s="840"/>
      <c r="AL337" s="840"/>
      <c r="AM337" s="840"/>
      <c r="AN337" s="840"/>
      <c r="AO337" s="840"/>
      <c r="AP337" s="840"/>
      <c r="AQ337" s="840"/>
    </row>
    <row r="338" spans="2:43">
      <c r="B338" s="837" t="s">
        <v>1099</v>
      </c>
      <c r="C338" s="837">
        <v>2781</v>
      </c>
      <c r="D338" s="837">
        <v>2976</v>
      </c>
      <c r="E338" s="837">
        <v>3203</v>
      </c>
      <c r="F338" s="837">
        <v>4060</v>
      </c>
      <c r="G338" s="837">
        <v>5557</v>
      </c>
      <c r="H338" s="837">
        <v>7765</v>
      </c>
      <c r="I338" s="837">
        <v>8404</v>
      </c>
      <c r="J338" s="837">
        <v>7659</v>
      </c>
      <c r="K338" s="837">
        <v>6600</v>
      </c>
      <c r="L338" s="838">
        <v>5441.47216796875</v>
      </c>
      <c r="M338" s="838">
        <v>3749.823974609375</v>
      </c>
      <c r="N338" s="838">
        <v>3300.83</v>
      </c>
      <c r="O338" s="838">
        <v>2203.65</v>
      </c>
      <c r="P338" s="838">
        <v>2609.12</v>
      </c>
      <c r="Q338" s="838">
        <v>3361.95</v>
      </c>
      <c r="R338" s="838">
        <v>3488.86</v>
      </c>
      <c r="S338" s="838">
        <v>4815.84</v>
      </c>
      <c r="T338" s="838">
        <v>6609.86</v>
      </c>
      <c r="U338" s="838">
        <v>8081.06</v>
      </c>
      <c r="V338" s="838">
        <v>7068.1</v>
      </c>
      <c r="W338" s="838">
        <v>5172.54</v>
      </c>
      <c r="X338" s="838">
        <v>4575.17</v>
      </c>
      <c r="Y338" s="838">
        <v>3926.21</v>
      </c>
      <c r="Z338" s="838">
        <v>3797.09</v>
      </c>
      <c r="AA338" s="838">
        <v>3393.86</v>
      </c>
      <c r="AB338" s="838">
        <v>3335.84</v>
      </c>
      <c r="AC338" s="838">
        <v>4555.33</v>
      </c>
      <c r="AD338" s="838">
        <v>5090.88</v>
      </c>
      <c r="AE338" s="838">
        <v>7801.25</v>
      </c>
      <c r="AF338" s="838">
        <v>7780.29</v>
      </c>
      <c r="AG338" s="838">
        <v>8942.2099999999991</v>
      </c>
      <c r="AH338" s="838">
        <v>8081.95</v>
      </c>
      <c r="AI338" s="838">
        <v>5562.27</v>
      </c>
      <c r="AJ338" s="838">
        <v>1337.02</v>
      </c>
      <c r="AK338" s="838"/>
      <c r="AL338" s="838"/>
      <c r="AM338" s="838"/>
      <c r="AN338" s="838"/>
      <c r="AO338" s="838"/>
      <c r="AP338" s="838"/>
      <c r="AQ338" s="838"/>
    </row>
    <row r="339" spans="2:43" s="473" customFormat="1">
      <c r="B339" s="843" t="s">
        <v>1100</v>
      </c>
      <c r="C339" s="843">
        <v>133027</v>
      </c>
      <c r="D339" s="843">
        <v>128258</v>
      </c>
      <c r="E339" s="843">
        <v>141852</v>
      </c>
      <c r="F339" s="843">
        <v>124580</v>
      </c>
      <c r="G339" s="843">
        <v>138056</v>
      </c>
      <c r="H339" s="843">
        <v>123548</v>
      </c>
      <c r="I339" s="843">
        <v>114350</v>
      </c>
      <c r="J339" s="843">
        <v>141878</v>
      </c>
      <c r="K339" s="843">
        <v>127243</v>
      </c>
      <c r="L339" s="844">
        <v>129816.0625</v>
      </c>
      <c r="M339" s="844">
        <v>123701.25</v>
      </c>
      <c r="N339" s="844">
        <v>109080.32000000001</v>
      </c>
      <c r="O339" s="844">
        <v>114590.98</v>
      </c>
      <c r="P339" s="844">
        <v>116159.74</v>
      </c>
      <c r="Q339" s="844">
        <v>134980.09</v>
      </c>
      <c r="R339" s="844">
        <v>127113.22</v>
      </c>
      <c r="S339" s="844">
        <v>133265.92000000001</v>
      </c>
      <c r="T339" s="844">
        <v>117180.41</v>
      </c>
      <c r="U339" s="844">
        <v>115873.02</v>
      </c>
      <c r="V339" s="844">
        <v>129146.37</v>
      </c>
      <c r="W339" s="844">
        <v>124917.51</v>
      </c>
      <c r="X339" s="844">
        <v>120393.73</v>
      </c>
      <c r="Y339" s="844">
        <v>124656.64</v>
      </c>
      <c r="Z339" s="844">
        <v>103012.87</v>
      </c>
      <c r="AA339" s="844">
        <v>105353.22</v>
      </c>
      <c r="AB339" s="844">
        <v>106318.34</v>
      </c>
      <c r="AC339" s="844">
        <v>118922.24000000001</v>
      </c>
      <c r="AD339" s="844">
        <v>111912.45</v>
      </c>
      <c r="AE339" s="844">
        <v>101613.05</v>
      </c>
      <c r="AF339" s="844">
        <v>95694.34</v>
      </c>
      <c r="AG339" s="844">
        <v>105340.41</v>
      </c>
      <c r="AH339" s="844">
        <v>136139.26999999999</v>
      </c>
      <c r="AI339" s="844">
        <v>120464.9</v>
      </c>
      <c r="AJ339" s="844">
        <v>131646.97</v>
      </c>
      <c r="AK339" s="844"/>
      <c r="AL339" s="844"/>
      <c r="AM339" s="844"/>
      <c r="AN339" s="844"/>
      <c r="AO339" s="844"/>
      <c r="AP339" s="844"/>
      <c r="AQ339" s="844"/>
    </row>
    <row r="340" spans="2:43" s="473" customFormat="1">
      <c r="B340" s="841" t="s">
        <v>1101</v>
      </c>
      <c r="C340" s="841">
        <v>3823</v>
      </c>
      <c r="D340" s="841">
        <v>3549</v>
      </c>
      <c r="E340" s="841">
        <v>3658</v>
      </c>
      <c r="F340" s="841">
        <v>3542</v>
      </c>
      <c r="G340" s="841">
        <v>3878</v>
      </c>
      <c r="H340" s="841">
        <v>3686</v>
      </c>
      <c r="I340" s="841">
        <v>3838</v>
      </c>
      <c r="J340" s="841">
        <v>3968</v>
      </c>
      <c r="K340" s="841">
        <v>3671</v>
      </c>
      <c r="L340" s="842">
        <v>2521.98388671875</v>
      </c>
      <c r="M340" s="842">
        <v>216.41600036621094</v>
      </c>
      <c r="N340" s="842">
        <v>206.83</v>
      </c>
      <c r="O340" s="842">
        <v>267.08999999999997</v>
      </c>
      <c r="P340" s="842">
        <v>114.99</v>
      </c>
      <c r="Q340" s="842">
        <v>77.66</v>
      </c>
      <c r="R340" s="842">
        <v>134.91</v>
      </c>
      <c r="S340" s="842">
        <v>124.61</v>
      </c>
      <c r="T340" s="842">
        <v>0.1</v>
      </c>
      <c r="U340" s="842">
        <v>0.16</v>
      </c>
      <c r="V340" s="842">
        <v>70.59</v>
      </c>
      <c r="W340" s="842">
        <v>94.82</v>
      </c>
      <c r="X340" s="842">
        <v>63.84</v>
      </c>
      <c r="Y340" s="842">
        <v>375.65</v>
      </c>
      <c r="Z340" s="842">
        <v>324.64</v>
      </c>
      <c r="AA340" s="842">
        <v>352.45</v>
      </c>
      <c r="AB340" s="842">
        <v>245.86</v>
      </c>
      <c r="AC340" s="842">
        <v>44.06</v>
      </c>
      <c r="AD340" s="842">
        <v>3.23</v>
      </c>
      <c r="AE340" s="842">
        <v>24.51</v>
      </c>
      <c r="AF340" s="842">
        <v>670.78</v>
      </c>
      <c r="AG340" s="842">
        <v>839.01</v>
      </c>
      <c r="AH340" s="842">
        <v>4233.18</v>
      </c>
      <c r="AI340" s="842">
        <v>4045.92</v>
      </c>
      <c r="AJ340" s="842">
        <v>4305.63</v>
      </c>
      <c r="AK340" s="842"/>
      <c r="AL340" s="842"/>
      <c r="AM340" s="842"/>
      <c r="AN340" s="842"/>
      <c r="AO340" s="842"/>
      <c r="AP340" s="842"/>
      <c r="AQ340" s="842"/>
    </row>
    <row r="341" spans="2:43">
      <c r="B341" s="839" t="s">
        <v>1102</v>
      </c>
      <c r="C341" s="839">
        <v>5394</v>
      </c>
      <c r="D341" s="839">
        <v>5253</v>
      </c>
      <c r="E341" s="839">
        <v>6078</v>
      </c>
      <c r="F341" s="839">
        <v>5837</v>
      </c>
      <c r="G341" s="839">
        <v>6871</v>
      </c>
      <c r="H341" s="839">
        <v>6882</v>
      </c>
      <c r="I341" s="839">
        <v>7355</v>
      </c>
      <c r="J341" s="839">
        <v>7236</v>
      </c>
      <c r="K341" s="839">
        <v>6651</v>
      </c>
      <c r="L341" s="840">
        <v>5777.88818359375</v>
      </c>
      <c r="M341" s="840">
        <v>5656.1279296875</v>
      </c>
      <c r="N341" s="840">
        <v>5311.14</v>
      </c>
      <c r="O341" s="840">
        <v>5534.4</v>
      </c>
      <c r="P341" s="840">
        <v>5964.54</v>
      </c>
      <c r="Q341" s="840">
        <v>6069.15</v>
      </c>
      <c r="R341" s="840">
        <v>5551.94</v>
      </c>
      <c r="S341" s="840">
        <v>6448.74</v>
      </c>
      <c r="T341" s="840">
        <v>6047.58</v>
      </c>
      <c r="U341" s="840">
        <v>6789.47</v>
      </c>
      <c r="V341" s="840">
        <v>6865.92</v>
      </c>
      <c r="W341" s="840">
        <v>6162.62</v>
      </c>
      <c r="X341" s="840">
        <v>5899.94</v>
      </c>
      <c r="Y341" s="840">
        <v>6084</v>
      </c>
      <c r="Z341" s="840">
        <v>4984.6400000000003</v>
      </c>
      <c r="AA341" s="840">
        <v>5604.96</v>
      </c>
      <c r="AB341" s="840">
        <v>5383.62</v>
      </c>
      <c r="AC341" s="840">
        <v>6307.78</v>
      </c>
      <c r="AD341" s="840">
        <v>4722.62</v>
      </c>
      <c r="AE341" s="840">
        <v>5088.4799999999996</v>
      </c>
      <c r="AF341" s="840">
        <v>4691.5200000000004</v>
      </c>
      <c r="AG341" s="840">
        <v>4849.18</v>
      </c>
      <c r="AH341" s="840">
        <v>6604.74</v>
      </c>
      <c r="AI341" s="840">
        <v>6666.34</v>
      </c>
      <c r="AJ341" s="840">
        <v>7226.4</v>
      </c>
      <c r="AK341" s="840"/>
      <c r="AL341" s="840"/>
      <c r="AM341" s="840"/>
      <c r="AN341" s="840"/>
      <c r="AO341" s="840"/>
      <c r="AP341" s="840"/>
      <c r="AQ341" s="840"/>
    </row>
    <row r="342" spans="2:43">
      <c r="B342" s="837" t="s">
        <v>1103</v>
      </c>
      <c r="C342" s="837">
        <v>2316</v>
      </c>
      <c r="D342" s="837">
        <v>2231</v>
      </c>
      <c r="E342" s="837">
        <v>2210</v>
      </c>
      <c r="F342" s="837">
        <v>2584</v>
      </c>
      <c r="G342" s="837">
        <v>3415</v>
      </c>
      <c r="H342" s="837">
        <v>3486</v>
      </c>
      <c r="I342" s="837">
        <v>4378</v>
      </c>
      <c r="J342" s="837">
        <v>5501</v>
      </c>
      <c r="K342" s="837">
        <v>4941</v>
      </c>
      <c r="L342" s="838">
        <v>3560.01611328125</v>
      </c>
      <c r="M342" s="838">
        <v>3488.68798828125</v>
      </c>
      <c r="N342" s="838">
        <v>2994.3</v>
      </c>
      <c r="O342" s="838">
        <v>3129.79</v>
      </c>
      <c r="P342" s="838">
        <v>3056.18</v>
      </c>
      <c r="Q342" s="838">
        <v>4059.57</v>
      </c>
      <c r="R342" s="838">
        <v>3092</v>
      </c>
      <c r="S342" s="838">
        <v>4076.9</v>
      </c>
      <c r="T342" s="838">
        <v>3527.2</v>
      </c>
      <c r="U342" s="838">
        <v>3755.54</v>
      </c>
      <c r="V342" s="838">
        <v>4201.62</v>
      </c>
      <c r="W342" s="838">
        <v>4241.1499999999996</v>
      </c>
      <c r="X342" s="838">
        <v>3550.22</v>
      </c>
      <c r="Y342" s="838">
        <v>3958.69</v>
      </c>
      <c r="Z342" s="838">
        <v>2894.08</v>
      </c>
      <c r="AA342" s="838">
        <v>3413.15</v>
      </c>
      <c r="AB342" s="838">
        <v>3165.79</v>
      </c>
      <c r="AC342" s="838">
        <v>3625.89</v>
      </c>
      <c r="AD342" s="838">
        <v>2519.58</v>
      </c>
      <c r="AE342" s="838">
        <v>2081.31</v>
      </c>
      <c r="AF342" s="838">
        <v>1715.46</v>
      </c>
      <c r="AG342" s="838">
        <v>2442.21</v>
      </c>
      <c r="AH342" s="838">
        <v>4228.8999999999996</v>
      </c>
      <c r="AI342" s="838">
        <v>4056.54</v>
      </c>
      <c r="AJ342" s="838">
        <v>4155.07</v>
      </c>
      <c r="AK342" s="838"/>
      <c r="AL342" s="838"/>
      <c r="AM342" s="838"/>
      <c r="AN342" s="838"/>
      <c r="AO342" s="838"/>
      <c r="AP342" s="838"/>
      <c r="AQ342" s="838"/>
    </row>
    <row r="343" spans="2:43">
      <c r="B343" s="839" t="s">
        <v>1104</v>
      </c>
      <c r="C343" s="839">
        <v>2309</v>
      </c>
      <c r="D343" s="839">
        <v>1849</v>
      </c>
      <c r="E343" s="839">
        <v>1953</v>
      </c>
      <c r="F343" s="839">
        <v>2106</v>
      </c>
      <c r="G343" s="839">
        <v>2797</v>
      </c>
      <c r="H343" s="839">
        <v>2438</v>
      </c>
      <c r="I343" s="839">
        <v>2740</v>
      </c>
      <c r="J343" s="839">
        <v>3053</v>
      </c>
      <c r="K343" s="839">
        <v>2733</v>
      </c>
      <c r="L343" s="840">
        <v>2104.176025390625</v>
      </c>
      <c r="M343" s="840">
        <v>2201.3759765625</v>
      </c>
      <c r="N343" s="840">
        <v>1753.6</v>
      </c>
      <c r="O343" s="840">
        <v>2144.58</v>
      </c>
      <c r="P343" s="840">
        <v>2294.61</v>
      </c>
      <c r="Q343" s="840">
        <v>2886.78</v>
      </c>
      <c r="R343" s="840">
        <v>2164.9899999999998</v>
      </c>
      <c r="S343" s="840">
        <v>3124.21</v>
      </c>
      <c r="T343" s="840">
        <v>2338.1</v>
      </c>
      <c r="U343" s="840">
        <v>2887.86</v>
      </c>
      <c r="V343" s="840">
        <v>3086.86</v>
      </c>
      <c r="W343" s="840">
        <v>2945.71</v>
      </c>
      <c r="X343" s="840">
        <v>2684.64</v>
      </c>
      <c r="Y343" s="840">
        <v>3045.17</v>
      </c>
      <c r="Z343" s="840">
        <v>2085.84</v>
      </c>
      <c r="AA343" s="840">
        <v>2797.06</v>
      </c>
      <c r="AB343" s="840">
        <v>3036.43</v>
      </c>
      <c r="AC343" s="840">
        <v>3059.68</v>
      </c>
      <c r="AD343" s="840">
        <v>2070.14</v>
      </c>
      <c r="AE343" s="840">
        <v>2179.39</v>
      </c>
      <c r="AF343" s="840">
        <v>964.02</v>
      </c>
      <c r="AG343" s="840">
        <v>2121.15</v>
      </c>
      <c r="AH343" s="840">
        <v>3297.78</v>
      </c>
      <c r="AI343" s="840">
        <v>3776.5</v>
      </c>
      <c r="AJ343" s="840">
        <v>4327.78</v>
      </c>
      <c r="AK343" s="840"/>
      <c r="AL343" s="840"/>
      <c r="AM343" s="840"/>
      <c r="AN343" s="840"/>
      <c r="AO343" s="840"/>
      <c r="AP343" s="840"/>
      <c r="AQ343" s="840"/>
    </row>
    <row r="344" spans="2:43">
      <c r="B344" s="837" t="s">
        <v>1105</v>
      </c>
      <c r="C344" s="837">
        <v>2868</v>
      </c>
      <c r="D344" s="837">
        <v>2165</v>
      </c>
      <c r="E344" s="837">
        <v>2987</v>
      </c>
      <c r="F344" s="837">
        <v>2757</v>
      </c>
      <c r="G344" s="837">
        <v>3334</v>
      </c>
      <c r="H344" s="837">
        <v>2972</v>
      </c>
      <c r="I344" s="837">
        <v>3345</v>
      </c>
      <c r="J344" s="837">
        <v>3788</v>
      </c>
      <c r="K344" s="837">
        <v>3605</v>
      </c>
      <c r="L344" s="838">
        <v>2608.783935546875</v>
      </c>
      <c r="M344" s="838">
        <v>3046.528076171875</v>
      </c>
      <c r="N344" s="838">
        <v>2528.9</v>
      </c>
      <c r="O344" s="838">
        <v>2944.62</v>
      </c>
      <c r="P344" s="838">
        <v>2724.34</v>
      </c>
      <c r="Q344" s="838">
        <v>4045.18</v>
      </c>
      <c r="R344" s="838">
        <v>2802.98</v>
      </c>
      <c r="S344" s="838">
        <v>4019.44</v>
      </c>
      <c r="T344" s="838">
        <v>3164</v>
      </c>
      <c r="U344" s="838">
        <v>3885.3</v>
      </c>
      <c r="V344" s="838">
        <v>3750.46</v>
      </c>
      <c r="W344" s="838">
        <v>3232.74</v>
      </c>
      <c r="X344" s="838">
        <v>2848.02</v>
      </c>
      <c r="Y344" s="838">
        <v>3438.67</v>
      </c>
      <c r="Z344" s="838">
        <v>2872.7</v>
      </c>
      <c r="AA344" s="838">
        <v>2954.93</v>
      </c>
      <c r="AB344" s="838">
        <v>3044.35</v>
      </c>
      <c r="AC344" s="838">
        <v>3553.98</v>
      </c>
      <c r="AD344" s="838">
        <v>1966.86</v>
      </c>
      <c r="AE344" s="838">
        <v>2192.34</v>
      </c>
      <c r="AF344" s="838">
        <v>1523.34</v>
      </c>
      <c r="AG344" s="838">
        <v>2443.2800000000002</v>
      </c>
      <c r="AH344" s="838">
        <v>4345.54</v>
      </c>
      <c r="AI344" s="838">
        <v>4436.1000000000004</v>
      </c>
      <c r="AJ344" s="838">
        <v>4700.8</v>
      </c>
      <c r="AK344" s="838"/>
      <c r="AL344" s="838"/>
      <c r="AM344" s="838"/>
      <c r="AN344" s="838"/>
      <c r="AO344" s="838"/>
      <c r="AP344" s="838"/>
      <c r="AQ344" s="838"/>
    </row>
    <row r="345" spans="2:43">
      <c r="B345" s="839" t="s">
        <v>1106</v>
      </c>
      <c r="C345" s="839">
        <v>0</v>
      </c>
      <c r="D345" s="839">
        <v>0</v>
      </c>
      <c r="E345" s="839">
        <v>0</v>
      </c>
      <c r="F345" s="839">
        <v>0</v>
      </c>
      <c r="G345" s="839">
        <v>0</v>
      </c>
      <c r="H345" s="839">
        <v>0</v>
      </c>
      <c r="I345" s="839">
        <v>0</v>
      </c>
      <c r="J345" s="839">
        <v>0</v>
      </c>
      <c r="K345" s="839">
        <v>0</v>
      </c>
      <c r="L345" s="840">
        <v>0</v>
      </c>
      <c r="M345" s="840">
        <v>0</v>
      </c>
      <c r="N345" s="840">
        <v>0</v>
      </c>
      <c r="O345" s="840">
        <v>0</v>
      </c>
      <c r="P345" s="840">
        <v>0</v>
      </c>
      <c r="Q345" s="840">
        <v>0</v>
      </c>
      <c r="R345" s="840">
        <v>0</v>
      </c>
      <c r="S345" s="840">
        <v>0</v>
      </c>
      <c r="T345" s="840">
        <v>0</v>
      </c>
      <c r="U345" s="840">
        <v>0</v>
      </c>
      <c r="V345" s="840">
        <v>0</v>
      </c>
      <c r="W345" s="840">
        <v>8369.17</v>
      </c>
      <c r="X345" s="840">
        <v>13555.84</v>
      </c>
      <c r="Y345" s="840">
        <v>14019.68</v>
      </c>
      <c r="Z345" s="840">
        <v>13655.07</v>
      </c>
      <c r="AA345" s="840">
        <v>7890.02</v>
      </c>
      <c r="AB345" s="840">
        <v>5312.82</v>
      </c>
      <c r="AC345" s="840">
        <v>7210.72</v>
      </c>
      <c r="AD345" s="840">
        <v>7357.83</v>
      </c>
      <c r="AE345" s="840">
        <v>3729.62</v>
      </c>
      <c r="AF345" s="840">
        <v>7190.93</v>
      </c>
      <c r="AG345" s="840">
        <v>10880.8</v>
      </c>
      <c r="AH345" s="840">
        <v>13555.74</v>
      </c>
      <c r="AI345" s="840">
        <v>12943.78</v>
      </c>
      <c r="AJ345" s="840">
        <v>13499.37</v>
      </c>
      <c r="AK345" s="840"/>
      <c r="AL345" s="840"/>
      <c r="AM345" s="840"/>
      <c r="AN345" s="840"/>
      <c r="AO345" s="840"/>
      <c r="AP345" s="840"/>
      <c r="AQ345" s="840"/>
    </row>
    <row r="346" spans="2:43">
      <c r="B346" s="839" t="s">
        <v>1107</v>
      </c>
      <c r="C346" s="839">
        <v>3093</v>
      </c>
      <c r="D346" s="839">
        <v>3390</v>
      </c>
      <c r="E346" s="839">
        <v>4603</v>
      </c>
      <c r="F346" s="839">
        <v>4261</v>
      </c>
      <c r="G346" s="839">
        <v>4623</v>
      </c>
      <c r="H346" s="839">
        <v>4241</v>
      </c>
      <c r="I346" s="839">
        <v>4384</v>
      </c>
      <c r="J346" s="839">
        <v>4580</v>
      </c>
      <c r="K346" s="839">
        <v>4470</v>
      </c>
      <c r="L346" s="840">
        <v>4555.50390625</v>
      </c>
      <c r="M346" s="840">
        <v>3752.303955078125</v>
      </c>
      <c r="N346" s="840">
        <v>2540.16</v>
      </c>
      <c r="O346" s="840">
        <v>3078.91</v>
      </c>
      <c r="P346" s="840">
        <v>3577.89</v>
      </c>
      <c r="Q346" s="840">
        <v>4690.53</v>
      </c>
      <c r="R346" s="840">
        <v>4144.93</v>
      </c>
      <c r="S346" s="840">
        <v>4705.2</v>
      </c>
      <c r="T346" s="840">
        <v>4192.0200000000004</v>
      </c>
      <c r="U346" s="840">
        <v>4605.1499999999996</v>
      </c>
      <c r="V346" s="840">
        <v>4816.99</v>
      </c>
      <c r="W346" s="840">
        <v>4600.0600000000004</v>
      </c>
      <c r="X346" s="840">
        <v>4677.82</v>
      </c>
      <c r="Y346" s="840">
        <v>3896.45</v>
      </c>
      <c r="Z346" s="840">
        <v>2368.77</v>
      </c>
      <c r="AA346" s="840">
        <v>3078.46</v>
      </c>
      <c r="AB346" s="840">
        <v>3913.57</v>
      </c>
      <c r="AC346" s="840">
        <v>4586.21</v>
      </c>
      <c r="AD346" s="840">
        <v>4423.3900000000003</v>
      </c>
      <c r="AE346" s="840">
        <v>4700.4799999999996</v>
      </c>
      <c r="AF346" s="840">
        <v>4047.07</v>
      </c>
      <c r="AG346" s="840">
        <v>4489.47</v>
      </c>
      <c r="AH346" s="840">
        <v>4601.9799999999996</v>
      </c>
      <c r="AI346" s="840">
        <v>4327.2</v>
      </c>
      <c r="AJ346" s="840">
        <v>4480.67</v>
      </c>
      <c r="AK346" s="840"/>
      <c r="AL346" s="840"/>
      <c r="AM346" s="840"/>
      <c r="AN346" s="840"/>
      <c r="AO346" s="840"/>
      <c r="AP346" s="840"/>
      <c r="AQ346" s="840"/>
    </row>
    <row r="347" spans="2:43">
      <c r="B347" s="837" t="s">
        <v>1108</v>
      </c>
      <c r="C347" s="837">
        <v>3568</v>
      </c>
      <c r="D347" s="837">
        <v>3465</v>
      </c>
      <c r="E347" s="837">
        <v>3949</v>
      </c>
      <c r="F347" s="837">
        <v>3759</v>
      </c>
      <c r="G347" s="837">
        <v>3988</v>
      </c>
      <c r="H347" s="837">
        <v>3859</v>
      </c>
      <c r="I347" s="837">
        <v>4097</v>
      </c>
      <c r="J347" s="837">
        <v>3997</v>
      </c>
      <c r="K347" s="837">
        <v>4049</v>
      </c>
      <c r="L347" s="838">
        <v>3965.3759765625</v>
      </c>
      <c r="M347" s="838">
        <v>3796.031982421875</v>
      </c>
      <c r="N347" s="838">
        <v>3157.58</v>
      </c>
      <c r="O347" s="838">
        <v>3653.33</v>
      </c>
      <c r="P347" s="838">
        <v>3700.59</v>
      </c>
      <c r="Q347" s="838">
        <v>3965.22</v>
      </c>
      <c r="R347" s="838">
        <v>3631.7</v>
      </c>
      <c r="S347" s="838">
        <v>4037.04</v>
      </c>
      <c r="T347" s="838">
        <v>3865.7</v>
      </c>
      <c r="U347" s="838">
        <v>3922.03</v>
      </c>
      <c r="V347" s="838">
        <v>3840.99</v>
      </c>
      <c r="W347" s="838">
        <v>3797.41</v>
      </c>
      <c r="X347" s="838">
        <v>3918.74</v>
      </c>
      <c r="Y347" s="838">
        <v>3932.26</v>
      </c>
      <c r="Z347" s="838">
        <v>3205.86</v>
      </c>
      <c r="AA347" s="838">
        <v>3601.02</v>
      </c>
      <c r="AB347" s="838">
        <v>3759.84</v>
      </c>
      <c r="AC347" s="838">
        <v>4016.7</v>
      </c>
      <c r="AD347" s="838">
        <v>3827.1</v>
      </c>
      <c r="AE347" s="838">
        <v>4245.7</v>
      </c>
      <c r="AF347" s="838">
        <v>4002.53</v>
      </c>
      <c r="AG347" s="838">
        <v>3920.1</v>
      </c>
      <c r="AH347" s="838">
        <v>3949.79</v>
      </c>
      <c r="AI347" s="838">
        <v>3758.02</v>
      </c>
      <c r="AJ347" s="838">
        <v>3880.22</v>
      </c>
      <c r="AK347" s="838"/>
      <c r="AL347" s="838"/>
      <c r="AM347" s="838"/>
      <c r="AN347" s="838"/>
      <c r="AO347" s="838"/>
      <c r="AP347" s="838"/>
      <c r="AQ347" s="838"/>
    </row>
    <row r="348" spans="2:43">
      <c r="B348" s="839" t="s">
        <v>1109</v>
      </c>
      <c r="C348" s="839">
        <v>5558</v>
      </c>
      <c r="D348" s="839">
        <v>5833</v>
      </c>
      <c r="E348" s="839">
        <v>6932</v>
      </c>
      <c r="F348" s="839">
        <v>7064</v>
      </c>
      <c r="G348" s="839">
        <v>7302</v>
      </c>
      <c r="H348" s="839">
        <v>5951</v>
      </c>
      <c r="I348" s="839">
        <v>6259</v>
      </c>
      <c r="J348" s="839">
        <v>7353</v>
      </c>
      <c r="K348" s="839">
        <v>6972</v>
      </c>
      <c r="L348" s="840">
        <v>6625.1201171875</v>
      </c>
      <c r="M348" s="840">
        <v>6322.3681640625</v>
      </c>
      <c r="N348" s="840">
        <v>4686.9799999999996</v>
      </c>
      <c r="O348" s="840">
        <v>5585.95</v>
      </c>
      <c r="P348" s="840">
        <v>5905.92</v>
      </c>
      <c r="Q348" s="840">
        <v>7088.54</v>
      </c>
      <c r="R348" s="840">
        <v>6766.94</v>
      </c>
      <c r="S348" s="840">
        <v>7328.42</v>
      </c>
      <c r="T348" s="840">
        <v>7127.58</v>
      </c>
      <c r="U348" s="840">
        <v>7264.58</v>
      </c>
      <c r="V348" s="840">
        <v>7297.89</v>
      </c>
      <c r="W348" s="840">
        <v>6926.53</v>
      </c>
      <c r="X348" s="840">
        <v>6701.54</v>
      </c>
      <c r="Y348" s="840">
        <v>6474.02</v>
      </c>
      <c r="Z348" s="840">
        <v>4159.87</v>
      </c>
      <c r="AA348" s="840">
        <v>5346.4</v>
      </c>
      <c r="AB348" s="840">
        <v>6376.19</v>
      </c>
      <c r="AC348" s="840">
        <v>6917.44</v>
      </c>
      <c r="AD348" s="840">
        <v>7055.78</v>
      </c>
      <c r="AE348" s="840">
        <v>7283.58</v>
      </c>
      <c r="AF348" s="840">
        <v>6956.22</v>
      </c>
      <c r="AG348" s="840">
        <v>7144.19</v>
      </c>
      <c r="AH348" s="840">
        <v>7130.5</v>
      </c>
      <c r="AI348" s="840">
        <v>6869.31</v>
      </c>
      <c r="AJ348" s="840">
        <v>6573.82</v>
      </c>
      <c r="AK348" s="840"/>
      <c r="AL348" s="840"/>
      <c r="AM348" s="840"/>
      <c r="AN348" s="840"/>
      <c r="AO348" s="840"/>
      <c r="AP348" s="840"/>
      <c r="AQ348" s="840"/>
    </row>
    <row r="349" spans="2:43">
      <c r="B349" s="837" t="s">
        <v>1110</v>
      </c>
      <c r="C349" s="837">
        <v>4942</v>
      </c>
      <c r="D349" s="837">
        <v>6582</v>
      </c>
      <c r="E349" s="837">
        <v>7019</v>
      </c>
      <c r="F349" s="837">
        <v>7066</v>
      </c>
      <c r="G349" s="837">
        <v>7376</v>
      </c>
      <c r="H349" s="837">
        <v>7203</v>
      </c>
      <c r="I349" s="837">
        <v>7362</v>
      </c>
      <c r="J349" s="837">
        <v>7456</v>
      </c>
      <c r="K349" s="837">
        <v>7160</v>
      </c>
      <c r="L349" s="838">
        <v>6320.7041015625</v>
      </c>
      <c r="M349" s="838">
        <v>6582.17578125</v>
      </c>
      <c r="N349" s="838">
        <v>4776.93</v>
      </c>
      <c r="O349" s="838">
        <v>6283.2</v>
      </c>
      <c r="P349" s="838">
        <v>6498.11</v>
      </c>
      <c r="Q349" s="838">
        <v>7383.14</v>
      </c>
      <c r="R349" s="838">
        <v>6834.27</v>
      </c>
      <c r="S349" s="838">
        <v>7428.74</v>
      </c>
      <c r="T349" s="838">
        <v>7144.61</v>
      </c>
      <c r="U349" s="838">
        <v>7154.4</v>
      </c>
      <c r="V349" s="838">
        <v>7194.85</v>
      </c>
      <c r="W349" s="838">
        <v>6902.34</v>
      </c>
      <c r="X349" s="838">
        <v>7164</v>
      </c>
      <c r="Y349" s="838">
        <v>6924.51</v>
      </c>
      <c r="Z349" s="838">
        <v>4527.1000000000004</v>
      </c>
      <c r="AA349" s="838">
        <v>5666.72</v>
      </c>
      <c r="AB349" s="838">
        <v>6545.63</v>
      </c>
      <c r="AC349" s="838">
        <v>6867.42</v>
      </c>
      <c r="AD349" s="838">
        <v>6802.82</v>
      </c>
      <c r="AE349" s="838">
        <v>7033.98</v>
      </c>
      <c r="AF349" s="838">
        <v>5830.27</v>
      </c>
      <c r="AG349" s="838">
        <v>6908.99</v>
      </c>
      <c r="AH349" s="838">
        <v>6649.92</v>
      </c>
      <c r="AI349" s="838">
        <v>5940.48</v>
      </c>
      <c r="AJ349" s="838">
        <v>6486.02</v>
      </c>
      <c r="AK349" s="838"/>
      <c r="AL349" s="838"/>
      <c r="AM349" s="838"/>
      <c r="AN349" s="838"/>
      <c r="AO349" s="838"/>
      <c r="AP349" s="838"/>
      <c r="AQ349" s="838"/>
    </row>
    <row r="350" spans="2:43">
      <c r="B350" s="839" t="s">
        <v>1111</v>
      </c>
      <c r="C350" s="839">
        <v>4795</v>
      </c>
      <c r="D350" s="839">
        <v>4577</v>
      </c>
      <c r="E350" s="839">
        <v>5288</v>
      </c>
      <c r="F350" s="839">
        <v>4916</v>
      </c>
      <c r="G350" s="839">
        <v>5469</v>
      </c>
      <c r="H350" s="839">
        <v>5301</v>
      </c>
      <c r="I350" s="839">
        <v>5655</v>
      </c>
      <c r="J350" s="839">
        <v>5418</v>
      </c>
      <c r="K350" s="839">
        <v>5525</v>
      </c>
      <c r="L350" s="840">
        <v>5200.19189453125</v>
      </c>
      <c r="M350" s="840">
        <v>4812.1279296875</v>
      </c>
      <c r="N350" s="840">
        <v>4016.48</v>
      </c>
      <c r="O350" s="840">
        <v>4720.32</v>
      </c>
      <c r="P350" s="840">
        <v>4823.1000000000004</v>
      </c>
      <c r="Q350" s="840">
        <v>5443.65</v>
      </c>
      <c r="R350" s="840">
        <v>5251.87</v>
      </c>
      <c r="S350" s="840">
        <v>5228.42</v>
      </c>
      <c r="T350" s="840">
        <v>5202.46</v>
      </c>
      <c r="U350" s="840">
        <v>5289.73</v>
      </c>
      <c r="V350" s="840">
        <v>5387.9</v>
      </c>
      <c r="W350" s="840">
        <v>5603.55</v>
      </c>
      <c r="X350" s="840">
        <v>5252.26</v>
      </c>
      <c r="Y350" s="840">
        <v>5211.07</v>
      </c>
      <c r="Z350" s="840">
        <v>4005.47</v>
      </c>
      <c r="AA350" s="840">
        <v>4303.49</v>
      </c>
      <c r="AB350" s="840">
        <v>4895.49</v>
      </c>
      <c r="AC350" s="840">
        <v>4780.7700000000004</v>
      </c>
      <c r="AD350" s="840">
        <v>5179.8999999999996</v>
      </c>
      <c r="AE350" s="840">
        <v>4964.1000000000004</v>
      </c>
      <c r="AF350" s="840">
        <v>4690.3</v>
      </c>
      <c r="AG350" s="840">
        <v>5052.6400000000003</v>
      </c>
      <c r="AH350" s="840">
        <v>4846.62</v>
      </c>
      <c r="AI350" s="840">
        <v>4711.74</v>
      </c>
      <c r="AJ350" s="840">
        <v>4880.54</v>
      </c>
      <c r="AK350" s="840"/>
      <c r="AL350" s="840"/>
      <c r="AM350" s="840"/>
      <c r="AN350" s="840"/>
      <c r="AO350" s="840"/>
      <c r="AP350" s="840"/>
      <c r="AQ350" s="840"/>
    </row>
    <row r="351" spans="2:43">
      <c r="B351" s="837" t="s">
        <v>1112</v>
      </c>
      <c r="C351" s="837">
        <v>4781</v>
      </c>
      <c r="D351" s="837">
        <v>4909</v>
      </c>
      <c r="E351" s="837">
        <v>6301</v>
      </c>
      <c r="F351" s="837">
        <v>6352</v>
      </c>
      <c r="G351" s="837">
        <v>6581</v>
      </c>
      <c r="H351" s="837">
        <v>6413</v>
      </c>
      <c r="I351" s="837">
        <v>6550</v>
      </c>
      <c r="J351" s="837">
        <v>6645</v>
      </c>
      <c r="K351" s="837">
        <v>6286</v>
      </c>
      <c r="L351" s="838">
        <v>6089.18408203125</v>
      </c>
      <c r="M351" s="838">
        <v>6330.30419921875</v>
      </c>
      <c r="N351" s="838">
        <v>4693.9799999999996</v>
      </c>
      <c r="O351" s="838">
        <v>5751.17</v>
      </c>
      <c r="P351" s="838">
        <v>5852.42</v>
      </c>
      <c r="Q351" s="838">
        <v>6655.1</v>
      </c>
      <c r="R351" s="838">
        <v>6140.74</v>
      </c>
      <c r="S351" s="838">
        <v>6876.58</v>
      </c>
      <c r="T351" s="838">
        <v>5621.89</v>
      </c>
      <c r="U351" s="838">
        <v>6542.62</v>
      </c>
      <c r="V351" s="838">
        <v>6614.08</v>
      </c>
      <c r="W351" s="838">
        <v>6338.21</v>
      </c>
      <c r="X351" s="838">
        <v>6682.66</v>
      </c>
      <c r="Y351" s="838">
        <v>6367.81</v>
      </c>
      <c r="Z351" s="838">
        <v>4168.6099999999997</v>
      </c>
      <c r="AA351" s="838">
        <v>5298.34</v>
      </c>
      <c r="AB351" s="838">
        <v>6103.42</v>
      </c>
      <c r="AC351" s="838">
        <v>6490.75</v>
      </c>
      <c r="AD351" s="838">
        <v>6373.18</v>
      </c>
      <c r="AE351" s="838">
        <v>6598.53</v>
      </c>
      <c r="AF351" s="838">
        <v>6267.58</v>
      </c>
      <c r="AG351" s="838">
        <v>6526.56</v>
      </c>
      <c r="AH351" s="838">
        <v>6510.91</v>
      </c>
      <c r="AI351" s="838">
        <v>6122.37</v>
      </c>
      <c r="AJ351" s="838">
        <v>5861.5</v>
      </c>
      <c r="AK351" s="838"/>
      <c r="AL351" s="838"/>
      <c r="AM351" s="838"/>
      <c r="AN351" s="838"/>
      <c r="AO351" s="838"/>
      <c r="AP351" s="838"/>
      <c r="AQ351" s="838"/>
    </row>
    <row r="352" spans="2:43">
      <c r="B352" s="839" t="s">
        <v>1113</v>
      </c>
      <c r="C352" s="839">
        <v>1837</v>
      </c>
      <c r="D352" s="839">
        <v>1931</v>
      </c>
      <c r="E352" s="839">
        <v>2080</v>
      </c>
      <c r="F352" s="839">
        <v>2024</v>
      </c>
      <c r="G352" s="839">
        <v>2666</v>
      </c>
      <c r="H352" s="839">
        <v>2569</v>
      </c>
      <c r="I352" s="839">
        <v>2579</v>
      </c>
      <c r="J352" s="839">
        <v>2372</v>
      </c>
      <c r="K352" s="839">
        <v>2206</v>
      </c>
      <c r="L352" s="840">
        <v>2207.303955078125</v>
      </c>
      <c r="M352" s="840">
        <v>2106.159912109375</v>
      </c>
      <c r="N352" s="840">
        <v>1564.22</v>
      </c>
      <c r="O352" s="840">
        <v>1847.42</v>
      </c>
      <c r="P352" s="840">
        <v>1906.86</v>
      </c>
      <c r="Q352" s="840">
        <v>2206.5100000000002</v>
      </c>
      <c r="R352" s="840">
        <v>2010.21</v>
      </c>
      <c r="S352" s="840">
        <v>2206.3000000000002</v>
      </c>
      <c r="T352" s="840">
        <v>2177.44</v>
      </c>
      <c r="U352" s="840">
        <v>2206.35</v>
      </c>
      <c r="V352" s="840">
        <v>2237.02</v>
      </c>
      <c r="W352" s="840">
        <v>2162.3200000000002</v>
      </c>
      <c r="X352" s="840">
        <v>2186.2399999999998</v>
      </c>
      <c r="Y352" s="840">
        <v>2122.02</v>
      </c>
      <c r="Z352" s="840">
        <v>1341.02</v>
      </c>
      <c r="AA352" s="840">
        <v>1742.99</v>
      </c>
      <c r="AB352" s="840">
        <v>2012.91</v>
      </c>
      <c r="AC352" s="840">
        <v>2191.34</v>
      </c>
      <c r="AD352" s="840">
        <v>2117.04</v>
      </c>
      <c r="AE352" s="840">
        <v>2237.7600000000002</v>
      </c>
      <c r="AF352" s="840">
        <v>2124.77</v>
      </c>
      <c r="AG352" s="840">
        <v>2183.2199999999998</v>
      </c>
      <c r="AH352" s="840">
        <v>2131.2199999999998</v>
      </c>
      <c r="AI352" s="840">
        <v>2037.14</v>
      </c>
      <c r="AJ352" s="840">
        <v>2066.67</v>
      </c>
      <c r="AK352" s="840"/>
      <c r="AL352" s="840"/>
      <c r="AM352" s="840"/>
      <c r="AN352" s="840"/>
      <c r="AO352" s="840"/>
      <c r="AP352" s="840"/>
      <c r="AQ352" s="840"/>
    </row>
    <row r="353" spans="2:43" s="473" customFormat="1">
      <c r="B353" s="841" t="s">
        <v>1114</v>
      </c>
      <c r="C353" s="841">
        <v>105059</v>
      </c>
      <c r="D353" s="841">
        <v>96994</v>
      </c>
      <c r="E353" s="841">
        <v>113460</v>
      </c>
      <c r="F353" s="841">
        <v>105637</v>
      </c>
      <c r="G353" s="841">
        <v>115359</v>
      </c>
      <c r="H353" s="841">
        <v>108491</v>
      </c>
      <c r="I353" s="841">
        <v>113792</v>
      </c>
      <c r="J353" s="841">
        <v>119667</v>
      </c>
      <c r="K353" s="841">
        <v>114059</v>
      </c>
      <c r="L353" s="842">
        <v>115695.1015625</v>
      </c>
      <c r="M353" s="842">
        <v>107655.6796875</v>
      </c>
      <c r="N353" s="842">
        <v>109272.06</v>
      </c>
      <c r="O353" s="842">
        <v>114333.19</v>
      </c>
      <c r="P353" s="842">
        <v>110606.85</v>
      </c>
      <c r="Q353" s="842">
        <v>121650.69</v>
      </c>
      <c r="R353" s="842">
        <v>111928.32000000001</v>
      </c>
      <c r="S353" s="842">
        <v>120106.49</v>
      </c>
      <c r="T353" s="842">
        <v>107660.8</v>
      </c>
      <c r="U353" s="842">
        <v>114561.54</v>
      </c>
      <c r="V353" s="842">
        <v>122164.73</v>
      </c>
      <c r="W353" s="842">
        <v>117277.19</v>
      </c>
      <c r="X353" s="842">
        <v>118385.15</v>
      </c>
      <c r="Y353" s="842">
        <v>107070.98</v>
      </c>
      <c r="Z353" s="842">
        <v>108844.55</v>
      </c>
      <c r="AA353" s="842">
        <v>112983.03999999999</v>
      </c>
      <c r="AB353" s="842">
        <v>106808.83</v>
      </c>
      <c r="AC353" s="842">
        <v>117460.48</v>
      </c>
      <c r="AD353" s="842">
        <v>109507.59</v>
      </c>
      <c r="AE353" s="842">
        <v>120034.3</v>
      </c>
      <c r="AF353" s="842">
        <v>109567.48</v>
      </c>
      <c r="AG353" s="842">
        <v>118233.09</v>
      </c>
      <c r="AH353" s="842">
        <v>122050.56</v>
      </c>
      <c r="AI353" s="842">
        <v>118963.2</v>
      </c>
      <c r="AJ353" s="842">
        <v>118921.22</v>
      </c>
      <c r="AK353" s="842"/>
      <c r="AL353" s="842"/>
      <c r="AM353" s="842"/>
      <c r="AN353" s="842"/>
      <c r="AO353" s="842"/>
      <c r="AP353" s="842"/>
      <c r="AQ353" s="842"/>
    </row>
    <row r="354" spans="2:43">
      <c r="B354" s="839" t="s">
        <v>1115</v>
      </c>
      <c r="C354" s="839">
        <v>56822</v>
      </c>
      <c r="D354" s="839">
        <v>50173</v>
      </c>
      <c r="E354" s="839">
        <v>57672</v>
      </c>
      <c r="F354" s="839">
        <v>55837</v>
      </c>
      <c r="G354" s="839">
        <v>59820</v>
      </c>
      <c r="H354" s="839">
        <v>59047</v>
      </c>
      <c r="I354" s="839">
        <v>63802</v>
      </c>
      <c r="J354" s="839">
        <v>64757</v>
      </c>
      <c r="K354" s="839">
        <v>62334</v>
      </c>
      <c r="L354" s="840">
        <v>63266.3046875</v>
      </c>
      <c r="M354" s="840">
        <v>58202.87890625</v>
      </c>
      <c r="N354" s="840">
        <v>62431.74</v>
      </c>
      <c r="O354" s="840">
        <v>63209.21</v>
      </c>
      <c r="P354" s="840">
        <v>57071.360000000001</v>
      </c>
      <c r="Q354" s="840">
        <v>62802.69</v>
      </c>
      <c r="R354" s="840">
        <v>61345.54</v>
      </c>
      <c r="S354" s="840">
        <v>63307.78</v>
      </c>
      <c r="T354" s="840">
        <v>58213.38</v>
      </c>
      <c r="U354" s="840">
        <v>61398.27</v>
      </c>
      <c r="V354" s="840">
        <v>66477.31</v>
      </c>
      <c r="W354" s="840">
        <v>63398.66</v>
      </c>
      <c r="X354" s="840">
        <v>63916.29</v>
      </c>
      <c r="Y354" s="840">
        <v>56325.38</v>
      </c>
      <c r="Z354" s="840">
        <v>58969.09</v>
      </c>
      <c r="AA354" s="840">
        <v>59397.120000000003</v>
      </c>
      <c r="AB354" s="840">
        <v>54825.21</v>
      </c>
      <c r="AC354" s="840">
        <v>59677.7</v>
      </c>
      <c r="AD354" s="840">
        <v>55708.160000000003</v>
      </c>
      <c r="AE354" s="840">
        <v>62640.89</v>
      </c>
      <c r="AF354" s="840">
        <v>60838.91</v>
      </c>
      <c r="AG354" s="840">
        <v>65944.06</v>
      </c>
      <c r="AH354" s="840">
        <v>64743.43</v>
      </c>
      <c r="AI354" s="840">
        <v>63583.23</v>
      </c>
      <c r="AJ354" s="840">
        <v>62043.65</v>
      </c>
      <c r="AK354" s="840"/>
      <c r="AL354" s="840"/>
      <c r="AM354" s="840"/>
      <c r="AN354" s="840"/>
      <c r="AO354" s="840"/>
      <c r="AP354" s="840"/>
      <c r="AQ354" s="840"/>
    </row>
    <row r="355" spans="2:43">
      <c r="B355" s="837" t="s">
        <v>1116</v>
      </c>
      <c r="C355" s="837">
        <v>21</v>
      </c>
      <c r="D355" s="837">
        <v>217</v>
      </c>
      <c r="E355" s="837">
        <v>0</v>
      </c>
      <c r="F355" s="837">
        <v>536</v>
      </c>
      <c r="G355" s="837">
        <v>1268</v>
      </c>
      <c r="H355" s="837">
        <v>1712</v>
      </c>
      <c r="I355" s="837">
        <v>4705</v>
      </c>
      <c r="J355" s="837">
        <v>4174</v>
      </c>
      <c r="K355" s="837">
        <v>923</v>
      </c>
      <c r="L355" s="838">
        <v>3992.256103515625</v>
      </c>
      <c r="M355" s="838">
        <v>1372.864013671875</v>
      </c>
      <c r="N355" s="838">
        <v>539.47</v>
      </c>
      <c r="O355" s="838">
        <v>0</v>
      </c>
      <c r="P355" s="838">
        <v>0</v>
      </c>
      <c r="Q355" s="838">
        <v>0</v>
      </c>
      <c r="R355" s="838">
        <v>701.01</v>
      </c>
      <c r="S355" s="838">
        <v>713.52</v>
      </c>
      <c r="T355" s="838">
        <v>1714.61</v>
      </c>
      <c r="U355" s="838">
        <v>1919.98</v>
      </c>
      <c r="V355" s="838">
        <v>3704.12</v>
      </c>
      <c r="W355" s="838">
        <v>3047.28</v>
      </c>
      <c r="X355" s="838">
        <v>2540.1</v>
      </c>
      <c r="Y355" s="838">
        <v>2051.2600000000002</v>
      </c>
      <c r="Z355" s="838">
        <v>731.73</v>
      </c>
      <c r="AA355" s="838">
        <v>273.92</v>
      </c>
      <c r="AB355" s="838">
        <v>538.72</v>
      </c>
      <c r="AC355" s="838">
        <v>972.73</v>
      </c>
      <c r="AD355" s="838">
        <v>1398.39</v>
      </c>
      <c r="AE355" s="838">
        <v>4612.8</v>
      </c>
      <c r="AF355" s="838">
        <v>0</v>
      </c>
      <c r="AG355" s="838">
        <v>0</v>
      </c>
      <c r="AH355" s="838">
        <v>1694.15</v>
      </c>
      <c r="AI355" s="838">
        <v>7433.39</v>
      </c>
      <c r="AJ355" s="838">
        <v>503.34</v>
      </c>
      <c r="AK355" s="838"/>
      <c r="AL355" s="838"/>
      <c r="AM355" s="838"/>
      <c r="AN355" s="838"/>
      <c r="AO355" s="838"/>
      <c r="AP355" s="838"/>
      <c r="AQ355" s="838"/>
    </row>
    <row r="356" spans="2:43">
      <c r="B356" s="839" t="s">
        <v>1117</v>
      </c>
      <c r="C356" s="839">
        <v>75</v>
      </c>
      <c r="D356" s="839">
        <v>52</v>
      </c>
      <c r="E356" s="839">
        <v>0</v>
      </c>
      <c r="F356" s="839">
        <v>203</v>
      </c>
      <c r="G356" s="839">
        <v>1096</v>
      </c>
      <c r="H356" s="839">
        <v>2710</v>
      </c>
      <c r="I356" s="839">
        <v>2593</v>
      </c>
      <c r="J356" s="839">
        <v>2867</v>
      </c>
      <c r="K356" s="839">
        <v>4017</v>
      </c>
      <c r="L356" s="840">
        <v>1430.0279541015625</v>
      </c>
      <c r="M356" s="840">
        <v>0</v>
      </c>
      <c r="N356" s="840">
        <v>0</v>
      </c>
      <c r="O356" s="840">
        <v>64.03</v>
      </c>
      <c r="P356" s="840">
        <v>137.96</v>
      </c>
      <c r="Q356" s="840">
        <v>457.8</v>
      </c>
      <c r="R356" s="840">
        <v>635.85</v>
      </c>
      <c r="S356" s="840">
        <v>447.18</v>
      </c>
      <c r="T356" s="840">
        <v>2353.16</v>
      </c>
      <c r="U356" s="840">
        <v>1860.86</v>
      </c>
      <c r="V356" s="840">
        <v>4530.67</v>
      </c>
      <c r="W356" s="840">
        <v>3194.4</v>
      </c>
      <c r="X356" s="840">
        <v>2978.52</v>
      </c>
      <c r="Y356" s="840">
        <v>2.97</v>
      </c>
      <c r="Z356" s="840">
        <v>0</v>
      </c>
      <c r="AA356" s="840">
        <v>508.07</v>
      </c>
      <c r="AB356" s="840">
        <v>60.74</v>
      </c>
      <c r="AC356" s="840">
        <v>340.6</v>
      </c>
      <c r="AD356" s="840">
        <v>0</v>
      </c>
      <c r="AE356" s="840">
        <v>1345.6</v>
      </c>
      <c r="AF356" s="840">
        <v>4817.6899999999996</v>
      </c>
      <c r="AG356" s="840">
        <v>5130.5</v>
      </c>
      <c r="AH356" s="840">
        <v>6645.53</v>
      </c>
      <c r="AI356" s="840">
        <v>0</v>
      </c>
      <c r="AJ356" s="840">
        <v>0</v>
      </c>
      <c r="AK356" s="840"/>
      <c r="AL356" s="840"/>
      <c r="AM356" s="840"/>
      <c r="AN356" s="840"/>
      <c r="AO356" s="840"/>
      <c r="AP356" s="840"/>
      <c r="AQ356" s="840"/>
    </row>
    <row r="357" spans="2:43">
      <c r="B357" s="837" t="s">
        <v>1118</v>
      </c>
      <c r="C357" s="837">
        <v>13103</v>
      </c>
      <c r="D357" s="837">
        <v>11755</v>
      </c>
      <c r="E357" s="837">
        <v>13516</v>
      </c>
      <c r="F357" s="837">
        <v>12731</v>
      </c>
      <c r="G357" s="837">
        <v>13696</v>
      </c>
      <c r="H357" s="837">
        <v>12118</v>
      </c>
      <c r="I357" s="837">
        <v>12727</v>
      </c>
      <c r="J357" s="837">
        <v>13363</v>
      </c>
      <c r="K357" s="837">
        <v>14480</v>
      </c>
      <c r="L357" s="838">
        <v>13699.8720703125</v>
      </c>
      <c r="M357" s="838">
        <v>13774.17578125</v>
      </c>
      <c r="N357" s="838">
        <v>14500.96</v>
      </c>
      <c r="O357" s="838">
        <v>15644.8</v>
      </c>
      <c r="P357" s="838">
        <v>14029.6</v>
      </c>
      <c r="Q357" s="838">
        <v>14535.14</v>
      </c>
      <c r="R357" s="838">
        <v>13728.48</v>
      </c>
      <c r="S357" s="838">
        <v>13836.93</v>
      </c>
      <c r="T357" s="838">
        <v>13262.69</v>
      </c>
      <c r="U357" s="838">
        <v>13350.69</v>
      </c>
      <c r="V357" s="838">
        <v>13589.57</v>
      </c>
      <c r="W357" s="838">
        <v>14099.2</v>
      </c>
      <c r="X357" s="838">
        <v>13807.84</v>
      </c>
      <c r="Y357" s="838">
        <v>12649.57</v>
      </c>
      <c r="Z357" s="838">
        <v>13712.96</v>
      </c>
      <c r="AA357" s="838">
        <v>16228.61</v>
      </c>
      <c r="AB357" s="838">
        <v>15317.44</v>
      </c>
      <c r="AC357" s="838">
        <v>14811.07</v>
      </c>
      <c r="AD357" s="838">
        <v>13437.95</v>
      </c>
      <c r="AE357" s="838">
        <v>15088.19</v>
      </c>
      <c r="AF357" s="838">
        <v>15513.09</v>
      </c>
      <c r="AG357" s="838">
        <v>16757.82</v>
      </c>
      <c r="AH357" s="838">
        <v>15293.06</v>
      </c>
      <c r="AI357" s="838">
        <v>14806.85</v>
      </c>
      <c r="AJ357" s="838">
        <v>4319.2299999999996</v>
      </c>
      <c r="AK357" s="838"/>
      <c r="AL357" s="838"/>
      <c r="AM357" s="838"/>
      <c r="AN357" s="838"/>
      <c r="AO357" s="838"/>
      <c r="AP357" s="838"/>
      <c r="AQ357" s="838"/>
    </row>
    <row r="358" spans="2:43">
      <c r="B358" s="839" t="s">
        <v>1119</v>
      </c>
      <c r="C358" s="839">
        <v>158</v>
      </c>
      <c r="D358" s="839">
        <v>142</v>
      </c>
      <c r="E358" s="839">
        <v>163</v>
      </c>
      <c r="F358" s="839">
        <v>156</v>
      </c>
      <c r="G358" s="839">
        <v>159</v>
      </c>
      <c r="H358" s="839">
        <v>150</v>
      </c>
      <c r="I358" s="839">
        <v>178</v>
      </c>
      <c r="J358" s="839">
        <v>159</v>
      </c>
      <c r="K358" s="839">
        <v>164</v>
      </c>
      <c r="L358" s="840">
        <v>170.06050109863281</v>
      </c>
      <c r="M358" s="840">
        <v>134.36900329589844</v>
      </c>
      <c r="N358" s="840">
        <v>68.489999999999995</v>
      </c>
      <c r="O358" s="840">
        <v>69.400000000000006</v>
      </c>
      <c r="P358" s="840">
        <v>61.39</v>
      </c>
      <c r="Q358" s="840">
        <v>89.29</v>
      </c>
      <c r="R358" s="840">
        <v>77.39</v>
      </c>
      <c r="S358" s="840">
        <v>76.959999999999994</v>
      </c>
      <c r="T358" s="840">
        <v>67.41</v>
      </c>
      <c r="U358" s="840">
        <v>70.680000000000007</v>
      </c>
      <c r="V358" s="840">
        <v>77.59</v>
      </c>
      <c r="W358" s="840">
        <v>65.62</v>
      </c>
      <c r="X358" s="840">
        <v>72.010000000000005</v>
      </c>
      <c r="Y358" s="840">
        <v>65.180000000000007</v>
      </c>
      <c r="Z358" s="840">
        <v>64.88</v>
      </c>
      <c r="AA358" s="840">
        <v>66.959999999999994</v>
      </c>
      <c r="AB358" s="840">
        <v>62.76</v>
      </c>
      <c r="AC358" s="840">
        <v>74.92</v>
      </c>
      <c r="AD358" s="840">
        <v>71.650000000000006</v>
      </c>
      <c r="AE358" s="840">
        <v>81.709999999999994</v>
      </c>
      <c r="AF358" s="840">
        <v>62.76</v>
      </c>
      <c r="AG358" s="840">
        <v>69.27</v>
      </c>
      <c r="AH358" s="840">
        <v>140.18</v>
      </c>
      <c r="AI358" s="840">
        <v>161.77000000000001</v>
      </c>
      <c r="AJ358" s="840">
        <v>43.83</v>
      </c>
      <c r="AK358" s="840"/>
      <c r="AL358" s="840"/>
      <c r="AM358" s="840"/>
      <c r="AN358" s="840"/>
      <c r="AO358" s="840"/>
      <c r="AP358" s="840"/>
      <c r="AQ358" s="840"/>
    </row>
    <row r="359" spans="2:43">
      <c r="B359" s="837" t="s">
        <v>1120</v>
      </c>
      <c r="C359" s="837">
        <v>4744</v>
      </c>
      <c r="D359" s="837">
        <v>4258</v>
      </c>
      <c r="E359" s="837">
        <v>3769</v>
      </c>
      <c r="F359" s="837">
        <v>1686</v>
      </c>
      <c r="G359" s="837">
        <v>1451</v>
      </c>
      <c r="H359" s="837">
        <v>1116</v>
      </c>
      <c r="I359" s="837">
        <v>1409</v>
      </c>
      <c r="J359" s="837">
        <v>3461</v>
      </c>
      <c r="K359" s="837">
        <v>3280</v>
      </c>
      <c r="L359" s="838">
        <v>3647.416015625</v>
      </c>
      <c r="M359" s="838">
        <v>4066.72802734375</v>
      </c>
      <c r="N359" s="838">
        <v>4426.25</v>
      </c>
      <c r="O359" s="838">
        <v>6307.28</v>
      </c>
      <c r="P359" s="838">
        <v>7841.53</v>
      </c>
      <c r="Q359" s="838">
        <v>5122.08</v>
      </c>
      <c r="R359" s="838">
        <v>3131.46</v>
      </c>
      <c r="S359" s="838">
        <v>3137.1</v>
      </c>
      <c r="T359" s="838">
        <v>2120.94</v>
      </c>
      <c r="U359" s="838">
        <v>3052.79</v>
      </c>
      <c r="V359" s="838">
        <v>3122.42</v>
      </c>
      <c r="W359" s="838">
        <v>3457.72</v>
      </c>
      <c r="X359" s="838">
        <v>3586.86</v>
      </c>
      <c r="Y359" s="838">
        <v>3132.76</v>
      </c>
      <c r="Z359" s="838">
        <v>4529.1000000000004</v>
      </c>
      <c r="AA359" s="838">
        <v>5850.22</v>
      </c>
      <c r="AB359" s="838">
        <v>5581.34</v>
      </c>
      <c r="AC359" s="838">
        <v>4014.19</v>
      </c>
      <c r="AD359" s="838">
        <v>3347.62</v>
      </c>
      <c r="AE359" s="838">
        <v>2911.7</v>
      </c>
      <c r="AF359" s="838">
        <v>2469.58</v>
      </c>
      <c r="AG359" s="838">
        <v>2406.83</v>
      </c>
      <c r="AH359" s="838">
        <v>3011.31</v>
      </c>
      <c r="AI359" s="838">
        <v>3143.7</v>
      </c>
      <c r="AJ359" s="838">
        <v>826.14</v>
      </c>
      <c r="AK359" s="838"/>
      <c r="AL359" s="838"/>
      <c r="AM359" s="838"/>
      <c r="AN359" s="838"/>
      <c r="AO359" s="838"/>
      <c r="AP359" s="838"/>
      <c r="AQ359" s="838"/>
    </row>
    <row r="360" spans="2:43">
      <c r="B360" s="839" t="s">
        <v>1121</v>
      </c>
      <c r="C360" s="839">
        <v>4365</v>
      </c>
      <c r="D360" s="839">
        <v>4021</v>
      </c>
      <c r="E360" s="839">
        <v>4713</v>
      </c>
      <c r="F360" s="839">
        <v>4592</v>
      </c>
      <c r="G360" s="839">
        <v>4965</v>
      </c>
      <c r="H360" s="839">
        <v>4757</v>
      </c>
      <c r="I360" s="839">
        <v>5062</v>
      </c>
      <c r="J360" s="839">
        <v>5113</v>
      </c>
      <c r="K360" s="839">
        <v>4711</v>
      </c>
      <c r="L360" s="840">
        <v>4749.8759765625</v>
      </c>
      <c r="M360" s="840">
        <v>4280.255859375</v>
      </c>
      <c r="N360" s="840">
        <v>4449.1000000000004</v>
      </c>
      <c r="O360" s="840">
        <v>4315.59</v>
      </c>
      <c r="P360" s="840">
        <v>3903.18</v>
      </c>
      <c r="Q360" s="840">
        <v>4829.34</v>
      </c>
      <c r="R360" s="840">
        <v>4581.3999999999996</v>
      </c>
      <c r="S360" s="840">
        <v>4841.1000000000004</v>
      </c>
      <c r="T360" s="840">
        <v>4864.58</v>
      </c>
      <c r="U360" s="840">
        <v>4943.62</v>
      </c>
      <c r="V360" s="840">
        <v>5077.41</v>
      </c>
      <c r="W360" s="840">
        <v>4652.49</v>
      </c>
      <c r="X360" s="840">
        <v>4712.88</v>
      </c>
      <c r="Y360" s="840">
        <v>4566.8</v>
      </c>
      <c r="Z360" s="840">
        <v>4581.1400000000003</v>
      </c>
      <c r="AA360" s="840">
        <v>4209.92</v>
      </c>
      <c r="AB360" s="840">
        <v>2687.76</v>
      </c>
      <c r="AC360" s="840">
        <v>4878.8500000000004</v>
      </c>
      <c r="AD360" s="840">
        <v>4693.2</v>
      </c>
      <c r="AE360" s="840">
        <v>5002.29</v>
      </c>
      <c r="AF360" s="840">
        <v>4659.9399999999996</v>
      </c>
      <c r="AG360" s="840">
        <v>6043.46</v>
      </c>
      <c r="AH360" s="840">
        <v>6764.96</v>
      </c>
      <c r="AI360" s="840">
        <v>6336.03</v>
      </c>
      <c r="AJ360" s="840">
        <v>1714.45</v>
      </c>
      <c r="AK360" s="840"/>
      <c r="AL360" s="840"/>
      <c r="AM360" s="840"/>
      <c r="AN360" s="840"/>
      <c r="AO360" s="840"/>
      <c r="AP360" s="840"/>
      <c r="AQ360" s="840"/>
    </row>
    <row r="361" spans="2:43">
      <c r="B361" s="837" t="s">
        <v>1122</v>
      </c>
      <c r="C361" s="837">
        <v>440</v>
      </c>
      <c r="D361" s="837">
        <v>328</v>
      </c>
      <c r="E361" s="837">
        <v>341</v>
      </c>
      <c r="F361" s="837">
        <v>351</v>
      </c>
      <c r="G361" s="837">
        <v>493</v>
      </c>
      <c r="H361" s="837">
        <v>469</v>
      </c>
      <c r="I361" s="837">
        <v>508</v>
      </c>
      <c r="J361" s="837">
        <v>488</v>
      </c>
      <c r="K361" s="837">
        <v>498</v>
      </c>
      <c r="L361" s="838">
        <v>510.90399169921875</v>
      </c>
      <c r="M361" s="838">
        <v>470.11199951171875</v>
      </c>
      <c r="N361" s="838">
        <v>421.69</v>
      </c>
      <c r="O361" s="838">
        <v>416.8</v>
      </c>
      <c r="P361" s="838">
        <v>406.07</v>
      </c>
      <c r="Q361" s="838">
        <v>418.38</v>
      </c>
      <c r="R361" s="838">
        <v>333.77</v>
      </c>
      <c r="S361" s="838">
        <v>374.89</v>
      </c>
      <c r="T361" s="838">
        <v>266.89</v>
      </c>
      <c r="U361" s="838">
        <v>307.08</v>
      </c>
      <c r="V361" s="838">
        <v>241.52</v>
      </c>
      <c r="W361" s="838">
        <v>345.93</v>
      </c>
      <c r="X361" s="838">
        <v>213.23</v>
      </c>
      <c r="Y361" s="838">
        <v>317.73</v>
      </c>
      <c r="Z361" s="838">
        <v>363.16</v>
      </c>
      <c r="AA361" s="838">
        <v>358.61</v>
      </c>
      <c r="AB361" s="838">
        <v>402.18</v>
      </c>
      <c r="AC361" s="838">
        <v>437.15</v>
      </c>
      <c r="AD361" s="838">
        <v>406.37</v>
      </c>
      <c r="AE361" s="838">
        <v>468.29</v>
      </c>
      <c r="AF361" s="838">
        <v>285.22000000000003</v>
      </c>
      <c r="AG361" s="838">
        <v>342.64</v>
      </c>
      <c r="AH361" s="838">
        <v>455.4</v>
      </c>
      <c r="AI361" s="838">
        <v>410.81</v>
      </c>
      <c r="AJ361" s="838">
        <v>112.91</v>
      </c>
      <c r="AK361" s="838"/>
      <c r="AL361" s="838"/>
      <c r="AM361" s="838"/>
      <c r="AN361" s="838"/>
      <c r="AO361" s="838"/>
      <c r="AP361" s="838"/>
      <c r="AQ361" s="838"/>
    </row>
    <row r="362" spans="2:43">
      <c r="B362" s="839" t="s">
        <v>1123</v>
      </c>
      <c r="C362" s="839">
        <v>3070</v>
      </c>
      <c r="D362" s="839">
        <v>2729</v>
      </c>
      <c r="E362" s="839">
        <v>2985</v>
      </c>
      <c r="F362" s="839">
        <v>2698</v>
      </c>
      <c r="G362" s="839">
        <v>2731</v>
      </c>
      <c r="H362" s="839">
        <v>2558</v>
      </c>
      <c r="I362" s="839">
        <v>2763</v>
      </c>
      <c r="J362" s="839">
        <v>2940</v>
      </c>
      <c r="K362" s="839">
        <v>2335</v>
      </c>
      <c r="L362" s="840">
        <v>2418.22412109375</v>
      </c>
      <c r="M362" s="840">
        <v>2384.912109375</v>
      </c>
      <c r="N362" s="840">
        <v>2476.13</v>
      </c>
      <c r="O362" s="840">
        <v>2448.4</v>
      </c>
      <c r="P362" s="840">
        <v>2220.3200000000002</v>
      </c>
      <c r="Q362" s="840">
        <v>2574.98</v>
      </c>
      <c r="R362" s="840">
        <v>2518.62</v>
      </c>
      <c r="S362" s="840">
        <v>2560.88</v>
      </c>
      <c r="T362" s="840">
        <v>2651.46</v>
      </c>
      <c r="U362" s="840">
        <v>2920.8</v>
      </c>
      <c r="V362" s="840">
        <v>3302.66</v>
      </c>
      <c r="W362" s="840">
        <v>3323.44</v>
      </c>
      <c r="X362" s="840">
        <v>3421.92</v>
      </c>
      <c r="Y362" s="840">
        <v>3426.02</v>
      </c>
      <c r="Z362" s="840">
        <v>3696.88</v>
      </c>
      <c r="AA362" s="840">
        <v>3609.78</v>
      </c>
      <c r="AB362" s="840">
        <v>3371.34</v>
      </c>
      <c r="AC362" s="840">
        <v>3394.35</v>
      </c>
      <c r="AD362" s="840">
        <v>3243.58</v>
      </c>
      <c r="AE362" s="840">
        <v>3109.78</v>
      </c>
      <c r="AF362" s="840">
        <v>3047.66</v>
      </c>
      <c r="AG362" s="840">
        <v>3223.82</v>
      </c>
      <c r="AH362" s="840">
        <v>3247.39</v>
      </c>
      <c r="AI362" s="840">
        <v>3146.14</v>
      </c>
      <c r="AJ362" s="840">
        <v>868.64</v>
      </c>
      <c r="AK362" s="840"/>
      <c r="AL362" s="840"/>
      <c r="AM362" s="840"/>
      <c r="AN362" s="840"/>
      <c r="AO362" s="840"/>
      <c r="AP362" s="840"/>
      <c r="AQ362" s="840"/>
    </row>
    <row r="363" spans="2:43" s="473" customFormat="1">
      <c r="B363" s="841" t="s">
        <v>1124</v>
      </c>
      <c r="C363" s="841">
        <v>142384</v>
      </c>
      <c r="D363" s="841">
        <v>132198</v>
      </c>
      <c r="E363" s="841">
        <v>149461</v>
      </c>
      <c r="F363" s="841">
        <v>142275</v>
      </c>
      <c r="G363" s="841">
        <v>153224</v>
      </c>
      <c r="H363" s="841">
        <v>151892</v>
      </c>
      <c r="I363" s="841">
        <v>161294</v>
      </c>
      <c r="J363" s="841">
        <v>159627</v>
      </c>
      <c r="K363" s="841">
        <v>148994</v>
      </c>
      <c r="L363" s="842">
        <v>145911.8125</v>
      </c>
      <c r="M363" s="842">
        <v>138656.765625</v>
      </c>
      <c r="N363" s="842">
        <v>136035.32999999999</v>
      </c>
      <c r="O363" s="842">
        <v>140214.26999999999</v>
      </c>
      <c r="P363" s="842">
        <v>135001.09</v>
      </c>
      <c r="Q363" s="842">
        <v>142022.66</v>
      </c>
      <c r="R363" s="842">
        <v>130956.29</v>
      </c>
      <c r="S363" s="842">
        <v>141200.39000000001</v>
      </c>
      <c r="T363" s="842">
        <v>134424.57999999999</v>
      </c>
      <c r="U363" s="842">
        <v>136344.57999999999</v>
      </c>
      <c r="V363" s="842">
        <v>137198.59</v>
      </c>
      <c r="W363" s="842">
        <v>133940.22</v>
      </c>
      <c r="X363" s="842">
        <v>132960.25</v>
      </c>
      <c r="Y363" s="842">
        <v>125643.77</v>
      </c>
      <c r="Z363" s="842">
        <v>125524.99</v>
      </c>
      <c r="AA363" s="842">
        <v>126872.58</v>
      </c>
      <c r="AB363" s="842">
        <v>123930.63</v>
      </c>
      <c r="AC363" s="842">
        <v>131831.81</v>
      </c>
      <c r="AD363" s="842">
        <v>125101.05</v>
      </c>
      <c r="AE363" s="842">
        <v>133987.32999999999</v>
      </c>
      <c r="AF363" s="842">
        <v>124107.77</v>
      </c>
      <c r="AG363" s="842">
        <v>133872.64000000001</v>
      </c>
      <c r="AH363" s="842">
        <v>134581.25</v>
      </c>
      <c r="AI363" s="842">
        <v>129088.52</v>
      </c>
      <c r="AJ363" s="842">
        <v>131152.89000000001</v>
      </c>
      <c r="AK363" s="842"/>
      <c r="AL363" s="842"/>
      <c r="AM363" s="842"/>
      <c r="AN363" s="842"/>
      <c r="AO363" s="842"/>
      <c r="AP363" s="842"/>
      <c r="AQ363" s="842"/>
    </row>
    <row r="364" spans="2:43">
      <c r="B364" s="839" t="s">
        <v>1125</v>
      </c>
      <c r="C364" s="839">
        <v>41050</v>
      </c>
      <c r="D364" s="839">
        <v>36842</v>
      </c>
      <c r="E364" s="839">
        <v>40535</v>
      </c>
      <c r="F364" s="839">
        <v>34789</v>
      </c>
      <c r="G364" s="839">
        <v>33129</v>
      </c>
      <c r="H364" s="839">
        <v>32895</v>
      </c>
      <c r="I364" s="839">
        <v>34040</v>
      </c>
      <c r="J364" s="839">
        <v>36182</v>
      </c>
      <c r="K364" s="839">
        <v>35921</v>
      </c>
      <c r="L364" s="840">
        <v>37033.21484375</v>
      </c>
      <c r="M364" s="840">
        <v>38393.47265625</v>
      </c>
      <c r="N364" s="840">
        <v>36155.01</v>
      </c>
      <c r="O364" s="840">
        <v>40026.11</v>
      </c>
      <c r="P364" s="840">
        <v>50331.01</v>
      </c>
      <c r="Q364" s="840">
        <v>49854.34</v>
      </c>
      <c r="R364" s="840">
        <v>43910.66</v>
      </c>
      <c r="S364" s="840">
        <v>50301.95</v>
      </c>
      <c r="T364" s="840">
        <v>37663.74</v>
      </c>
      <c r="U364" s="840">
        <v>40298.239999999998</v>
      </c>
      <c r="V364" s="840">
        <v>40173.82</v>
      </c>
      <c r="W364" s="840">
        <v>40858.75</v>
      </c>
      <c r="X364" s="840">
        <v>42008.06</v>
      </c>
      <c r="Y364" s="840">
        <v>46143.87</v>
      </c>
      <c r="Z364" s="840">
        <v>50407.81</v>
      </c>
      <c r="AA364" s="840">
        <v>44422.53</v>
      </c>
      <c r="AB364" s="840">
        <v>48837.25</v>
      </c>
      <c r="AC364" s="840">
        <v>44305.919999999998</v>
      </c>
      <c r="AD364" s="840">
        <v>40659.07</v>
      </c>
      <c r="AE364" s="840">
        <v>38510.720000000001</v>
      </c>
      <c r="AF364" s="840">
        <v>37912.959999999999</v>
      </c>
      <c r="AG364" s="840">
        <v>36050.300000000003</v>
      </c>
      <c r="AH364" s="840">
        <v>37699.199999999997</v>
      </c>
      <c r="AI364" s="840">
        <v>37765.25</v>
      </c>
      <c r="AJ364" s="840">
        <v>39014.019999999997</v>
      </c>
      <c r="AK364" s="840"/>
      <c r="AL364" s="840"/>
      <c r="AM364" s="840"/>
      <c r="AN364" s="840"/>
      <c r="AO364" s="840"/>
      <c r="AP364" s="840"/>
      <c r="AQ364" s="840"/>
    </row>
    <row r="365" spans="2:43">
      <c r="B365" s="837" t="s">
        <v>1126</v>
      </c>
      <c r="C365" s="837">
        <v>1634</v>
      </c>
      <c r="D365" s="837">
        <v>1560</v>
      </c>
      <c r="E365" s="837">
        <v>1929</v>
      </c>
      <c r="F365" s="837">
        <v>2136</v>
      </c>
      <c r="G365" s="837">
        <v>2110</v>
      </c>
      <c r="H365" s="837">
        <v>1897</v>
      </c>
      <c r="I365" s="837">
        <v>2175</v>
      </c>
      <c r="J365" s="837">
        <v>1944</v>
      </c>
      <c r="K365" s="837">
        <v>1821</v>
      </c>
      <c r="L365" s="838">
        <v>1861.06396484375</v>
      </c>
      <c r="M365" s="838">
        <v>1771.343994140625</v>
      </c>
      <c r="N365" s="838">
        <v>1779.35</v>
      </c>
      <c r="O365" s="838">
        <v>1754.28</v>
      </c>
      <c r="P365" s="838">
        <v>1548.16</v>
      </c>
      <c r="Q365" s="838">
        <v>1978.06</v>
      </c>
      <c r="R365" s="838">
        <v>1874.74</v>
      </c>
      <c r="S365" s="838">
        <v>1881.34</v>
      </c>
      <c r="T365" s="838">
        <v>1805.73</v>
      </c>
      <c r="U365" s="838">
        <v>1818.11</v>
      </c>
      <c r="V365" s="838">
        <v>1837</v>
      </c>
      <c r="W365" s="838">
        <v>1912.37</v>
      </c>
      <c r="X365" s="838">
        <v>1746.09</v>
      </c>
      <c r="Y365" s="838">
        <v>1811.51</v>
      </c>
      <c r="Z365" s="838">
        <v>1950.95</v>
      </c>
      <c r="AA365" s="838">
        <v>2057.7399999999998</v>
      </c>
      <c r="AB365" s="838">
        <v>2298.59</v>
      </c>
      <c r="AC365" s="838">
        <v>2470.58</v>
      </c>
      <c r="AD365" s="838">
        <v>2356.5100000000002</v>
      </c>
      <c r="AE365" s="838">
        <v>2463.23</v>
      </c>
      <c r="AF365" s="838">
        <v>2670.78</v>
      </c>
      <c r="AG365" s="838">
        <v>2985.88</v>
      </c>
      <c r="AH365" s="838">
        <v>2915.39</v>
      </c>
      <c r="AI365" s="838">
        <v>2787.58</v>
      </c>
      <c r="AJ365" s="838">
        <v>2896.2</v>
      </c>
      <c r="AK365" s="838"/>
      <c r="AL365" s="838"/>
      <c r="AM365" s="838"/>
      <c r="AN365" s="838"/>
      <c r="AO365" s="838"/>
      <c r="AP365" s="838"/>
      <c r="AQ365" s="838"/>
    </row>
    <row r="366" spans="2:43">
      <c r="B366" s="839" t="s">
        <v>1127</v>
      </c>
      <c r="C366" s="839">
        <v>1360</v>
      </c>
      <c r="D366" s="839">
        <v>767</v>
      </c>
      <c r="E366" s="839">
        <v>626</v>
      </c>
      <c r="F366" s="839">
        <v>580</v>
      </c>
      <c r="G366" s="839">
        <v>608</v>
      </c>
      <c r="H366" s="839">
        <v>648</v>
      </c>
      <c r="I366" s="839">
        <v>852</v>
      </c>
      <c r="J366" s="839">
        <v>707</v>
      </c>
      <c r="K366" s="839">
        <v>633</v>
      </c>
      <c r="L366" s="840">
        <v>646.4439697265625</v>
      </c>
      <c r="M366" s="840">
        <v>675.280029296875</v>
      </c>
      <c r="N366" s="840">
        <v>599.64</v>
      </c>
      <c r="O366" s="840">
        <v>577.03</v>
      </c>
      <c r="P366" s="840">
        <v>557.45000000000005</v>
      </c>
      <c r="Q366" s="840">
        <v>657.23</v>
      </c>
      <c r="R366" s="840">
        <v>667.37</v>
      </c>
      <c r="S366" s="840">
        <v>859.44</v>
      </c>
      <c r="T366" s="840">
        <v>680.22</v>
      </c>
      <c r="U366" s="840">
        <v>724.19</v>
      </c>
      <c r="V366" s="840">
        <v>751.86</v>
      </c>
      <c r="W366" s="840">
        <v>656.55</v>
      </c>
      <c r="X366" s="840">
        <v>659.93</v>
      </c>
      <c r="Y366" s="840">
        <v>1252.57</v>
      </c>
      <c r="Z366" s="840">
        <v>1432.72</v>
      </c>
      <c r="AA366" s="840">
        <v>658.64</v>
      </c>
      <c r="AB366" s="840">
        <v>660.2</v>
      </c>
      <c r="AC366" s="840">
        <v>735.62</v>
      </c>
      <c r="AD366" s="840">
        <v>438.65</v>
      </c>
      <c r="AE366" s="840">
        <v>491.07</v>
      </c>
      <c r="AF366" s="840">
        <v>483.15</v>
      </c>
      <c r="AG366" s="840">
        <v>505.02</v>
      </c>
      <c r="AH366" s="840">
        <v>706.84</v>
      </c>
      <c r="AI366" s="840">
        <v>668.14</v>
      </c>
      <c r="AJ366" s="840">
        <v>917.32</v>
      </c>
      <c r="AK366" s="840"/>
      <c r="AL366" s="840"/>
      <c r="AM366" s="840"/>
      <c r="AN366" s="840"/>
      <c r="AO366" s="840"/>
      <c r="AP366" s="840"/>
      <c r="AQ366" s="840"/>
    </row>
    <row r="367" spans="2:43">
      <c r="B367" s="837" t="s">
        <v>1128</v>
      </c>
      <c r="C367" s="837">
        <v>617</v>
      </c>
      <c r="D367" s="837">
        <v>650</v>
      </c>
      <c r="E367" s="837">
        <v>739</v>
      </c>
      <c r="F367" s="837">
        <v>798</v>
      </c>
      <c r="G367" s="837">
        <v>1399</v>
      </c>
      <c r="H367" s="837">
        <v>1163</v>
      </c>
      <c r="I367" s="837">
        <v>1577</v>
      </c>
      <c r="J367" s="837">
        <v>1695</v>
      </c>
      <c r="K367" s="837">
        <v>1793</v>
      </c>
      <c r="L367" s="838">
        <v>1426.4959716796875</v>
      </c>
      <c r="M367" s="838">
        <v>1408.1500244140625</v>
      </c>
      <c r="N367" s="838">
        <v>1367.23</v>
      </c>
      <c r="O367" s="838">
        <v>1366.54</v>
      </c>
      <c r="P367" s="838">
        <v>1051.04</v>
      </c>
      <c r="Q367" s="838">
        <v>1445.74</v>
      </c>
      <c r="R367" s="838">
        <v>1030.6600000000001</v>
      </c>
      <c r="S367" s="838">
        <v>1443.16</v>
      </c>
      <c r="T367" s="838">
        <v>970.8</v>
      </c>
      <c r="U367" s="838">
        <v>1259.74</v>
      </c>
      <c r="V367" s="838">
        <v>818.36</v>
      </c>
      <c r="W367" s="838">
        <v>874.24</v>
      </c>
      <c r="X367" s="838">
        <v>1239.3900000000001</v>
      </c>
      <c r="Y367" s="838">
        <v>1346.49</v>
      </c>
      <c r="Z367" s="838">
        <v>1304.42</v>
      </c>
      <c r="AA367" s="838">
        <v>1497.03</v>
      </c>
      <c r="AB367" s="838">
        <v>1617.89</v>
      </c>
      <c r="AC367" s="838">
        <v>1826.14</v>
      </c>
      <c r="AD367" s="838">
        <v>1798.18</v>
      </c>
      <c r="AE367" s="838">
        <v>1887.73</v>
      </c>
      <c r="AF367" s="838">
        <v>1202.4000000000001</v>
      </c>
      <c r="AG367" s="838">
        <v>1158.8800000000001</v>
      </c>
      <c r="AH367" s="838">
        <v>918.47</v>
      </c>
      <c r="AI367" s="838">
        <v>1113.1600000000001</v>
      </c>
      <c r="AJ367" s="838">
        <v>1537.24</v>
      </c>
      <c r="AK367" s="838"/>
      <c r="AL367" s="838"/>
      <c r="AM367" s="838"/>
      <c r="AN367" s="838"/>
      <c r="AO367" s="838"/>
      <c r="AP367" s="838"/>
      <c r="AQ367" s="838"/>
    </row>
    <row r="368" spans="2:43">
      <c r="B368" s="839" t="s">
        <v>1129</v>
      </c>
      <c r="C368" s="839">
        <v>34296</v>
      </c>
      <c r="D368" s="839">
        <v>33310</v>
      </c>
      <c r="E368" s="839">
        <v>36949</v>
      </c>
      <c r="F368" s="839">
        <v>34564</v>
      </c>
      <c r="G368" s="839">
        <v>38155</v>
      </c>
      <c r="H368" s="839">
        <v>37367</v>
      </c>
      <c r="I368" s="839">
        <v>37513</v>
      </c>
      <c r="J368" s="839">
        <v>38381</v>
      </c>
      <c r="K368" s="839">
        <v>36611</v>
      </c>
      <c r="L368" s="840">
        <v>36573.18359375</v>
      </c>
      <c r="M368" s="840">
        <v>35503.6171875</v>
      </c>
      <c r="N368" s="840">
        <v>33709.050000000003</v>
      </c>
      <c r="O368" s="840">
        <v>35326.46</v>
      </c>
      <c r="P368" s="840">
        <v>32922.879999999997</v>
      </c>
      <c r="Q368" s="840">
        <v>38597.629999999997</v>
      </c>
      <c r="R368" s="840">
        <v>35016.449999999997</v>
      </c>
      <c r="S368" s="840">
        <v>37752.06</v>
      </c>
      <c r="T368" s="840">
        <v>36568.57</v>
      </c>
      <c r="U368" s="840">
        <v>38577.79</v>
      </c>
      <c r="V368" s="840">
        <v>39136.26</v>
      </c>
      <c r="W368" s="840">
        <v>36346.239999999998</v>
      </c>
      <c r="X368" s="840">
        <v>37568.26</v>
      </c>
      <c r="Y368" s="840">
        <v>35584.26</v>
      </c>
      <c r="Z368" s="840">
        <v>33420.800000000003</v>
      </c>
      <c r="AA368" s="840">
        <v>38634.370000000003</v>
      </c>
      <c r="AB368" s="840">
        <v>39155.07</v>
      </c>
      <c r="AC368" s="840">
        <v>42590.59</v>
      </c>
      <c r="AD368" s="840">
        <v>40194.559999999998</v>
      </c>
      <c r="AE368" s="840">
        <v>43184.13</v>
      </c>
      <c r="AF368" s="840">
        <v>41298.18</v>
      </c>
      <c r="AG368" s="840">
        <v>41852.03</v>
      </c>
      <c r="AH368" s="840">
        <v>41107.71</v>
      </c>
      <c r="AI368" s="840">
        <v>40403.07</v>
      </c>
      <c r="AJ368" s="840">
        <v>41401.599999999999</v>
      </c>
      <c r="AK368" s="840"/>
      <c r="AL368" s="840"/>
      <c r="AM368" s="840"/>
      <c r="AN368" s="840"/>
      <c r="AO368" s="840"/>
      <c r="AP368" s="840"/>
      <c r="AQ368" s="840"/>
    </row>
    <row r="369" spans="2:43" s="473" customFormat="1">
      <c r="B369" s="841" t="s">
        <v>1130</v>
      </c>
      <c r="C369" s="841">
        <v>96612</v>
      </c>
      <c r="D369" s="841">
        <v>93448</v>
      </c>
      <c r="E369" s="841">
        <v>108095</v>
      </c>
      <c r="F369" s="841">
        <v>96244</v>
      </c>
      <c r="G369" s="841">
        <v>100942</v>
      </c>
      <c r="H369" s="841">
        <v>96039</v>
      </c>
      <c r="I369" s="841">
        <v>100183</v>
      </c>
      <c r="J369" s="841">
        <v>104169</v>
      </c>
      <c r="K369" s="841">
        <v>100436</v>
      </c>
      <c r="L369" s="842">
        <v>100614.140625</v>
      </c>
      <c r="M369" s="842">
        <v>99289.0859375</v>
      </c>
      <c r="N369" s="842">
        <v>92882.95</v>
      </c>
      <c r="O369" s="842">
        <v>98532.35</v>
      </c>
      <c r="P369" s="842">
        <v>106218.49</v>
      </c>
      <c r="Q369" s="842">
        <v>117725.19</v>
      </c>
      <c r="R369" s="842">
        <v>103427.07</v>
      </c>
      <c r="S369" s="842">
        <v>117886.98</v>
      </c>
      <c r="T369" s="842">
        <v>99892.23</v>
      </c>
      <c r="U369" s="842">
        <v>106562.56</v>
      </c>
      <c r="V369" s="842">
        <v>109399.03999999999</v>
      </c>
      <c r="W369" s="842">
        <v>105217.02</v>
      </c>
      <c r="X369" s="842">
        <v>105672.7</v>
      </c>
      <c r="Y369" s="842">
        <v>107699.2</v>
      </c>
      <c r="Z369" s="842">
        <v>108553.22</v>
      </c>
      <c r="AA369" s="842">
        <v>109086.72</v>
      </c>
      <c r="AB369" s="842">
        <v>113303.55</v>
      </c>
      <c r="AC369" s="842">
        <v>115700.73</v>
      </c>
      <c r="AD369" s="842">
        <v>108738.56</v>
      </c>
      <c r="AE369" s="842">
        <v>202.61</v>
      </c>
      <c r="AF369" s="842">
        <v>828.09</v>
      </c>
      <c r="AG369" s="842">
        <v>808.57</v>
      </c>
      <c r="AH369" s="842">
        <v>820.09</v>
      </c>
      <c r="AI369" s="842">
        <v>793.83</v>
      </c>
      <c r="AJ369" s="842">
        <v>824.21</v>
      </c>
      <c r="AK369" s="842"/>
      <c r="AL369" s="842"/>
      <c r="AM369" s="842"/>
      <c r="AN369" s="842"/>
      <c r="AO369" s="842"/>
      <c r="AP369" s="842"/>
      <c r="AQ369" s="842"/>
    </row>
    <row r="370" spans="2:43" s="473" customFormat="1">
      <c r="B370" s="841" t="s">
        <v>1131</v>
      </c>
      <c r="C370" s="841"/>
      <c r="D370" s="841"/>
      <c r="E370" s="841"/>
      <c r="F370" s="841"/>
      <c r="G370" s="841"/>
      <c r="H370" s="841"/>
      <c r="I370" s="841"/>
      <c r="J370" s="841"/>
      <c r="K370" s="841"/>
      <c r="L370" s="842"/>
      <c r="M370" s="842"/>
      <c r="N370" s="842"/>
      <c r="O370" s="842"/>
      <c r="P370" s="842"/>
      <c r="Q370" s="842"/>
      <c r="R370" s="842"/>
      <c r="S370" s="842"/>
      <c r="T370" s="842"/>
      <c r="U370" s="842"/>
      <c r="V370" s="842"/>
      <c r="W370" s="842"/>
      <c r="X370" s="842"/>
      <c r="Y370" s="842"/>
      <c r="Z370" s="842"/>
      <c r="AA370" s="842"/>
      <c r="AB370" s="842"/>
      <c r="AC370" s="842"/>
      <c r="AD370" s="842"/>
      <c r="AE370" s="842">
        <v>111240.2</v>
      </c>
      <c r="AF370" s="842">
        <v>104795.13</v>
      </c>
      <c r="AG370" s="842">
        <v>106681.34</v>
      </c>
      <c r="AH370" s="842">
        <v>108438.53</v>
      </c>
      <c r="AI370" s="842">
        <v>107636.73</v>
      </c>
      <c r="AJ370" s="842">
        <v>111879.17</v>
      </c>
      <c r="AK370" s="842"/>
      <c r="AL370" s="842"/>
      <c r="AM370" s="842"/>
      <c r="AN370" s="842"/>
      <c r="AO370" s="842"/>
      <c r="AP370" s="842"/>
      <c r="AQ370" s="842"/>
    </row>
    <row r="371" spans="2:43" s="473" customFormat="1">
      <c r="B371" s="841" t="s">
        <v>1132</v>
      </c>
      <c r="C371" s="843">
        <v>132040</v>
      </c>
      <c r="D371" s="843">
        <v>130437</v>
      </c>
      <c r="E371" s="843">
        <v>155700</v>
      </c>
      <c r="F371" s="843">
        <v>139136</v>
      </c>
      <c r="G371" s="843">
        <v>148813</v>
      </c>
      <c r="H371" s="843">
        <v>138301</v>
      </c>
      <c r="I371" s="843">
        <v>144529</v>
      </c>
      <c r="J371" s="843">
        <v>146313</v>
      </c>
      <c r="K371" s="843">
        <v>140514</v>
      </c>
      <c r="L371" s="844">
        <v>145685.5</v>
      </c>
      <c r="M371" s="844">
        <v>130253.8203125</v>
      </c>
      <c r="N371" s="844">
        <v>113499.13</v>
      </c>
      <c r="O371" s="1062">
        <v>110000</v>
      </c>
      <c r="P371" s="844">
        <v>111753.86</v>
      </c>
      <c r="Q371" s="844">
        <v>143066.16</v>
      </c>
      <c r="R371" s="844">
        <v>130248.13</v>
      </c>
      <c r="S371" s="844">
        <v>150403.75</v>
      </c>
      <c r="T371" s="844">
        <v>137613.28</v>
      </c>
      <c r="U371" s="844">
        <v>135560.95000000001</v>
      </c>
      <c r="V371" s="844">
        <v>142472.95000000001</v>
      </c>
      <c r="W371" s="844">
        <v>139603.32999999999</v>
      </c>
      <c r="X371" s="844">
        <v>141154.81</v>
      </c>
      <c r="Y371" s="844">
        <v>116850.43</v>
      </c>
      <c r="Z371" s="844">
        <v>102064.64</v>
      </c>
      <c r="AA371" s="844">
        <v>101112.7</v>
      </c>
      <c r="AB371" s="844">
        <v>117370.24000000001</v>
      </c>
      <c r="AC371" s="844">
        <v>134123.26999999999</v>
      </c>
      <c r="AD371" s="844">
        <v>124620.67</v>
      </c>
      <c r="AE371" s="844">
        <v>143066.10999999999</v>
      </c>
      <c r="AF371" s="844">
        <v>132569.09</v>
      </c>
      <c r="AG371" s="844">
        <v>134026.75</v>
      </c>
      <c r="AH371" s="844">
        <v>141840.39000000001</v>
      </c>
      <c r="AI371" s="844">
        <v>133989.38</v>
      </c>
      <c r="AJ371" s="844">
        <v>138737.16</v>
      </c>
      <c r="AK371" s="844"/>
      <c r="AL371" s="844"/>
      <c r="AM371" s="844"/>
      <c r="AN371" s="844"/>
      <c r="AO371" s="844"/>
      <c r="AP371" s="844"/>
      <c r="AQ371" s="844"/>
    </row>
    <row r="372" spans="2:43" s="473" customFormat="1">
      <c r="B372" s="839" t="s">
        <v>1133</v>
      </c>
      <c r="C372" s="840">
        <v>0</v>
      </c>
      <c r="D372" s="840">
        <v>0</v>
      </c>
      <c r="E372" s="840">
        <v>0</v>
      </c>
      <c r="F372" s="840">
        <v>0</v>
      </c>
      <c r="G372" s="840">
        <v>0</v>
      </c>
      <c r="H372" s="840">
        <v>0</v>
      </c>
      <c r="I372" s="840">
        <v>0</v>
      </c>
      <c r="J372" s="840">
        <v>0</v>
      </c>
      <c r="K372" s="840">
        <v>0</v>
      </c>
      <c r="L372" s="840">
        <v>0</v>
      </c>
      <c r="M372" s="840">
        <v>0</v>
      </c>
      <c r="N372" s="840">
        <v>0</v>
      </c>
      <c r="O372" s="840">
        <v>0</v>
      </c>
      <c r="P372" s="840" t="s">
        <v>699</v>
      </c>
      <c r="Q372" s="840">
        <v>500.36</v>
      </c>
      <c r="R372" s="840">
        <v>1870.28</v>
      </c>
      <c r="S372" s="840">
        <v>4767.7299999999996</v>
      </c>
      <c r="T372" s="840">
        <v>4674.2700000000004</v>
      </c>
      <c r="U372" s="840">
        <v>5207.6899999999996</v>
      </c>
      <c r="V372" s="840">
        <v>4945.67</v>
      </c>
      <c r="W372" s="840">
        <v>4587.3999999999996</v>
      </c>
      <c r="X372" s="840">
        <v>4766.4799999999996</v>
      </c>
      <c r="Y372" s="840">
        <v>4714.18</v>
      </c>
      <c r="Z372" s="840">
        <v>4780.74</v>
      </c>
      <c r="AA372" s="840">
        <v>4678.84</v>
      </c>
      <c r="AB372" s="840">
        <v>4477.58</v>
      </c>
      <c r="AC372" s="840">
        <v>4802.3900000000003</v>
      </c>
      <c r="AD372" s="840">
        <v>4653.9799999999996</v>
      </c>
      <c r="AE372" s="840">
        <v>4986.71</v>
      </c>
      <c r="AF372" s="840">
        <v>5159.76</v>
      </c>
      <c r="AG372" s="840">
        <v>5449.84</v>
      </c>
      <c r="AH372" s="840">
        <v>5302.5</v>
      </c>
      <c r="AI372" s="840">
        <v>4129.6099999999997</v>
      </c>
      <c r="AJ372" s="840">
        <v>4786.22</v>
      </c>
      <c r="AK372" s="840"/>
      <c r="AL372" s="840"/>
      <c r="AM372" s="840"/>
      <c r="AN372" s="840"/>
      <c r="AO372" s="840"/>
      <c r="AP372" s="840"/>
      <c r="AQ372" s="840"/>
    </row>
    <row r="373" spans="2:43" s="473" customFormat="1">
      <c r="B373" s="837" t="s">
        <v>1134</v>
      </c>
      <c r="C373" s="838">
        <v>0</v>
      </c>
      <c r="D373" s="838">
        <v>0</v>
      </c>
      <c r="E373" s="838">
        <v>0</v>
      </c>
      <c r="F373" s="838">
        <v>0</v>
      </c>
      <c r="G373" s="838">
        <v>0</v>
      </c>
      <c r="H373" s="838">
        <v>0</v>
      </c>
      <c r="I373" s="838">
        <v>0</v>
      </c>
      <c r="J373" s="838">
        <v>0</v>
      </c>
      <c r="K373" s="838">
        <v>0</v>
      </c>
      <c r="L373" s="838">
        <v>0</v>
      </c>
      <c r="M373" s="838">
        <v>0</v>
      </c>
      <c r="N373" s="838">
        <v>0</v>
      </c>
      <c r="O373" s="838">
        <v>0</v>
      </c>
      <c r="P373" s="838" t="s">
        <v>699</v>
      </c>
      <c r="Q373" s="838">
        <v>995.59</v>
      </c>
      <c r="R373" s="838">
        <v>3820.81</v>
      </c>
      <c r="S373" s="838">
        <v>3108.56</v>
      </c>
      <c r="T373" s="838">
        <v>3322.64</v>
      </c>
      <c r="U373" s="838">
        <v>3225.28</v>
      </c>
      <c r="V373" s="838">
        <v>3286.83</v>
      </c>
      <c r="W373" s="838">
        <v>4370.1000000000004</v>
      </c>
      <c r="X373" s="838">
        <v>3462.37</v>
      </c>
      <c r="Y373" s="838">
        <v>3603.17</v>
      </c>
      <c r="Z373" s="838">
        <v>2963.09</v>
      </c>
      <c r="AA373" s="838">
        <v>2883.25</v>
      </c>
      <c r="AB373" s="838">
        <v>2721.22</v>
      </c>
      <c r="AC373" s="838">
        <v>2915.8</v>
      </c>
      <c r="AD373" s="838">
        <v>3259.84</v>
      </c>
      <c r="AE373" s="838">
        <v>4260.12</v>
      </c>
      <c r="AF373" s="838">
        <v>4433.5</v>
      </c>
      <c r="AG373" s="838">
        <v>4727.33</v>
      </c>
      <c r="AH373" s="838">
        <v>5492.6</v>
      </c>
      <c r="AI373" s="838">
        <v>4159.1899999999996</v>
      </c>
      <c r="AJ373" s="838">
        <v>4882.82</v>
      </c>
      <c r="AK373" s="838"/>
      <c r="AL373" s="838"/>
      <c r="AM373" s="838"/>
      <c r="AN373" s="838"/>
      <c r="AO373" s="838"/>
      <c r="AP373" s="838"/>
      <c r="AQ373" s="838"/>
    </row>
    <row r="374" spans="2:43" s="473" customFormat="1">
      <c r="B374" s="839" t="s">
        <v>1135</v>
      </c>
      <c r="C374" s="840">
        <v>0</v>
      </c>
      <c r="D374" s="840">
        <v>0</v>
      </c>
      <c r="E374" s="840">
        <v>0</v>
      </c>
      <c r="F374" s="840">
        <v>0</v>
      </c>
      <c r="G374" s="840">
        <v>0</v>
      </c>
      <c r="H374" s="840">
        <v>0</v>
      </c>
      <c r="I374" s="840">
        <v>0</v>
      </c>
      <c r="J374" s="840">
        <v>0</v>
      </c>
      <c r="K374" s="840">
        <v>0</v>
      </c>
      <c r="L374" s="840">
        <v>0</v>
      </c>
      <c r="M374" s="840">
        <v>0</v>
      </c>
      <c r="N374" s="840">
        <v>0</v>
      </c>
      <c r="O374" s="840">
        <v>0</v>
      </c>
      <c r="P374" s="840" t="s">
        <v>699</v>
      </c>
      <c r="Q374" s="840">
        <v>7419.71</v>
      </c>
      <c r="R374" s="840">
        <v>26358.639999999999</v>
      </c>
      <c r="S374" s="840">
        <v>29514.7</v>
      </c>
      <c r="T374" s="840">
        <v>26113.7</v>
      </c>
      <c r="U374" s="840">
        <v>26345.31</v>
      </c>
      <c r="V374" s="840">
        <v>30982.53</v>
      </c>
      <c r="W374" s="840">
        <v>28163.73</v>
      </c>
      <c r="X374" s="840">
        <v>29212.799999999999</v>
      </c>
      <c r="Y374" s="840">
        <v>18656.72</v>
      </c>
      <c r="Z374" s="840">
        <v>10876.96</v>
      </c>
      <c r="AA374" s="840">
        <v>10448.93</v>
      </c>
      <c r="AB374" s="840">
        <v>17976.77</v>
      </c>
      <c r="AC374" s="840">
        <v>25386.37</v>
      </c>
      <c r="AD374" s="840">
        <v>25402.18</v>
      </c>
      <c r="AE374" s="840">
        <v>26883.23</v>
      </c>
      <c r="AF374" s="840">
        <v>21317.22</v>
      </c>
      <c r="AG374" s="840">
        <v>22416</v>
      </c>
      <c r="AH374" s="840">
        <v>26574.59</v>
      </c>
      <c r="AI374" s="840">
        <v>21760.639999999999</v>
      </c>
      <c r="AJ374" s="840">
        <v>26121.5</v>
      </c>
      <c r="AK374" s="840"/>
      <c r="AL374" s="840"/>
      <c r="AM374" s="840"/>
      <c r="AN374" s="840"/>
      <c r="AO374" s="840"/>
      <c r="AP374" s="840"/>
      <c r="AQ374" s="840"/>
    </row>
    <row r="375" spans="2:43" s="473" customFormat="1">
      <c r="B375" s="837" t="s">
        <v>1136</v>
      </c>
      <c r="C375" s="838">
        <v>0</v>
      </c>
      <c r="D375" s="838">
        <v>0</v>
      </c>
      <c r="E375" s="838">
        <v>0</v>
      </c>
      <c r="F375" s="838">
        <v>0</v>
      </c>
      <c r="G375" s="838">
        <v>0</v>
      </c>
      <c r="H375" s="838">
        <v>0</v>
      </c>
      <c r="I375" s="838">
        <v>0</v>
      </c>
      <c r="J375" s="838">
        <v>0</v>
      </c>
      <c r="K375" s="838">
        <v>0</v>
      </c>
      <c r="L375" s="838">
        <v>0</v>
      </c>
      <c r="M375" s="838">
        <v>0</v>
      </c>
      <c r="N375" s="838">
        <v>0</v>
      </c>
      <c r="O375" s="838">
        <v>0</v>
      </c>
      <c r="P375" s="838" t="s">
        <v>699</v>
      </c>
      <c r="Q375" s="838">
        <v>15097.26</v>
      </c>
      <c r="R375" s="838">
        <v>56025.41</v>
      </c>
      <c r="S375" s="838">
        <v>61637.73</v>
      </c>
      <c r="T375" s="838">
        <v>55434.080000000002</v>
      </c>
      <c r="U375" s="838">
        <v>56066.46</v>
      </c>
      <c r="V375" s="838">
        <v>56533.18</v>
      </c>
      <c r="W375" s="838">
        <v>58253.66</v>
      </c>
      <c r="X375" s="838">
        <v>58728.480000000003</v>
      </c>
      <c r="Y375" s="838">
        <v>50100.13</v>
      </c>
      <c r="Z375" s="838">
        <v>47273.54</v>
      </c>
      <c r="AA375" s="838">
        <v>47697.02</v>
      </c>
      <c r="AB375" s="838">
        <v>51164.800000000003</v>
      </c>
      <c r="AC375" s="838">
        <v>55966.53</v>
      </c>
      <c r="AD375" s="838">
        <v>49600.32</v>
      </c>
      <c r="AE375" s="838">
        <v>59646.080000000002</v>
      </c>
      <c r="AF375" s="838">
        <v>54879.040000000001</v>
      </c>
      <c r="AG375" s="838">
        <v>56327.81</v>
      </c>
      <c r="AH375" s="838">
        <v>57905.41</v>
      </c>
      <c r="AI375" s="838">
        <v>47207.360000000001</v>
      </c>
      <c r="AJ375" s="838">
        <v>51850.11</v>
      </c>
      <c r="AK375" s="838"/>
      <c r="AL375" s="838"/>
      <c r="AM375" s="838"/>
      <c r="AN375" s="838"/>
      <c r="AO375" s="838"/>
      <c r="AP375" s="838"/>
      <c r="AQ375" s="838"/>
    </row>
    <row r="376" spans="2:43" s="473" customFormat="1">
      <c r="B376" s="839" t="s">
        <v>1137</v>
      </c>
      <c r="C376" s="840">
        <v>0</v>
      </c>
      <c r="D376" s="840">
        <v>0</v>
      </c>
      <c r="E376" s="840">
        <v>0</v>
      </c>
      <c r="F376" s="840">
        <v>0</v>
      </c>
      <c r="G376" s="840">
        <v>0</v>
      </c>
      <c r="H376" s="840">
        <v>0</v>
      </c>
      <c r="I376" s="840">
        <v>0</v>
      </c>
      <c r="J376" s="840">
        <v>0</v>
      </c>
      <c r="K376" s="840">
        <v>0</v>
      </c>
      <c r="L376" s="840">
        <v>0</v>
      </c>
      <c r="M376" s="840">
        <v>0</v>
      </c>
      <c r="N376" s="840">
        <v>0</v>
      </c>
      <c r="O376" s="840">
        <v>0</v>
      </c>
      <c r="P376" s="840" t="s">
        <v>699</v>
      </c>
      <c r="Q376" s="840">
        <v>764.82</v>
      </c>
      <c r="R376" s="840">
        <v>479.88</v>
      </c>
      <c r="S376" s="840">
        <v>3631.63</v>
      </c>
      <c r="T376" s="840">
        <v>1310.04</v>
      </c>
      <c r="U376" s="840">
        <v>1038.55</v>
      </c>
      <c r="V376" s="840">
        <v>1799.65</v>
      </c>
      <c r="W376" s="840">
        <v>1907.97</v>
      </c>
      <c r="X376" s="840">
        <v>2442.84</v>
      </c>
      <c r="Y376" s="840">
        <v>2120.25</v>
      </c>
      <c r="Z376" s="840">
        <v>1578.77</v>
      </c>
      <c r="AA376" s="840">
        <v>3194.99</v>
      </c>
      <c r="AB376" s="840">
        <v>4490.09</v>
      </c>
      <c r="AC376" s="840">
        <v>4247.4799999999996</v>
      </c>
      <c r="AD376" s="840">
        <v>2692.33</v>
      </c>
      <c r="AE376" s="840">
        <v>3249.92</v>
      </c>
      <c r="AF376" s="840">
        <v>2681.46</v>
      </c>
      <c r="AG376" s="840">
        <v>2500.2399999999998</v>
      </c>
      <c r="AH376" s="840">
        <v>3053.82</v>
      </c>
      <c r="AI376" s="840">
        <v>4471.43</v>
      </c>
      <c r="AJ376" s="840">
        <v>5248.91</v>
      </c>
      <c r="AK376" s="840"/>
      <c r="AL376" s="840"/>
      <c r="AM376" s="840"/>
      <c r="AN376" s="840"/>
      <c r="AO376" s="840"/>
      <c r="AP376" s="840"/>
      <c r="AQ376" s="840"/>
    </row>
    <row r="377" spans="2:43" s="473" customFormat="1">
      <c r="B377" s="841" t="s">
        <v>1138</v>
      </c>
      <c r="C377" s="841">
        <v>85615</v>
      </c>
      <c r="D377" s="841">
        <v>83190</v>
      </c>
      <c r="E377" s="841">
        <v>93143</v>
      </c>
      <c r="F377" s="841">
        <v>83689</v>
      </c>
      <c r="G377" s="841">
        <v>90612</v>
      </c>
      <c r="H377" s="841">
        <v>93487</v>
      </c>
      <c r="I377" s="841">
        <v>98697</v>
      </c>
      <c r="J377" s="841">
        <v>97083</v>
      </c>
      <c r="K377" s="841">
        <v>95453</v>
      </c>
      <c r="L377" s="842">
        <v>96329.7265625</v>
      </c>
      <c r="M377" s="842">
        <v>96452.609375</v>
      </c>
      <c r="N377" s="842">
        <v>92028.93</v>
      </c>
      <c r="O377" s="842">
        <v>86351.88</v>
      </c>
      <c r="P377" s="842">
        <v>96198.66</v>
      </c>
      <c r="Q377" s="842">
        <v>108519.42</v>
      </c>
      <c r="R377" s="842">
        <v>93052.93</v>
      </c>
      <c r="S377" s="842">
        <v>107429.89</v>
      </c>
      <c r="T377" s="842">
        <v>100114.43</v>
      </c>
      <c r="U377" s="842">
        <v>104038.39999999999</v>
      </c>
      <c r="V377" s="842">
        <v>99926.02</v>
      </c>
      <c r="W377" s="842">
        <v>102703.1</v>
      </c>
      <c r="X377" s="842">
        <v>98983.94</v>
      </c>
      <c r="Y377" s="842">
        <v>87040</v>
      </c>
      <c r="Z377" s="842">
        <v>88088.58</v>
      </c>
      <c r="AA377" s="842">
        <v>73752.58</v>
      </c>
      <c r="AB377" s="842">
        <v>82067.45</v>
      </c>
      <c r="AC377" s="842">
        <v>100335.62</v>
      </c>
      <c r="AD377" s="842">
        <v>88883.199999999997</v>
      </c>
      <c r="AE377" s="842">
        <v>104210.43</v>
      </c>
      <c r="AF377" s="842">
        <v>104308.73</v>
      </c>
      <c r="AG377" s="842">
        <v>97771.520000000004</v>
      </c>
      <c r="AH377" s="842">
        <v>103514.11</v>
      </c>
      <c r="AI377" s="842">
        <v>93380.61</v>
      </c>
      <c r="AJ377" s="842">
        <v>98099.199999999997</v>
      </c>
      <c r="AK377" s="842"/>
      <c r="AL377" s="842"/>
      <c r="AM377" s="842"/>
      <c r="AN377" s="842"/>
      <c r="AO377" s="842"/>
      <c r="AP377" s="842"/>
      <c r="AQ377" s="842"/>
    </row>
    <row r="378" spans="2:43" s="473" customFormat="1">
      <c r="B378" s="839" t="s">
        <v>1139</v>
      </c>
      <c r="C378" s="839">
        <v>464</v>
      </c>
      <c r="D378" s="839">
        <v>353</v>
      </c>
      <c r="E378" s="839">
        <v>336</v>
      </c>
      <c r="F378" s="839">
        <v>236</v>
      </c>
      <c r="G378" s="839">
        <v>146</v>
      </c>
      <c r="H378" s="839">
        <v>87</v>
      </c>
      <c r="I378" s="839">
        <v>98</v>
      </c>
      <c r="J378" s="839">
        <v>194</v>
      </c>
      <c r="K378" s="839">
        <v>260</v>
      </c>
      <c r="L378" s="840">
        <v>393.156005859375</v>
      </c>
      <c r="M378" s="840">
        <v>429.57598876953125</v>
      </c>
      <c r="N378" s="840">
        <v>454.49</v>
      </c>
      <c r="O378" s="840">
        <v>496.97</v>
      </c>
      <c r="P378" s="840">
        <v>438.38</v>
      </c>
      <c r="Q378" s="840">
        <v>340.14</v>
      </c>
      <c r="R378" s="840">
        <v>241.69</v>
      </c>
      <c r="S378" s="840">
        <v>144.03</v>
      </c>
      <c r="T378" s="840">
        <v>113.16</v>
      </c>
      <c r="U378" s="840">
        <v>122.39</v>
      </c>
      <c r="V378" s="840">
        <v>203.45</v>
      </c>
      <c r="W378" s="840">
        <v>270.2</v>
      </c>
      <c r="X378" s="840">
        <v>439.24</v>
      </c>
      <c r="Y378" s="840">
        <v>434.14</v>
      </c>
      <c r="Z378" s="840">
        <v>454.18</v>
      </c>
      <c r="AA378" s="840">
        <v>466.58</v>
      </c>
      <c r="AB378" s="840">
        <v>394.88</v>
      </c>
      <c r="AC378" s="840">
        <v>360.67</v>
      </c>
      <c r="AD378" s="840">
        <v>197.3</v>
      </c>
      <c r="AE378" s="840">
        <v>140.25</v>
      </c>
      <c r="AF378" s="840">
        <v>94.84</v>
      </c>
      <c r="AG378" s="840">
        <v>117.32</v>
      </c>
      <c r="AH378" s="840">
        <v>204.08</v>
      </c>
      <c r="AI378" s="840">
        <v>275.41000000000003</v>
      </c>
      <c r="AJ378" s="840">
        <v>54.42</v>
      </c>
      <c r="AK378" s="840"/>
      <c r="AL378" s="840"/>
      <c r="AM378" s="840"/>
      <c r="AN378" s="840"/>
      <c r="AO378" s="840"/>
      <c r="AP378" s="840"/>
      <c r="AQ378" s="840"/>
    </row>
    <row r="379" spans="2:43" s="473" customFormat="1">
      <c r="B379" s="837" t="s">
        <v>1140</v>
      </c>
      <c r="C379" s="837">
        <v>532</v>
      </c>
      <c r="D379" s="837">
        <v>428</v>
      </c>
      <c r="E379" s="837">
        <v>464</v>
      </c>
      <c r="F379" s="837">
        <v>372</v>
      </c>
      <c r="G379" s="837">
        <v>260</v>
      </c>
      <c r="H379" s="837">
        <v>162</v>
      </c>
      <c r="I379" s="837">
        <v>180</v>
      </c>
      <c r="J379" s="837">
        <v>312</v>
      </c>
      <c r="K379" s="837">
        <v>360</v>
      </c>
      <c r="L379" s="838">
        <v>489.47198486328125</v>
      </c>
      <c r="M379" s="838">
        <v>487.1719970703125</v>
      </c>
      <c r="N379" s="838">
        <v>473.78</v>
      </c>
      <c r="O379" s="838">
        <v>521.6</v>
      </c>
      <c r="P379" s="838">
        <v>489.62</v>
      </c>
      <c r="Q379" s="838">
        <v>410.95</v>
      </c>
      <c r="R379" s="838">
        <v>340.22</v>
      </c>
      <c r="S379" s="838">
        <v>231</v>
      </c>
      <c r="T379" s="838">
        <v>196.12</v>
      </c>
      <c r="U379" s="838">
        <v>195.42</v>
      </c>
      <c r="V379" s="838">
        <v>294.67</v>
      </c>
      <c r="W379" s="838">
        <v>343.01</v>
      </c>
      <c r="X379" s="838">
        <v>511.18</v>
      </c>
      <c r="Y379" s="838">
        <v>458.9</v>
      </c>
      <c r="Z379" s="838">
        <v>465.83</v>
      </c>
      <c r="AA379" s="838">
        <v>497.89</v>
      </c>
      <c r="AB379" s="838">
        <v>434.26</v>
      </c>
      <c r="AC379" s="838">
        <v>437.52</v>
      </c>
      <c r="AD379" s="838">
        <v>272.06</v>
      </c>
      <c r="AE379" s="838">
        <v>223.77</v>
      </c>
      <c r="AF379" s="838">
        <v>165.78</v>
      </c>
      <c r="AG379" s="838">
        <v>202.92</v>
      </c>
      <c r="AH379" s="838">
        <v>325.42</v>
      </c>
      <c r="AI379" s="838">
        <v>383.24</v>
      </c>
      <c r="AJ379" s="838">
        <v>71.349999999999994</v>
      </c>
      <c r="AK379" s="838"/>
      <c r="AL379" s="838"/>
      <c r="AM379" s="838"/>
      <c r="AN379" s="838"/>
      <c r="AO379" s="838"/>
      <c r="AP379" s="838"/>
      <c r="AQ379" s="838"/>
    </row>
    <row r="380" spans="2:43" s="473" customFormat="1">
      <c r="B380" s="839" t="s">
        <v>1141</v>
      </c>
      <c r="C380" s="839">
        <v>1020</v>
      </c>
      <c r="D380" s="839">
        <v>849</v>
      </c>
      <c r="E380" s="839">
        <v>950</v>
      </c>
      <c r="F380" s="839">
        <v>802</v>
      </c>
      <c r="G380" s="839">
        <v>581</v>
      </c>
      <c r="H380" s="839">
        <v>368</v>
      </c>
      <c r="I380" s="839">
        <v>407</v>
      </c>
      <c r="J380" s="839">
        <v>681</v>
      </c>
      <c r="K380" s="839">
        <v>746</v>
      </c>
      <c r="L380" s="840">
        <v>977.968017578125</v>
      </c>
      <c r="M380" s="840">
        <v>937.85601806640625</v>
      </c>
      <c r="N380" s="840">
        <v>894.77</v>
      </c>
      <c r="O380" s="840">
        <v>982.41</v>
      </c>
      <c r="P380" s="840">
        <v>954.04</v>
      </c>
      <c r="Q380" s="840">
        <v>834.28</v>
      </c>
      <c r="R380" s="840">
        <v>724.06</v>
      </c>
      <c r="S380" s="840">
        <v>511.8</v>
      </c>
      <c r="T380" s="840">
        <v>442.05</v>
      </c>
      <c r="U380" s="840">
        <v>436.54</v>
      </c>
      <c r="V380" s="840">
        <v>635.66999999999996</v>
      </c>
      <c r="W380" s="840">
        <v>706.74</v>
      </c>
      <c r="X380" s="840">
        <v>1013.42</v>
      </c>
      <c r="Y380" s="840">
        <v>877.2</v>
      </c>
      <c r="Z380" s="840">
        <v>872.86</v>
      </c>
      <c r="AA380" s="840">
        <v>948</v>
      </c>
      <c r="AB380" s="840">
        <v>845.94</v>
      </c>
      <c r="AC380" s="840">
        <v>888.38</v>
      </c>
      <c r="AD380" s="840">
        <v>579.83000000000004</v>
      </c>
      <c r="AE380" s="840">
        <v>496.16</v>
      </c>
      <c r="AF380" s="840">
        <v>372.38</v>
      </c>
      <c r="AG380" s="840">
        <v>455.39</v>
      </c>
      <c r="AH380" s="840">
        <v>710.82</v>
      </c>
      <c r="AI380" s="840">
        <v>795.34</v>
      </c>
      <c r="AJ380" s="840">
        <v>142.54</v>
      </c>
      <c r="AK380" s="840"/>
      <c r="AL380" s="840"/>
      <c r="AM380" s="840"/>
      <c r="AN380" s="840"/>
      <c r="AO380" s="840"/>
      <c r="AP380" s="840"/>
      <c r="AQ380" s="840"/>
    </row>
    <row r="381" spans="2:43">
      <c r="B381" s="837" t="s">
        <v>1142</v>
      </c>
      <c r="C381" s="837">
        <v>422</v>
      </c>
      <c r="D381" s="837">
        <v>369</v>
      </c>
      <c r="E381" s="837">
        <v>441</v>
      </c>
      <c r="F381" s="837">
        <v>394</v>
      </c>
      <c r="G381" s="837">
        <v>291</v>
      </c>
      <c r="H381" s="837">
        <v>184</v>
      </c>
      <c r="I381" s="837">
        <v>204</v>
      </c>
      <c r="J381" s="837">
        <v>337</v>
      </c>
      <c r="K381" s="837">
        <v>349</v>
      </c>
      <c r="L381" s="838">
        <v>440.13400268554688</v>
      </c>
      <c r="M381" s="838">
        <v>398.24398803710938</v>
      </c>
      <c r="N381" s="838">
        <v>369.18</v>
      </c>
      <c r="O381" s="838">
        <v>408.48</v>
      </c>
      <c r="P381" s="838">
        <v>419.81</v>
      </c>
      <c r="Q381" s="838">
        <v>386.25</v>
      </c>
      <c r="R381" s="838">
        <v>353.57</v>
      </c>
      <c r="S381" s="838">
        <v>255.51</v>
      </c>
      <c r="T381" s="838">
        <v>223.76</v>
      </c>
      <c r="U381" s="838">
        <v>216.8</v>
      </c>
      <c r="V381" s="838">
        <v>311.16000000000003</v>
      </c>
      <c r="W381" s="838">
        <v>329.94</v>
      </c>
      <c r="X381" s="838">
        <v>454.78</v>
      </c>
      <c r="Y381" s="838">
        <v>368.52</v>
      </c>
      <c r="Z381" s="838">
        <v>352.88</v>
      </c>
      <c r="AA381" s="838">
        <v>394.24</v>
      </c>
      <c r="AB381" s="838">
        <v>367.46</v>
      </c>
      <c r="AC381" s="838">
        <v>409.36</v>
      </c>
      <c r="AD381" s="838">
        <v>279.26</v>
      </c>
      <c r="AE381" s="838">
        <v>247.22</v>
      </c>
      <c r="AF381" s="838">
        <v>186.62</v>
      </c>
      <c r="AG381" s="838">
        <v>228.75</v>
      </c>
      <c r="AH381" s="838">
        <v>354.9</v>
      </c>
      <c r="AI381" s="838">
        <v>378.44</v>
      </c>
      <c r="AJ381" s="838">
        <v>363.05</v>
      </c>
      <c r="AK381" s="838"/>
      <c r="AL381" s="838"/>
      <c r="AM381" s="838"/>
      <c r="AN381" s="838"/>
      <c r="AO381" s="838"/>
      <c r="AP381" s="838"/>
      <c r="AQ381" s="838"/>
    </row>
    <row r="382" spans="2:43">
      <c r="B382" s="839" t="s">
        <v>1143</v>
      </c>
      <c r="C382" s="839">
        <v>82</v>
      </c>
      <c r="D382" s="839">
        <v>104</v>
      </c>
      <c r="E382" s="839">
        <v>92</v>
      </c>
      <c r="F382" s="839">
        <v>57</v>
      </c>
      <c r="G382" s="839">
        <v>66</v>
      </c>
      <c r="H382" s="839">
        <v>87</v>
      </c>
      <c r="I382" s="839">
        <v>10</v>
      </c>
      <c r="J382" s="839">
        <v>552</v>
      </c>
      <c r="K382" s="839">
        <v>217</v>
      </c>
      <c r="L382" s="840">
        <v>69.632003784179688</v>
      </c>
      <c r="M382" s="840">
        <v>57.728000640869141</v>
      </c>
      <c r="N382" s="840">
        <v>61.95</v>
      </c>
      <c r="O382" s="840">
        <v>60.8</v>
      </c>
      <c r="P382" s="840">
        <v>33.020000000000003</v>
      </c>
      <c r="Q382" s="840">
        <v>3.2</v>
      </c>
      <c r="R382" s="840">
        <v>0.13</v>
      </c>
      <c r="S382" s="840">
        <v>0.13</v>
      </c>
      <c r="T382" s="840">
        <v>0</v>
      </c>
      <c r="U382" s="840">
        <v>1.02</v>
      </c>
      <c r="V382" s="840">
        <v>0.13</v>
      </c>
      <c r="W382" s="840">
        <v>1.92</v>
      </c>
      <c r="X382" s="840">
        <v>0.26</v>
      </c>
      <c r="Y382" s="840">
        <v>0</v>
      </c>
      <c r="Z382" s="840">
        <v>0</v>
      </c>
      <c r="AA382" s="840">
        <v>0</v>
      </c>
      <c r="AB382" s="840">
        <v>0</v>
      </c>
      <c r="AC382" s="840">
        <v>0</v>
      </c>
      <c r="AD382" s="840">
        <v>0</v>
      </c>
      <c r="AE382" s="840">
        <v>0</v>
      </c>
      <c r="AF382" s="840">
        <v>0</v>
      </c>
      <c r="AG382" s="840">
        <v>0</v>
      </c>
      <c r="AH382" s="840">
        <v>0</v>
      </c>
      <c r="AI382" s="840">
        <v>0</v>
      </c>
      <c r="AJ382" s="840">
        <v>0</v>
      </c>
      <c r="AK382" s="840"/>
      <c r="AL382" s="840"/>
      <c r="AM382" s="840"/>
      <c r="AN382" s="840"/>
      <c r="AO382" s="840"/>
      <c r="AP382" s="840"/>
      <c r="AQ382" s="840"/>
    </row>
    <row r="383" spans="2:43">
      <c r="B383" s="837" t="s">
        <v>1144</v>
      </c>
      <c r="C383" s="837">
        <v>714</v>
      </c>
      <c r="D383" s="837">
        <v>716</v>
      </c>
      <c r="E383" s="837">
        <v>802</v>
      </c>
      <c r="F383" s="837">
        <v>856</v>
      </c>
      <c r="G383" s="837">
        <v>1079</v>
      </c>
      <c r="H383" s="837">
        <v>1254</v>
      </c>
      <c r="I383" s="837">
        <v>1318</v>
      </c>
      <c r="J383" s="837">
        <v>1156</v>
      </c>
      <c r="K383" s="837">
        <v>967</v>
      </c>
      <c r="L383" s="838">
        <v>948.73602294921875</v>
      </c>
      <c r="M383" s="838">
        <v>738.0479736328125</v>
      </c>
      <c r="N383" s="838">
        <v>800</v>
      </c>
      <c r="O383" s="838">
        <v>686.85</v>
      </c>
      <c r="P383" s="838">
        <v>754.69</v>
      </c>
      <c r="Q383" s="838">
        <v>783.49</v>
      </c>
      <c r="R383" s="838">
        <v>791.3</v>
      </c>
      <c r="S383" s="838">
        <v>1033.47</v>
      </c>
      <c r="T383" s="838">
        <v>1144.83</v>
      </c>
      <c r="U383" s="838">
        <v>1199.8699999999999</v>
      </c>
      <c r="V383" s="838">
        <v>1506.3</v>
      </c>
      <c r="W383" s="838">
        <v>946.82</v>
      </c>
      <c r="X383" s="838">
        <v>1008.26</v>
      </c>
      <c r="Y383" s="838">
        <v>977.28</v>
      </c>
      <c r="Z383" s="838">
        <v>743.42</v>
      </c>
      <c r="AA383" s="838">
        <v>683.65</v>
      </c>
      <c r="AB383" s="838">
        <v>686.34</v>
      </c>
      <c r="AC383" s="838">
        <v>904.45</v>
      </c>
      <c r="AD383" s="838">
        <v>971.26</v>
      </c>
      <c r="AE383" s="838">
        <v>1560.06</v>
      </c>
      <c r="AF383" s="838">
        <v>1211.52</v>
      </c>
      <c r="AG383" s="838">
        <v>1422.72</v>
      </c>
      <c r="AH383" s="838">
        <v>1310.46</v>
      </c>
      <c r="AI383" s="838">
        <v>1143.17</v>
      </c>
      <c r="AJ383" s="838">
        <v>286.58999999999997</v>
      </c>
      <c r="AK383" s="838"/>
      <c r="AL383" s="838"/>
      <c r="AM383" s="838"/>
      <c r="AN383" s="838"/>
      <c r="AO383" s="838"/>
      <c r="AP383" s="838"/>
      <c r="AQ383" s="838"/>
    </row>
    <row r="384" spans="2:43">
      <c r="B384" s="839" t="s">
        <v>1145</v>
      </c>
      <c r="C384" s="839">
        <v>3740</v>
      </c>
      <c r="D384" s="839">
        <v>3531</v>
      </c>
      <c r="E384" s="839">
        <v>3997</v>
      </c>
      <c r="F384" s="839">
        <v>4024</v>
      </c>
      <c r="G384" s="839">
        <v>4125</v>
      </c>
      <c r="H384" s="839">
        <v>3979</v>
      </c>
      <c r="I384" s="839">
        <v>3927</v>
      </c>
      <c r="J384" s="839">
        <v>3384</v>
      </c>
      <c r="K384" s="839">
        <v>3301</v>
      </c>
      <c r="L384" s="840">
        <v>3514.8798828125</v>
      </c>
      <c r="M384" s="840">
        <v>3517.568115234375</v>
      </c>
      <c r="N384" s="840">
        <v>3742.08</v>
      </c>
      <c r="O384" s="840">
        <v>3549.06</v>
      </c>
      <c r="P384" s="840">
        <v>3117.7</v>
      </c>
      <c r="Q384" s="840">
        <v>3569.79</v>
      </c>
      <c r="R384" s="840">
        <v>3642.24</v>
      </c>
      <c r="S384" s="840">
        <v>3844.35</v>
      </c>
      <c r="T384" s="840">
        <v>3660.03</v>
      </c>
      <c r="U384" s="840">
        <v>3814.66</v>
      </c>
      <c r="V384" s="840">
        <v>3894.4</v>
      </c>
      <c r="W384" s="840">
        <v>3673.22</v>
      </c>
      <c r="X384" s="840">
        <v>3831.17</v>
      </c>
      <c r="Y384" s="840">
        <v>3592.19</v>
      </c>
      <c r="Z384" s="840">
        <v>3680.51</v>
      </c>
      <c r="AA384" s="840">
        <v>3700.35</v>
      </c>
      <c r="AB384" s="840">
        <v>3386.24</v>
      </c>
      <c r="AC384" s="840">
        <v>3700.22</v>
      </c>
      <c r="AD384" s="840">
        <v>3495.55</v>
      </c>
      <c r="AE384" s="840">
        <v>3872</v>
      </c>
      <c r="AF384" s="840">
        <v>3609.22</v>
      </c>
      <c r="AG384" s="840">
        <v>3489.41</v>
      </c>
      <c r="AH384" s="840">
        <v>3789.7</v>
      </c>
      <c r="AI384" s="840">
        <v>3718.78</v>
      </c>
      <c r="AJ384" s="840">
        <v>964.61</v>
      </c>
      <c r="AK384" s="840"/>
      <c r="AL384" s="840"/>
      <c r="AM384" s="840"/>
      <c r="AN384" s="840"/>
      <c r="AO384" s="840"/>
      <c r="AP384" s="840"/>
      <c r="AQ384" s="840"/>
    </row>
    <row r="385" spans="2:43">
      <c r="B385" s="841" t="s">
        <v>1146</v>
      </c>
      <c r="C385" s="841">
        <v>117748</v>
      </c>
      <c r="D385" s="841">
        <v>110952</v>
      </c>
      <c r="E385" s="841">
        <v>125092</v>
      </c>
      <c r="F385" s="841">
        <v>121632</v>
      </c>
      <c r="G385" s="841">
        <v>134288</v>
      </c>
      <c r="H385" s="841">
        <v>146564</v>
      </c>
      <c r="I385" s="841">
        <v>147855</v>
      </c>
      <c r="J385" s="841">
        <v>149957</v>
      </c>
      <c r="K385" s="841">
        <v>126694</v>
      </c>
      <c r="L385" s="842">
        <v>128887.8046875</v>
      </c>
      <c r="M385" s="842">
        <v>117592.0625</v>
      </c>
      <c r="N385" s="842">
        <v>114176</v>
      </c>
      <c r="O385" s="842">
        <v>107333.63</v>
      </c>
      <c r="P385" s="842">
        <v>102407.17</v>
      </c>
      <c r="Q385" s="842">
        <v>117649.41</v>
      </c>
      <c r="R385" s="842">
        <v>109629.44</v>
      </c>
      <c r="S385" s="842">
        <v>114399.23</v>
      </c>
      <c r="T385" s="842">
        <v>117645.31</v>
      </c>
      <c r="U385" s="842">
        <v>121592.83</v>
      </c>
      <c r="V385" s="842">
        <v>129084.41</v>
      </c>
      <c r="W385" s="842">
        <v>118079.48</v>
      </c>
      <c r="X385" s="842">
        <v>121932.8</v>
      </c>
      <c r="Y385" s="842">
        <v>108030.98</v>
      </c>
      <c r="Z385" s="842">
        <v>103343.1</v>
      </c>
      <c r="AA385" s="842">
        <v>106415.1</v>
      </c>
      <c r="AB385" s="842">
        <v>106139.65</v>
      </c>
      <c r="AC385" s="842">
        <v>116596.73</v>
      </c>
      <c r="AD385" s="842">
        <v>106212.35</v>
      </c>
      <c r="AE385" s="842">
        <v>122529.79</v>
      </c>
      <c r="AF385" s="842">
        <v>116899.84</v>
      </c>
      <c r="AG385" s="842">
        <v>117840.9</v>
      </c>
      <c r="AH385" s="842">
        <v>118523.91</v>
      </c>
      <c r="AI385" s="842">
        <v>116161.54</v>
      </c>
      <c r="AJ385" s="842">
        <v>109251.59</v>
      </c>
      <c r="AK385" s="842"/>
      <c r="AL385" s="842"/>
      <c r="AM385" s="842"/>
      <c r="AN385" s="842"/>
      <c r="AO385" s="842"/>
      <c r="AP385" s="842"/>
      <c r="AQ385" s="842"/>
    </row>
    <row r="386" spans="2:43">
      <c r="B386" s="839" t="s">
        <v>1147</v>
      </c>
      <c r="C386" s="839">
        <v>1835</v>
      </c>
      <c r="D386" s="839">
        <v>2423</v>
      </c>
      <c r="E386" s="839">
        <v>2520</v>
      </c>
      <c r="F386" s="839">
        <v>1630</v>
      </c>
      <c r="G386" s="839">
        <v>1619</v>
      </c>
      <c r="H386" s="839">
        <v>2099</v>
      </c>
      <c r="I386" s="839">
        <v>1973</v>
      </c>
      <c r="J386" s="839">
        <v>2052</v>
      </c>
      <c r="K386" s="839">
        <v>2090</v>
      </c>
      <c r="L386" s="840">
        <v>2332.22412109375</v>
      </c>
      <c r="M386" s="840">
        <v>2602.6240234375</v>
      </c>
      <c r="N386" s="840">
        <v>2413.86</v>
      </c>
      <c r="O386" s="840">
        <v>3138.59</v>
      </c>
      <c r="P386" s="840">
        <v>3661.79</v>
      </c>
      <c r="Q386" s="840">
        <v>1501.07</v>
      </c>
      <c r="R386" s="840">
        <v>760.85</v>
      </c>
      <c r="S386" s="840">
        <v>823.1</v>
      </c>
      <c r="T386" s="840">
        <v>675.22</v>
      </c>
      <c r="U386" s="840">
        <v>666.51</v>
      </c>
      <c r="V386" s="840">
        <v>684.3</v>
      </c>
      <c r="W386" s="840">
        <v>833.25</v>
      </c>
      <c r="X386" s="840">
        <v>873.58</v>
      </c>
      <c r="Y386" s="840">
        <v>265.62</v>
      </c>
      <c r="Z386" s="840">
        <v>1630.27</v>
      </c>
      <c r="AA386" s="840">
        <v>2257.81</v>
      </c>
      <c r="AB386" s="840">
        <v>1917.17</v>
      </c>
      <c r="AC386" s="840">
        <v>1338.26</v>
      </c>
      <c r="AD386" s="840">
        <v>1182.53</v>
      </c>
      <c r="AE386" s="840">
        <v>1073.26</v>
      </c>
      <c r="AF386" s="840">
        <v>1054.05</v>
      </c>
      <c r="AG386" s="840">
        <v>1085.58</v>
      </c>
      <c r="AH386" s="840">
        <v>907.09</v>
      </c>
      <c r="AI386" s="840">
        <v>1214.8</v>
      </c>
      <c r="AJ386" s="840">
        <v>334.74</v>
      </c>
      <c r="AK386" s="840"/>
      <c r="AL386" s="840"/>
      <c r="AM386" s="840"/>
      <c r="AN386" s="840"/>
      <c r="AO386" s="840"/>
      <c r="AP386" s="840"/>
      <c r="AQ386" s="840"/>
    </row>
    <row r="387" spans="2:43">
      <c r="B387" s="837" t="s">
        <v>1148</v>
      </c>
      <c r="C387" s="837">
        <v>2050</v>
      </c>
      <c r="D387" s="837">
        <v>2122</v>
      </c>
      <c r="E387" s="837">
        <v>1102</v>
      </c>
      <c r="F387" s="837">
        <v>6529</v>
      </c>
      <c r="G387" s="837">
        <v>8273</v>
      </c>
      <c r="H387" s="837">
        <v>21437</v>
      </c>
      <c r="I387" s="837">
        <v>18989</v>
      </c>
      <c r="J387" s="837">
        <v>20821</v>
      </c>
      <c r="K387" s="837">
        <v>17105</v>
      </c>
      <c r="L387" s="838">
        <v>18054.015625</v>
      </c>
      <c r="M387" s="838">
        <v>10967.103515625</v>
      </c>
      <c r="N387" s="838">
        <v>4927.55</v>
      </c>
      <c r="O387" s="838">
        <v>2878.08</v>
      </c>
      <c r="P387" s="838">
        <v>3139.71</v>
      </c>
      <c r="Q387" s="1145">
        <v>10709</v>
      </c>
      <c r="R387" s="1145">
        <v>0</v>
      </c>
      <c r="S387" s="838">
        <v>0</v>
      </c>
      <c r="T387" s="838">
        <v>4974.59</v>
      </c>
      <c r="U387" s="838">
        <v>0</v>
      </c>
      <c r="V387" s="838">
        <v>21378.05</v>
      </c>
      <c r="W387" s="838">
        <v>18076.669999999998</v>
      </c>
      <c r="X387" s="838">
        <v>26889.22</v>
      </c>
      <c r="Y387" s="838">
        <v>1821.7</v>
      </c>
      <c r="Z387" s="838">
        <v>0</v>
      </c>
      <c r="AA387" s="838">
        <v>7085.06</v>
      </c>
      <c r="AB387" s="838">
        <v>11198.46</v>
      </c>
      <c r="AC387" s="838">
        <v>14619.65</v>
      </c>
      <c r="AD387" s="838">
        <v>0</v>
      </c>
      <c r="AE387" s="838">
        <v>0</v>
      </c>
      <c r="AF387" s="838">
        <v>0</v>
      </c>
      <c r="AG387" s="838">
        <v>3977.22</v>
      </c>
      <c r="AH387" s="838">
        <v>2100.2199999999998</v>
      </c>
      <c r="AI387" s="838">
        <v>23734.27</v>
      </c>
      <c r="AJ387" s="838">
        <v>1879.04</v>
      </c>
      <c r="AK387" s="838"/>
      <c r="AL387" s="838"/>
      <c r="AM387" s="838"/>
      <c r="AN387" s="838"/>
      <c r="AO387" s="838"/>
      <c r="AP387" s="838"/>
      <c r="AQ387" s="838"/>
    </row>
    <row r="388" spans="2:43" s="473" customFormat="1">
      <c r="B388" s="839" t="s">
        <v>1149</v>
      </c>
      <c r="C388" s="839">
        <v>10027</v>
      </c>
      <c r="D388" s="839">
        <v>10137</v>
      </c>
      <c r="E388" s="839">
        <v>9969</v>
      </c>
      <c r="F388" s="839">
        <v>14213</v>
      </c>
      <c r="G388" s="839">
        <v>16245</v>
      </c>
      <c r="H388" s="839">
        <v>30321</v>
      </c>
      <c r="I388" s="839">
        <v>28128</v>
      </c>
      <c r="J388" s="839">
        <v>29921</v>
      </c>
      <c r="K388" s="839">
        <v>25976</v>
      </c>
      <c r="L388" s="840">
        <v>27366.912109375</v>
      </c>
      <c r="M388" s="840">
        <v>20489.85546875</v>
      </c>
      <c r="N388" s="840">
        <v>14530.43</v>
      </c>
      <c r="O388" s="840">
        <v>13170.82</v>
      </c>
      <c r="P388" s="840">
        <v>13258.5</v>
      </c>
      <c r="Q388" s="840">
        <v>8838.7800000000007</v>
      </c>
      <c r="R388" s="840">
        <v>7368.32</v>
      </c>
      <c r="S388" s="840">
        <v>7142.91</v>
      </c>
      <c r="T388" s="840">
        <v>7702.53</v>
      </c>
      <c r="U388" s="840">
        <v>7024.26</v>
      </c>
      <c r="V388" s="840">
        <v>11497.34</v>
      </c>
      <c r="W388" s="840">
        <v>10625.79</v>
      </c>
      <c r="X388" s="840">
        <v>12622.72</v>
      </c>
      <c r="Y388" s="840">
        <v>6448.64</v>
      </c>
      <c r="Z388" s="840">
        <v>7651.97</v>
      </c>
      <c r="AA388" s="840">
        <v>9890.18</v>
      </c>
      <c r="AB388" s="840">
        <v>10074.5</v>
      </c>
      <c r="AC388" s="840">
        <v>10493.57</v>
      </c>
      <c r="AD388" s="840">
        <v>6949.89</v>
      </c>
      <c r="AE388" s="840">
        <v>7289.6</v>
      </c>
      <c r="AF388" s="840">
        <v>7101.18</v>
      </c>
      <c r="AG388" s="840">
        <v>8132.1</v>
      </c>
      <c r="AH388" s="840">
        <v>7430.02</v>
      </c>
      <c r="AI388" s="840">
        <v>12264.96</v>
      </c>
      <c r="AJ388" s="840">
        <v>8644.74</v>
      </c>
      <c r="AK388" s="840"/>
      <c r="AL388" s="840"/>
      <c r="AM388" s="840"/>
      <c r="AN388" s="840"/>
      <c r="AO388" s="840"/>
      <c r="AP388" s="840"/>
      <c r="AQ388" s="840"/>
    </row>
    <row r="389" spans="2:43">
      <c r="B389" s="837" t="s">
        <v>1150</v>
      </c>
      <c r="C389" s="837">
        <v>8708</v>
      </c>
      <c r="D389" s="837">
        <v>7824</v>
      </c>
      <c r="E389" s="837">
        <v>8608</v>
      </c>
      <c r="F389" s="837">
        <v>7774</v>
      </c>
      <c r="G389" s="837">
        <v>7401</v>
      </c>
      <c r="H389" s="837">
        <v>6858</v>
      </c>
      <c r="I389" s="837">
        <v>7034</v>
      </c>
      <c r="J389" s="837">
        <v>7720</v>
      </c>
      <c r="K389" s="837">
        <v>7479</v>
      </c>
      <c r="L389" s="838">
        <v>7764.7998046875</v>
      </c>
      <c r="M389" s="838">
        <v>8266.81640625</v>
      </c>
      <c r="N389" s="838">
        <v>8770.34</v>
      </c>
      <c r="O389" s="838">
        <v>9630.11</v>
      </c>
      <c r="P389" s="838">
        <v>8704.06</v>
      </c>
      <c r="Q389" s="838">
        <v>8970.43</v>
      </c>
      <c r="R389" s="838">
        <v>8177.22</v>
      </c>
      <c r="S389" s="838">
        <v>8240.64</v>
      </c>
      <c r="T389" s="838">
        <v>7457.47</v>
      </c>
      <c r="U389" s="838">
        <v>6993.5</v>
      </c>
      <c r="V389" s="838">
        <v>7024.1</v>
      </c>
      <c r="W389" s="838">
        <v>7471.9</v>
      </c>
      <c r="X389" s="838">
        <v>7613.89</v>
      </c>
      <c r="Y389" s="838">
        <v>7362.85</v>
      </c>
      <c r="Z389" s="838">
        <v>8114.72</v>
      </c>
      <c r="AA389" s="838">
        <v>8799.5499999999993</v>
      </c>
      <c r="AB389" s="838">
        <v>8249.9500000000007</v>
      </c>
      <c r="AC389" s="838">
        <v>8205.09</v>
      </c>
      <c r="AD389" s="838">
        <v>6384.77</v>
      </c>
      <c r="AE389" s="838">
        <v>6271.74</v>
      </c>
      <c r="AF389" s="838">
        <v>5662.53</v>
      </c>
      <c r="AG389" s="838">
        <v>5945.09</v>
      </c>
      <c r="AH389" s="838">
        <v>6360.64</v>
      </c>
      <c r="AI389" s="838">
        <v>7266.69</v>
      </c>
      <c r="AJ389" s="838">
        <v>1987.52</v>
      </c>
      <c r="AK389" s="838"/>
      <c r="AL389" s="838"/>
      <c r="AM389" s="838"/>
      <c r="AN389" s="838"/>
      <c r="AO389" s="838"/>
      <c r="AP389" s="838"/>
      <c r="AQ389" s="838"/>
    </row>
    <row r="390" spans="2:43">
      <c r="B390" s="839" t="s">
        <v>1151</v>
      </c>
      <c r="C390" s="839">
        <v>1320</v>
      </c>
      <c r="D390" s="839">
        <v>1231</v>
      </c>
      <c r="E390" s="839">
        <v>1343</v>
      </c>
      <c r="F390" s="839">
        <v>1277</v>
      </c>
      <c r="G390" s="839">
        <v>1163</v>
      </c>
      <c r="H390" s="839">
        <v>1257</v>
      </c>
      <c r="I390" s="839">
        <v>1289</v>
      </c>
      <c r="J390" s="839">
        <v>1233</v>
      </c>
      <c r="K390" s="839">
        <v>1465</v>
      </c>
      <c r="L390" s="840">
        <v>1849.696044921875</v>
      </c>
      <c r="M390" s="840">
        <v>1770.2879638671875</v>
      </c>
      <c r="N390" s="840">
        <v>1699.95</v>
      </c>
      <c r="O390" s="840">
        <v>1386.19</v>
      </c>
      <c r="P390" s="840">
        <v>1419.04</v>
      </c>
      <c r="Q390" s="840">
        <v>454.22</v>
      </c>
      <c r="R390" s="840">
        <v>995.57</v>
      </c>
      <c r="S390" s="840">
        <v>1354.56</v>
      </c>
      <c r="T390" s="840">
        <v>1345.36</v>
      </c>
      <c r="U390" s="840">
        <v>1277.25</v>
      </c>
      <c r="V390" s="840">
        <v>1383.07</v>
      </c>
      <c r="W390" s="840">
        <v>978.35</v>
      </c>
      <c r="X390" s="840">
        <v>966.59</v>
      </c>
      <c r="Y390" s="840">
        <v>901.15</v>
      </c>
      <c r="Z390" s="840">
        <v>953.54</v>
      </c>
      <c r="AA390" s="840">
        <v>953.79</v>
      </c>
      <c r="AB390" s="840">
        <v>855.6</v>
      </c>
      <c r="AC390" s="840">
        <v>823.14</v>
      </c>
      <c r="AD390" s="840">
        <v>577.76</v>
      </c>
      <c r="AE390" s="840">
        <v>664.22</v>
      </c>
      <c r="AF390" s="840">
        <v>610.75</v>
      </c>
      <c r="AG390" s="840">
        <v>786.26</v>
      </c>
      <c r="AH390" s="840">
        <v>884.32</v>
      </c>
      <c r="AI390" s="840">
        <v>865.63</v>
      </c>
      <c r="AJ390" s="840">
        <v>228.45</v>
      </c>
      <c r="AK390" s="840"/>
      <c r="AL390" s="840"/>
      <c r="AM390" s="840"/>
      <c r="AN390" s="840"/>
      <c r="AO390" s="840"/>
      <c r="AP390" s="840"/>
      <c r="AQ390" s="840"/>
    </row>
    <row r="391" spans="2:43">
      <c r="B391" s="837" t="s">
        <v>1152</v>
      </c>
      <c r="C391" s="837">
        <v>19664</v>
      </c>
      <c r="D391" s="837">
        <v>17554</v>
      </c>
      <c r="E391" s="837">
        <v>19663</v>
      </c>
      <c r="F391" s="837">
        <v>19245</v>
      </c>
      <c r="G391" s="837">
        <v>21121</v>
      </c>
      <c r="H391" s="837">
        <v>19885</v>
      </c>
      <c r="I391" s="837">
        <v>19545</v>
      </c>
      <c r="J391" s="837">
        <v>18534</v>
      </c>
      <c r="K391" s="837">
        <v>18221</v>
      </c>
      <c r="L391" s="838">
        <v>18940.671875</v>
      </c>
      <c r="M391" s="838">
        <v>18042.880859375</v>
      </c>
      <c r="N391" s="838">
        <v>27561.22</v>
      </c>
      <c r="O391" s="838">
        <v>18817.41</v>
      </c>
      <c r="P391" s="838">
        <v>16547.84</v>
      </c>
      <c r="Q391" s="838">
        <v>19052.16</v>
      </c>
      <c r="R391" s="838">
        <v>18547.2</v>
      </c>
      <c r="S391" s="838">
        <v>20702.72</v>
      </c>
      <c r="T391" s="838">
        <v>19791.36</v>
      </c>
      <c r="U391" s="838">
        <v>19713.28</v>
      </c>
      <c r="V391" s="838">
        <v>19819.259999999998</v>
      </c>
      <c r="W391" s="838">
        <v>18043.39</v>
      </c>
      <c r="X391" s="838">
        <v>18855.68</v>
      </c>
      <c r="Y391" s="838">
        <v>18685.439999999999</v>
      </c>
      <c r="Z391" s="838">
        <v>19732.990000000002</v>
      </c>
      <c r="AA391" s="838">
        <v>18051.580000000002</v>
      </c>
      <c r="AB391" s="838">
        <v>16461.82</v>
      </c>
      <c r="AC391" s="838">
        <v>17833.73</v>
      </c>
      <c r="AD391" s="838">
        <v>17290.5</v>
      </c>
      <c r="AE391" s="838">
        <v>19731.2</v>
      </c>
      <c r="AF391" s="838">
        <v>19364.099999999999</v>
      </c>
      <c r="AG391" s="838">
        <v>18834.43</v>
      </c>
      <c r="AH391" s="838">
        <v>18842.11</v>
      </c>
      <c r="AI391" s="838">
        <v>18276.349999999999</v>
      </c>
      <c r="AJ391" s="838">
        <v>4832.26</v>
      </c>
      <c r="AK391" s="838"/>
      <c r="AL391" s="838"/>
      <c r="AM391" s="838"/>
      <c r="AN391" s="838"/>
      <c r="AO391" s="838"/>
      <c r="AP391" s="838"/>
      <c r="AQ391" s="838"/>
    </row>
    <row r="392" spans="2:43">
      <c r="B392" s="839" t="s">
        <v>1153</v>
      </c>
      <c r="C392" s="839">
        <v>4024</v>
      </c>
      <c r="D392" s="839">
        <v>4077</v>
      </c>
      <c r="E392" s="839">
        <v>4719</v>
      </c>
      <c r="F392" s="839">
        <v>4120</v>
      </c>
      <c r="G392" s="839">
        <v>4924</v>
      </c>
      <c r="H392" s="839">
        <v>4175</v>
      </c>
      <c r="I392" s="839">
        <v>4519</v>
      </c>
      <c r="J392" s="839">
        <v>4841</v>
      </c>
      <c r="K392" s="839">
        <v>4732</v>
      </c>
      <c r="L392" s="840">
        <v>4902.591796875</v>
      </c>
      <c r="M392" s="840">
        <v>5153.72802734375</v>
      </c>
      <c r="N392" s="840">
        <v>4236.16</v>
      </c>
      <c r="O392" s="840">
        <v>3520.9</v>
      </c>
      <c r="P392" s="840">
        <v>4639.68</v>
      </c>
      <c r="Q392" s="840">
        <v>4975.55</v>
      </c>
      <c r="R392" s="840">
        <v>4073.79</v>
      </c>
      <c r="S392" s="840">
        <v>4858.82</v>
      </c>
      <c r="T392" s="840">
        <v>4309.25</v>
      </c>
      <c r="U392" s="840">
        <v>4361.1499999999996</v>
      </c>
      <c r="V392" s="840">
        <v>4618.5</v>
      </c>
      <c r="W392" s="840">
        <v>4210.3</v>
      </c>
      <c r="X392" s="840">
        <v>4481.09</v>
      </c>
      <c r="Y392" s="840">
        <v>4573.38</v>
      </c>
      <c r="Z392" s="840">
        <v>3884.48</v>
      </c>
      <c r="AA392" s="840">
        <v>3253.38</v>
      </c>
      <c r="AB392" s="840">
        <v>4146.62</v>
      </c>
      <c r="AC392" s="840">
        <v>4655.3</v>
      </c>
      <c r="AD392" s="840">
        <v>4273.6000000000004</v>
      </c>
      <c r="AE392" s="840">
        <v>4713.1499999999996</v>
      </c>
      <c r="AF392" s="840">
        <v>4193.41</v>
      </c>
      <c r="AG392" s="840">
        <v>4499.3900000000003</v>
      </c>
      <c r="AH392" s="840">
        <v>4633.47</v>
      </c>
      <c r="AI392" s="840">
        <v>4434.05</v>
      </c>
      <c r="AJ392" s="840">
        <v>1203.33</v>
      </c>
      <c r="AK392" s="840"/>
      <c r="AL392" s="840"/>
      <c r="AM392" s="840"/>
      <c r="AN392" s="840"/>
      <c r="AO392" s="840"/>
      <c r="AP392" s="840"/>
      <c r="AQ392" s="840"/>
    </row>
    <row r="393" spans="2:43">
      <c r="B393" s="841" t="s">
        <v>1154</v>
      </c>
      <c r="C393" s="841">
        <v>76029</v>
      </c>
      <c r="D393" s="841">
        <v>77286</v>
      </c>
      <c r="E393" s="841">
        <v>91009</v>
      </c>
      <c r="F393" s="841">
        <v>105936</v>
      </c>
      <c r="G393" s="841">
        <v>154355</v>
      </c>
      <c r="H393" s="841">
        <v>191056</v>
      </c>
      <c r="I393" s="841">
        <v>207757</v>
      </c>
      <c r="J393" s="841">
        <v>195010</v>
      </c>
      <c r="K393" s="841">
        <v>172051</v>
      </c>
      <c r="L393" s="842">
        <v>153313.28125</v>
      </c>
      <c r="M393" s="842">
        <v>96764.9296875</v>
      </c>
      <c r="N393" s="842">
        <v>83023.360000000001</v>
      </c>
      <c r="O393" s="842">
        <v>64899.59</v>
      </c>
      <c r="P393" s="842">
        <v>66904.06</v>
      </c>
      <c r="Q393" s="842">
        <v>101608.96000000001</v>
      </c>
      <c r="R393" s="842">
        <v>112437.25</v>
      </c>
      <c r="S393" s="842">
        <v>155086.84</v>
      </c>
      <c r="T393" s="842">
        <v>180792.31</v>
      </c>
      <c r="U393" s="842">
        <v>199156.73</v>
      </c>
      <c r="V393" s="842">
        <v>215867.39</v>
      </c>
      <c r="W393" s="842">
        <v>158476.28</v>
      </c>
      <c r="X393" s="842">
        <v>138930.17000000001</v>
      </c>
      <c r="Y393" s="842">
        <v>111048.7</v>
      </c>
      <c r="Z393" s="842">
        <v>81997.820000000007</v>
      </c>
      <c r="AA393" s="842">
        <v>73277.440000000002</v>
      </c>
      <c r="AB393" s="842">
        <v>78607.360000000001</v>
      </c>
      <c r="AC393" s="842">
        <v>113484.8</v>
      </c>
      <c r="AD393" s="842">
        <v>130868.23</v>
      </c>
      <c r="AE393" s="842">
        <v>190974.97</v>
      </c>
      <c r="AF393" s="842">
        <v>173697.03</v>
      </c>
      <c r="AG393" s="842">
        <v>194282.5</v>
      </c>
      <c r="AH393" s="842">
        <v>189322.23</v>
      </c>
      <c r="AI393" s="842">
        <v>153029.63</v>
      </c>
      <c r="AJ393" s="842">
        <v>39016.449999999997</v>
      </c>
      <c r="AK393" s="842"/>
      <c r="AL393" s="842"/>
      <c r="AM393" s="842"/>
      <c r="AN393" s="842"/>
      <c r="AO393" s="842"/>
      <c r="AP393" s="842"/>
      <c r="AQ393" s="842"/>
    </row>
    <row r="394" spans="2:43">
      <c r="B394" s="839" t="s">
        <v>1155</v>
      </c>
      <c r="C394" s="839">
        <v>8045</v>
      </c>
      <c r="D394" s="839">
        <v>9093</v>
      </c>
      <c r="E394" s="839">
        <v>10254</v>
      </c>
      <c r="F394" s="839">
        <v>13117</v>
      </c>
      <c r="G394" s="839">
        <v>21227</v>
      </c>
      <c r="H394" s="839">
        <v>30098</v>
      </c>
      <c r="I394" s="839">
        <v>30841</v>
      </c>
      <c r="J394" s="839">
        <v>27393</v>
      </c>
      <c r="K394" s="839">
        <v>22771</v>
      </c>
      <c r="L394" s="840">
        <v>20033.53515625</v>
      </c>
      <c r="M394" s="840">
        <v>12139.51953125</v>
      </c>
      <c r="N394" s="840">
        <v>9746.82</v>
      </c>
      <c r="O394" s="840">
        <v>7548.8</v>
      </c>
      <c r="P394" s="840">
        <v>8398.7199999999993</v>
      </c>
      <c r="Q394" s="840">
        <v>12935.17</v>
      </c>
      <c r="R394" s="840">
        <v>14151.94</v>
      </c>
      <c r="S394" s="840">
        <v>23664.639999999999</v>
      </c>
      <c r="T394" s="840">
        <v>28128.26</v>
      </c>
      <c r="U394" s="840">
        <v>30609.02</v>
      </c>
      <c r="V394" s="840">
        <v>33943.68</v>
      </c>
      <c r="W394" s="840">
        <v>21400.32</v>
      </c>
      <c r="X394" s="840">
        <v>16842.62</v>
      </c>
      <c r="Y394" s="840">
        <v>14843.9</v>
      </c>
      <c r="Z394" s="840">
        <v>9519.6200000000008</v>
      </c>
      <c r="AA394" s="840">
        <v>8420.35</v>
      </c>
      <c r="AB394" s="840">
        <v>9439.8700000000008</v>
      </c>
      <c r="AC394" s="840">
        <v>13728.77</v>
      </c>
      <c r="AD394" s="840">
        <v>16444.16</v>
      </c>
      <c r="AE394" s="840">
        <v>26635.01</v>
      </c>
      <c r="AF394" s="840">
        <v>22707.46</v>
      </c>
      <c r="AG394" s="840">
        <v>27928.32</v>
      </c>
      <c r="AH394" s="840">
        <v>26204.42</v>
      </c>
      <c r="AI394" s="840">
        <v>20134.14</v>
      </c>
      <c r="AJ394" s="840">
        <v>17503.490000000002</v>
      </c>
      <c r="AK394" s="840"/>
      <c r="AL394" s="840"/>
      <c r="AM394" s="840"/>
      <c r="AN394" s="840"/>
      <c r="AO394" s="840"/>
      <c r="AP394" s="840"/>
      <c r="AQ394" s="840"/>
    </row>
    <row r="395" spans="2:43">
      <c r="B395" s="837" t="s">
        <v>1156</v>
      </c>
      <c r="C395" s="837">
        <v>6618</v>
      </c>
      <c r="D395" s="837">
        <v>6653</v>
      </c>
      <c r="E395" s="837">
        <v>8338</v>
      </c>
      <c r="F395" s="837">
        <v>10940</v>
      </c>
      <c r="G395" s="837">
        <v>18209</v>
      </c>
      <c r="H395" s="837">
        <v>23425</v>
      </c>
      <c r="I395" s="837">
        <v>25924</v>
      </c>
      <c r="J395" s="837">
        <v>23576</v>
      </c>
      <c r="K395" s="837">
        <v>20229</v>
      </c>
      <c r="L395" s="838">
        <v>17128.19140625</v>
      </c>
      <c r="M395" s="838">
        <v>9914.6240234375</v>
      </c>
      <c r="N395" s="838">
        <v>8541.9500000000007</v>
      </c>
      <c r="O395" s="838">
        <v>5862.02</v>
      </c>
      <c r="P395" s="838">
        <v>6331.9</v>
      </c>
      <c r="Q395" s="838">
        <v>11211.39</v>
      </c>
      <c r="R395" s="838">
        <v>12540.67</v>
      </c>
      <c r="S395" s="838">
        <v>19390.34</v>
      </c>
      <c r="T395" s="838">
        <v>22908.03</v>
      </c>
      <c r="U395" s="838">
        <v>24640.38</v>
      </c>
      <c r="V395" s="838">
        <v>26109.31</v>
      </c>
      <c r="W395" s="838">
        <v>17522.18</v>
      </c>
      <c r="X395" s="838">
        <v>15343.74</v>
      </c>
      <c r="Y395" s="838">
        <v>12136.7</v>
      </c>
      <c r="Z395" s="838">
        <v>7667.97</v>
      </c>
      <c r="AA395" s="838">
        <v>7034.88</v>
      </c>
      <c r="AB395" s="838">
        <v>7150.85</v>
      </c>
      <c r="AC395" s="838">
        <v>11031.94</v>
      </c>
      <c r="AD395" s="838">
        <v>13178.88</v>
      </c>
      <c r="AE395" s="838">
        <v>21613.18</v>
      </c>
      <c r="AF395" s="838">
        <v>19246.59</v>
      </c>
      <c r="AG395" s="838">
        <v>24052.1</v>
      </c>
      <c r="AH395" s="838">
        <v>22455.68</v>
      </c>
      <c r="AI395" s="838">
        <v>17474.689999999999</v>
      </c>
      <c r="AJ395" s="838">
        <v>4415.1000000000004</v>
      </c>
      <c r="AK395" s="838"/>
      <c r="AL395" s="838"/>
      <c r="AM395" s="838"/>
      <c r="AN395" s="838"/>
      <c r="AO395" s="838"/>
      <c r="AP395" s="838"/>
      <c r="AQ395" s="838"/>
    </row>
    <row r="396" spans="2:43" s="473" customFormat="1">
      <c r="B396" s="839" t="s">
        <v>1157</v>
      </c>
      <c r="C396" s="839">
        <v>11608</v>
      </c>
      <c r="D396" s="839">
        <v>10429</v>
      </c>
      <c r="E396" s="839">
        <v>10621</v>
      </c>
      <c r="F396" s="839">
        <v>9474</v>
      </c>
      <c r="G396" s="839">
        <v>11444</v>
      </c>
      <c r="H396" s="839">
        <v>14045</v>
      </c>
      <c r="I396" s="839">
        <v>15408</v>
      </c>
      <c r="J396" s="839">
        <v>15198</v>
      </c>
      <c r="K396" s="839">
        <v>14451</v>
      </c>
      <c r="L396" s="840">
        <v>14496</v>
      </c>
      <c r="M396" s="840">
        <v>12838.015625</v>
      </c>
      <c r="N396" s="840">
        <v>13194.11</v>
      </c>
      <c r="O396" s="840">
        <v>13161.09</v>
      </c>
      <c r="P396" s="840">
        <v>11175.81</v>
      </c>
      <c r="Q396" s="840">
        <v>12236.42</v>
      </c>
      <c r="R396" s="840">
        <v>12167.81</v>
      </c>
      <c r="S396" s="840">
        <v>13851.39</v>
      </c>
      <c r="T396" s="840">
        <v>15053.18</v>
      </c>
      <c r="U396" s="840">
        <v>16230.91</v>
      </c>
      <c r="V396" s="840">
        <v>17202.43</v>
      </c>
      <c r="W396" s="840">
        <v>14872.96</v>
      </c>
      <c r="X396" s="840">
        <v>14835.33</v>
      </c>
      <c r="Y396" s="840">
        <v>13617.02</v>
      </c>
      <c r="Z396" s="840">
        <v>12722.94</v>
      </c>
      <c r="AA396" s="840">
        <v>12527.74</v>
      </c>
      <c r="AB396" s="840">
        <v>11976.96</v>
      </c>
      <c r="AC396" s="840">
        <v>13842.56</v>
      </c>
      <c r="AD396" s="840">
        <v>13953.54</v>
      </c>
      <c r="AE396" s="840">
        <v>15149.57</v>
      </c>
      <c r="AF396" s="840">
        <v>14635.39</v>
      </c>
      <c r="AG396" s="840">
        <v>16246.02</v>
      </c>
      <c r="AH396" s="840">
        <v>16393.73</v>
      </c>
      <c r="AI396" s="840">
        <v>14551.94</v>
      </c>
      <c r="AJ396" s="840">
        <v>3709.82</v>
      </c>
      <c r="AK396" s="840"/>
      <c r="AL396" s="840"/>
      <c r="AM396" s="840"/>
      <c r="AN396" s="840"/>
      <c r="AO396" s="840"/>
      <c r="AP396" s="840"/>
      <c r="AQ396" s="840"/>
    </row>
    <row r="397" spans="2:43">
      <c r="B397" s="837" t="s">
        <v>1158</v>
      </c>
      <c r="C397" s="837">
        <v>5043</v>
      </c>
      <c r="D397" s="837">
        <v>5118</v>
      </c>
      <c r="E397" s="837">
        <v>6094</v>
      </c>
      <c r="F397" s="837">
        <v>7161</v>
      </c>
      <c r="G397" s="837">
        <v>11545</v>
      </c>
      <c r="H397" s="837">
        <v>15471</v>
      </c>
      <c r="I397" s="837">
        <v>17916</v>
      </c>
      <c r="J397" s="837">
        <v>16842</v>
      </c>
      <c r="K397" s="837">
        <v>13904</v>
      </c>
      <c r="L397" s="838">
        <v>12772.3515625</v>
      </c>
      <c r="M397" s="838">
        <v>7237.6318359375</v>
      </c>
      <c r="N397" s="838">
        <v>5815.68</v>
      </c>
      <c r="O397" s="838">
        <v>3487.62</v>
      </c>
      <c r="P397" s="838">
        <v>3554.56</v>
      </c>
      <c r="Q397" s="838">
        <v>7159.3</v>
      </c>
      <c r="R397" s="838">
        <v>8000.13</v>
      </c>
      <c r="S397" s="838">
        <v>12932.86</v>
      </c>
      <c r="T397" s="838">
        <v>14321.79</v>
      </c>
      <c r="U397" s="838">
        <v>17628.16</v>
      </c>
      <c r="V397" s="838">
        <v>19500.669999999998</v>
      </c>
      <c r="W397" s="838">
        <v>13079.17</v>
      </c>
      <c r="X397" s="838">
        <v>11620.99</v>
      </c>
      <c r="Y397" s="838">
        <v>9484.0300000000007</v>
      </c>
      <c r="Z397" s="838">
        <v>5356.8</v>
      </c>
      <c r="AA397" s="838">
        <v>4424.1899999999996</v>
      </c>
      <c r="AB397" s="838">
        <v>5033.09</v>
      </c>
      <c r="AC397" s="838">
        <v>8681.09</v>
      </c>
      <c r="AD397" s="838">
        <v>11318.14</v>
      </c>
      <c r="AE397" s="838">
        <v>17969.54</v>
      </c>
      <c r="AF397" s="838">
        <v>16326.53</v>
      </c>
      <c r="AG397" s="838">
        <v>19210.11</v>
      </c>
      <c r="AH397" s="838">
        <v>17969.28</v>
      </c>
      <c r="AI397" s="838">
        <v>14118.78</v>
      </c>
      <c r="AJ397" s="838">
        <v>3585.28</v>
      </c>
      <c r="AK397" s="838"/>
      <c r="AL397" s="838"/>
      <c r="AM397" s="838"/>
      <c r="AN397" s="838"/>
      <c r="AO397" s="838"/>
      <c r="AP397" s="838"/>
      <c r="AQ397" s="838"/>
    </row>
    <row r="398" spans="2:43">
      <c r="B398" s="839" t="s">
        <v>1159</v>
      </c>
      <c r="C398" s="839">
        <v>2267</v>
      </c>
      <c r="D398" s="839">
        <v>2520</v>
      </c>
      <c r="E398" s="839">
        <v>3089</v>
      </c>
      <c r="F398" s="839">
        <v>3463</v>
      </c>
      <c r="G398" s="839">
        <v>6138</v>
      </c>
      <c r="H398" s="839">
        <v>7894</v>
      </c>
      <c r="I398" s="839">
        <v>9453</v>
      </c>
      <c r="J398" s="839">
        <v>8352</v>
      </c>
      <c r="K398" s="839">
        <v>6805</v>
      </c>
      <c r="L398" s="840">
        <v>6369.18408203125</v>
      </c>
      <c r="M398" s="840">
        <v>3373.887939453125</v>
      </c>
      <c r="N398" s="840">
        <v>2747.2</v>
      </c>
      <c r="O398" s="840">
        <v>1493.89</v>
      </c>
      <c r="P398" s="840">
        <v>1689.34</v>
      </c>
      <c r="Q398" s="840">
        <v>3683.68</v>
      </c>
      <c r="R398" s="840">
        <v>3935.42</v>
      </c>
      <c r="S398" s="840">
        <v>6679.01</v>
      </c>
      <c r="T398" s="840">
        <v>7520.83</v>
      </c>
      <c r="U398" s="840">
        <v>9393.15</v>
      </c>
      <c r="V398" s="840">
        <v>9562.18</v>
      </c>
      <c r="W398" s="840">
        <v>6844.93</v>
      </c>
      <c r="X398" s="840">
        <v>5959.3</v>
      </c>
      <c r="Y398" s="840">
        <v>4649.34</v>
      </c>
      <c r="Z398" s="840">
        <v>2765.95</v>
      </c>
      <c r="AA398" s="840">
        <v>2389.8200000000002</v>
      </c>
      <c r="AB398" s="840">
        <v>2631.36</v>
      </c>
      <c r="AC398" s="840">
        <v>4543.49</v>
      </c>
      <c r="AD398" s="840">
        <v>5949.12</v>
      </c>
      <c r="AE398" s="840">
        <v>9188.1</v>
      </c>
      <c r="AF398" s="840">
        <v>8500.67</v>
      </c>
      <c r="AG398" s="840">
        <v>10111.23</v>
      </c>
      <c r="AH398" s="840">
        <v>9183.68</v>
      </c>
      <c r="AI398" s="840">
        <v>7451.71</v>
      </c>
      <c r="AJ398" s="840">
        <v>6486.02</v>
      </c>
      <c r="AK398" s="840"/>
      <c r="AL398" s="840"/>
      <c r="AM398" s="840"/>
      <c r="AN398" s="840"/>
      <c r="AO398" s="840"/>
      <c r="AP398" s="840"/>
      <c r="AQ398" s="840"/>
    </row>
    <row r="399" spans="2:43">
      <c r="B399" s="837" t="s">
        <v>1160</v>
      </c>
      <c r="C399" s="837">
        <v>2693</v>
      </c>
      <c r="D399" s="837">
        <v>2548</v>
      </c>
      <c r="E399" s="837">
        <v>2987</v>
      </c>
      <c r="F399" s="837">
        <v>3600</v>
      </c>
      <c r="G399" s="837">
        <v>5290</v>
      </c>
      <c r="H399" s="837">
        <v>7341</v>
      </c>
      <c r="I399" s="837">
        <v>8202</v>
      </c>
      <c r="J399" s="837">
        <v>8334</v>
      </c>
      <c r="K399" s="837">
        <v>6938</v>
      </c>
      <c r="L399" s="838">
        <v>6228.6240234375</v>
      </c>
      <c r="M399" s="838">
        <v>3808.743896484375</v>
      </c>
      <c r="N399" s="838">
        <v>3034.19</v>
      </c>
      <c r="O399" s="838">
        <v>1935.86</v>
      </c>
      <c r="P399" s="838">
        <v>1857.62</v>
      </c>
      <c r="Q399" s="838">
        <v>3389.03</v>
      </c>
      <c r="R399" s="838">
        <v>3993.9</v>
      </c>
      <c r="S399" s="838">
        <v>6096.89</v>
      </c>
      <c r="T399" s="838">
        <v>6603.97</v>
      </c>
      <c r="U399" s="838">
        <v>8088.96</v>
      </c>
      <c r="V399" s="838">
        <v>9703.23</v>
      </c>
      <c r="W399" s="838">
        <v>6131.73</v>
      </c>
      <c r="X399" s="838">
        <v>5584.42</v>
      </c>
      <c r="Y399" s="838">
        <v>4757.84</v>
      </c>
      <c r="Z399" s="838">
        <v>2579.1</v>
      </c>
      <c r="AA399" s="838">
        <v>1975.97</v>
      </c>
      <c r="AB399" s="838">
        <v>2342.7199999999998</v>
      </c>
      <c r="AC399" s="838">
        <v>4077.84</v>
      </c>
      <c r="AD399" s="838">
        <v>5255.97</v>
      </c>
      <c r="AE399" s="838">
        <v>8563.9699999999993</v>
      </c>
      <c r="AF399" s="838">
        <v>7619.3</v>
      </c>
      <c r="AG399" s="838">
        <v>8920.2099999999991</v>
      </c>
      <c r="AH399" s="838">
        <v>8594.7000000000007</v>
      </c>
      <c r="AI399" s="838">
        <v>6554.82</v>
      </c>
      <c r="AJ399" s="838">
        <v>5743.94</v>
      </c>
      <c r="AK399" s="838"/>
      <c r="AL399" s="838"/>
      <c r="AM399" s="838"/>
      <c r="AN399" s="838"/>
      <c r="AO399" s="838"/>
      <c r="AP399" s="838"/>
      <c r="AQ399" s="838"/>
    </row>
    <row r="400" spans="2:43">
      <c r="B400" s="839" t="s">
        <v>1161</v>
      </c>
      <c r="C400" s="839">
        <v>21105</v>
      </c>
      <c r="D400" s="839">
        <v>21414</v>
      </c>
      <c r="E400" s="839">
        <v>24894</v>
      </c>
      <c r="F400" s="839">
        <v>30183</v>
      </c>
      <c r="G400" s="839">
        <v>42589</v>
      </c>
      <c r="H400" s="839">
        <v>47053</v>
      </c>
      <c r="I400" s="839">
        <v>52997</v>
      </c>
      <c r="J400" s="839">
        <v>49326</v>
      </c>
      <c r="K400" s="839">
        <v>47418</v>
      </c>
      <c r="L400" s="840">
        <v>42522.11328125</v>
      </c>
      <c r="M400" s="840">
        <v>27639.296875</v>
      </c>
      <c r="N400" s="840">
        <v>23074.560000000001</v>
      </c>
      <c r="O400" s="840">
        <v>18754.560000000001</v>
      </c>
      <c r="P400" s="840">
        <v>19603.71</v>
      </c>
      <c r="Q400" s="840">
        <v>28097.02</v>
      </c>
      <c r="R400" s="840">
        <v>32072.19</v>
      </c>
      <c r="S400" s="840">
        <v>37179.9</v>
      </c>
      <c r="T400" s="840">
        <v>45116.160000000003</v>
      </c>
      <c r="U400" s="840">
        <v>50216.959999999999</v>
      </c>
      <c r="V400" s="840">
        <v>52869.38</v>
      </c>
      <c r="W400" s="840">
        <v>42639.11</v>
      </c>
      <c r="X400" s="840">
        <v>37421.050000000003</v>
      </c>
      <c r="Y400" s="840">
        <v>30400</v>
      </c>
      <c r="Z400" s="840">
        <v>22927.87</v>
      </c>
      <c r="AA400" s="840">
        <v>19163.650000000001</v>
      </c>
      <c r="AB400" s="840">
        <v>21339.65</v>
      </c>
      <c r="AC400" s="840">
        <v>31385.09</v>
      </c>
      <c r="AD400" s="840">
        <v>35906.050000000003</v>
      </c>
      <c r="AE400" s="840">
        <v>48492.54</v>
      </c>
      <c r="AF400" s="840">
        <v>46055.43</v>
      </c>
      <c r="AG400" s="840">
        <v>47359.49</v>
      </c>
      <c r="AH400" s="840">
        <v>48819.199999999997</v>
      </c>
      <c r="AI400" s="840">
        <v>40353.279999999999</v>
      </c>
      <c r="AJ400" s="840">
        <v>10240.51</v>
      </c>
      <c r="AK400" s="840"/>
      <c r="AL400" s="840"/>
      <c r="AM400" s="840"/>
      <c r="AN400" s="840"/>
      <c r="AO400" s="840"/>
      <c r="AP400" s="840"/>
      <c r="AQ400" s="840"/>
    </row>
    <row r="401" spans="2:43">
      <c r="B401" s="837" t="s">
        <v>1162</v>
      </c>
      <c r="C401" s="837">
        <v>7516</v>
      </c>
      <c r="D401" s="837">
        <v>7478</v>
      </c>
      <c r="E401" s="837">
        <v>8747</v>
      </c>
      <c r="F401" s="837">
        <v>9624</v>
      </c>
      <c r="G401" s="837">
        <v>13368</v>
      </c>
      <c r="H401" s="837">
        <v>19565</v>
      </c>
      <c r="I401" s="837">
        <v>20874</v>
      </c>
      <c r="J401" s="837">
        <v>18672</v>
      </c>
      <c r="K401" s="837">
        <v>15781</v>
      </c>
      <c r="L401" s="838">
        <v>13493.3759765625</v>
      </c>
      <c r="M401" s="838">
        <v>7892.47998046875</v>
      </c>
      <c r="N401" s="838">
        <v>6089.34</v>
      </c>
      <c r="O401" s="838">
        <v>5011.97</v>
      </c>
      <c r="P401" s="838">
        <v>5584.64</v>
      </c>
      <c r="Q401" s="838">
        <v>8186.37</v>
      </c>
      <c r="R401" s="838">
        <v>9403.14</v>
      </c>
      <c r="S401" s="838">
        <v>13704.06</v>
      </c>
      <c r="T401" s="838">
        <v>17342.080000000002</v>
      </c>
      <c r="U401" s="838">
        <v>18504.580000000002</v>
      </c>
      <c r="V401" s="838">
        <v>18972.669999999998</v>
      </c>
      <c r="W401" s="838">
        <v>12506.75</v>
      </c>
      <c r="X401" s="838">
        <v>10260.48</v>
      </c>
      <c r="Y401" s="838">
        <v>7507.84</v>
      </c>
      <c r="Z401" s="838">
        <v>5627.52</v>
      </c>
      <c r="AA401" s="838">
        <v>5460.1</v>
      </c>
      <c r="AB401" s="838">
        <v>5563.26</v>
      </c>
      <c r="AC401" s="838">
        <v>7595.65</v>
      </c>
      <c r="AD401" s="838">
        <v>9019.65</v>
      </c>
      <c r="AE401" s="838">
        <v>15280.26</v>
      </c>
      <c r="AF401" s="838">
        <v>13741.95</v>
      </c>
      <c r="AG401" s="838">
        <v>16605.95</v>
      </c>
      <c r="AH401" s="838">
        <v>15742.72</v>
      </c>
      <c r="AI401" s="838">
        <v>12325.76</v>
      </c>
      <c r="AJ401" s="838">
        <v>3243.26</v>
      </c>
      <c r="AK401" s="838"/>
      <c r="AL401" s="838"/>
      <c r="AM401" s="838"/>
      <c r="AN401" s="838"/>
      <c r="AO401" s="838"/>
      <c r="AP401" s="838"/>
      <c r="AQ401" s="838"/>
    </row>
    <row r="402" spans="2:43">
      <c r="B402" s="839" t="s">
        <v>1163</v>
      </c>
      <c r="C402" s="839">
        <v>2682</v>
      </c>
      <c r="D402" s="839">
        <v>2671</v>
      </c>
      <c r="E402" s="839">
        <v>3035</v>
      </c>
      <c r="F402" s="839">
        <v>5078</v>
      </c>
      <c r="G402" s="839">
        <v>7693</v>
      </c>
      <c r="H402" s="839">
        <v>8867</v>
      </c>
      <c r="I402" s="839">
        <v>9952</v>
      </c>
      <c r="J402" s="839">
        <v>10054</v>
      </c>
      <c r="K402" s="839">
        <v>8228</v>
      </c>
      <c r="L402" s="840">
        <v>7726.39990234375</v>
      </c>
      <c r="M402" s="840">
        <v>3537.471923828125</v>
      </c>
      <c r="N402" s="840">
        <v>3565.5</v>
      </c>
      <c r="O402" s="840">
        <v>1749.92</v>
      </c>
      <c r="P402" s="840">
        <v>1355.39</v>
      </c>
      <c r="Q402" s="840">
        <v>3357.22</v>
      </c>
      <c r="R402" s="840">
        <v>4481.82</v>
      </c>
      <c r="S402" s="840">
        <v>6205.89</v>
      </c>
      <c r="T402" s="840">
        <v>8280.83</v>
      </c>
      <c r="U402" s="840">
        <v>9854.59</v>
      </c>
      <c r="V402" s="840">
        <v>10884.9</v>
      </c>
      <c r="W402" s="840">
        <v>7463.52</v>
      </c>
      <c r="X402" s="840">
        <v>6267.65</v>
      </c>
      <c r="Y402" s="840">
        <v>4976.32</v>
      </c>
      <c r="Z402" s="840">
        <v>3398.59</v>
      </c>
      <c r="AA402" s="840">
        <v>2365.15</v>
      </c>
      <c r="AB402" s="840">
        <v>2724.38</v>
      </c>
      <c r="AC402" s="840">
        <v>5180.8999999999996</v>
      </c>
      <c r="AD402" s="840">
        <v>6030.34</v>
      </c>
      <c r="AE402" s="840">
        <v>9299.26</v>
      </c>
      <c r="AF402" s="840">
        <v>8642.6200000000008</v>
      </c>
      <c r="AG402" s="840">
        <v>8432.64</v>
      </c>
      <c r="AH402" s="840">
        <v>5281.22</v>
      </c>
      <c r="AI402" s="840" t="s">
        <v>699</v>
      </c>
      <c r="AJ402" s="840" t="s">
        <v>699</v>
      </c>
      <c r="AK402" s="840"/>
      <c r="AL402" s="840"/>
      <c r="AM402" s="840"/>
      <c r="AN402" s="840"/>
      <c r="AO402" s="840"/>
      <c r="AP402" s="840"/>
      <c r="AQ402" s="840"/>
    </row>
    <row r="403" spans="2:43">
      <c r="B403" s="837" t="s">
        <v>1164</v>
      </c>
      <c r="C403" s="837">
        <v>10723</v>
      </c>
      <c r="D403" s="837">
        <v>11656</v>
      </c>
      <c r="E403" s="837">
        <v>13758</v>
      </c>
      <c r="F403" s="837">
        <v>19187</v>
      </c>
      <c r="G403" s="837">
        <v>28214</v>
      </c>
      <c r="H403" s="837">
        <v>35370</v>
      </c>
      <c r="I403" s="837">
        <v>36617</v>
      </c>
      <c r="J403" s="837">
        <v>36603</v>
      </c>
      <c r="K403" s="837">
        <v>30481</v>
      </c>
      <c r="L403" s="838">
        <v>25450.751953125</v>
      </c>
      <c r="M403" s="838">
        <v>12625.15234375</v>
      </c>
      <c r="N403" s="838">
        <v>12561.66</v>
      </c>
      <c r="O403" s="838">
        <v>7290.37</v>
      </c>
      <c r="P403" s="838">
        <v>7112.45</v>
      </c>
      <c r="Q403" s="838">
        <v>13283.33</v>
      </c>
      <c r="R403" s="838">
        <v>17769.98</v>
      </c>
      <c r="S403" s="838">
        <v>26347.01</v>
      </c>
      <c r="T403" s="838">
        <v>30577.41</v>
      </c>
      <c r="U403" s="838">
        <v>34456.06</v>
      </c>
      <c r="V403" s="838">
        <v>39190.019999999997</v>
      </c>
      <c r="W403" s="838">
        <v>27008.77</v>
      </c>
      <c r="X403" s="838">
        <v>21986.560000000001</v>
      </c>
      <c r="Y403" s="838">
        <v>14170.62</v>
      </c>
      <c r="Z403" s="838">
        <v>10577.15</v>
      </c>
      <c r="AA403" s="838">
        <v>8177.92</v>
      </c>
      <c r="AB403" s="838">
        <v>9156.35</v>
      </c>
      <c r="AC403" s="838">
        <v>17008.900000000001</v>
      </c>
      <c r="AD403" s="838">
        <v>21207.81</v>
      </c>
      <c r="AE403" s="838">
        <v>35089.410000000003</v>
      </c>
      <c r="AF403" s="838">
        <v>30505.47</v>
      </c>
      <c r="AG403" s="838">
        <v>32735.74</v>
      </c>
      <c r="AH403" s="838">
        <v>31336.7</v>
      </c>
      <c r="AI403" s="838">
        <v>24768.26</v>
      </c>
      <c r="AJ403" s="838">
        <v>5636.61</v>
      </c>
      <c r="AK403" s="838"/>
      <c r="AL403" s="838"/>
      <c r="AM403" s="838"/>
      <c r="AN403" s="838"/>
      <c r="AO403" s="838"/>
      <c r="AP403" s="838"/>
      <c r="AQ403" s="838"/>
    </row>
    <row r="404" spans="2:43">
      <c r="B404" s="839" t="s">
        <v>1165</v>
      </c>
      <c r="C404" s="839">
        <v>1119</v>
      </c>
      <c r="D404" s="839">
        <v>1431</v>
      </c>
      <c r="E404" s="839">
        <v>1673</v>
      </c>
      <c r="F404" s="839">
        <v>3867</v>
      </c>
      <c r="G404" s="839">
        <v>6049</v>
      </c>
      <c r="H404" s="839">
        <v>7889</v>
      </c>
      <c r="I404" s="839">
        <v>7292</v>
      </c>
      <c r="J404" s="839">
        <v>7234</v>
      </c>
      <c r="K404" s="839">
        <v>5721</v>
      </c>
      <c r="L404" s="840">
        <v>3814.176025390625</v>
      </c>
      <c r="M404" s="840">
        <v>930.176025390625</v>
      </c>
      <c r="N404" s="840">
        <v>1380.38</v>
      </c>
      <c r="O404" s="840">
        <v>321.95</v>
      </c>
      <c r="P404" s="840">
        <v>326.94</v>
      </c>
      <c r="Q404" s="840">
        <v>1509.25</v>
      </c>
      <c r="R404" s="840">
        <v>2389.31</v>
      </c>
      <c r="S404" s="840">
        <v>5474.59</v>
      </c>
      <c r="T404" s="840">
        <v>5921.82</v>
      </c>
      <c r="U404" s="840">
        <v>6864.1</v>
      </c>
      <c r="V404" s="840">
        <v>8223.5499999999993</v>
      </c>
      <c r="W404" s="840">
        <v>5688.96</v>
      </c>
      <c r="X404" s="840">
        <v>3536.51</v>
      </c>
      <c r="Y404" s="840">
        <v>561.89</v>
      </c>
      <c r="Z404" s="840">
        <v>497.98</v>
      </c>
      <c r="AA404" s="840">
        <v>309.31</v>
      </c>
      <c r="AB404" s="840">
        <v>765.5</v>
      </c>
      <c r="AC404" s="840">
        <v>2681.18</v>
      </c>
      <c r="AD404" s="840">
        <v>4687.1400000000003</v>
      </c>
      <c r="AE404" s="840">
        <v>8911.5499999999993</v>
      </c>
      <c r="AF404" s="840">
        <v>7107.78</v>
      </c>
      <c r="AG404" s="840">
        <v>7173.6</v>
      </c>
      <c r="AH404" s="840">
        <v>7727.17</v>
      </c>
      <c r="AI404" s="840">
        <v>6333.92</v>
      </c>
      <c r="AJ404" s="840">
        <v>4677.9799999999996</v>
      </c>
      <c r="AK404" s="840"/>
      <c r="AL404" s="840"/>
      <c r="AM404" s="840"/>
      <c r="AN404" s="840"/>
      <c r="AO404" s="840"/>
      <c r="AP404" s="840"/>
      <c r="AQ404" s="840"/>
    </row>
    <row r="405" spans="2:43">
      <c r="B405" s="837" t="s">
        <v>1166</v>
      </c>
      <c r="C405" s="837">
        <v>4335</v>
      </c>
      <c r="D405" s="837">
        <v>5221</v>
      </c>
      <c r="E405" s="837">
        <v>5713</v>
      </c>
      <c r="F405" s="837">
        <v>5852</v>
      </c>
      <c r="G405" s="837">
        <v>8365</v>
      </c>
      <c r="H405" s="837">
        <v>10929</v>
      </c>
      <c r="I405" s="837">
        <v>11207</v>
      </c>
      <c r="J405" s="837">
        <v>11097</v>
      </c>
      <c r="K405" s="837">
        <v>9253</v>
      </c>
      <c r="L405" s="838">
        <v>8131.90380859375</v>
      </c>
      <c r="M405" s="838">
        <v>4903.5517578125</v>
      </c>
      <c r="N405" s="838">
        <v>4440.26</v>
      </c>
      <c r="O405" s="838">
        <v>2916.86</v>
      </c>
      <c r="P405" s="838">
        <v>3233.47</v>
      </c>
      <c r="Q405" s="838">
        <v>4953.92</v>
      </c>
      <c r="R405" s="838">
        <v>6254.85</v>
      </c>
      <c r="S405" s="838">
        <v>8639.36</v>
      </c>
      <c r="T405" s="838">
        <v>10374.85</v>
      </c>
      <c r="U405" s="838">
        <v>11123.14</v>
      </c>
      <c r="V405" s="838">
        <v>12521.47</v>
      </c>
      <c r="W405" s="838">
        <v>7943.81</v>
      </c>
      <c r="X405" s="838">
        <v>6838.66</v>
      </c>
      <c r="Y405" s="838">
        <v>4596.8599999999997</v>
      </c>
      <c r="Z405" s="838">
        <v>3656.38</v>
      </c>
      <c r="AA405" s="838">
        <v>3344.13</v>
      </c>
      <c r="AB405" s="838">
        <v>3161.98</v>
      </c>
      <c r="AC405" s="838">
        <v>5061.3100000000004</v>
      </c>
      <c r="AD405" s="838">
        <v>6039.42</v>
      </c>
      <c r="AE405" s="838">
        <v>10428.16</v>
      </c>
      <c r="AF405" s="838">
        <v>9157.44</v>
      </c>
      <c r="AG405" s="838">
        <v>10819.33</v>
      </c>
      <c r="AH405" s="838">
        <v>9924.67</v>
      </c>
      <c r="AI405" s="838">
        <v>7393.15</v>
      </c>
      <c r="AJ405" s="838">
        <v>7025.28</v>
      </c>
      <c r="AK405" s="838"/>
      <c r="AL405" s="838"/>
      <c r="AM405" s="838"/>
      <c r="AN405" s="838"/>
      <c r="AO405" s="838"/>
      <c r="AP405" s="838"/>
      <c r="AQ405" s="838"/>
    </row>
    <row r="406" spans="2:43">
      <c r="B406" s="839" t="s">
        <v>1167</v>
      </c>
      <c r="C406" s="840" t="s">
        <v>699</v>
      </c>
      <c r="D406" s="840" t="s">
        <v>699</v>
      </c>
      <c r="E406" s="840" t="s">
        <v>699</v>
      </c>
      <c r="F406" s="840" t="s">
        <v>699</v>
      </c>
      <c r="G406" s="840" t="s">
        <v>699</v>
      </c>
      <c r="H406" s="840" t="s">
        <v>699</v>
      </c>
      <c r="I406" s="840" t="s">
        <v>699</v>
      </c>
      <c r="J406" s="840" t="s">
        <v>699</v>
      </c>
      <c r="K406" s="840" t="s">
        <v>699</v>
      </c>
      <c r="L406" s="840" t="s">
        <v>699</v>
      </c>
      <c r="M406" s="840" t="s">
        <v>699</v>
      </c>
      <c r="N406" s="840" t="s">
        <v>699</v>
      </c>
      <c r="O406" s="840" t="s">
        <v>699</v>
      </c>
      <c r="P406" s="840" t="s">
        <v>699</v>
      </c>
      <c r="Q406" s="840" t="s">
        <v>699</v>
      </c>
      <c r="R406" s="840" t="s">
        <v>699</v>
      </c>
      <c r="S406" s="840" t="s">
        <v>699</v>
      </c>
      <c r="T406" s="840" t="s">
        <v>699</v>
      </c>
      <c r="U406" s="840" t="s">
        <v>699</v>
      </c>
      <c r="V406" s="840" t="s">
        <v>699</v>
      </c>
      <c r="W406" s="840" t="s">
        <v>699</v>
      </c>
      <c r="X406" s="840" t="s">
        <v>699</v>
      </c>
      <c r="Y406" s="840" t="s">
        <v>699</v>
      </c>
      <c r="Z406" s="840" t="s">
        <v>699</v>
      </c>
      <c r="AA406" s="840" t="s">
        <v>699</v>
      </c>
      <c r="AB406" s="840" t="s">
        <v>699</v>
      </c>
      <c r="AC406" s="840" t="s">
        <v>699</v>
      </c>
      <c r="AD406" s="840" t="s">
        <v>699</v>
      </c>
      <c r="AE406" s="840" t="s">
        <v>699</v>
      </c>
      <c r="AF406" s="840" t="s">
        <v>699</v>
      </c>
      <c r="AG406" s="840" t="s">
        <v>699</v>
      </c>
      <c r="AH406" s="840" t="s">
        <v>699</v>
      </c>
      <c r="AI406" s="840" t="s">
        <v>699</v>
      </c>
      <c r="AJ406" s="840" t="s">
        <v>699</v>
      </c>
      <c r="AK406" s="840"/>
      <c r="AL406" s="840"/>
      <c r="AM406" s="840"/>
      <c r="AN406" s="840"/>
      <c r="AO406" s="840"/>
      <c r="AP406" s="840"/>
      <c r="AQ406" s="840"/>
    </row>
    <row r="407" spans="2:43">
      <c r="B407" s="841" t="s">
        <v>1168</v>
      </c>
      <c r="C407" s="841">
        <v>30288</v>
      </c>
      <c r="D407" s="841">
        <v>46691</v>
      </c>
      <c r="E407" s="841">
        <v>72212</v>
      </c>
      <c r="F407" s="841">
        <v>66278</v>
      </c>
      <c r="G407" s="841">
        <v>81334</v>
      </c>
      <c r="H407" s="841">
        <v>76677</v>
      </c>
      <c r="I407" s="841">
        <v>81622</v>
      </c>
      <c r="J407" s="841">
        <v>84495</v>
      </c>
      <c r="K407" s="841">
        <v>79451</v>
      </c>
      <c r="L407" s="842">
        <v>80129.6015625</v>
      </c>
      <c r="M407" s="842">
        <v>48868.2890625</v>
      </c>
      <c r="N407" s="842">
        <v>32161.279999999999</v>
      </c>
      <c r="O407" s="842">
        <v>41940.480000000003</v>
      </c>
      <c r="P407" s="842">
        <v>53342.91</v>
      </c>
      <c r="Q407" s="842">
        <v>74191.88</v>
      </c>
      <c r="R407" s="842">
        <v>64823.74</v>
      </c>
      <c r="S407" s="842">
        <v>77500.800000000003</v>
      </c>
      <c r="T407" s="842">
        <v>70263.8</v>
      </c>
      <c r="U407" s="842">
        <v>74360.06</v>
      </c>
      <c r="V407" s="842">
        <v>78174.34</v>
      </c>
      <c r="W407" s="842">
        <v>73714.81</v>
      </c>
      <c r="X407" s="842">
        <v>75109.38</v>
      </c>
      <c r="Y407" s="842">
        <v>46487.68</v>
      </c>
      <c r="Z407" s="842">
        <v>31851.52</v>
      </c>
      <c r="AA407" s="842">
        <v>32070.78</v>
      </c>
      <c r="AB407" s="842">
        <v>47756.54</v>
      </c>
      <c r="AC407" s="842">
        <v>69521.41</v>
      </c>
      <c r="AD407" s="842">
        <v>67296.259999999995</v>
      </c>
      <c r="AE407" s="842">
        <v>82713.47</v>
      </c>
      <c r="AF407" s="842">
        <v>67385.86</v>
      </c>
      <c r="AG407" s="842">
        <v>67023.23</v>
      </c>
      <c r="AH407" s="842">
        <v>80250.37</v>
      </c>
      <c r="AI407" s="842">
        <v>71232</v>
      </c>
      <c r="AJ407" s="842">
        <v>77889.789999999994</v>
      </c>
      <c r="AK407" s="842"/>
      <c r="AL407" s="842"/>
      <c r="AM407" s="842"/>
      <c r="AN407" s="842"/>
      <c r="AO407" s="842"/>
      <c r="AP407" s="842"/>
      <c r="AQ407" s="842"/>
    </row>
    <row r="408" spans="2:43">
      <c r="B408" s="839" t="s">
        <v>1169</v>
      </c>
      <c r="C408" s="839">
        <v>10797</v>
      </c>
      <c r="D408" s="839">
        <v>22663</v>
      </c>
      <c r="E408" s="839">
        <v>34932</v>
      </c>
      <c r="F408" s="839">
        <v>32123</v>
      </c>
      <c r="G408" s="839">
        <v>38798</v>
      </c>
      <c r="H408" s="839">
        <v>35793</v>
      </c>
      <c r="I408" s="839">
        <v>39007</v>
      </c>
      <c r="J408" s="839">
        <v>39638</v>
      </c>
      <c r="K408" s="839">
        <v>37258</v>
      </c>
      <c r="L408" s="840">
        <v>37544.80078125</v>
      </c>
      <c r="M408" s="840">
        <v>21894.3046875</v>
      </c>
      <c r="N408" s="840">
        <v>11226.3</v>
      </c>
      <c r="O408" s="840">
        <v>20841.82</v>
      </c>
      <c r="P408" s="840">
        <v>27329.66</v>
      </c>
      <c r="Q408" s="840">
        <v>35240.86</v>
      </c>
      <c r="R408" s="840">
        <v>29380.74</v>
      </c>
      <c r="S408" s="840">
        <v>34368.26</v>
      </c>
      <c r="T408" s="840">
        <v>33180.730000000003</v>
      </c>
      <c r="U408" s="840">
        <v>34310.79</v>
      </c>
      <c r="V408" s="840">
        <v>35030.53</v>
      </c>
      <c r="W408" s="840">
        <v>32375.55</v>
      </c>
      <c r="X408" s="840">
        <v>33761.410000000003</v>
      </c>
      <c r="Y408" s="840">
        <v>20828.22</v>
      </c>
      <c r="Z408" s="840">
        <v>12063.81</v>
      </c>
      <c r="AA408" s="840">
        <v>12713.66</v>
      </c>
      <c r="AB408" s="840">
        <v>21837.57</v>
      </c>
      <c r="AC408" s="840">
        <v>30051.9</v>
      </c>
      <c r="AD408" s="840">
        <v>29159.68</v>
      </c>
      <c r="AE408" s="840">
        <v>37514.18</v>
      </c>
      <c r="AF408" s="840">
        <v>31390.720000000001</v>
      </c>
      <c r="AG408" s="840">
        <v>30857.73</v>
      </c>
      <c r="AH408" s="840">
        <v>35086.339999999997</v>
      </c>
      <c r="AI408" s="840">
        <v>31438.85</v>
      </c>
      <c r="AJ408" s="840">
        <v>34643.9</v>
      </c>
      <c r="AK408" s="840"/>
      <c r="AL408" s="840"/>
      <c r="AM408" s="840"/>
      <c r="AN408" s="840"/>
      <c r="AO408" s="840"/>
      <c r="AP408" s="840"/>
      <c r="AQ408" s="840"/>
    </row>
    <row r="409" spans="2:43">
      <c r="B409" s="837" t="s">
        <v>1170</v>
      </c>
      <c r="C409" s="837">
        <v>8721</v>
      </c>
      <c r="D409" s="837">
        <v>9543</v>
      </c>
      <c r="E409" s="837">
        <v>14386</v>
      </c>
      <c r="F409" s="837">
        <v>12982</v>
      </c>
      <c r="G409" s="837">
        <v>16656</v>
      </c>
      <c r="H409" s="837">
        <v>16668</v>
      </c>
      <c r="I409" s="837">
        <v>18137</v>
      </c>
      <c r="J409" s="837">
        <v>19258</v>
      </c>
      <c r="K409" s="837">
        <v>17618</v>
      </c>
      <c r="L409" s="838">
        <v>17125.263671875</v>
      </c>
      <c r="M409" s="838">
        <v>10671.2158203125</v>
      </c>
      <c r="N409" s="838">
        <v>8990.59</v>
      </c>
      <c r="O409" s="838">
        <v>8205.23</v>
      </c>
      <c r="P409" s="838">
        <v>9680.8799999999992</v>
      </c>
      <c r="Q409" s="838">
        <v>15385.92</v>
      </c>
      <c r="R409" s="838">
        <v>13842.72</v>
      </c>
      <c r="S409" s="838">
        <v>17115.580000000002</v>
      </c>
      <c r="T409" s="838">
        <v>14781.92</v>
      </c>
      <c r="U409" s="838">
        <v>15982.43</v>
      </c>
      <c r="V409" s="838">
        <v>17414.11</v>
      </c>
      <c r="W409" s="838">
        <v>16351.49</v>
      </c>
      <c r="X409" s="838">
        <v>16034.56</v>
      </c>
      <c r="Y409" s="838">
        <v>10931.01</v>
      </c>
      <c r="Z409" s="838">
        <v>8614.75</v>
      </c>
      <c r="AA409" s="838">
        <v>8556.64</v>
      </c>
      <c r="AB409" s="838">
        <v>10651.62</v>
      </c>
      <c r="AC409" s="838">
        <v>15474.4</v>
      </c>
      <c r="AD409" s="838">
        <v>15450.27</v>
      </c>
      <c r="AE409" s="838">
        <v>18502.21</v>
      </c>
      <c r="AF409" s="838">
        <v>14432.29</v>
      </c>
      <c r="AG409" s="838">
        <v>14154.75</v>
      </c>
      <c r="AH409" s="838">
        <v>18677.310000000001</v>
      </c>
      <c r="AI409" s="838">
        <v>16458.240000000002</v>
      </c>
      <c r="AJ409" s="838">
        <v>18324.990000000002</v>
      </c>
      <c r="AK409" s="838"/>
      <c r="AL409" s="838"/>
      <c r="AM409" s="838"/>
      <c r="AN409" s="838"/>
      <c r="AO409" s="838"/>
      <c r="AP409" s="838"/>
      <c r="AQ409" s="838"/>
    </row>
    <row r="410" spans="2:43" s="473" customFormat="1">
      <c r="B410" s="839" t="s">
        <v>1171</v>
      </c>
      <c r="C410" s="839">
        <v>7315</v>
      </c>
      <c r="D410" s="839">
        <v>8522</v>
      </c>
      <c r="E410" s="839">
        <v>13591</v>
      </c>
      <c r="F410" s="839">
        <v>12730</v>
      </c>
      <c r="G410" s="839">
        <v>15735</v>
      </c>
      <c r="H410" s="839">
        <v>15735</v>
      </c>
      <c r="I410" s="839">
        <v>14984</v>
      </c>
      <c r="J410" s="839">
        <v>15176</v>
      </c>
      <c r="K410" s="839">
        <v>15052</v>
      </c>
      <c r="L410" s="840">
        <v>15583.423828125</v>
      </c>
      <c r="M410" s="840">
        <v>10038.5283203125</v>
      </c>
      <c r="N410" s="840">
        <v>7579.07</v>
      </c>
      <c r="O410" s="840">
        <v>7281.84</v>
      </c>
      <c r="P410" s="840">
        <v>9393.25</v>
      </c>
      <c r="Q410" s="840">
        <v>13633.38</v>
      </c>
      <c r="R410" s="840">
        <v>12232.19</v>
      </c>
      <c r="S410" s="840">
        <v>15124.16</v>
      </c>
      <c r="T410" s="840">
        <v>12757.55</v>
      </c>
      <c r="U410" s="840">
        <v>14067.49</v>
      </c>
      <c r="V410" s="840">
        <v>14814.99</v>
      </c>
      <c r="W410" s="840">
        <v>14343.76</v>
      </c>
      <c r="X410" s="840">
        <v>14662.24</v>
      </c>
      <c r="Y410" s="840">
        <v>9494.82</v>
      </c>
      <c r="Z410" s="840">
        <v>7609.92</v>
      </c>
      <c r="AA410" s="840">
        <v>7363.04</v>
      </c>
      <c r="AB410" s="840">
        <v>9770.69</v>
      </c>
      <c r="AC410" s="840">
        <v>14343.81</v>
      </c>
      <c r="AD410" s="840">
        <v>13548.86</v>
      </c>
      <c r="AE410" s="840">
        <v>16121.28</v>
      </c>
      <c r="AF410" s="840">
        <v>12770.82</v>
      </c>
      <c r="AG410" s="840">
        <v>13090.91</v>
      </c>
      <c r="AH410" s="840">
        <v>15982.66</v>
      </c>
      <c r="AI410" s="840">
        <v>13798.34</v>
      </c>
      <c r="AJ410" s="840">
        <v>14682.02</v>
      </c>
      <c r="AK410" s="840"/>
      <c r="AL410" s="840"/>
      <c r="AM410" s="840"/>
      <c r="AN410" s="840"/>
      <c r="AO410" s="840"/>
      <c r="AP410" s="840"/>
      <c r="AQ410" s="840"/>
    </row>
    <row r="411" spans="2:43">
      <c r="B411" s="837" t="s">
        <v>1172</v>
      </c>
      <c r="C411" s="837">
        <v>68</v>
      </c>
      <c r="D411" s="837">
        <v>281</v>
      </c>
      <c r="E411" s="837">
        <v>634</v>
      </c>
      <c r="F411" s="837">
        <v>590</v>
      </c>
      <c r="G411" s="837">
        <v>721</v>
      </c>
      <c r="H411" s="837">
        <v>623</v>
      </c>
      <c r="I411" s="837">
        <v>623</v>
      </c>
      <c r="J411" s="837">
        <v>782</v>
      </c>
      <c r="K411" s="837">
        <v>782</v>
      </c>
      <c r="L411" s="838">
        <v>798.72698974609375</v>
      </c>
      <c r="M411" s="838">
        <v>329.67800903320313</v>
      </c>
      <c r="N411" s="838">
        <v>48.88</v>
      </c>
      <c r="O411" s="838">
        <v>382.28</v>
      </c>
      <c r="P411" s="838">
        <v>527.01</v>
      </c>
      <c r="Q411" s="838">
        <v>890.77</v>
      </c>
      <c r="R411" s="838">
        <v>861.64</v>
      </c>
      <c r="S411" s="838">
        <v>969.56</v>
      </c>
      <c r="T411" s="838">
        <v>897.43</v>
      </c>
      <c r="U411" s="838">
        <v>856.19</v>
      </c>
      <c r="V411" s="838">
        <v>1140.53</v>
      </c>
      <c r="W411" s="838">
        <v>991.99</v>
      </c>
      <c r="X411" s="838">
        <v>1009.42</v>
      </c>
      <c r="Y411" s="838">
        <v>344.49</v>
      </c>
      <c r="Z411" s="838">
        <v>95.18</v>
      </c>
      <c r="AA411" s="838">
        <v>82.45</v>
      </c>
      <c r="AB411" s="838">
        <v>318.56</v>
      </c>
      <c r="AC411" s="838">
        <v>831.42</v>
      </c>
      <c r="AD411" s="838">
        <v>851.19</v>
      </c>
      <c r="AE411" s="838">
        <v>970.27</v>
      </c>
      <c r="AF411" s="838">
        <v>821.78</v>
      </c>
      <c r="AG411" s="838">
        <v>779.02</v>
      </c>
      <c r="AH411" s="838">
        <v>978.76</v>
      </c>
      <c r="AI411" s="838">
        <v>876.53</v>
      </c>
      <c r="AJ411" s="838">
        <v>902.4</v>
      </c>
      <c r="AK411" s="838"/>
      <c r="AL411" s="838"/>
      <c r="AM411" s="838"/>
      <c r="AN411" s="838"/>
      <c r="AO411" s="838"/>
      <c r="AP411" s="838"/>
      <c r="AQ411" s="838"/>
    </row>
    <row r="412" spans="2:43">
      <c r="B412" s="839" t="s">
        <v>1173</v>
      </c>
      <c r="C412" s="839">
        <v>76</v>
      </c>
      <c r="D412" s="839">
        <v>339</v>
      </c>
      <c r="E412" s="839">
        <v>792</v>
      </c>
      <c r="F412" s="839">
        <v>685</v>
      </c>
      <c r="G412" s="839">
        <v>843</v>
      </c>
      <c r="H412" s="839">
        <v>716</v>
      </c>
      <c r="I412" s="839">
        <v>800</v>
      </c>
      <c r="J412" s="839">
        <v>599</v>
      </c>
      <c r="K412" s="839">
        <v>537</v>
      </c>
      <c r="L412" s="840">
        <v>504.10299682617188</v>
      </c>
      <c r="M412" s="840">
        <v>221.66299438476563</v>
      </c>
      <c r="N412" s="840">
        <v>90.97</v>
      </c>
      <c r="O412" s="840">
        <v>341.37</v>
      </c>
      <c r="P412" s="840">
        <v>537.36</v>
      </c>
      <c r="Q412" s="840">
        <v>850.16</v>
      </c>
      <c r="R412" s="840">
        <v>809.11</v>
      </c>
      <c r="S412" s="840">
        <v>1000.01</v>
      </c>
      <c r="T412" s="840">
        <v>845.56</v>
      </c>
      <c r="U412" s="840">
        <v>845.46</v>
      </c>
      <c r="V412" s="840">
        <v>889.7</v>
      </c>
      <c r="W412" s="840">
        <v>913.51</v>
      </c>
      <c r="X412" s="840">
        <v>958.62</v>
      </c>
      <c r="Y412" s="840">
        <v>402.62</v>
      </c>
      <c r="Z412" s="840">
        <v>80.010000000000005</v>
      </c>
      <c r="AA412" s="840">
        <v>77.75</v>
      </c>
      <c r="AB412" s="840">
        <v>311.69</v>
      </c>
      <c r="AC412" s="840">
        <v>681.85</v>
      </c>
      <c r="AD412" s="840">
        <v>652</v>
      </c>
      <c r="AE412" s="840">
        <v>823.01</v>
      </c>
      <c r="AF412" s="840">
        <v>569.70000000000005</v>
      </c>
      <c r="AG412" s="840">
        <v>509.16</v>
      </c>
      <c r="AH412" s="840">
        <v>742.86</v>
      </c>
      <c r="AI412" s="840">
        <v>596.09</v>
      </c>
      <c r="AJ412" s="840">
        <v>789.54</v>
      </c>
      <c r="AK412" s="840"/>
      <c r="AL412" s="840"/>
      <c r="AM412" s="840"/>
      <c r="AN412" s="840"/>
      <c r="AO412" s="840"/>
      <c r="AP412" s="840"/>
      <c r="AQ412" s="840"/>
    </row>
    <row r="413" spans="2:43">
      <c r="B413" s="837" t="s">
        <v>1174</v>
      </c>
      <c r="C413" s="837">
        <v>135</v>
      </c>
      <c r="D413" s="837">
        <v>439</v>
      </c>
      <c r="E413" s="837">
        <v>792</v>
      </c>
      <c r="F413" s="837">
        <v>665</v>
      </c>
      <c r="G413" s="837">
        <v>842</v>
      </c>
      <c r="H413" s="837">
        <v>702</v>
      </c>
      <c r="I413" s="837">
        <v>769</v>
      </c>
      <c r="J413" s="837">
        <v>911</v>
      </c>
      <c r="K413" s="837">
        <v>851</v>
      </c>
      <c r="L413" s="838">
        <v>870.92352294921875</v>
      </c>
      <c r="M413" s="838">
        <v>390.052001953125</v>
      </c>
      <c r="N413" s="838">
        <v>119.27</v>
      </c>
      <c r="O413" s="838">
        <v>449.21</v>
      </c>
      <c r="P413" s="838">
        <v>617.04999999999995</v>
      </c>
      <c r="Q413" s="838">
        <v>772.18</v>
      </c>
      <c r="R413" s="838">
        <v>694.31</v>
      </c>
      <c r="S413" s="838">
        <v>829.02</v>
      </c>
      <c r="T413" s="838">
        <v>665.78</v>
      </c>
      <c r="U413" s="838">
        <v>700.69</v>
      </c>
      <c r="V413" s="838">
        <v>869.98</v>
      </c>
      <c r="W413" s="838">
        <v>924.15</v>
      </c>
      <c r="X413" s="838">
        <v>927.37</v>
      </c>
      <c r="Y413" s="838">
        <v>321.5</v>
      </c>
      <c r="Z413" s="838">
        <v>110.7</v>
      </c>
      <c r="AA413" s="838">
        <v>108.23</v>
      </c>
      <c r="AB413" s="838">
        <v>446.86</v>
      </c>
      <c r="AC413" s="838">
        <v>766.37</v>
      </c>
      <c r="AD413" s="838">
        <v>675.8</v>
      </c>
      <c r="AE413" s="838">
        <v>840.76</v>
      </c>
      <c r="AF413" s="838">
        <v>611.30999999999995</v>
      </c>
      <c r="AG413" s="838">
        <v>593.91</v>
      </c>
      <c r="AH413" s="838">
        <v>800.37</v>
      </c>
      <c r="AI413" s="838">
        <v>638.29999999999995</v>
      </c>
      <c r="AJ413" s="838">
        <v>743.96</v>
      </c>
      <c r="AK413" s="838"/>
      <c r="AL413" s="838"/>
      <c r="AM413" s="838"/>
      <c r="AN413" s="838"/>
      <c r="AO413" s="838"/>
      <c r="AP413" s="838"/>
      <c r="AQ413" s="838"/>
    </row>
    <row r="414" spans="2:43">
      <c r="B414" s="839" t="s">
        <v>1175</v>
      </c>
      <c r="C414" s="839">
        <v>517</v>
      </c>
      <c r="D414" s="839">
        <v>844</v>
      </c>
      <c r="E414" s="839">
        <v>1288</v>
      </c>
      <c r="F414" s="839">
        <v>1182</v>
      </c>
      <c r="G414" s="839">
        <v>1495</v>
      </c>
      <c r="H414" s="839">
        <v>1218</v>
      </c>
      <c r="I414" s="839">
        <v>1448</v>
      </c>
      <c r="J414" s="839">
        <v>1849</v>
      </c>
      <c r="K414" s="839">
        <v>1378</v>
      </c>
      <c r="L414" s="840">
        <v>1481.7939453125</v>
      </c>
      <c r="M414" s="840">
        <v>887.73101806640625</v>
      </c>
      <c r="N414" s="840">
        <v>565.97</v>
      </c>
      <c r="O414" s="840">
        <v>843.34</v>
      </c>
      <c r="P414" s="840">
        <v>892</v>
      </c>
      <c r="Q414" s="840">
        <v>1321.85</v>
      </c>
      <c r="R414" s="840">
        <v>1230.72</v>
      </c>
      <c r="S414" s="840">
        <v>1373.76</v>
      </c>
      <c r="T414" s="840">
        <v>1157.8499999999999</v>
      </c>
      <c r="U414" s="840">
        <v>1217.5899999999999</v>
      </c>
      <c r="V414" s="840">
        <v>1366</v>
      </c>
      <c r="W414" s="840">
        <v>1282.6199999999999</v>
      </c>
      <c r="X414" s="840">
        <v>1279.74</v>
      </c>
      <c r="Y414" s="840">
        <v>375.66</v>
      </c>
      <c r="Z414" s="840">
        <v>198.65</v>
      </c>
      <c r="AA414" s="840">
        <v>156.62</v>
      </c>
      <c r="AB414" s="840">
        <v>539.44000000000005</v>
      </c>
      <c r="AC414" s="840">
        <v>1448.19</v>
      </c>
      <c r="AD414" s="840">
        <v>1399.45</v>
      </c>
      <c r="AE414" s="840">
        <v>1606.59</v>
      </c>
      <c r="AF414" s="840">
        <v>1294.1199999999999</v>
      </c>
      <c r="AG414" s="840">
        <v>1284.57</v>
      </c>
      <c r="AH414" s="840">
        <v>1572.15</v>
      </c>
      <c r="AI414" s="840">
        <v>1416.57</v>
      </c>
      <c r="AJ414" s="840">
        <v>1474.78</v>
      </c>
      <c r="AK414" s="840"/>
      <c r="AL414" s="840"/>
      <c r="AM414" s="840"/>
      <c r="AN414" s="840"/>
      <c r="AO414" s="840"/>
      <c r="AP414" s="840"/>
      <c r="AQ414" s="840"/>
    </row>
    <row r="415" spans="2:43">
      <c r="B415" s="837" t="s">
        <v>1176</v>
      </c>
      <c r="C415" s="837">
        <v>2696</v>
      </c>
      <c r="D415" s="837">
        <v>3387</v>
      </c>
      <c r="E415" s="837">
        <v>5095</v>
      </c>
      <c r="F415" s="837">
        <v>4646</v>
      </c>
      <c r="G415" s="837">
        <v>5594</v>
      </c>
      <c r="H415" s="837">
        <v>4902</v>
      </c>
      <c r="I415" s="837">
        <v>5250</v>
      </c>
      <c r="J415" s="837">
        <v>5678</v>
      </c>
      <c r="K415" s="837">
        <v>5402</v>
      </c>
      <c r="L415" s="838">
        <v>5615.10009765625</v>
      </c>
      <c r="M415" s="838">
        <v>3728.81591796875</v>
      </c>
      <c r="N415" s="838">
        <v>2763.98</v>
      </c>
      <c r="O415" s="838">
        <v>2769.35</v>
      </c>
      <c r="P415" s="838">
        <v>3654.74</v>
      </c>
      <c r="Q415" s="838">
        <v>5370.12</v>
      </c>
      <c r="R415" s="838">
        <v>5045.3900000000003</v>
      </c>
      <c r="S415" s="838">
        <v>6030.18</v>
      </c>
      <c r="T415" s="838">
        <v>5373.41</v>
      </c>
      <c r="U415" s="838">
        <v>5749.94</v>
      </c>
      <c r="V415" s="838">
        <v>6046.66</v>
      </c>
      <c r="W415" s="838">
        <v>5946.14</v>
      </c>
      <c r="X415" s="838">
        <v>5884.32</v>
      </c>
      <c r="Y415" s="838">
        <v>3126.06</v>
      </c>
      <c r="Z415" s="838">
        <v>2388.6799999999998</v>
      </c>
      <c r="AA415" s="838">
        <v>2294.0300000000002</v>
      </c>
      <c r="AB415" s="838">
        <v>3141.13</v>
      </c>
      <c r="AC415" s="838">
        <v>5184.67</v>
      </c>
      <c r="AD415" s="838">
        <v>4836.66</v>
      </c>
      <c r="AE415" s="838">
        <v>5607.38</v>
      </c>
      <c r="AF415" s="838">
        <v>4827.6000000000004</v>
      </c>
      <c r="AG415" s="838">
        <v>4837.55</v>
      </c>
      <c r="AH415" s="838">
        <v>5686.7</v>
      </c>
      <c r="AI415" s="838">
        <v>5286.85</v>
      </c>
      <c r="AJ415" s="838">
        <v>5626.24</v>
      </c>
      <c r="AK415" s="838"/>
      <c r="AL415" s="838"/>
      <c r="AM415" s="838"/>
      <c r="AN415" s="838"/>
      <c r="AO415" s="838"/>
      <c r="AP415" s="838"/>
      <c r="AQ415" s="838"/>
    </row>
    <row r="416" spans="2:43">
      <c r="B416" s="843" t="s">
        <v>1177</v>
      </c>
      <c r="C416" s="843">
        <v>4469</v>
      </c>
      <c r="D416" s="843">
        <v>3913</v>
      </c>
      <c r="E416" s="843">
        <v>4826</v>
      </c>
      <c r="F416" s="843">
        <v>2382</v>
      </c>
      <c r="G416" s="843">
        <v>10780</v>
      </c>
      <c r="H416" s="843">
        <v>12921</v>
      </c>
      <c r="I416" s="843">
        <v>19863</v>
      </c>
      <c r="J416" s="843">
        <v>19315</v>
      </c>
      <c r="K416" s="843">
        <v>17922</v>
      </c>
      <c r="L416" s="844">
        <v>18333.392578125</v>
      </c>
      <c r="M416" s="844">
        <v>17771.50390625</v>
      </c>
      <c r="N416" s="844">
        <v>17248.22</v>
      </c>
      <c r="O416" s="844">
        <v>18022.48</v>
      </c>
      <c r="P416" s="844">
        <v>15486.7</v>
      </c>
      <c r="Q416" s="844">
        <v>17516.93</v>
      </c>
      <c r="R416" s="844">
        <v>16759.939999999999</v>
      </c>
      <c r="S416" s="844">
        <v>19132.46</v>
      </c>
      <c r="T416" s="844">
        <v>19265.97</v>
      </c>
      <c r="U416" s="844">
        <v>20019.22</v>
      </c>
      <c r="V416" s="844">
        <v>20844.32</v>
      </c>
      <c r="W416" s="844">
        <v>18508.93</v>
      </c>
      <c r="X416" s="844">
        <v>18371.580000000002</v>
      </c>
      <c r="Y416" s="844">
        <v>17280.830000000002</v>
      </c>
      <c r="Z416" s="844">
        <v>16408.45</v>
      </c>
      <c r="AA416" s="844">
        <v>17755.2</v>
      </c>
      <c r="AB416" s="844">
        <v>16607.009999999998</v>
      </c>
      <c r="AC416" s="844">
        <v>18131.07</v>
      </c>
      <c r="AD416" s="844">
        <v>18457.47</v>
      </c>
      <c r="AE416" s="844">
        <v>19429.73</v>
      </c>
      <c r="AF416" s="844">
        <v>17349.060000000001</v>
      </c>
      <c r="AG416" s="844">
        <v>18795.39</v>
      </c>
      <c r="AH416" s="844">
        <v>18683.36</v>
      </c>
      <c r="AI416" s="844">
        <v>17619.490000000002</v>
      </c>
      <c r="AJ416" s="844">
        <v>18099.62</v>
      </c>
      <c r="AK416" s="844"/>
      <c r="AL416" s="844"/>
      <c r="AM416" s="844"/>
      <c r="AN416" s="844"/>
      <c r="AO416" s="844"/>
      <c r="AP416" s="844"/>
      <c r="AQ416" s="844"/>
    </row>
    <row r="417" spans="2:43">
      <c r="B417" s="837" t="s">
        <v>1178</v>
      </c>
      <c r="C417" s="837">
        <v>0</v>
      </c>
      <c r="D417" s="837">
        <v>0</v>
      </c>
      <c r="E417" s="837">
        <v>1</v>
      </c>
      <c r="F417" s="837">
        <v>1</v>
      </c>
      <c r="G417" s="837">
        <v>2599</v>
      </c>
      <c r="H417" s="837">
        <v>3859</v>
      </c>
      <c r="I417" s="837">
        <v>4064</v>
      </c>
      <c r="J417" s="837">
        <v>4075</v>
      </c>
      <c r="K417" s="837">
        <v>3294</v>
      </c>
      <c r="L417" s="838">
        <v>2994</v>
      </c>
      <c r="M417" s="838">
        <v>2896.610107421875</v>
      </c>
      <c r="N417" s="838">
        <v>2849.37</v>
      </c>
      <c r="O417" s="838">
        <v>3218.73</v>
      </c>
      <c r="P417" s="838">
        <v>2892.58</v>
      </c>
      <c r="Q417" s="838">
        <v>3311.93</v>
      </c>
      <c r="R417" s="838">
        <v>3340.54</v>
      </c>
      <c r="S417" s="838">
        <v>3971.19</v>
      </c>
      <c r="T417" s="838">
        <v>3890.8</v>
      </c>
      <c r="U417" s="838">
        <v>3982.46</v>
      </c>
      <c r="V417" s="838">
        <v>4136.49</v>
      </c>
      <c r="W417" s="838">
        <v>3725.63</v>
      </c>
      <c r="X417" s="838">
        <v>3630.74</v>
      </c>
      <c r="Y417" s="838">
        <v>3573.06</v>
      </c>
      <c r="Z417" s="838">
        <v>3523.02</v>
      </c>
      <c r="AA417" s="838">
        <v>3538.38</v>
      </c>
      <c r="AB417" s="838">
        <v>3296.82</v>
      </c>
      <c r="AC417" s="838">
        <v>3876.12</v>
      </c>
      <c r="AD417" s="838">
        <v>4418.7299999999996</v>
      </c>
      <c r="AE417" s="838">
        <v>3999.95</v>
      </c>
      <c r="AF417" s="838">
        <v>3499.84</v>
      </c>
      <c r="AG417" s="838">
        <v>3864.55</v>
      </c>
      <c r="AH417" s="838">
        <v>3860.77</v>
      </c>
      <c r="AI417" s="838">
        <v>3573.57</v>
      </c>
      <c r="AJ417" s="838">
        <v>3868.88</v>
      </c>
      <c r="AK417" s="838"/>
      <c r="AL417" s="838"/>
      <c r="AM417" s="838"/>
      <c r="AN417" s="838"/>
      <c r="AO417" s="838"/>
      <c r="AP417" s="838"/>
      <c r="AQ417" s="838"/>
    </row>
    <row r="418" spans="2:43">
      <c r="B418" s="839" t="s">
        <v>1179</v>
      </c>
      <c r="C418" s="839">
        <v>0</v>
      </c>
      <c r="D418" s="839">
        <v>0</v>
      </c>
      <c r="E418" s="839">
        <v>1</v>
      </c>
      <c r="F418" s="839">
        <v>1</v>
      </c>
      <c r="G418" s="839">
        <v>89</v>
      </c>
      <c r="H418" s="839">
        <v>145</v>
      </c>
      <c r="I418" s="839">
        <v>211</v>
      </c>
      <c r="J418" s="839">
        <v>542</v>
      </c>
      <c r="K418" s="839">
        <v>303</v>
      </c>
      <c r="L418" s="840">
        <v>309.76736450195313</v>
      </c>
      <c r="M418" s="840">
        <v>1122.8209228515625</v>
      </c>
      <c r="N418" s="840">
        <v>1114.01</v>
      </c>
      <c r="O418" s="840">
        <v>1352.4</v>
      </c>
      <c r="P418" s="840">
        <v>136.35</v>
      </c>
      <c r="Q418" s="840">
        <v>151.62</v>
      </c>
      <c r="R418" s="840">
        <v>148.66</v>
      </c>
      <c r="S418" s="840">
        <v>157.01</v>
      </c>
      <c r="T418" s="840">
        <v>215.24</v>
      </c>
      <c r="U418" s="840">
        <v>491.88</v>
      </c>
      <c r="V418" s="840">
        <v>493.08</v>
      </c>
      <c r="W418" s="840">
        <v>578.66</v>
      </c>
      <c r="X418" s="840">
        <v>780.01</v>
      </c>
      <c r="Y418" s="840">
        <v>234.42</v>
      </c>
      <c r="Z418" s="840">
        <v>938.46</v>
      </c>
      <c r="AA418" s="840">
        <v>1615.52</v>
      </c>
      <c r="AB418" s="840">
        <v>1508.5</v>
      </c>
      <c r="AC418" s="840">
        <v>926.99</v>
      </c>
      <c r="AD418" s="840">
        <v>707.21</v>
      </c>
      <c r="AE418" s="840">
        <v>703.51</v>
      </c>
      <c r="AF418" s="840">
        <v>170.59</v>
      </c>
      <c r="AG418" s="840">
        <v>196.97</v>
      </c>
      <c r="AH418" s="840">
        <v>286.38</v>
      </c>
      <c r="AI418" s="840">
        <v>380.66</v>
      </c>
      <c r="AJ418" s="840">
        <v>557.91</v>
      </c>
      <c r="AK418" s="840"/>
      <c r="AL418" s="840"/>
      <c r="AM418" s="840"/>
      <c r="AN418" s="840"/>
      <c r="AO418" s="840"/>
      <c r="AP418" s="840"/>
      <c r="AQ418" s="840"/>
    </row>
    <row r="419" spans="2:43" s="473" customFormat="1">
      <c r="B419" s="837" t="s">
        <v>1180</v>
      </c>
      <c r="C419" s="837">
        <v>0</v>
      </c>
      <c r="D419" s="837">
        <v>0</v>
      </c>
      <c r="E419" s="837">
        <v>1</v>
      </c>
      <c r="F419" s="837">
        <v>1</v>
      </c>
      <c r="G419" s="837">
        <v>1505</v>
      </c>
      <c r="H419" s="837">
        <v>2564</v>
      </c>
      <c r="I419" s="837">
        <v>2587</v>
      </c>
      <c r="J419" s="837">
        <v>2570</v>
      </c>
      <c r="K419" s="837">
        <v>2532</v>
      </c>
      <c r="L419" s="838">
        <v>2673.70703125</v>
      </c>
      <c r="M419" s="838">
        <v>2751.033935546875</v>
      </c>
      <c r="N419" s="838">
        <v>2661.17</v>
      </c>
      <c r="O419" s="838">
        <v>2722.6</v>
      </c>
      <c r="P419" s="838">
        <v>2527.92</v>
      </c>
      <c r="Q419" s="838">
        <v>2820.57</v>
      </c>
      <c r="R419" s="838">
        <v>2499.52</v>
      </c>
      <c r="S419" s="838">
        <v>2836.99</v>
      </c>
      <c r="T419" s="838">
        <v>2710.34</v>
      </c>
      <c r="U419" s="838">
        <v>2690.63</v>
      </c>
      <c r="V419" s="838">
        <v>2789.88</v>
      </c>
      <c r="W419" s="838">
        <v>2609.64</v>
      </c>
      <c r="X419" s="838">
        <v>2687.04</v>
      </c>
      <c r="Y419" s="838">
        <v>2615.62</v>
      </c>
      <c r="Z419" s="838">
        <v>2503.92</v>
      </c>
      <c r="AA419" s="838">
        <v>2618.4899999999998</v>
      </c>
      <c r="AB419" s="838">
        <v>2502.84</v>
      </c>
      <c r="AC419" s="838">
        <v>2573.88</v>
      </c>
      <c r="AD419" s="838">
        <v>2452.41</v>
      </c>
      <c r="AE419" s="838">
        <v>2688.04</v>
      </c>
      <c r="AF419" s="838">
        <v>2540.27</v>
      </c>
      <c r="AG419" s="838">
        <v>2673.52</v>
      </c>
      <c r="AH419" s="838">
        <v>2582.5100000000002</v>
      </c>
      <c r="AI419" s="838">
        <v>2593.62</v>
      </c>
      <c r="AJ419" s="838">
        <v>2619.79</v>
      </c>
      <c r="AK419" s="838"/>
      <c r="AL419" s="838"/>
      <c r="AM419" s="838"/>
      <c r="AN419" s="838"/>
      <c r="AO419" s="838"/>
      <c r="AP419" s="838"/>
      <c r="AQ419" s="838"/>
    </row>
    <row r="420" spans="2:43">
      <c r="B420" s="839" t="s">
        <v>1181</v>
      </c>
      <c r="C420" s="839">
        <v>0</v>
      </c>
      <c r="D420" s="839">
        <v>0</v>
      </c>
      <c r="E420" s="839">
        <v>1</v>
      </c>
      <c r="F420" s="839">
        <v>1</v>
      </c>
      <c r="G420" s="839">
        <v>1384</v>
      </c>
      <c r="H420" s="839">
        <v>2396</v>
      </c>
      <c r="I420" s="839">
        <v>2503</v>
      </c>
      <c r="J420" s="839">
        <v>2494</v>
      </c>
      <c r="K420" s="839">
        <v>2526</v>
      </c>
      <c r="L420" s="840">
        <v>2624.18701171875</v>
      </c>
      <c r="M420" s="840">
        <v>2743.9150390625</v>
      </c>
      <c r="N420" s="840">
        <v>2655.12</v>
      </c>
      <c r="O420" s="840">
        <v>2714.48</v>
      </c>
      <c r="P420" s="840">
        <v>2580.85</v>
      </c>
      <c r="Q420" s="840">
        <v>2825.73</v>
      </c>
      <c r="R420" s="840">
        <v>2465.48</v>
      </c>
      <c r="S420" s="840">
        <v>2837.12</v>
      </c>
      <c r="T420" s="840">
        <v>2749.95</v>
      </c>
      <c r="U420" s="840">
        <v>2759.72</v>
      </c>
      <c r="V420" s="840">
        <v>2850.63</v>
      </c>
      <c r="W420" s="840">
        <v>2553.7800000000002</v>
      </c>
      <c r="X420" s="840">
        <v>2656.55</v>
      </c>
      <c r="Y420" s="840">
        <v>2603.92</v>
      </c>
      <c r="Z420" s="840">
        <v>2469.65</v>
      </c>
      <c r="AA420" s="840">
        <v>2542.84</v>
      </c>
      <c r="AB420" s="840">
        <v>2429.92</v>
      </c>
      <c r="AC420" s="840">
        <v>2552.0700000000002</v>
      </c>
      <c r="AD420" s="840">
        <v>2444.81</v>
      </c>
      <c r="AE420" s="840">
        <v>2581.34</v>
      </c>
      <c r="AF420" s="840">
        <v>2404.2600000000002</v>
      </c>
      <c r="AG420" s="840">
        <v>2639.7</v>
      </c>
      <c r="AH420" s="840">
        <v>2588.0300000000002</v>
      </c>
      <c r="AI420" s="840">
        <v>2525.9899999999998</v>
      </c>
      <c r="AJ420" s="840">
        <v>2585.6999999999998</v>
      </c>
      <c r="AK420" s="840"/>
      <c r="AL420" s="840"/>
      <c r="AM420" s="840"/>
      <c r="AN420" s="840"/>
      <c r="AO420" s="840"/>
      <c r="AP420" s="840"/>
      <c r="AQ420" s="840"/>
    </row>
    <row r="421" spans="2:43">
      <c r="B421" s="837" t="s">
        <v>1182</v>
      </c>
      <c r="C421" s="837">
        <v>0</v>
      </c>
      <c r="D421" s="837">
        <v>0</v>
      </c>
      <c r="E421" s="837">
        <v>1</v>
      </c>
      <c r="F421" s="837">
        <v>1</v>
      </c>
      <c r="G421" s="837">
        <v>1855</v>
      </c>
      <c r="H421" s="837">
        <v>2988</v>
      </c>
      <c r="I421" s="837">
        <v>3130</v>
      </c>
      <c r="J421" s="837">
        <v>3099</v>
      </c>
      <c r="K421" s="837">
        <v>3102</v>
      </c>
      <c r="L421" s="838">
        <v>3219.740966796875</v>
      </c>
      <c r="M421" s="838">
        <v>3246.72998046875</v>
      </c>
      <c r="N421" s="838">
        <v>3033.17</v>
      </c>
      <c r="O421" s="838">
        <v>3099.39</v>
      </c>
      <c r="P421" s="838">
        <v>2801.96</v>
      </c>
      <c r="Q421" s="838">
        <v>2969.46</v>
      </c>
      <c r="R421" s="838">
        <v>2878.9</v>
      </c>
      <c r="S421" s="838">
        <v>3149.85</v>
      </c>
      <c r="T421" s="838">
        <v>2852.06</v>
      </c>
      <c r="U421" s="838">
        <v>2908.82</v>
      </c>
      <c r="V421" s="838">
        <v>3033.36</v>
      </c>
      <c r="W421" s="838">
        <v>2820.36</v>
      </c>
      <c r="X421" s="838">
        <v>2917.31</v>
      </c>
      <c r="Y421" s="838">
        <v>2820.74</v>
      </c>
      <c r="Z421" s="838">
        <v>2754.55</v>
      </c>
      <c r="AA421" s="838">
        <v>2937.27</v>
      </c>
      <c r="AB421" s="838">
        <v>2713.4</v>
      </c>
      <c r="AC421" s="838">
        <v>2920.01</v>
      </c>
      <c r="AD421" s="838">
        <v>3041.98</v>
      </c>
      <c r="AE421" s="838">
        <v>3081.73</v>
      </c>
      <c r="AF421" s="838">
        <v>2966.8</v>
      </c>
      <c r="AG421" s="838">
        <v>3161.81</v>
      </c>
      <c r="AH421" s="838">
        <v>3117.16</v>
      </c>
      <c r="AI421" s="838">
        <v>2886.65</v>
      </c>
      <c r="AJ421" s="838">
        <v>2853.36</v>
      </c>
      <c r="AK421" s="838"/>
      <c r="AL421" s="838"/>
      <c r="AM421" s="838"/>
      <c r="AN421" s="838"/>
      <c r="AO421" s="838"/>
      <c r="AP421" s="838"/>
      <c r="AQ421" s="838"/>
    </row>
    <row r="422" spans="2:43">
      <c r="B422" s="839" t="s">
        <v>1183</v>
      </c>
      <c r="C422" s="839">
        <v>0</v>
      </c>
      <c r="D422" s="839">
        <v>0</v>
      </c>
      <c r="E422" s="839">
        <v>1</v>
      </c>
      <c r="F422" s="839">
        <v>1</v>
      </c>
      <c r="G422" s="839">
        <v>1321</v>
      </c>
      <c r="H422" s="839">
        <v>3006</v>
      </c>
      <c r="I422" s="839">
        <v>2967</v>
      </c>
      <c r="J422" s="839">
        <v>2245</v>
      </c>
      <c r="K422" s="839">
        <v>2080</v>
      </c>
      <c r="L422" s="840">
        <v>2157.666015625</v>
      </c>
      <c r="M422" s="840">
        <v>801.7960205078125</v>
      </c>
      <c r="N422" s="840">
        <v>702.62</v>
      </c>
      <c r="O422" s="840">
        <v>643.84</v>
      </c>
      <c r="P422" s="840">
        <v>588.13</v>
      </c>
      <c r="Q422" s="840">
        <v>1086.52</v>
      </c>
      <c r="R422" s="840">
        <v>1162.49</v>
      </c>
      <c r="S422" s="840">
        <v>1706.14</v>
      </c>
      <c r="T422" s="840">
        <v>2527.46</v>
      </c>
      <c r="U422" s="840">
        <v>2925.71</v>
      </c>
      <c r="V422" s="840">
        <v>3140.72</v>
      </c>
      <c r="W422" s="840">
        <v>2239</v>
      </c>
      <c r="X422" s="840">
        <v>1618.19</v>
      </c>
      <c r="Y422" s="840">
        <v>1436.03</v>
      </c>
      <c r="Z422" s="840">
        <v>291.57</v>
      </c>
      <c r="AA422" s="840">
        <v>284.52999999999997</v>
      </c>
      <c r="AB422" s="840">
        <v>268.94</v>
      </c>
      <c r="AC422" s="840">
        <v>1129.6099999999999</v>
      </c>
      <c r="AD422" s="840">
        <v>1286.06</v>
      </c>
      <c r="AE422" s="840">
        <v>2057.91</v>
      </c>
      <c r="AF422" s="840">
        <v>1675.9</v>
      </c>
      <c r="AG422" s="840">
        <v>2002.86</v>
      </c>
      <c r="AH422" s="840">
        <v>1871.94</v>
      </c>
      <c r="AI422" s="840">
        <v>1545.61</v>
      </c>
      <c r="AJ422" s="840">
        <v>1262.1600000000001</v>
      </c>
      <c r="AK422" s="840"/>
      <c r="AL422" s="840"/>
      <c r="AM422" s="840"/>
      <c r="AN422" s="840"/>
      <c r="AO422" s="840"/>
      <c r="AP422" s="840"/>
      <c r="AQ422" s="840"/>
    </row>
    <row r="423" spans="2:43">
      <c r="B423" s="837" t="s">
        <v>1184</v>
      </c>
      <c r="C423" s="837">
        <v>0</v>
      </c>
      <c r="D423" s="837">
        <v>0</v>
      </c>
      <c r="E423" s="837">
        <v>1</v>
      </c>
      <c r="F423" s="837">
        <v>1</v>
      </c>
      <c r="G423" s="837">
        <v>48</v>
      </c>
      <c r="H423" s="837">
        <v>87</v>
      </c>
      <c r="I423" s="837">
        <v>81</v>
      </c>
      <c r="J423" s="837">
        <v>89</v>
      </c>
      <c r="K423" s="837">
        <v>86</v>
      </c>
      <c r="L423" s="838">
        <v>89.872314453125</v>
      </c>
      <c r="M423" s="838">
        <v>98.931686401367188</v>
      </c>
      <c r="N423" s="838">
        <v>81.66</v>
      </c>
      <c r="O423" s="838">
        <v>85.71</v>
      </c>
      <c r="P423" s="838">
        <v>86.15</v>
      </c>
      <c r="Q423" s="838">
        <v>93.34</v>
      </c>
      <c r="R423" s="838">
        <v>75.760000000000005</v>
      </c>
      <c r="S423" s="838">
        <v>97.16</v>
      </c>
      <c r="T423" s="838">
        <v>99.21</v>
      </c>
      <c r="U423" s="838">
        <v>82.69</v>
      </c>
      <c r="V423" s="838">
        <v>88.23</v>
      </c>
      <c r="W423" s="838">
        <v>84.98</v>
      </c>
      <c r="X423" s="838">
        <v>94.44</v>
      </c>
      <c r="Y423" s="838">
        <v>92.57</v>
      </c>
      <c r="Z423" s="838">
        <v>74.95</v>
      </c>
      <c r="AA423" s="838">
        <v>78.12</v>
      </c>
      <c r="AB423" s="838">
        <v>86.03</v>
      </c>
      <c r="AC423" s="838">
        <v>86.03</v>
      </c>
      <c r="AD423" s="838">
        <v>81.599999999999994</v>
      </c>
      <c r="AE423" s="838">
        <v>90.68</v>
      </c>
      <c r="AF423" s="838">
        <v>91.66</v>
      </c>
      <c r="AG423" s="838">
        <v>92.01</v>
      </c>
      <c r="AH423" s="838">
        <v>90.77</v>
      </c>
      <c r="AI423" s="838">
        <v>92.38</v>
      </c>
      <c r="AJ423" s="838">
        <v>97.64</v>
      </c>
      <c r="AK423" s="838"/>
      <c r="AL423" s="838"/>
      <c r="AM423" s="838"/>
      <c r="AN423" s="838"/>
      <c r="AO423" s="838"/>
      <c r="AP423" s="838"/>
      <c r="AQ423" s="838"/>
    </row>
    <row r="424" spans="2:43">
      <c r="B424" s="839" t="s">
        <v>1185</v>
      </c>
      <c r="C424" s="839">
        <v>1094</v>
      </c>
      <c r="D424" s="839">
        <v>1037</v>
      </c>
      <c r="E424" s="839">
        <v>1034</v>
      </c>
      <c r="F424" s="839">
        <v>1295</v>
      </c>
      <c r="G424" s="839">
        <v>1647</v>
      </c>
      <c r="H424" s="839">
        <v>2955</v>
      </c>
      <c r="I424" s="839">
        <v>2711</v>
      </c>
      <c r="J424" s="839">
        <v>2830</v>
      </c>
      <c r="K424" s="839">
        <v>2538</v>
      </c>
      <c r="L424" s="840">
        <v>1494.8800048828125</v>
      </c>
      <c r="M424" s="840">
        <v>974.7039794921875</v>
      </c>
      <c r="N424" s="840">
        <v>720.85</v>
      </c>
      <c r="O424" s="840">
        <v>631.12</v>
      </c>
      <c r="P424" s="840">
        <v>818.19</v>
      </c>
      <c r="Q424" s="840">
        <v>1715.66</v>
      </c>
      <c r="R424" s="840">
        <v>1454.02</v>
      </c>
      <c r="S424" s="840">
        <v>2123.58</v>
      </c>
      <c r="T424" s="840">
        <v>2467.81</v>
      </c>
      <c r="U424" s="840">
        <v>1816.54</v>
      </c>
      <c r="V424" s="840">
        <v>2167.1999999999998</v>
      </c>
      <c r="W424" s="840">
        <v>1154.18</v>
      </c>
      <c r="X424" s="840">
        <v>1114.46</v>
      </c>
      <c r="Y424" s="840">
        <v>1118.67</v>
      </c>
      <c r="Z424" s="840">
        <v>601.70000000000005</v>
      </c>
      <c r="AA424" s="840">
        <v>450.98</v>
      </c>
      <c r="AB424" s="840">
        <v>503.26</v>
      </c>
      <c r="AC424" s="840">
        <v>1019.33</v>
      </c>
      <c r="AD424" s="840">
        <v>1169.82</v>
      </c>
      <c r="AE424" s="840">
        <v>2718</v>
      </c>
      <c r="AF424" s="840">
        <v>1708.64</v>
      </c>
      <c r="AG424" s="840">
        <v>2251.7800000000002</v>
      </c>
      <c r="AH424" s="840">
        <v>2309.89</v>
      </c>
      <c r="AI424" s="840">
        <v>1953.63</v>
      </c>
      <c r="AJ424" s="840">
        <v>459.68</v>
      </c>
      <c r="AK424" s="840"/>
      <c r="AL424" s="840"/>
      <c r="AM424" s="840"/>
      <c r="AN424" s="840"/>
      <c r="AO424" s="840"/>
      <c r="AP424" s="840"/>
      <c r="AQ424" s="840"/>
    </row>
    <row r="425" spans="2:43">
      <c r="B425" s="837" t="s">
        <v>1186</v>
      </c>
      <c r="C425" s="837">
        <v>211</v>
      </c>
      <c r="D425" s="837">
        <v>383</v>
      </c>
      <c r="E425" s="837">
        <v>523</v>
      </c>
      <c r="F425" s="837">
        <v>3341</v>
      </c>
      <c r="G425" s="837">
        <v>4604</v>
      </c>
      <c r="H425" s="837">
        <v>5561</v>
      </c>
      <c r="I425" s="837">
        <v>6162</v>
      </c>
      <c r="J425" s="837">
        <v>6234</v>
      </c>
      <c r="K425" s="837">
        <v>5126</v>
      </c>
      <c r="L425" s="838">
        <v>4551.0078125</v>
      </c>
      <c r="M425" s="838">
        <v>1933.5040283203125</v>
      </c>
      <c r="N425" s="838">
        <v>1978.72</v>
      </c>
      <c r="O425" s="838">
        <v>1017.76</v>
      </c>
      <c r="P425" s="838">
        <v>1101.25</v>
      </c>
      <c r="Q425" s="838">
        <v>2437.38</v>
      </c>
      <c r="R425" s="838">
        <v>2918.69</v>
      </c>
      <c r="S425" s="838">
        <v>4581.1499999999996</v>
      </c>
      <c r="T425" s="838">
        <v>5403.9</v>
      </c>
      <c r="U425" s="838">
        <v>5867.65</v>
      </c>
      <c r="V425" s="838">
        <v>6618.21</v>
      </c>
      <c r="W425" s="838">
        <v>4253.0200000000004</v>
      </c>
      <c r="X425" s="838">
        <v>3482.75</v>
      </c>
      <c r="Y425" s="838">
        <v>2540.9</v>
      </c>
      <c r="Z425" s="838">
        <v>1643.97</v>
      </c>
      <c r="AA425" s="838">
        <v>1235.33</v>
      </c>
      <c r="AB425" s="838">
        <v>1561.98</v>
      </c>
      <c r="AC425" s="838">
        <v>2631.23</v>
      </c>
      <c r="AD425" s="838">
        <v>3509.63</v>
      </c>
      <c r="AE425" s="838">
        <v>5856.8</v>
      </c>
      <c r="AF425" s="838">
        <v>4951.58</v>
      </c>
      <c r="AG425" s="838">
        <v>6605.15</v>
      </c>
      <c r="AH425" s="838">
        <v>5563.46</v>
      </c>
      <c r="AI425" s="838">
        <v>3958.59</v>
      </c>
      <c r="AJ425" s="838">
        <v>1089.92</v>
      </c>
      <c r="AK425" s="838"/>
      <c r="AL425" s="838"/>
      <c r="AM425" s="838"/>
      <c r="AN425" s="838"/>
      <c r="AO425" s="838"/>
      <c r="AP425" s="838"/>
      <c r="AQ425" s="838"/>
    </row>
    <row r="426" spans="2:43">
      <c r="B426" s="839" t="s">
        <v>1187</v>
      </c>
      <c r="C426" s="839">
        <v>778</v>
      </c>
      <c r="D426" s="839">
        <v>616</v>
      </c>
      <c r="E426" s="839">
        <v>827</v>
      </c>
      <c r="F426" s="839">
        <v>1261</v>
      </c>
      <c r="G426" s="839">
        <v>3186</v>
      </c>
      <c r="H426" s="839">
        <v>3757</v>
      </c>
      <c r="I426" s="839">
        <v>5182</v>
      </c>
      <c r="J426" s="839">
        <v>4429</v>
      </c>
      <c r="K426" s="839">
        <v>3491</v>
      </c>
      <c r="L426" s="840">
        <v>2670.2080078125</v>
      </c>
      <c r="M426" s="840">
        <v>1242.4639892578125</v>
      </c>
      <c r="N426" s="840">
        <v>1450.58</v>
      </c>
      <c r="O426" s="840">
        <v>545.9</v>
      </c>
      <c r="P426" s="840">
        <v>657.68</v>
      </c>
      <c r="Q426" s="840">
        <v>1385.5</v>
      </c>
      <c r="R426" s="840">
        <v>1920.4</v>
      </c>
      <c r="S426" s="840">
        <v>2921.47</v>
      </c>
      <c r="T426" s="840">
        <v>4097.6499999999996</v>
      </c>
      <c r="U426" s="840">
        <v>4319.33</v>
      </c>
      <c r="V426" s="840">
        <v>4387.1400000000003</v>
      </c>
      <c r="W426" s="840">
        <v>2655.79</v>
      </c>
      <c r="X426" s="840">
        <v>2267.15</v>
      </c>
      <c r="Y426" s="840">
        <v>2021.41</v>
      </c>
      <c r="Z426" s="840">
        <v>1221.23</v>
      </c>
      <c r="AA426" s="840">
        <v>647.49</v>
      </c>
      <c r="AB426" s="840">
        <v>860.69</v>
      </c>
      <c r="AC426" s="840">
        <v>1506.21</v>
      </c>
      <c r="AD426" s="840">
        <v>1963.58</v>
      </c>
      <c r="AE426" s="840">
        <v>3639.23</v>
      </c>
      <c r="AF426" s="840">
        <v>3141.39</v>
      </c>
      <c r="AG426" s="840">
        <v>4150.62</v>
      </c>
      <c r="AH426" s="840">
        <v>3932.35</v>
      </c>
      <c r="AI426" s="840">
        <v>2802.86</v>
      </c>
      <c r="AJ426" s="840">
        <v>2596.9899999999998</v>
      </c>
      <c r="AK426" s="840"/>
      <c r="AL426" s="840"/>
      <c r="AM426" s="840"/>
      <c r="AN426" s="840"/>
      <c r="AO426" s="840"/>
      <c r="AP426" s="840"/>
      <c r="AQ426" s="840"/>
    </row>
    <row r="427" spans="2:43">
      <c r="B427" s="837" t="s">
        <v>1188</v>
      </c>
      <c r="C427" s="837">
        <v>0</v>
      </c>
      <c r="D427" s="837">
        <v>0</v>
      </c>
      <c r="E427" s="837">
        <v>0</v>
      </c>
      <c r="F427" s="837">
        <v>0</v>
      </c>
      <c r="G427" s="837">
        <v>0</v>
      </c>
      <c r="H427" s="837">
        <v>0</v>
      </c>
      <c r="I427" s="837">
        <v>0</v>
      </c>
      <c r="J427" s="837">
        <v>0</v>
      </c>
      <c r="K427" s="837">
        <v>0</v>
      </c>
      <c r="L427" s="838">
        <v>0</v>
      </c>
      <c r="M427" s="838">
        <v>0</v>
      </c>
      <c r="N427" s="838">
        <v>0</v>
      </c>
      <c r="O427" s="838">
        <v>0</v>
      </c>
      <c r="P427" s="838">
        <v>0</v>
      </c>
      <c r="Q427" s="838">
        <v>0</v>
      </c>
      <c r="R427" s="838">
        <v>0</v>
      </c>
      <c r="S427" s="838">
        <v>0</v>
      </c>
      <c r="T427" s="838">
        <v>0</v>
      </c>
      <c r="U427" s="838">
        <v>0</v>
      </c>
      <c r="V427" s="838">
        <v>0</v>
      </c>
      <c r="W427" s="838">
        <v>0</v>
      </c>
      <c r="X427" s="838">
        <v>0</v>
      </c>
      <c r="Y427" s="838">
        <v>0</v>
      </c>
      <c r="Z427" s="838">
        <v>0</v>
      </c>
      <c r="AA427" s="838">
        <v>0</v>
      </c>
      <c r="AB427" s="838">
        <v>0</v>
      </c>
      <c r="AC427" s="838">
        <v>0</v>
      </c>
      <c r="AD427" s="838">
        <v>0</v>
      </c>
      <c r="AE427" s="838">
        <v>0</v>
      </c>
      <c r="AF427" s="838">
        <v>0</v>
      </c>
      <c r="AG427" s="838">
        <v>0</v>
      </c>
      <c r="AH427" s="838">
        <v>0</v>
      </c>
      <c r="AI427" s="838">
        <v>0</v>
      </c>
      <c r="AJ427" s="838">
        <v>0</v>
      </c>
      <c r="AK427" s="838"/>
      <c r="AL427" s="838"/>
      <c r="AM427" s="838"/>
      <c r="AN427" s="838"/>
      <c r="AO427" s="838"/>
      <c r="AP427" s="838"/>
      <c r="AQ427" s="838"/>
    </row>
    <row r="428" spans="2:43">
      <c r="B428" s="839" t="s">
        <v>1189</v>
      </c>
      <c r="C428" s="839">
        <v>458</v>
      </c>
      <c r="D428" s="839">
        <v>460</v>
      </c>
      <c r="E428" s="839">
        <v>195</v>
      </c>
      <c r="F428" s="839">
        <v>351</v>
      </c>
      <c r="G428" s="839">
        <v>1042</v>
      </c>
      <c r="H428" s="839">
        <v>1365</v>
      </c>
      <c r="I428" s="839">
        <v>1211</v>
      </c>
      <c r="J428" s="839">
        <v>1061</v>
      </c>
      <c r="K428" s="839">
        <v>894</v>
      </c>
      <c r="L428" s="840">
        <v>746.98248291015625</v>
      </c>
      <c r="M428" s="840">
        <v>502.24700927734375</v>
      </c>
      <c r="N428" s="840">
        <v>425.46</v>
      </c>
      <c r="O428" s="840">
        <v>339.77</v>
      </c>
      <c r="P428" s="840">
        <v>537.85</v>
      </c>
      <c r="Q428" s="840">
        <v>753.19</v>
      </c>
      <c r="R428" s="840">
        <v>586</v>
      </c>
      <c r="S428" s="840">
        <v>1055.57</v>
      </c>
      <c r="T428" s="840">
        <v>1139.0899999999999</v>
      </c>
      <c r="U428" s="840">
        <v>1248.46</v>
      </c>
      <c r="V428" s="840">
        <v>1290.17</v>
      </c>
      <c r="W428" s="840">
        <v>840.19</v>
      </c>
      <c r="X428" s="840">
        <v>760.05</v>
      </c>
      <c r="Y428" s="840">
        <v>598.04</v>
      </c>
      <c r="Z428" s="840">
        <v>443.46</v>
      </c>
      <c r="AA428" s="840">
        <v>309.05</v>
      </c>
      <c r="AB428" s="840">
        <v>390.94</v>
      </c>
      <c r="AC428" s="840">
        <v>723.86</v>
      </c>
      <c r="AD428" s="840">
        <v>722.97</v>
      </c>
      <c r="AE428" s="840">
        <v>1198.82</v>
      </c>
      <c r="AF428" s="840">
        <v>1033.6500000000001</v>
      </c>
      <c r="AG428" s="840">
        <v>1481.83</v>
      </c>
      <c r="AH428" s="840">
        <v>1047.6400000000001</v>
      </c>
      <c r="AI428" s="840">
        <v>903.91</v>
      </c>
      <c r="AJ428" s="840">
        <v>708.99</v>
      </c>
      <c r="AK428" s="840"/>
      <c r="AL428" s="840"/>
      <c r="AM428" s="840"/>
      <c r="AN428" s="840"/>
      <c r="AO428" s="840"/>
      <c r="AP428" s="840"/>
      <c r="AQ428" s="840"/>
    </row>
    <row r="429" spans="2:43">
      <c r="B429" s="837" t="s">
        <v>1190</v>
      </c>
      <c r="C429" s="837">
        <v>246</v>
      </c>
      <c r="D429" s="837">
        <v>209</v>
      </c>
      <c r="E429" s="837">
        <v>104</v>
      </c>
      <c r="F429" s="837">
        <v>103</v>
      </c>
      <c r="G429" s="837">
        <v>237</v>
      </c>
      <c r="H429" s="837">
        <v>219</v>
      </c>
      <c r="I429" s="837">
        <v>201</v>
      </c>
      <c r="J429" s="837">
        <v>316</v>
      </c>
      <c r="K429" s="837">
        <v>262</v>
      </c>
      <c r="L429" s="838">
        <v>263.03201293945313</v>
      </c>
      <c r="M429" s="838">
        <v>301.7919921875</v>
      </c>
      <c r="N429" s="838">
        <v>196.71</v>
      </c>
      <c r="O429" s="838">
        <v>289.62</v>
      </c>
      <c r="P429" s="838">
        <v>296.26</v>
      </c>
      <c r="Q429" s="838">
        <v>345.47</v>
      </c>
      <c r="R429" s="838">
        <v>207.05</v>
      </c>
      <c r="S429" s="838">
        <v>326.35000000000002</v>
      </c>
      <c r="T429" s="838">
        <v>275.25</v>
      </c>
      <c r="U429" s="838">
        <v>213.67</v>
      </c>
      <c r="V429" s="838">
        <v>260.27</v>
      </c>
      <c r="W429" s="838">
        <v>264.29000000000002</v>
      </c>
      <c r="X429" s="838">
        <v>332.11</v>
      </c>
      <c r="Y429" s="838">
        <v>250.38</v>
      </c>
      <c r="Z429" s="838">
        <v>229.5</v>
      </c>
      <c r="AA429" s="838">
        <v>295.85000000000002</v>
      </c>
      <c r="AB429" s="838">
        <v>319.20999999999998</v>
      </c>
      <c r="AC429" s="838">
        <v>305.26</v>
      </c>
      <c r="AD429" s="838">
        <v>319.13</v>
      </c>
      <c r="AE429" s="838">
        <v>305.10000000000002</v>
      </c>
      <c r="AF429" s="838">
        <v>222.14</v>
      </c>
      <c r="AG429" s="838">
        <v>288.56</v>
      </c>
      <c r="AH429" s="838">
        <v>325.62</v>
      </c>
      <c r="AI429" s="838">
        <v>365.48</v>
      </c>
      <c r="AJ429" s="838">
        <v>98.98</v>
      </c>
      <c r="AK429" s="838"/>
      <c r="AL429" s="838"/>
      <c r="AM429" s="838"/>
      <c r="AN429" s="838"/>
      <c r="AO429" s="838"/>
      <c r="AP429" s="838"/>
      <c r="AQ429" s="838"/>
    </row>
    <row r="430" spans="2:43">
      <c r="B430" s="839" t="s">
        <v>1191</v>
      </c>
      <c r="C430" s="839">
        <v>319</v>
      </c>
      <c r="D430" s="839">
        <v>546</v>
      </c>
      <c r="E430" s="839">
        <v>585</v>
      </c>
      <c r="F430" s="839">
        <v>1038</v>
      </c>
      <c r="G430" s="839">
        <v>1399</v>
      </c>
      <c r="H430" s="839">
        <v>2429</v>
      </c>
      <c r="I430" s="839">
        <v>2875</v>
      </c>
      <c r="J430" s="839">
        <v>3098</v>
      </c>
      <c r="K430" s="839">
        <v>2049</v>
      </c>
      <c r="L430" s="840">
        <v>354.89849853515625</v>
      </c>
      <c r="M430" s="840">
        <v>111.74500274658203</v>
      </c>
      <c r="N430" s="840">
        <v>73.73</v>
      </c>
      <c r="O430" s="840">
        <v>65</v>
      </c>
      <c r="P430" s="840">
        <v>80.58</v>
      </c>
      <c r="Q430" s="840">
        <v>242.84</v>
      </c>
      <c r="R430" s="840">
        <v>144.13</v>
      </c>
      <c r="S430" s="840">
        <v>361.13</v>
      </c>
      <c r="T430" s="840">
        <v>712.09</v>
      </c>
      <c r="U430" s="840">
        <v>763.85</v>
      </c>
      <c r="V430" s="840">
        <v>1039.47</v>
      </c>
      <c r="W430" s="840">
        <v>513.92999999999995</v>
      </c>
      <c r="X430" s="840">
        <v>258.70999999999998</v>
      </c>
      <c r="Y430" s="840">
        <v>231.32</v>
      </c>
      <c r="Z430" s="840">
        <v>134.11000000000001</v>
      </c>
      <c r="AA430" s="840">
        <v>113.88</v>
      </c>
      <c r="AB430" s="840">
        <v>94.26</v>
      </c>
      <c r="AC430" s="840">
        <v>384.27</v>
      </c>
      <c r="AD430" s="840">
        <v>438.54</v>
      </c>
      <c r="AE430" s="840">
        <v>829.82</v>
      </c>
      <c r="AF430" s="840">
        <v>729.97</v>
      </c>
      <c r="AG430" s="840">
        <v>798.56</v>
      </c>
      <c r="AH430" s="840">
        <v>706.05</v>
      </c>
      <c r="AI430" s="840">
        <v>565.44000000000005</v>
      </c>
      <c r="AJ430" s="840">
        <v>282.56</v>
      </c>
      <c r="AK430" s="840"/>
      <c r="AL430" s="840"/>
      <c r="AM430" s="840"/>
      <c r="AN430" s="840"/>
      <c r="AO430" s="840"/>
      <c r="AP430" s="840"/>
      <c r="AQ430" s="840"/>
    </row>
    <row r="431" spans="2:43">
      <c r="B431" s="837" t="s">
        <v>1192</v>
      </c>
      <c r="C431" s="837">
        <v>58</v>
      </c>
      <c r="D431" s="837">
        <v>141</v>
      </c>
      <c r="E431" s="837">
        <v>210</v>
      </c>
      <c r="F431" s="837">
        <v>251</v>
      </c>
      <c r="G431" s="837">
        <v>882</v>
      </c>
      <c r="H431" s="837">
        <v>1002</v>
      </c>
      <c r="I431" s="837">
        <v>1140</v>
      </c>
      <c r="J431" s="837">
        <v>781</v>
      </c>
      <c r="K431" s="837">
        <v>567</v>
      </c>
      <c r="L431" s="838">
        <v>1994.176025390625</v>
      </c>
      <c r="M431" s="838">
        <v>928.16802978515625</v>
      </c>
      <c r="N431" s="838">
        <v>731.12</v>
      </c>
      <c r="O431" s="838">
        <v>231.5</v>
      </c>
      <c r="P431" s="838">
        <v>290.18</v>
      </c>
      <c r="Q431" s="838">
        <v>1008.67</v>
      </c>
      <c r="R431" s="838">
        <v>1573.84</v>
      </c>
      <c r="S431" s="838">
        <v>2299.52</v>
      </c>
      <c r="T431" s="838">
        <v>2685.1</v>
      </c>
      <c r="U431" s="838">
        <v>2569.3000000000002</v>
      </c>
      <c r="V431" s="838">
        <v>3068.64</v>
      </c>
      <c r="W431" s="838">
        <v>1874.82</v>
      </c>
      <c r="X431" s="838">
        <v>1578.76</v>
      </c>
      <c r="Y431" s="838">
        <v>1327.92</v>
      </c>
      <c r="Z431" s="838">
        <v>579.5</v>
      </c>
      <c r="AA431" s="838">
        <v>396.56</v>
      </c>
      <c r="AB431" s="838">
        <v>699.65</v>
      </c>
      <c r="AC431" s="838">
        <v>1487.15</v>
      </c>
      <c r="AD431" s="838">
        <v>1882.2</v>
      </c>
      <c r="AE431" s="838">
        <v>3125.9</v>
      </c>
      <c r="AF431" s="838">
        <v>2424.7800000000002</v>
      </c>
      <c r="AG431" s="838">
        <v>3382.82</v>
      </c>
      <c r="AH431" s="838">
        <v>2665.11</v>
      </c>
      <c r="AI431" s="838">
        <v>2364.0300000000002</v>
      </c>
      <c r="AJ431" s="838">
        <v>621.57000000000005</v>
      </c>
      <c r="AK431" s="838"/>
      <c r="AL431" s="838"/>
      <c r="AM431" s="838"/>
      <c r="AN431" s="838"/>
      <c r="AO431" s="838"/>
      <c r="AP431" s="838"/>
      <c r="AQ431" s="838"/>
    </row>
    <row r="432" spans="2:43">
      <c r="B432" s="839" t="s">
        <v>1193</v>
      </c>
      <c r="C432" s="839">
        <v>41</v>
      </c>
      <c r="D432" s="839">
        <v>62</v>
      </c>
      <c r="E432" s="839">
        <v>61</v>
      </c>
      <c r="F432" s="839">
        <v>51</v>
      </c>
      <c r="G432" s="839">
        <v>60</v>
      </c>
      <c r="H432" s="839">
        <v>52</v>
      </c>
      <c r="I432" s="839">
        <v>67</v>
      </c>
      <c r="J432" s="839">
        <v>64</v>
      </c>
      <c r="K432" s="839">
        <v>69</v>
      </c>
      <c r="L432" s="840">
        <v>66.048065185546875</v>
      </c>
      <c r="M432" s="840">
        <v>48.865936279296875</v>
      </c>
      <c r="N432" s="840">
        <v>49.49</v>
      </c>
      <c r="O432" s="840">
        <v>0.19</v>
      </c>
      <c r="P432" s="840">
        <v>57.46</v>
      </c>
      <c r="Q432" s="840">
        <v>69.27</v>
      </c>
      <c r="R432" s="840">
        <v>49.89</v>
      </c>
      <c r="S432" s="840">
        <v>71.28</v>
      </c>
      <c r="T432" s="840">
        <v>62.98</v>
      </c>
      <c r="U432" s="840">
        <v>47.71</v>
      </c>
      <c r="V432" s="840">
        <v>72.88</v>
      </c>
      <c r="W432" s="840">
        <v>66.36</v>
      </c>
      <c r="X432" s="840">
        <v>68.55</v>
      </c>
      <c r="Y432" s="840">
        <v>68.14</v>
      </c>
      <c r="Z432" s="840">
        <v>43.51</v>
      </c>
      <c r="AA432" s="840">
        <v>50.51</v>
      </c>
      <c r="AB432" s="840">
        <v>56.51</v>
      </c>
      <c r="AC432" s="840">
        <v>50.05</v>
      </c>
      <c r="AD432" s="840">
        <v>59.69</v>
      </c>
      <c r="AE432" s="840">
        <v>72.28</v>
      </c>
      <c r="AF432" s="840">
        <v>53.65</v>
      </c>
      <c r="AG432" s="840">
        <v>68.989999999999995</v>
      </c>
      <c r="AH432" s="840">
        <v>62.67</v>
      </c>
      <c r="AI432" s="840">
        <v>49.97</v>
      </c>
      <c r="AJ432" s="840">
        <v>63.06</v>
      </c>
      <c r="AK432" s="840"/>
      <c r="AL432" s="840"/>
      <c r="AM432" s="840"/>
      <c r="AN432" s="840"/>
      <c r="AO432" s="840"/>
      <c r="AP432" s="840"/>
      <c r="AQ432" s="840"/>
    </row>
    <row r="433" spans="2:43">
      <c r="B433" s="837" t="s">
        <v>1194</v>
      </c>
      <c r="C433" s="837">
        <v>0</v>
      </c>
      <c r="D433" s="837">
        <v>0</v>
      </c>
      <c r="E433" s="837">
        <v>0</v>
      </c>
      <c r="F433" s="837">
        <v>0</v>
      </c>
      <c r="G433" s="837">
        <v>0</v>
      </c>
      <c r="H433" s="837">
        <v>0</v>
      </c>
      <c r="I433" s="837">
        <v>0</v>
      </c>
      <c r="J433" s="837">
        <v>0</v>
      </c>
      <c r="K433" s="837">
        <v>0</v>
      </c>
      <c r="L433" s="838">
        <v>0.21419140696525574</v>
      </c>
      <c r="M433" s="838">
        <v>0.14184765517711639</v>
      </c>
      <c r="N433" s="838">
        <v>0.06</v>
      </c>
      <c r="O433" s="838">
        <v>79.44</v>
      </c>
      <c r="P433" s="838">
        <v>0.2</v>
      </c>
      <c r="Q433" s="838">
        <v>0.17</v>
      </c>
      <c r="R433" s="838">
        <v>0.11</v>
      </c>
      <c r="S433" s="838">
        <v>0.34</v>
      </c>
      <c r="T433" s="838">
        <v>0.1</v>
      </c>
      <c r="U433" s="838">
        <v>0.11</v>
      </c>
      <c r="V433" s="838">
        <v>0.17</v>
      </c>
      <c r="W433" s="838">
        <v>0.18</v>
      </c>
      <c r="X433" s="838">
        <v>0.11</v>
      </c>
      <c r="Y433" s="838">
        <v>0.11</v>
      </c>
      <c r="Z433" s="838">
        <v>0.12</v>
      </c>
      <c r="AA433" s="838">
        <v>0.06</v>
      </c>
      <c r="AB433" s="838">
        <v>0.03</v>
      </c>
      <c r="AC433" s="838">
        <v>0.03</v>
      </c>
      <c r="AD433" s="838">
        <v>0.05</v>
      </c>
      <c r="AE433" s="838">
        <v>0.02</v>
      </c>
      <c r="AF433" s="838">
        <v>0.02</v>
      </c>
      <c r="AG433" s="838">
        <v>7.0000000000000007E-2</v>
      </c>
      <c r="AH433" s="838">
        <v>0.06</v>
      </c>
      <c r="AI433" s="838">
        <v>0.03</v>
      </c>
      <c r="AJ433" s="838">
        <v>0.01</v>
      </c>
      <c r="AK433" s="838"/>
      <c r="AL433" s="838"/>
      <c r="AM433" s="838"/>
      <c r="AN433" s="838"/>
      <c r="AO433" s="838"/>
      <c r="AP433" s="838"/>
      <c r="AQ433" s="838"/>
    </row>
    <row r="434" spans="2:43">
      <c r="B434" s="839" t="s">
        <v>1195</v>
      </c>
      <c r="C434" s="839">
        <v>40</v>
      </c>
      <c r="D434" s="839">
        <v>103</v>
      </c>
      <c r="E434" s="839">
        <v>57</v>
      </c>
      <c r="F434" s="839">
        <v>55</v>
      </c>
      <c r="G434" s="839">
        <v>80</v>
      </c>
      <c r="H434" s="839">
        <v>77</v>
      </c>
      <c r="I434" s="839">
        <v>75</v>
      </c>
      <c r="J434" s="839">
        <v>80</v>
      </c>
      <c r="K434" s="839">
        <v>84</v>
      </c>
      <c r="L434" s="840">
        <v>67.381561279296875</v>
      </c>
      <c r="M434" s="840">
        <v>72.282127380371094</v>
      </c>
      <c r="N434" s="840">
        <v>56.73</v>
      </c>
      <c r="O434" s="840">
        <v>55.11</v>
      </c>
      <c r="P434" s="840">
        <v>82</v>
      </c>
      <c r="Q434" s="840">
        <v>93.78</v>
      </c>
      <c r="R434" s="840">
        <v>73.08</v>
      </c>
      <c r="S434" s="840">
        <v>97.32</v>
      </c>
      <c r="T434" s="840">
        <v>60.46</v>
      </c>
      <c r="U434" s="840">
        <v>77.48</v>
      </c>
      <c r="V434" s="840">
        <v>84.96</v>
      </c>
      <c r="W434" s="840">
        <v>85.79</v>
      </c>
      <c r="X434" s="840">
        <v>73.489999999999995</v>
      </c>
      <c r="Y434" s="840">
        <v>82.15</v>
      </c>
      <c r="Z434" s="840">
        <v>82.32</v>
      </c>
      <c r="AA434" s="840">
        <v>80.86</v>
      </c>
      <c r="AB434" s="840">
        <v>81.52</v>
      </c>
      <c r="AC434" s="840">
        <v>83.98</v>
      </c>
      <c r="AD434" s="840">
        <v>77.930000000000007</v>
      </c>
      <c r="AE434" s="840">
        <v>75.03</v>
      </c>
      <c r="AF434" s="840">
        <v>76.42</v>
      </c>
      <c r="AG434" s="840">
        <v>104.1</v>
      </c>
      <c r="AH434" s="840">
        <v>119.9</v>
      </c>
      <c r="AI434" s="840">
        <v>91.72</v>
      </c>
      <c r="AJ434" s="840">
        <v>80.989999999999995</v>
      </c>
      <c r="AK434" s="840"/>
      <c r="AL434" s="840"/>
      <c r="AM434" s="840"/>
      <c r="AN434" s="840"/>
      <c r="AO434" s="840"/>
      <c r="AP434" s="840"/>
      <c r="AQ434" s="840"/>
    </row>
    <row r="435" spans="2:43">
      <c r="B435" s="837" t="s">
        <v>1196</v>
      </c>
      <c r="C435" s="837">
        <v>1</v>
      </c>
      <c r="D435" s="837">
        <v>1</v>
      </c>
      <c r="E435" s="837">
        <v>0</v>
      </c>
      <c r="F435" s="837">
        <v>0</v>
      </c>
      <c r="G435" s="837">
        <v>0</v>
      </c>
      <c r="H435" s="837">
        <v>2</v>
      </c>
      <c r="I435" s="837">
        <v>0</v>
      </c>
      <c r="J435" s="837">
        <v>0</v>
      </c>
      <c r="K435" s="837">
        <v>0</v>
      </c>
      <c r="L435" s="838">
        <v>0.5342411994934082</v>
      </c>
      <c r="M435" s="838">
        <v>0.1440146416425705</v>
      </c>
      <c r="N435" s="838">
        <v>1.52</v>
      </c>
      <c r="O435" s="838">
        <v>0.9</v>
      </c>
      <c r="P435" s="838">
        <v>2.15</v>
      </c>
      <c r="Q435" s="838">
        <v>14.3</v>
      </c>
      <c r="R435" s="838">
        <v>2.77</v>
      </c>
      <c r="S435" s="838">
        <v>2.86</v>
      </c>
      <c r="T435" s="838">
        <v>0.01</v>
      </c>
      <c r="U435" s="838">
        <v>0</v>
      </c>
      <c r="V435" s="838">
        <v>0.08</v>
      </c>
      <c r="W435" s="838">
        <v>0.27</v>
      </c>
      <c r="X435" s="838">
        <v>0.22</v>
      </c>
      <c r="Y435" s="838">
        <v>0.57999999999999996</v>
      </c>
      <c r="Z435" s="838">
        <v>2.44</v>
      </c>
      <c r="AA435" s="838">
        <v>0</v>
      </c>
      <c r="AB435" s="838">
        <v>3.7</v>
      </c>
      <c r="AC435" s="838">
        <v>0.16</v>
      </c>
      <c r="AD435" s="838">
        <v>0.01</v>
      </c>
      <c r="AE435" s="838">
        <v>0</v>
      </c>
      <c r="AF435" s="838">
        <v>0</v>
      </c>
      <c r="AG435" s="838">
        <v>0</v>
      </c>
      <c r="AH435" s="838">
        <v>362.39</v>
      </c>
      <c r="AI435" s="838">
        <v>79.41</v>
      </c>
      <c r="AJ435" s="838">
        <v>0</v>
      </c>
      <c r="AK435" s="838"/>
      <c r="AL435" s="838"/>
      <c r="AM435" s="838"/>
      <c r="AN435" s="838"/>
      <c r="AO435" s="838"/>
      <c r="AP435" s="838"/>
      <c r="AQ435" s="838"/>
    </row>
    <row r="436" spans="2:43">
      <c r="B436" s="839" t="s">
        <v>1197</v>
      </c>
      <c r="C436" s="839">
        <v>85</v>
      </c>
      <c r="D436" s="839">
        <v>101</v>
      </c>
      <c r="E436" s="839">
        <v>94</v>
      </c>
      <c r="F436" s="839">
        <v>80</v>
      </c>
      <c r="G436" s="839">
        <v>87</v>
      </c>
      <c r="H436" s="839">
        <v>77</v>
      </c>
      <c r="I436" s="839">
        <v>84</v>
      </c>
      <c r="J436" s="839">
        <v>87</v>
      </c>
      <c r="K436" s="839">
        <v>139</v>
      </c>
      <c r="L436" s="840">
        <v>133.48524475097656</v>
      </c>
      <c r="M436" s="840">
        <v>137.50587463378906</v>
      </c>
      <c r="N436" s="840">
        <v>194.8</v>
      </c>
      <c r="O436" s="840">
        <v>134.38</v>
      </c>
      <c r="P436" s="840">
        <v>143.05000000000001</v>
      </c>
      <c r="Q436" s="840">
        <v>201.53</v>
      </c>
      <c r="R436" s="840">
        <v>112.07</v>
      </c>
      <c r="S436" s="840">
        <v>150.15</v>
      </c>
      <c r="T436" s="840">
        <v>183.21</v>
      </c>
      <c r="U436" s="840">
        <v>173.84</v>
      </c>
      <c r="V436" s="840">
        <v>123.43</v>
      </c>
      <c r="W436" s="840">
        <v>101.24</v>
      </c>
      <c r="X436" s="840">
        <v>109.3</v>
      </c>
      <c r="Y436" s="840">
        <v>129.74</v>
      </c>
      <c r="Z436" s="840">
        <v>77.510000000000005</v>
      </c>
      <c r="AA436" s="840">
        <v>118.93</v>
      </c>
      <c r="AB436" s="840">
        <v>204.57</v>
      </c>
      <c r="AC436" s="840">
        <v>175.26</v>
      </c>
      <c r="AD436" s="840">
        <v>171.88</v>
      </c>
      <c r="AE436" s="840">
        <v>166.62</v>
      </c>
      <c r="AF436" s="840">
        <v>93.07</v>
      </c>
      <c r="AG436" s="840">
        <v>176.02</v>
      </c>
      <c r="AH436" s="840">
        <v>159.22</v>
      </c>
      <c r="AI436" s="840">
        <v>90.64</v>
      </c>
      <c r="AJ436" s="840">
        <v>104.59</v>
      </c>
      <c r="AK436" s="840"/>
      <c r="AL436" s="840"/>
      <c r="AM436" s="840"/>
      <c r="AN436" s="840"/>
      <c r="AO436" s="840"/>
      <c r="AP436" s="840"/>
      <c r="AQ436" s="840"/>
    </row>
    <row r="437" spans="2:43">
      <c r="B437" s="837" t="s">
        <v>1198</v>
      </c>
      <c r="C437" s="837">
        <v>7946</v>
      </c>
      <c r="D437" s="837">
        <v>8357</v>
      </c>
      <c r="E437" s="837">
        <v>10614</v>
      </c>
      <c r="F437" s="837">
        <v>11977</v>
      </c>
      <c r="G437" s="837">
        <v>14653</v>
      </c>
      <c r="H437" s="837">
        <v>17434</v>
      </c>
      <c r="I437" s="837">
        <v>17580</v>
      </c>
      <c r="J437" s="837">
        <v>17121</v>
      </c>
      <c r="K437" s="837">
        <v>15356</v>
      </c>
      <c r="L437" s="838">
        <v>14598.7841796875</v>
      </c>
      <c r="M437" s="838">
        <v>10133.50390625</v>
      </c>
      <c r="N437" s="838">
        <v>9819.65</v>
      </c>
      <c r="O437" s="838">
        <v>8410.5</v>
      </c>
      <c r="P437" s="838">
        <v>8594.94</v>
      </c>
      <c r="Q437" s="838">
        <v>11288.83</v>
      </c>
      <c r="R437" s="838">
        <v>11245.18</v>
      </c>
      <c r="S437" s="838">
        <v>14181.12</v>
      </c>
      <c r="T437" s="838">
        <v>15785.47</v>
      </c>
      <c r="U437" s="838">
        <v>16043.01</v>
      </c>
      <c r="V437" s="838">
        <v>17565.310000000001</v>
      </c>
      <c r="W437" s="838">
        <v>13345.92</v>
      </c>
      <c r="X437" s="838">
        <v>12423.55</v>
      </c>
      <c r="Y437" s="838">
        <v>12034.18</v>
      </c>
      <c r="Z437" s="838">
        <v>9629.18</v>
      </c>
      <c r="AA437" s="838">
        <v>9220.35</v>
      </c>
      <c r="AB437" s="838">
        <v>8872.58</v>
      </c>
      <c r="AC437" s="838">
        <v>11648.26</v>
      </c>
      <c r="AD437" s="838">
        <v>12301.18</v>
      </c>
      <c r="AE437" s="838">
        <v>16811.650000000001</v>
      </c>
      <c r="AF437" s="838">
        <v>14540.93</v>
      </c>
      <c r="AG437" s="838">
        <v>16921.22</v>
      </c>
      <c r="AH437" s="838">
        <v>15273.6</v>
      </c>
      <c r="AI437" s="838">
        <v>13909.12</v>
      </c>
      <c r="AJ437" s="838">
        <v>3788.54</v>
      </c>
      <c r="AK437" s="838"/>
      <c r="AL437" s="838"/>
      <c r="AM437" s="838"/>
      <c r="AN437" s="838"/>
      <c r="AO437" s="838"/>
      <c r="AP437" s="838"/>
      <c r="AQ437" s="838"/>
    </row>
    <row r="438" spans="2:43">
      <c r="B438" s="843" t="s">
        <v>1199</v>
      </c>
      <c r="C438" s="843">
        <v>28479</v>
      </c>
      <c r="D438" s="843">
        <v>29718</v>
      </c>
      <c r="E438" s="843">
        <v>34311</v>
      </c>
      <c r="F438" s="843">
        <v>39212</v>
      </c>
      <c r="G438" s="843">
        <v>52204</v>
      </c>
      <c r="H438" s="843">
        <v>62381</v>
      </c>
      <c r="I438" s="843">
        <v>67210</v>
      </c>
      <c r="J438" s="843">
        <v>62517</v>
      </c>
      <c r="K438" s="843">
        <v>54452</v>
      </c>
      <c r="L438" s="844">
        <v>50776.0625</v>
      </c>
      <c r="M438" s="844">
        <v>37822.9765625</v>
      </c>
      <c r="N438" s="844">
        <v>35907.07</v>
      </c>
      <c r="O438" s="844">
        <v>32882.69</v>
      </c>
      <c r="P438" s="844">
        <v>34453.5</v>
      </c>
      <c r="Q438" s="844">
        <v>45703.68</v>
      </c>
      <c r="R438" s="844">
        <v>43342.34</v>
      </c>
      <c r="S438" s="844">
        <v>56190.46</v>
      </c>
      <c r="T438" s="844">
        <v>61540.86</v>
      </c>
      <c r="U438" s="844">
        <v>62770.69</v>
      </c>
      <c r="V438" s="844">
        <v>66863.62</v>
      </c>
      <c r="W438" s="844">
        <v>51378.69</v>
      </c>
      <c r="X438" s="844">
        <v>48747.01</v>
      </c>
      <c r="Y438" s="844">
        <v>44858.37</v>
      </c>
      <c r="Z438" s="844">
        <v>36450.82</v>
      </c>
      <c r="AA438" s="844">
        <v>35953.15</v>
      </c>
      <c r="AB438" s="844">
        <v>36803.589999999997</v>
      </c>
      <c r="AC438" s="844">
        <v>45338.11</v>
      </c>
      <c r="AD438" s="844">
        <v>48021.5</v>
      </c>
      <c r="AE438" s="844">
        <v>67210.75</v>
      </c>
      <c r="AF438" s="844">
        <v>58354.18</v>
      </c>
      <c r="AG438" s="844">
        <v>68785.149999999994</v>
      </c>
      <c r="AH438" s="844">
        <v>63548.41</v>
      </c>
      <c r="AI438" s="844">
        <v>53869.57</v>
      </c>
      <c r="AJ438" s="844">
        <v>52537.86</v>
      </c>
      <c r="AK438" s="844"/>
      <c r="AL438" s="844"/>
      <c r="AM438" s="844"/>
      <c r="AN438" s="844"/>
      <c r="AO438" s="844"/>
      <c r="AP438" s="844"/>
      <c r="AQ438" s="844"/>
    </row>
    <row r="439" spans="2:43">
      <c r="B439" s="841" t="s">
        <v>1200</v>
      </c>
      <c r="C439" s="841">
        <v>11485</v>
      </c>
      <c r="D439" s="841">
        <v>11969</v>
      </c>
      <c r="E439" s="841">
        <v>13156</v>
      </c>
      <c r="F439" s="841">
        <v>13945</v>
      </c>
      <c r="G439" s="841">
        <v>16066</v>
      </c>
      <c r="H439" s="841">
        <v>18084</v>
      </c>
      <c r="I439" s="841">
        <v>19211</v>
      </c>
      <c r="J439" s="841">
        <v>18028</v>
      </c>
      <c r="K439" s="841">
        <v>16544</v>
      </c>
      <c r="L439" s="842">
        <v>15679.232421875</v>
      </c>
      <c r="M439" s="842">
        <v>14486.912109375</v>
      </c>
      <c r="N439" s="842">
        <v>14095.62</v>
      </c>
      <c r="O439" s="842">
        <v>14140.93</v>
      </c>
      <c r="P439" s="842">
        <v>14373.12</v>
      </c>
      <c r="Q439" s="842">
        <v>15487.87</v>
      </c>
      <c r="R439" s="842">
        <v>14536.19</v>
      </c>
      <c r="S439" s="842">
        <v>15704.7</v>
      </c>
      <c r="T439" s="842">
        <v>17081.86</v>
      </c>
      <c r="U439" s="842">
        <v>19440.509999999998</v>
      </c>
      <c r="V439" s="842">
        <v>19292.669999999998</v>
      </c>
      <c r="W439" s="842">
        <v>18648.189999999999</v>
      </c>
      <c r="X439" s="842">
        <v>18121.599999999999</v>
      </c>
      <c r="Y439" s="842">
        <v>16451.2</v>
      </c>
      <c r="Z439" s="842">
        <v>15362.82</v>
      </c>
      <c r="AA439" s="842">
        <v>15528.58</v>
      </c>
      <c r="AB439" s="842">
        <v>14907.39</v>
      </c>
      <c r="AC439" s="842">
        <v>16486.400000000001</v>
      </c>
      <c r="AD439" s="842">
        <v>17291.52</v>
      </c>
      <c r="AE439" s="842">
        <v>19379.97</v>
      </c>
      <c r="AF439" s="842">
        <v>18618.75</v>
      </c>
      <c r="AG439" s="842">
        <v>19041.79</v>
      </c>
      <c r="AH439" s="842">
        <v>19209.98</v>
      </c>
      <c r="AI439" s="842">
        <v>15921.28</v>
      </c>
      <c r="AJ439" s="842">
        <v>4236.42</v>
      </c>
      <c r="AK439" s="842"/>
      <c r="AL439" s="842"/>
      <c r="AM439" s="842"/>
      <c r="AN439" s="842"/>
      <c r="AO439" s="842"/>
      <c r="AP439" s="842"/>
      <c r="AQ439" s="842"/>
    </row>
    <row r="440" spans="2:43">
      <c r="B440" s="839" t="s">
        <v>1201</v>
      </c>
      <c r="C440" s="839">
        <v>1371</v>
      </c>
      <c r="D440" s="839">
        <v>1101</v>
      </c>
      <c r="E440" s="839">
        <v>1323</v>
      </c>
      <c r="F440" s="839">
        <v>1297</v>
      </c>
      <c r="G440" s="839">
        <v>2137</v>
      </c>
      <c r="H440" s="839">
        <v>2974</v>
      </c>
      <c r="I440" s="839">
        <v>3129</v>
      </c>
      <c r="J440" s="839">
        <v>2256</v>
      </c>
      <c r="K440" s="839">
        <v>1887</v>
      </c>
      <c r="L440" s="840">
        <v>1762.3680419921875</v>
      </c>
      <c r="M440" s="840">
        <v>1513.615966796875</v>
      </c>
      <c r="N440" s="840">
        <v>1294.1099999999999</v>
      </c>
      <c r="O440" s="840">
        <v>1783.38</v>
      </c>
      <c r="P440" s="840">
        <v>1452.13</v>
      </c>
      <c r="Q440" s="840">
        <v>1744.53</v>
      </c>
      <c r="R440" s="840">
        <v>1499.78</v>
      </c>
      <c r="S440" s="840">
        <v>2256.9899999999998</v>
      </c>
      <c r="T440" s="840">
        <v>2770.9</v>
      </c>
      <c r="U440" s="840">
        <v>2895.39</v>
      </c>
      <c r="V440" s="840">
        <v>3053.81</v>
      </c>
      <c r="W440" s="840">
        <v>1880.27</v>
      </c>
      <c r="X440" s="840">
        <v>1755.98</v>
      </c>
      <c r="Y440" s="840">
        <v>1651.54</v>
      </c>
      <c r="Z440" s="840">
        <v>1109.22</v>
      </c>
      <c r="AA440" s="840">
        <v>1202.42</v>
      </c>
      <c r="AB440" s="840">
        <v>1413.07</v>
      </c>
      <c r="AC440" s="840">
        <v>1615.86</v>
      </c>
      <c r="AD440" s="840">
        <v>1785.71</v>
      </c>
      <c r="AE440" s="840">
        <v>2897.44</v>
      </c>
      <c r="AF440" s="840">
        <v>2477.04</v>
      </c>
      <c r="AG440" s="840">
        <v>3047.09</v>
      </c>
      <c r="AH440" s="840">
        <v>2995.06</v>
      </c>
      <c r="AI440" s="840">
        <v>1860.5</v>
      </c>
      <c r="AJ440" s="840">
        <v>605.66</v>
      </c>
      <c r="AK440" s="840"/>
      <c r="AL440" s="840"/>
      <c r="AM440" s="840"/>
      <c r="AN440" s="840"/>
      <c r="AO440" s="840"/>
      <c r="AP440" s="840"/>
      <c r="AQ440" s="840"/>
    </row>
    <row r="441" spans="2:43" s="473" customFormat="1">
      <c r="B441" s="837" t="s">
        <v>1202</v>
      </c>
      <c r="C441" s="837">
        <v>6762</v>
      </c>
      <c r="D441" s="837">
        <v>8081</v>
      </c>
      <c r="E441" s="837">
        <v>9019</v>
      </c>
      <c r="F441" s="837">
        <v>7682</v>
      </c>
      <c r="G441" s="837">
        <v>7941</v>
      </c>
      <c r="H441" s="837">
        <v>7259</v>
      </c>
      <c r="I441" s="837">
        <v>7835</v>
      </c>
      <c r="J441" s="837">
        <v>8067</v>
      </c>
      <c r="K441" s="837">
        <v>7612</v>
      </c>
      <c r="L441" s="838">
        <v>8164.83203125</v>
      </c>
      <c r="M441" s="838">
        <v>9095.3916015625</v>
      </c>
      <c r="N441" s="838">
        <v>9399.33</v>
      </c>
      <c r="O441" s="838">
        <v>10072.93</v>
      </c>
      <c r="P441" s="838">
        <v>10840.86</v>
      </c>
      <c r="Q441" s="838">
        <v>12486.72</v>
      </c>
      <c r="R441" s="838">
        <v>10211.58</v>
      </c>
      <c r="S441" s="838">
        <v>11175.68</v>
      </c>
      <c r="T441" s="838">
        <v>10181.629999999999</v>
      </c>
      <c r="U441" s="838">
        <v>9947.17</v>
      </c>
      <c r="V441" s="838">
        <v>10311.969999999999</v>
      </c>
      <c r="W441" s="838">
        <v>10180.86</v>
      </c>
      <c r="X441" s="838">
        <v>10739.26</v>
      </c>
      <c r="Y441" s="838">
        <v>10866.18</v>
      </c>
      <c r="Z441" s="838">
        <v>10500.77</v>
      </c>
      <c r="AA441" s="838">
        <v>11176.32</v>
      </c>
      <c r="AB441" s="838">
        <v>10914.08</v>
      </c>
      <c r="AC441" s="838">
        <v>10658.82</v>
      </c>
      <c r="AD441" s="838">
        <v>10542.14</v>
      </c>
      <c r="AE441" s="838">
        <v>10813.44</v>
      </c>
      <c r="AF441" s="838">
        <v>9591.23</v>
      </c>
      <c r="AG441" s="838">
        <v>10251.969999999999</v>
      </c>
      <c r="AH441" s="838">
        <v>10332.74</v>
      </c>
      <c r="AI441" s="838">
        <v>9581.5</v>
      </c>
      <c r="AJ441" s="838">
        <v>2810.05</v>
      </c>
      <c r="AK441" s="838"/>
      <c r="AL441" s="838"/>
      <c r="AM441" s="838"/>
      <c r="AN441" s="838"/>
      <c r="AO441" s="838"/>
      <c r="AP441" s="838"/>
      <c r="AQ441" s="838"/>
    </row>
    <row r="442" spans="2:43" s="473" customFormat="1">
      <c r="B442" s="839" t="s">
        <v>1203</v>
      </c>
      <c r="C442" s="839">
        <v>1430</v>
      </c>
      <c r="D442" s="839">
        <v>927</v>
      </c>
      <c r="E442" s="839">
        <v>484</v>
      </c>
      <c r="F442" s="839">
        <v>587</v>
      </c>
      <c r="G442" s="839">
        <v>2306</v>
      </c>
      <c r="H442" s="839">
        <v>3214</v>
      </c>
      <c r="I442" s="839">
        <v>3066</v>
      </c>
      <c r="J442" s="839">
        <v>2770</v>
      </c>
      <c r="K442" s="839">
        <v>2374</v>
      </c>
      <c r="L442" s="840">
        <v>1927.4560546875</v>
      </c>
      <c r="M442" s="840">
        <v>1279.008056640625</v>
      </c>
      <c r="N442" s="840">
        <v>753.6</v>
      </c>
      <c r="O442" s="840">
        <v>953.81</v>
      </c>
      <c r="P442" s="840">
        <v>1162.21</v>
      </c>
      <c r="Q442" s="840">
        <v>1553.12</v>
      </c>
      <c r="R442" s="840">
        <v>1113.6600000000001</v>
      </c>
      <c r="S442" s="840">
        <v>2170.8000000000002</v>
      </c>
      <c r="T442" s="840">
        <v>2277.86</v>
      </c>
      <c r="U442" s="840">
        <v>2781.74</v>
      </c>
      <c r="V442" s="840">
        <v>2885.86</v>
      </c>
      <c r="W442" s="840">
        <v>2224.7399999999998</v>
      </c>
      <c r="X442" s="840">
        <v>2048.75</v>
      </c>
      <c r="Y442" s="840">
        <v>1200.29</v>
      </c>
      <c r="Z442" s="840">
        <v>836.4</v>
      </c>
      <c r="AA442" s="840">
        <v>958.46</v>
      </c>
      <c r="AB442" s="840">
        <v>1126.29</v>
      </c>
      <c r="AC442" s="840">
        <v>1690</v>
      </c>
      <c r="AD442" s="840">
        <v>1631.82</v>
      </c>
      <c r="AE442" s="840">
        <v>2952.21</v>
      </c>
      <c r="AF442" s="840">
        <v>2800.03</v>
      </c>
      <c r="AG442" s="840">
        <v>3567.14</v>
      </c>
      <c r="AH442" s="840">
        <v>2831.39</v>
      </c>
      <c r="AI442" s="840">
        <v>2039.94</v>
      </c>
      <c r="AJ442" s="840">
        <v>488.91</v>
      </c>
      <c r="AK442" s="840"/>
      <c r="AL442" s="840"/>
      <c r="AM442" s="840"/>
      <c r="AN442" s="840"/>
      <c r="AO442" s="840"/>
      <c r="AP442" s="840"/>
      <c r="AQ442" s="840"/>
    </row>
    <row r="443" spans="2:43">
      <c r="B443" s="837" t="s">
        <v>1204</v>
      </c>
      <c r="C443" s="837">
        <v>4805</v>
      </c>
      <c r="D443" s="837">
        <v>4295</v>
      </c>
      <c r="E443" s="837">
        <v>5167</v>
      </c>
      <c r="F443" s="837">
        <v>5049</v>
      </c>
      <c r="G443" s="837">
        <v>5890</v>
      </c>
      <c r="H443" s="837">
        <v>6767</v>
      </c>
      <c r="I443" s="837">
        <v>7438</v>
      </c>
      <c r="J443" s="837">
        <v>6717</v>
      </c>
      <c r="K443" s="837">
        <v>6213</v>
      </c>
      <c r="L443" s="838">
        <v>6011.6162109375</v>
      </c>
      <c r="M443" s="838">
        <v>5348.09619140625</v>
      </c>
      <c r="N443" s="838">
        <v>4575.68</v>
      </c>
      <c r="O443" s="838">
        <v>5002.82</v>
      </c>
      <c r="P443" s="838">
        <v>4882.82</v>
      </c>
      <c r="Q443" s="838">
        <v>5205.25</v>
      </c>
      <c r="R443" s="838">
        <v>5136.0600000000004</v>
      </c>
      <c r="S443" s="838">
        <v>6079.71</v>
      </c>
      <c r="T443" s="838">
        <v>6001.15</v>
      </c>
      <c r="U443" s="838">
        <v>6016.29</v>
      </c>
      <c r="V443" s="838">
        <v>6187.42</v>
      </c>
      <c r="W443" s="838">
        <v>5554.11</v>
      </c>
      <c r="X443" s="838">
        <v>5654.37</v>
      </c>
      <c r="Y443" s="838">
        <v>5251.68</v>
      </c>
      <c r="Z443" s="838">
        <v>4650.9399999999996</v>
      </c>
      <c r="AA443" s="838">
        <v>5169.66</v>
      </c>
      <c r="AB443" s="838">
        <v>4846.2700000000004</v>
      </c>
      <c r="AC443" s="838">
        <v>5120.96</v>
      </c>
      <c r="AD443" s="838">
        <v>5039.1000000000004</v>
      </c>
      <c r="AE443" s="838">
        <v>6679.74</v>
      </c>
      <c r="AF443" s="838">
        <v>5879.04</v>
      </c>
      <c r="AG443" s="838">
        <v>6769.02</v>
      </c>
      <c r="AH443" s="838">
        <v>6441.22</v>
      </c>
      <c r="AI443" s="838">
        <v>5435.2</v>
      </c>
      <c r="AJ443" s="838">
        <v>1701.5</v>
      </c>
      <c r="AK443" s="838"/>
      <c r="AL443" s="838"/>
      <c r="AM443" s="838"/>
      <c r="AN443" s="838"/>
      <c r="AO443" s="838"/>
      <c r="AP443" s="838"/>
      <c r="AQ443" s="838"/>
    </row>
    <row r="444" spans="2:43">
      <c r="B444" s="839" t="s">
        <v>1205</v>
      </c>
      <c r="C444" s="839">
        <v>1026</v>
      </c>
      <c r="D444" s="839">
        <v>1137</v>
      </c>
      <c r="E444" s="839">
        <v>1416</v>
      </c>
      <c r="F444" s="839">
        <v>1905</v>
      </c>
      <c r="G444" s="839">
        <v>3214</v>
      </c>
      <c r="H444" s="839">
        <v>4402</v>
      </c>
      <c r="I444" s="839">
        <v>5008</v>
      </c>
      <c r="J444" s="839">
        <v>4790</v>
      </c>
      <c r="K444" s="839">
        <v>3282</v>
      </c>
      <c r="L444" s="840">
        <v>3038.864013671875</v>
      </c>
      <c r="M444" s="840">
        <v>1697.4239501953125</v>
      </c>
      <c r="N444" s="840">
        <v>1393.41</v>
      </c>
      <c r="O444" s="840">
        <v>928.18</v>
      </c>
      <c r="P444" s="840">
        <v>1022.82</v>
      </c>
      <c r="Q444" s="840">
        <v>1958.64</v>
      </c>
      <c r="R444" s="840">
        <v>2418.58</v>
      </c>
      <c r="S444" s="840">
        <v>3451.18</v>
      </c>
      <c r="T444" s="840">
        <v>4223.54</v>
      </c>
      <c r="U444" s="840">
        <v>4409.0600000000004</v>
      </c>
      <c r="V444" s="840">
        <v>5159.1400000000003</v>
      </c>
      <c r="W444" s="840">
        <v>3255.6</v>
      </c>
      <c r="X444" s="840">
        <v>2699.46</v>
      </c>
      <c r="Y444" s="840">
        <v>2258.94</v>
      </c>
      <c r="Z444" s="840">
        <v>1432</v>
      </c>
      <c r="AA444" s="840">
        <v>1215.81</v>
      </c>
      <c r="AB444" s="840">
        <v>1520.86</v>
      </c>
      <c r="AC444" s="840">
        <v>2730.46</v>
      </c>
      <c r="AD444" s="840">
        <v>3292.35</v>
      </c>
      <c r="AE444" s="840">
        <v>5094.05</v>
      </c>
      <c r="AF444" s="840">
        <v>4178.72</v>
      </c>
      <c r="AG444" s="840">
        <v>5355.87</v>
      </c>
      <c r="AH444" s="840">
        <v>4546.5600000000004</v>
      </c>
      <c r="AI444" s="840">
        <v>3810.4</v>
      </c>
      <c r="AJ444" s="840">
        <v>966.18</v>
      </c>
      <c r="AK444" s="840"/>
      <c r="AL444" s="840"/>
      <c r="AM444" s="840"/>
      <c r="AN444" s="840"/>
      <c r="AO444" s="840"/>
      <c r="AP444" s="840"/>
      <c r="AQ444" s="840"/>
    </row>
    <row r="445" spans="2:43">
      <c r="B445" s="837" t="s">
        <v>1206</v>
      </c>
      <c r="C445" s="837">
        <v>2995</v>
      </c>
      <c r="D445" s="837">
        <v>3636</v>
      </c>
      <c r="E445" s="837">
        <v>3701</v>
      </c>
      <c r="F445" s="837">
        <v>4471</v>
      </c>
      <c r="G445" s="837">
        <v>6262</v>
      </c>
      <c r="H445" s="837">
        <v>7831</v>
      </c>
      <c r="I445" s="837">
        <v>8721</v>
      </c>
      <c r="J445" s="837">
        <v>6876</v>
      </c>
      <c r="K445" s="837">
        <v>6379</v>
      </c>
      <c r="L445" s="838">
        <v>6256.7998046875</v>
      </c>
      <c r="M445" s="838">
        <v>4126.94384765625</v>
      </c>
      <c r="N445" s="838">
        <v>4204.8</v>
      </c>
      <c r="O445" s="838">
        <v>3208.77</v>
      </c>
      <c r="P445" s="838">
        <v>3164.9</v>
      </c>
      <c r="Q445" s="838">
        <v>5160.1899999999996</v>
      </c>
      <c r="R445" s="838">
        <v>5318.11</v>
      </c>
      <c r="S445" s="838">
        <v>6938.24</v>
      </c>
      <c r="T445" s="838">
        <v>7871.68</v>
      </c>
      <c r="U445" s="838">
        <v>8228.7999999999993</v>
      </c>
      <c r="V445" s="838">
        <v>8383.7800000000007</v>
      </c>
      <c r="W445" s="838">
        <v>6324.58</v>
      </c>
      <c r="X445" s="838">
        <v>6098.69</v>
      </c>
      <c r="Y445" s="838">
        <v>5518.14</v>
      </c>
      <c r="Z445" s="838">
        <v>4783.74</v>
      </c>
      <c r="AA445" s="838">
        <v>4401.38</v>
      </c>
      <c r="AB445" s="838">
        <v>5238.37</v>
      </c>
      <c r="AC445" s="838">
        <v>6525.57</v>
      </c>
      <c r="AD445" s="838">
        <v>6491.17</v>
      </c>
      <c r="AE445" s="838">
        <v>9730.85</v>
      </c>
      <c r="AF445" s="838">
        <v>8780.1</v>
      </c>
      <c r="AG445" s="838">
        <v>9615.0400000000009</v>
      </c>
      <c r="AH445" s="838">
        <v>9374.56</v>
      </c>
      <c r="AI445" s="838">
        <v>7638.69</v>
      </c>
      <c r="AJ445" s="838">
        <v>2077.9499999999998</v>
      </c>
      <c r="AK445" s="838"/>
      <c r="AL445" s="838"/>
      <c r="AM445" s="838"/>
      <c r="AN445" s="838"/>
      <c r="AO445" s="838"/>
      <c r="AP445" s="838"/>
      <c r="AQ445" s="838"/>
    </row>
    <row r="446" spans="2:43">
      <c r="B446" s="839" t="s">
        <v>1207</v>
      </c>
      <c r="C446" s="839">
        <v>464</v>
      </c>
      <c r="D446" s="839">
        <v>820</v>
      </c>
      <c r="E446" s="839">
        <v>596</v>
      </c>
      <c r="F446" s="839">
        <v>669</v>
      </c>
      <c r="G446" s="839">
        <v>852</v>
      </c>
      <c r="H446" s="839">
        <v>1277</v>
      </c>
      <c r="I446" s="839">
        <v>1341</v>
      </c>
      <c r="J446" s="839">
        <v>1427</v>
      </c>
      <c r="K446" s="839">
        <v>1388</v>
      </c>
      <c r="L446" s="840">
        <v>1084.8800048828125</v>
      </c>
      <c r="M446" s="840">
        <v>962.54400634765625</v>
      </c>
      <c r="N446" s="840">
        <v>1280.18</v>
      </c>
      <c r="O446" s="840">
        <v>1418.54</v>
      </c>
      <c r="P446" s="840">
        <v>1532.54</v>
      </c>
      <c r="Q446" s="840">
        <v>1121.6500000000001</v>
      </c>
      <c r="R446" s="840">
        <v>808.1</v>
      </c>
      <c r="S446" s="840">
        <v>875.26</v>
      </c>
      <c r="T446" s="840">
        <v>1058.94</v>
      </c>
      <c r="U446" s="840">
        <v>3063.52</v>
      </c>
      <c r="V446" s="840">
        <v>3007.3</v>
      </c>
      <c r="W446" s="840">
        <v>2921.94</v>
      </c>
      <c r="X446" s="840">
        <v>2765.62</v>
      </c>
      <c r="Y446" s="840">
        <v>2586.4299999999998</v>
      </c>
      <c r="Z446" s="840">
        <v>2439.3000000000002</v>
      </c>
      <c r="AA446" s="840">
        <v>2237.12</v>
      </c>
      <c r="AB446" s="840">
        <v>2104.8000000000002</v>
      </c>
      <c r="AC446" s="840">
        <v>2236.62</v>
      </c>
      <c r="AD446" s="840">
        <v>2225.73</v>
      </c>
      <c r="AE446" s="840">
        <v>3018.67</v>
      </c>
      <c r="AF446" s="840">
        <v>2791.54</v>
      </c>
      <c r="AG446" s="840">
        <v>2538.34</v>
      </c>
      <c r="AH446" s="840">
        <v>2747.06</v>
      </c>
      <c r="AI446" s="840">
        <v>2396.6999999999998</v>
      </c>
      <c r="AJ446" s="840">
        <v>511.58</v>
      </c>
      <c r="AK446" s="840"/>
      <c r="AL446" s="840"/>
      <c r="AM446" s="840"/>
      <c r="AN446" s="840"/>
      <c r="AO446" s="840"/>
      <c r="AP446" s="840"/>
      <c r="AQ446" s="840"/>
    </row>
    <row r="447" spans="2:43">
      <c r="B447" s="837" t="s">
        <v>1208</v>
      </c>
      <c r="C447" s="837">
        <v>1622</v>
      </c>
      <c r="D447" s="837">
        <v>1474</v>
      </c>
      <c r="E447" s="837">
        <v>1754</v>
      </c>
      <c r="F447" s="837">
        <v>1506</v>
      </c>
      <c r="G447" s="837">
        <v>1504</v>
      </c>
      <c r="H447" s="837">
        <v>1570</v>
      </c>
      <c r="I447" s="837">
        <v>1508</v>
      </c>
      <c r="J447" s="837">
        <v>1457</v>
      </c>
      <c r="K447" s="837">
        <v>969</v>
      </c>
      <c r="L447" s="838">
        <v>1207.8719482421875</v>
      </c>
      <c r="M447" s="838">
        <v>1532.6719970703125</v>
      </c>
      <c r="N447" s="838">
        <v>1428.77</v>
      </c>
      <c r="O447" s="838">
        <v>1591.85</v>
      </c>
      <c r="P447" s="838">
        <v>1448.17</v>
      </c>
      <c r="Q447" s="838">
        <v>1386.61</v>
      </c>
      <c r="R447" s="838">
        <v>1267.9100000000001</v>
      </c>
      <c r="S447" s="838">
        <v>1285.99</v>
      </c>
      <c r="T447" s="838">
        <v>1065.99</v>
      </c>
      <c r="U447" s="838">
        <v>918.86</v>
      </c>
      <c r="V447" s="838">
        <v>818.86</v>
      </c>
      <c r="W447" s="838">
        <v>853.46</v>
      </c>
      <c r="X447" s="838">
        <v>930.96</v>
      </c>
      <c r="Y447" s="838">
        <v>1235.33</v>
      </c>
      <c r="Z447" s="838">
        <v>1304.3800000000001</v>
      </c>
      <c r="AA447" s="838">
        <v>1381.12</v>
      </c>
      <c r="AB447" s="838">
        <v>1266.3399999999999</v>
      </c>
      <c r="AC447" s="838">
        <v>1207.57</v>
      </c>
      <c r="AD447" s="838">
        <v>1213.28</v>
      </c>
      <c r="AE447" s="838">
        <v>1524.1</v>
      </c>
      <c r="AF447" s="838">
        <v>1020.08</v>
      </c>
      <c r="AG447" s="838">
        <v>1116.26</v>
      </c>
      <c r="AH447" s="838">
        <v>1086.56</v>
      </c>
      <c r="AI447" s="838">
        <v>1098.32</v>
      </c>
      <c r="AJ447" s="838">
        <v>301.14</v>
      </c>
      <c r="AK447" s="838"/>
      <c r="AL447" s="838"/>
      <c r="AM447" s="838"/>
      <c r="AN447" s="838"/>
      <c r="AO447" s="838"/>
      <c r="AP447" s="838"/>
      <c r="AQ447" s="838"/>
    </row>
    <row r="448" spans="2:43">
      <c r="B448" s="839" t="s">
        <v>1209</v>
      </c>
      <c r="C448" s="839">
        <v>6795</v>
      </c>
      <c r="D448" s="839">
        <v>5537</v>
      </c>
      <c r="E448" s="839">
        <v>5667</v>
      </c>
      <c r="F448" s="839">
        <v>5206</v>
      </c>
      <c r="G448" s="839">
        <v>5421</v>
      </c>
      <c r="H448" s="839">
        <v>5636</v>
      </c>
      <c r="I448" s="839">
        <v>6146</v>
      </c>
      <c r="J448" s="839">
        <v>5918</v>
      </c>
      <c r="K448" s="839">
        <v>5598</v>
      </c>
      <c r="L448" s="840">
        <v>6161.88818359375</v>
      </c>
      <c r="M448" s="840">
        <v>5317.05615234375</v>
      </c>
      <c r="N448" s="840">
        <v>5147.3900000000003</v>
      </c>
      <c r="O448" s="840">
        <v>5606.75</v>
      </c>
      <c r="P448" s="840">
        <v>5195.1400000000003</v>
      </c>
      <c r="Q448" s="840">
        <v>5432.13</v>
      </c>
      <c r="R448" s="840">
        <v>5016.0600000000004</v>
      </c>
      <c r="S448" s="840">
        <v>5308.22</v>
      </c>
      <c r="T448" s="840">
        <v>5251.52</v>
      </c>
      <c r="U448" s="840">
        <v>5006.3</v>
      </c>
      <c r="V448" s="840">
        <v>4960.26</v>
      </c>
      <c r="W448" s="840">
        <v>5119.3900000000003</v>
      </c>
      <c r="X448" s="840">
        <v>5619.62</v>
      </c>
      <c r="Y448" s="840">
        <v>5395.33</v>
      </c>
      <c r="Z448" s="840">
        <v>5536.99</v>
      </c>
      <c r="AA448" s="840">
        <v>5849.95</v>
      </c>
      <c r="AB448" s="840">
        <v>5387.01</v>
      </c>
      <c r="AC448" s="840">
        <v>5401.18</v>
      </c>
      <c r="AD448" s="840">
        <v>5095.3599999999997</v>
      </c>
      <c r="AE448" s="840">
        <v>5494.98</v>
      </c>
      <c r="AF448" s="840">
        <v>5101.8900000000003</v>
      </c>
      <c r="AG448" s="840">
        <v>5522.43</v>
      </c>
      <c r="AH448" s="840">
        <v>5536.51</v>
      </c>
      <c r="AI448" s="840">
        <v>5310.02</v>
      </c>
      <c r="AJ448" s="840">
        <v>1409.79</v>
      </c>
      <c r="AK448" s="840"/>
      <c r="AL448" s="840"/>
      <c r="AM448" s="840"/>
      <c r="AN448" s="840"/>
      <c r="AO448" s="840"/>
      <c r="AP448" s="840"/>
      <c r="AQ448" s="840"/>
    </row>
    <row r="449" spans="2:43">
      <c r="B449" s="837" t="s">
        <v>1210</v>
      </c>
      <c r="C449" s="837">
        <v>3565</v>
      </c>
      <c r="D449" s="837">
        <v>3249</v>
      </c>
      <c r="E449" s="837">
        <v>3755</v>
      </c>
      <c r="F449" s="837">
        <v>3573</v>
      </c>
      <c r="G449" s="837">
        <v>4014</v>
      </c>
      <c r="H449" s="837">
        <v>4498</v>
      </c>
      <c r="I449" s="837">
        <v>5019</v>
      </c>
      <c r="J449" s="837">
        <v>4583</v>
      </c>
      <c r="K449" s="837">
        <v>4183</v>
      </c>
      <c r="L449" s="838">
        <v>4242.81591796875</v>
      </c>
      <c r="M449" s="838">
        <v>3990.719970703125</v>
      </c>
      <c r="N449" s="838">
        <v>3265.7</v>
      </c>
      <c r="O449" s="838">
        <v>3608.86</v>
      </c>
      <c r="P449" s="838">
        <v>3636.42</v>
      </c>
      <c r="Q449" s="838">
        <v>3734.18</v>
      </c>
      <c r="R449" s="838">
        <v>3718.43</v>
      </c>
      <c r="S449" s="838">
        <v>4285.92</v>
      </c>
      <c r="T449" s="838">
        <v>4281.22</v>
      </c>
      <c r="U449" s="838">
        <v>4122.1099999999997</v>
      </c>
      <c r="V449" s="838">
        <v>4228.03</v>
      </c>
      <c r="W449" s="838">
        <v>3678.43</v>
      </c>
      <c r="X449" s="838">
        <v>3768.26</v>
      </c>
      <c r="Y449" s="838">
        <v>3843.14</v>
      </c>
      <c r="Z449" s="838">
        <v>3468.64</v>
      </c>
      <c r="AA449" s="838">
        <v>3901.34</v>
      </c>
      <c r="AB449" s="838">
        <v>3476</v>
      </c>
      <c r="AC449" s="838">
        <v>3693.6</v>
      </c>
      <c r="AD449" s="838">
        <v>3571.42</v>
      </c>
      <c r="AE449" s="838">
        <v>4737.7299999999996</v>
      </c>
      <c r="AF449" s="838">
        <v>4126.88</v>
      </c>
      <c r="AG449" s="838">
        <v>4783.49</v>
      </c>
      <c r="AH449" s="838">
        <v>4506.6899999999996</v>
      </c>
      <c r="AI449" s="838">
        <v>3748.45</v>
      </c>
      <c r="AJ449" s="838">
        <v>1223.6500000000001</v>
      </c>
      <c r="AK449" s="838"/>
      <c r="AL449" s="838"/>
      <c r="AM449" s="838"/>
      <c r="AN449" s="838"/>
      <c r="AO449" s="838"/>
      <c r="AP449" s="838"/>
      <c r="AQ449" s="838"/>
    </row>
    <row r="450" spans="2:43">
      <c r="B450" s="839" t="s">
        <v>1211</v>
      </c>
      <c r="C450" s="839">
        <v>349</v>
      </c>
      <c r="D450" s="839">
        <v>290</v>
      </c>
      <c r="E450" s="839">
        <v>404</v>
      </c>
      <c r="F450" s="839">
        <v>414</v>
      </c>
      <c r="G450" s="839">
        <v>459</v>
      </c>
      <c r="H450" s="839">
        <v>524</v>
      </c>
      <c r="I450" s="839">
        <v>614</v>
      </c>
      <c r="J450" s="839">
        <v>560</v>
      </c>
      <c r="K450" s="839">
        <v>536</v>
      </c>
      <c r="L450" s="840">
        <v>488</v>
      </c>
      <c r="M450" s="840">
        <v>420.35198974609375</v>
      </c>
      <c r="N450" s="840">
        <v>357.81</v>
      </c>
      <c r="O450" s="840">
        <v>392.1</v>
      </c>
      <c r="P450" s="840">
        <v>356.51</v>
      </c>
      <c r="Q450" s="840">
        <v>458.05</v>
      </c>
      <c r="R450" s="840">
        <v>378.06</v>
      </c>
      <c r="S450" s="840">
        <v>505.26</v>
      </c>
      <c r="T450" s="840">
        <v>450.93</v>
      </c>
      <c r="U450" s="840">
        <v>410.05</v>
      </c>
      <c r="V450" s="840">
        <v>527.41999999999996</v>
      </c>
      <c r="W450" s="840">
        <v>706.62</v>
      </c>
      <c r="X450" s="840">
        <v>821.25</v>
      </c>
      <c r="Y450" s="840">
        <v>525.14</v>
      </c>
      <c r="Z450" s="840">
        <v>394.93</v>
      </c>
      <c r="AA450" s="840">
        <v>462.7</v>
      </c>
      <c r="AB450" s="840">
        <v>535.33000000000004</v>
      </c>
      <c r="AC450" s="840">
        <v>564.16</v>
      </c>
      <c r="AD450" s="840">
        <v>501.74</v>
      </c>
      <c r="AE450" s="840">
        <v>574.91</v>
      </c>
      <c r="AF450" s="840">
        <v>614.75</v>
      </c>
      <c r="AG450" s="840">
        <v>676.13</v>
      </c>
      <c r="AH450" s="840">
        <v>655.74</v>
      </c>
      <c r="AI450" s="840">
        <v>529.14</v>
      </c>
      <c r="AJ450" s="840">
        <v>157.88999999999999</v>
      </c>
      <c r="AK450" s="840"/>
      <c r="AL450" s="840"/>
      <c r="AM450" s="840"/>
      <c r="AN450" s="840"/>
      <c r="AO450" s="840"/>
      <c r="AP450" s="840"/>
      <c r="AQ450" s="840"/>
    </row>
    <row r="451" spans="2:43">
      <c r="B451" s="837" t="s">
        <v>1212</v>
      </c>
      <c r="C451" s="837">
        <v>835</v>
      </c>
      <c r="D451" s="837">
        <v>704</v>
      </c>
      <c r="E451" s="837">
        <v>969</v>
      </c>
      <c r="F451" s="837">
        <v>973</v>
      </c>
      <c r="G451" s="837">
        <v>1282</v>
      </c>
      <c r="H451" s="837">
        <v>1537</v>
      </c>
      <c r="I451" s="837">
        <v>1590</v>
      </c>
      <c r="J451" s="837">
        <v>1395</v>
      </c>
      <c r="K451" s="837">
        <v>1402</v>
      </c>
      <c r="L451" s="838">
        <v>1158.2559814453125</v>
      </c>
      <c r="M451" s="838">
        <v>877.4959716796875</v>
      </c>
      <c r="N451" s="838">
        <v>907.81</v>
      </c>
      <c r="O451" s="838">
        <v>950.87</v>
      </c>
      <c r="P451" s="838">
        <v>807.18</v>
      </c>
      <c r="Q451" s="838">
        <v>947.09</v>
      </c>
      <c r="R451" s="838">
        <v>953.3</v>
      </c>
      <c r="S451" s="838">
        <v>1192.71</v>
      </c>
      <c r="T451" s="838">
        <v>1146.42</v>
      </c>
      <c r="U451" s="838">
        <v>1222.58</v>
      </c>
      <c r="V451" s="838">
        <v>1256.0899999999999</v>
      </c>
      <c r="W451" s="838">
        <v>1056.7</v>
      </c>
      <c r="X451" s="838">
        <v>995.58</v>
      </c>
      <c r="Y451" s="838">
        <v>833.35</v>
      </c>
      <c r="Z451" s="838">
        <v>736.99</v>
      </c>
      <c r="AA451" s="838">
        <v>767.38</v>
      </c>
      <c r="AB451" s="838">
        <v>787.51</v>
      </c>
      <c r="AC451" s="838">
        <v>785.01</v>
      </c>
      <c r="AD451" s="838">
        <v>880.48</v>
      </c>
      <c r="AE451" s="838">
        <v>1117.78</v>
      </c>
      <c r="AF451" s="838">
        <v>939.4</v>
      </c>
      <c r="AG451" s="838">
        <v>1080.6400000000001</v>
      </c>
      <c r="AH451" s="838">
        <v>1128.7</v>
      </c>
      <c r="AI451" s="838">
        <v>1004.78</v>
      </c>
      <c r="AJ451" s="838">
        <v>273.10000000000002</v>
      </c>
      <c r="AK451" s="838"/>
      <c r="AL451" s="838"/>
      <c r="AM451" s="838"/>
      <c r="AN451" s="838"/>
      <c r="AO451" s="838"/>
      <c r="AP451" s="838"/>
      <c r="AQ451" s="838"/>
    </row>
    <row r="452" spans="2:43">
      <c r="B452" s="839" t="s">
        <v>1213</v>
      </c>
      <c r="C452" s="839">
        <v>810</v>
      </c>
      <c r="D452" s="839">
        <v>2546</v>
      </c>
      <c r="E452" s="839">
        <v>3234</v>
      </c>
      <c r="F452" s="839">
        <v>4304</v>
      </c>
      <c r="G452" s="839">
        <v>5279</v>
      </c>
      <c r="H452" s="839">
        <v>5851</v>
      </c>
      <c r="I452" s="839">
        <v>6268</v>
      </c>
      <c r="J452" s="839">
        <v>5831</v>
      </c>
      <c r="K452" s="839">
        <v>5813</v>
      </c>
      <c r="L452" s="840">
        <v>4632.73583984375</v>
      </c>
      <c r="M452" s="840">
        <v>4235.43994140625</v>
      </c>
      <c r="N452" s="840">
        <v>4350.6899999999996</v>
      </c>
      <c r="O452" s="840">
        <v>3227.7</v>
      </c>
      <c r="P452" s="840">
        <v>3336.14</v>
      </c>
      <c r="Q452" s="840">
        <v>4087.6</v>
      </c>
      <c r="R452" s="840">
        <v>3916.86</v>
      </c>
      <c r="S452" s="840">
        <v>4798.08</v>
      </c>
      <c r="T452" s="840">
        <v>5055.5200000000004</v>
      </c>
      <c r="U452" s="840">
        <v>5940.22</v>
      </c>
      <c r="V452" s="840">
        <v>5998.42</v>
      </c>
      <c r="W452" s="840">
        <v>5263.94</v>
      </c>
      <c r="X452" s="840">
        <v>5048.16</v>
      </c>
      <c r="Y452" s="840">
        <v>4615.22</v>
      </c>
      <c r="Z452" s="840">
        <v>3787.49</v>
      </c>
      <c r="AA452" s="840">
        <v>3540.13</v>
      </c>
      <c r="AB452" s="840">
        <v>3636.13</v>
      </c>
      <c r="AC452" s="840">
        <v>4418.24</v>
      </c>
      <c r="AD452" s="840">
        <v>4873.1499999999996</v>
      </c>
      <c r="AE452" s="840">
        <v>5310.43</v>
      </c>
      <c r="AF452" s="840">
        <v>4849.7</v>
      </c>
      <c r="AG452" s="840">
        <v>4995.57</v>
      </c>
      <c r="AH452" s="840">
        <v>4430</v>
      </c>
      <c r="AI452" s="840">
        <v>4140.93</v>
      </c>
      <c r="AJ452" s="840">
        <v>1144.5</v>
      </c>
      <c r="AK452" s="840"/>
      <c r="AL452" s="840"/>
      <c r="AM452" s="840"/>
      <c r="AN452" s="840"/>
      <c r="AO452" s="840"/>
      <c r="AP452" s="840"/>
      <c r="AQ452" s="840"/>
    </row>
    <row r="453" spans="2:43">
      <c r="B453" s="837" t="s">
        <v>1214</v>
      </c>
      <c r="C453" s="837">
        <v>565</v>
      </c>
      <c r="D453" s="837">
        <v>467</v>
      </c>
      <c r="E453" s="837">
        <v>651</v>
      </c>
      <c r="F453" s="837">
        <v>887</v>
      </c>
      <c r="G453" s="837">
        <v>619</v>
      </c>
      <c r="H453" s="837">
        <v>1401</v>
      </c>
      <c r="I453" s="837">
        <v>1267</v>
      </c>
      <c r="J453" s="837">
        <v>1126</v>
      </c>
      <c r="K453" s="837">
        <v>787</v>
      </c>
      <c r="L453" s="838">
        <v>786.16802978515625</v>
      </c>
      <c r="M453" s="838">
        <v>853.79998779296875</v>
      </c>
      <c r="N453" s="838">
        <v>678.66</v>
      </c>
      <c r="O453" s="838">
        <v>836.01</v>
      </c>
      <c r="P453" s="838">
        <v>1115.71</v>
      </c>
      <c r="Q453" s="838">
        <v>1268.44</v>
      </c>
      <c r="R453" s="838">
        <v>1393.66</v>
      </c>
      <c r="S453" s="838">
        <v>894.5</v>
      </c>
      <c r="T453" s="838">
        <v>1938.26</v>
      </c>
      <c r="U453" s="838">
        <v>1741.02</v>
      </c>
      <c r="V453" s="838">
        <v>1190.67</v>
      </c>
      <c r="W453" s="838">
        <v>2044.5</v>
      </c>
      <c r="X453" s="838">
        <v>1515.58</v>
      </c>
      <c r="Y453" s="838">
        <v>1182.58</v>
      </c>
      <c r="Z453" s="838">
        <v>1287.9000000000001</v>
      </c>
      <c r="AA453" s="838">
        <v>1375.17</v>
      </c>
      <c r="AB453" s="838">
        <v>1512.21</v>
      </c>
      <c r="AC453" s="838">
        <v>2099.2199999999998</v>
      </c>
      <c r="AD453" s="838">
        <v>2636.13</v>
      </c>
      <c r="AE453" s="838">
        <v>2372.98</v>
      </c>
      <c r="AF453" s="838">
        <v>3251.38</v>
      </c>
      <c r="AG453" s="838">
        <v>3378.29</v>
      </c>
      <c r="AH453" s="838">
        <v>3668.51</v>
      </c>
      <c r="AI453" s="838">
        <v>1802.9</v>
      </c>
      <c r="AJ453" s="838">
        <v>479.9</v>
      </c>
      <c r="AK453" s="838"/>
      <c r="AL453" s="838"/>
      <c r="AM453" s="838"/>
      <c r="AN453" s="838"/>
      <c r="AO453" s="838"/>
      <c r="AP453" s="838"/>
      <c r="AQ453" s="838"/>
    </row>
    <row r="454" spans="2:43">
      <c r="B454" s="839" t="s">
        <v>1215</v>
      </c>
      <c r="C454" s="839">
        <v>103</v>
      </c>
      <c r="D454" s="839">
        <v>110</v>
      </c>
      <c r="E454" s="839">
        <v>157</v>
      </c>
      <c r="F454" s="839">
        <v>208</v>
      </c>
      <c r="G454" s="839">
        <v>204</v>
      </c>
      <c r="H454" s="839">
        <v>177</v>
      </c>
      <c r="I454" s="839">
        <v>213</v>
      </c>
      <c r="J454" s="839">
        <v>230</v>
      </c>
      <c r="K454" s="839">
        <v>273</v>
      </c>
      <c r="L454" s="840">
        <v>141.61000061035156</v>
      </c>
      <c r="M454" s="840">
        <v>123.21800231933594</v>
      </c>
      <c r="N454" s="840">
        <v>79.42</v>
      </c>
      <c r="O454" s="840">
        <v>78.53</v>
      </c>
      <c r="P454" s="840">
        <v>45.48</v>
      </c>
      <c r="Q454" s="840">
        <v>40.1</v>
      </c>
      <c r="R454" s="840">
        <v>35.380000000000003</v>
      </c>
      <c r="S454" s="840">
        <v>41.29</v>
      </c>
      <c r="T454" s="840">
        <v>36.520000000000003</v>
      </c>
      <c r="U454" s="840">
        <v>42.73</v>
      </c>
      <c r="V454" s="840">
        <v>38.72</v>
      </c>
      <c r="W454" s="840">
        <v>36.729999999999997</v>
      </c>
      <c r="X454" s="840">
        <v>37.86</v>
      </c>
      <c r="Y454" s="840">
        <v>43.72</v>
      </c>
      <c r="Z454" s="840">
        <v>67.709999999999994</v>
      </c>
      <c r="AA454" s="840">
        <v>42.68</v>
      </c>
      <c r="AB454" s="840">
        <v>36.979999999999997</v>
      </c>
      <c r="AC454" s="840">
        <v>42.64</v>
      </c>
      <c r="AD454" s="840">
        <v>35.65</v>
      </c>
      <c r="AE454" s="840">
        <v>40.47</v>
      </c>
      <c r="AF454" s="840">
        <v>57.45</v>
      </c>
      <c r="AG454" s="840">
        <v>53.5</v>
      </c>
      <c r="AH454" s="840">
        <v>46.64</v>
      </c>
      <c r="AI454" s="840">
        <v>45.54</v>
      </c>
      <c r="AJ454" s="840">
        <v>13.47</v>
      </c>
      <c r="AK454" s="840"/>
      <c r="AL454" s="840"/>
      <c r="AM454" s="840"/>
      <c r="AN454" s="840"/>
      <c r="AO454" s="840"/>
      <c r="AP454" s="840"/>
      <c r="AQ454" s="840"/>
    </row>
    <row r="455" spans="2:43">
      <c r="B455" s="837" t="s">
        <v>1216</v>
      </c>
      <c r="C455" s="837">
        <v>2789</v>
      </c>
      <c r="D455" s="837">
        <v>3884</v>
      </c>
      <c r="E455" s="837">
        <v>4312</v>
      </c>
      <c r="F455" s="837">
        <v>3723</v>
      </c>
      <c r="G455" s="837">
        <v>3747</v>
      </c>
      <c r="H455" s="837">
        <v>3274</v>
      </c>
      <c r="I455" s="837">
        <v>3839</v>
      </c>
      <c r="J455" s="837">
        <v>3972</v>
      </c>
      <c r="K455" s="837">
        <v>4100</v>
      </c>
      <c r="L455" s="838">
        <v>4840.47216796875</v>
      </c>
      <c r="M455" s="838">
        <v>5612.22412109375</v>
      </c>
      <c r="N455" s="838">
        <v>6142.16</v>
      </c>
      <c r="O455" s="838">
        <v>6479.98</v>
      </c>
      <c r="P455" s="838">
        <v>6366.43</v>
      </c>
      <c r="Q455" s="838">
        <v>6567.83</v>
      </c>
      <c r="R455" s="838">
        <v>5820.48</v>
      </c>
      <c r="S455" s="838">
        <v>6161.38</v>
      </c>
      <c r="T455" s="838">
        <v>5941.62</v>
      </c>
      <c r="U455" s="838">
        <v>5933.86</v>
      </c>
      <c r="V455" s="838">
        <v>6110.32</v>
      </c>
      <c r="W455" s="838">
        <v>5890.24</v>
      </c>
      <c r="X455" s="838">
        <v>6221.52</v>
      </c>
      <c r="Y455" s="838">
        <v>6147.58</v>
      </c>
      <c r="Z455" s="838">
        <v>6359.06</v>
      </c>
      <c r="AA455" s="838">
        <v>6542.18</v>
      </c>
      <c r="AB455" s="838">
        <v>6027.54</v>
      </c>
      <c r="AC455" s="838">
        <v>6339.78</v>
      </c>
      <c r="AD455" s="838">
        <v>6108.21</v>
      </c>
      <c r="AE455" s="838">
        <v>6126.37</v>
      </c>
      <c r="AF455" s="838">
        <v>5632.5</v>
      </c>
      <c r="AG455" s="838">
        <v>5983.57</v>
      </c>
      <c r="AH455" s="838">
        <v>6031.86</v>
      </c>
      <c r="AI455" s="838">
        <v>5677.66</v>
      </c>
      <c r="AJ455" s="838">
        <v>1619.82</v>
      </c>
      <c r="AK455" s="838"/>
      <c r="AL455" s="838"/>
      <c r="AM455" s="838"/>
      <c r="AN455" s="838"/>
      <c r="AO455" s="838"/>
      <c r="AP455" s="838"/>
      <c r="AQ455" s="838"/>
    </row>
    <row r="456" spans="2:43">
      <c r="B456" s="839" t="s">
        <v>1217</v>
      </c>
      <c r="C456" s="839">
        <v>1916</v>
      </c>
      <c r="D456" s="839">
        <v>2407</v>
      </c>
      <c r="E456" s="839">
        <v>2719</v>
      </c>
      <c r="F456" s="839">
        <v>2285</v>
      </c>
      <c r="G456" s="839">
        <v>2459</v>
      </c>
      <c r="H456" s="839">
        <v>2291</v>
      </c>
      <c r="I456" s="839">
        <v>2224</v>
      </c>
      <c r="J456" s="839">
        <v>2233</v>
      </c>
      <c r="K456" s="839">
        <v>1761</v>
      </c>
      <c r="L456" s="840">
        <v>1561.52001953125</v>
      </c>
      <c r="M456" s="840">
        <v>1718.5760498046875</v>
      </c>
      <c r="N456" s="840">
        <v>1645.19</v>
      </c>
      <c r="O456" s="840">
        <v>1643.34</v>
      </c>
      <c r="P456" s="840">
        <v>2347.56</v>
      </c>
      <c r="Q456" s="840">
        <v>3696.82</v>
      </c>
      <c r="R456" s="840">
        <v>2174.64</v>
      </c>
      <c r="S456" s="840">
        <v>2677.36</v>
      </c>
      <c r="T456" s="840">
        <v>2337.11</v>
      </c>
      <c r="U456" s="840">
        <v>2412.4499999999998</v>
      </c>
      <c r="V456" s="840">
        <v>2535.02</v>
      </c>
      <c r="W456" s="840">
        <v>2170.66</v>
      </c>
      <c r="X456" s="840">
        <v>2667.24</v>
      </c>
      <c r="Y456" s="840">
        <v>2812.02</v>
      </c>
      <c r="Z456" s="840">
        <v>2286.61</v>
      </c>
      <c r="AA456" s="840">
        <v>2545.04</v>
      </c>
      <c r="AB456" s="840">
        <v>3097.2</v>
      </c>
      <c r="AC456" s="840">
        <v>2776.24</v>
      </c>
      <c r="AD456" s="840">
        <v>2811.22</v>
      </c>
      <c r="AE456" s="840">
        <v>2407.33</v>
      </c>
      <c r="AF456" s="840">
        <v>2202.21</v>
      </c>
      <c r="AG456" s="840">
        <v>2442.66</v>
      </c>
      <c r="AH456" s="840">
        <v>1996.11</v>
      </c>
      <c r="AI456" s="840">
        <v>1818.18</v>
      </c>
      <c r="AJ456" s="840">
        <v>578.41999999999996</v>
      </c>
      <c r="AK456" s="840"/>
      <c r="AL456" s="840"/>
      <c r="AM456" s="840"/>
      <c r="AN456" s="840"/>
      <c r="AO456" s="840"/>
      <c r="AP456" s="840"/>
      <c r="AQ456" s="840"/>
    </row>
    <row r="457" spans="2:43">
      <c r="B457" s="837" t="s">
        <v>1218</v>
      </c>
      <c r="C457" s="837">
        <v>2082</v>
      </c>
      <c r="D457" s="837">
        <v>1834</v>
      </c>
      <c r="E457" s="837">
        <v>2034</v>
      </c>
      <c r="F457" s="837">
        <v>1711</v>
      </c>
      <c r="G457" s="837">
        <v>1770</v>
      </c>
      <c r="H457" s="837">
        <v>1726</v>
      </c>
      <c r="I457" s="837">
        <v>1807</v>
      </c>
      <c r="J457" s="837">
        <v>1900</v>
      </c>
      <c r="K457" s="837">
        <v>1784</v>
      </c>
      <c r="L457" s="838">
        <v>1797.7120361328125</v>
      </c>
      <c r="M457" s="838">
        <v>1809.760009765625</v>
      </c>
      <c r="N457" s="838">
        <v>1656.5</v>
      </c>
      <c r="O457" s="838">
        <v>1997.15</v>
      </c>
      <c r="P457" s="838">
        <v>2185.65</v>
      </c>
      <c r="Q457" s="838">
        <v>2290.9</v>
      </c>
      <c r="R457" s="838">
        <v>2271.65</v>
      </c>
      <c r="S457" s="838">
        <v>2398.9299999999998</v>
      </c>
      <c r="T457" s="838">
        <v>1957.63</v>
      </c>
      <c r="U457" s="838">
        <v>1652.06</v>
      </c>
      <c r="V457" s="838">
        <v>1720.72</v>
      </c>
      <c r="W457" s="838">
        <v>2171.42</v>
      </c>
      <c r="X457" s="838">
        <v>1910.8</v>
      </c>
      <c r="Y457" s="838">
        <v>1968.34</v>
      </c>
      <c r="Z457" s="838">
        <v>1907.98</v>
      </c>
      <c r="AA457" s="838">
        <v>2151.4899999999998</v>
      </c>
      <c r="AB457" s="838">
        <v>1853.54</v>
      </c>
      <c r="AC457" s="838">
        <v>1603.12</v>
      </c>
      <c r="AD457" s="838">
        <v>1681.76</v>
      </c>
      <c r="AE457" s="838">
        <v>2341.14</v>
      </c>
      <c r="AF457" s="838">
        <v>1809.68</v>
      </c>
      <c r="AG457" s="838">
        <v>1884.53</v>
      </c>
      <c r="AH457" s="838">
        <v>2361.2600000000002</v>
      </c>
      <c r="AI457" s="838">
        <v>2137.98</v>
      </c>
      <c r="AJ457" s="838">
        <v>627.25</v>
      </c>
      <c r="AK457" s="838"/>
      <c r="AL457" s="838"/>
      <c r="AM457" s="838"/>
      <c r="AN457" s="838"/>
      <c r="AO457" s="838"/>
      <c r="AP457" s="838"/>
      <c r="AQ457" s="838"/>
    </row>
    <row r="458" spans="2:43">
      <c r="B458" s="839" t="s">
        <v>1219</v>
      </c>
      <c r="C458" s="839">
        <v>723</v>
      </c>
      <c r="D458" s="839">
        <v>589</v>
      </c>
      <c r="E458" s="839">
        <v>718</v>
      </c>
      <c r="F458" s="839">
        <v>684</v>
      </c>
      <c r="G458" s="839">
        <v>848</v>
      </c>
      <c r="H458" s="839">
        <v>1072</v>
      </c>
      <c r="I458" s="839">
        <v>994</v>
      </c>
      <c r="J458" s="839">
        <v>1121</v>
      </c>
      <c r="K458" s="839">
        <v>1049</v>
      </c>
      <c r="L458" s="840">
        <v>1043.52001953125</v>
      </c>
      <c r="M458" s="840">
        <v>1160.3680419921875</v>
      </c>
      <c r="N458" s="840">
        <v>888.29</v>
      </c>
      <c r="O458" s="840">
        <v>964.51</v>
      </c>
      <c r="P458" s="840">
        <v>1073.17</v>
      </c>
      <c r="Q458" s="840">
        <v>1361.95</v>
      </c>
      <c r="R458" s="840">
        <v>981.94</v>
      </c>
      <c r="S458" s="840">
        <v>1276.69</v>
      </c>
      <c r="T458" s="840">
        <v>1219.19</v>
      </c>
      <c r="U458" s="840">
        <v>1173.03</v>
      </c>
      <c r="V458" s="840">
        <v>1318.63</v>
      </c>
      <c r="W458" s="840">
        <v>1198.3699999999999</v>
      </c>
      <c r="X458" s="840">
        <v>1215.6400000000001</v>
      </c>
      <c r="Y458" s="840">
        <v>579.16999999999996</v>
      </c>
      <c r="Z458" s="840">
        <v>469.74</v>
      </c>
      <c r="AA458" s="840">
        <v>533.38</v>
      </c>
      <c r="AB458" s="840">
        <v>580.14</v>
      </c>
      <c r="AC458" s="840">
        <v>554.58000000000004</v>
      </c>
      <c r="AD458" s="840">
        <v>568.16</v>
      </c>
      <c r="AE458" s="840">
        <v>653.73</v>
      </c>
      <c r="AF458" s="840">
        <v>531.83000000000004</v>
      </c>
      <c r="AG458" s="840">
        <v>617.34</v>
      </c>
      <c r="AH458" s="840">
        <v>551.52</v>
      </c>
      <c r="AI458" s="840">
        <v>540.49</v>
      </c>
      <c r="AJ458" s="840">
        <v>156.71</v>
      </c>
      <c r="AK458" s="840"/>
      <c r="AL458" s="840"/>
      <c r="AM458" s="840"/>
      <c r="AN458" s="840"/>
      <c r="AO458" s="840"/>
      <c r="AP458" s="840"/>
      <c r="AQ458" s="840"/>
    </row>
    <row r="459" spans="2:43">
      <c r="B459" s="837" t="s">
        <v>1220</v>
      </c>
      <c r="C459" s="837">
        <v>456</v>
      </c>
      <c r="D459" s="837">
        <v>490</v>
      </c>
      <c r="E459" s="837">
        <v>455</v>
      </c>
      <c r="F459" s="837">
        <v>559</v>
      </c>
      <c r="G459" s="837">
        <v>1433</v>
      </c>
      <c r="H459" s="837">
        <v>1207</v>
      </c>
      <c r="I459" s="837">
        <v>1593</v>
      </c>
      <c r="J459" s="837">
        <v>1014</v>
      </c>
      <c r="K459" s="837">
        <v>742</v>
      </c>
      <c r="L459" s="838">
        <v>684.52801513671875</v>
      </c>
      <c r="M459" s="838">
        <v>370.51199340820313</v>
      </c>
      <c r="N459" s="838">
        <v>307.36</v>
      </c>
      <c r="O459" s="838">
        <v>486.66</v>
      </c>
      <c r="P459" s="838">
        <v>702.51</v>
      </c>
      <c r="Q459" s="838">
        <v>861.1</v>
      </c>
      <c r="R459" s="838">
        <v>1180.24</v>
      </c>
      <c r="S459" s="838">
        <v>1302.69</v>
      </c>
      <c r="T459" s="838">
        <v>1556.38</v>
      </c>
      <c r="U459" s="838">
        <v>1672.9</v>
      </c>
      <c r="V459" s="838">
        <v>2067.6</v>
      </c>
      <c r="W459" s="838">
        <v>1320.16</v>
      </c>
      <c r="X459" s="838">
        <v>1088.9100000000001</v>
      </c>
      <c r="Y459" s="838">
        <v>912.18</v>
      </c>
      <c r="Z459" s="838">
        <v>551.29999999999995</v>
      </c>
      <c r="AA459" s="838">
        <v>655.05999999999995</v>
      </c>
      <c r="AB459" s="838">
        <v>470.43</v>
      </c>
      <c r="AC459" s="838">
        <v>623.5</v>
      </c>
      <c r="AD459" s="838">
        <v>750.98</v>
      </c>
      <c r="AE459" s="838">
        <v>1080.74</v>
      </c>
      <c r="AF459" s="838">
        <v>1122.8599999999999</v>
      </c>
      <c r="AG459" s="838">
        <v>926.88</v>
      </c>
      <c r="AH459" s="838">
        <v>1258.8</v>
      </c>
      <c r="AI459" s="838">
        <v>674.59</v>
      </c>
      <c r="AJ459" s="838">
        <v>241.63</v>
      </c>
      <c r="AK459" s="838"/>
      <c r="AL459" s="838"/>
      <c r="AM459" s="838"/>
      <c r="AN459" s="838"/>
      <c r="AO459" s="838"/>
      <c r="AP459" s="838"/>
      <c r="AQ459" s="838"/>
    </row>
    <row r="460" spans="2:43">
      <c r="B460" s="839" t="s">
        <v>1221</v>
      </c>
      <c r="C460" s="839">
        <v>2219</v>
      </c>
      <c r="D460" s="839">
        <v>2811</v>
      </c>
      <c r="E460" s="839">
        <v>2769</v>
      </c>
      <c r="F460" s="839">
        <v>3467</v>
      </c>
      <c r="G460" s="839">
        <v>5258</v>
      </c>
      <c r="H460" s="839">
        <v>6745</v>
      </c>
      <c r="I460" s="839">
        <v>7330</v>
      </c>
      <c r="J460" s="839">
        <v>5596</v>
      </c>
      <c r="K460" s="839">
        <v>5144</v>
      </c>
      <c r="L460" s="840">
        <v>5366.52783203125</v>
      </c>
      <c r="M460" s="840">
        <v>3281.72802734375</v>
      </c>
      <c r="N460" s="840">
        <v>3336.58</v>
      </c>
      <c r="O460" s="840">
        <v>2396.8000000000002</v>
      </c>
      <c r="P460" s="840">
        <v>2272.4499999999998</v>
      </c>
      <c r="Q460" s="840">
        <v>3621.54</v>
      </c>
      <c r="R460" s="840">
        <v>4058.02</v>
      </c>
      <c r="S460" s="840">
        <v>5435.07</v>
      </c>
      <c r="T460" s="840">
        <v>6349.06</v>
      </c>
      <c r="U460" s="840">
        <v>6759.3</v>
      </c>
      <c r="V460" s="840">
        <v>6845.5</v>
      </c>
      <c r="W460" s="840">
        <v>4999.17</v>
      </c>
      <c r="X460" s="840">
        <v>4725.9799999999996</v>
      </c>
      <c r="Y460" s="840">
        <v>4022.08</v>
      </c>
      <c r="Z460" s="840">
        <v>3533.7</v>
      </c>
      <c r="AA460" s="840">
        <v>3103.36</v>
      </c>
      <c r="AB460" s="840">
        <v>3624.96</v>
      </c>
      <c r="AC460" s="840">
        <v>4567.04</v>
      </c>
      <c r="AD460" s="840">
        <v>4507.6499999999996</v>
      </c>
      <c r="AE460" s="840">
        <v>6333.57</v>
      </c>
      <c r="AF460" s="840">
        <v>5999.97</v>
      </c>
      <c r="AG460" s="840">
        <v>6287.9</v>
      </c>
      <c r="AH460" s="840">
        <v>6075.42</v>
      </c>
      <c r="AI460" s="840">
        <v>4998.82</v>
      </c>
      <c r="AJ460" s="840">
        <v>1195.71</v>
      </c>
      <c r="AK460" s="840"/>
      <c r="AL460" s="840"/>
      <c r="AM460" s="840"/>
      <c r="AN460" s="840"/>
      <c r="AO460" s="840"/>
      <c r="AP460" s="840"/>
      <c r="AQ460" s="840"/>
    </row>
    <row r="461" spans="2:43">
      <c r="B461" s="837" t="s">
        <v>1222</v>
      </c>
      <c r="C461" s="837">
        <v>249</v>
      </c>
      <c r="D461" s="837">
        <v>244</v>
      </c>
      <c r="E461" s="837">
        <v>284</v>
      </c>
      <c r="F461" s="837">
        <v>224</v>
      </c>
      <c r="G461" s="837">
        <v>360</v>
      </c>
      <c r="H461" s="837">
        <v>318</v>
      </c>
      <c r="I461" s="837">
        <v>417</v>
      </c>
      <c r="J461" s="837">
        <v>377</v>
      </c>
      <c r="K461" s="837">
        <v>379</v>
      </c>
      <c r="L461" s="838">
        <v>282.6099853515625</v>
      </c>
      <c r="M461" s="838">
        <v>271.906005859375</v>
      </c>
      <c r="N461" s="838">
        <v>250.5</v>
      </c>
      <c r="O461" s="838">
        <v>283.89999999999998</v>
      </c>
      <c r="P461" s="838">
        <v>292.54000000000002</v>
      </c>
      <c r="Q461" s="838">
        <v>511.75</v>
      </c>
      <c r="R461" s="838">
        <v>525.72</v>
      </c>
      <c r="S461" s="838">
        <v>537.33000000000004</v>
      </c>
      <c r="T461" s="838">
        <v>445.35</v>
      </c>
      <c r="U461" s="838">
        <v>486.9</v>
      </c>
      <c r="V461" s="838">
        <v>587.75</v>
      </c>
      <c r="W461" s="838">
        <v>481.41</v>
      </c>
      <c r="X461" s="838">
        <v>514.61</v>
      </c>
      <c r="Y461" s="838">
        <v>560.04999999999995</v>
      </c>
      <c r="Z461" s="838">
        <v>487.3</v>
      </c>
      <c r="AA461" s="838">
        <v>449.16</v>
      </c>
      <c r="AB461" s="838">
        <v>497.06</v>
      </c>
      <c r="AC461" s="838">
        <v>942.38</v>
      </c>
      <c r="AD461" s="838">
        <v>974.94</v>
      </c>
      <c r="AE461" s="838">
        <v>2341.1999999999998</v>
      </c>
      <c r="AF461" s="838">
        <v>2005.88</v>
      </c>
      <c r="AG461" s="838">
        <v>2209.66</v>
      </c>
      <c r="AH461" s="838">
        <v>2034.06</v>
      </c>
      <c r="AI461" s="838">
        <v>1784.14</v>
      </c>
      <c r="AJ461" s="838">
        <v>617.41999999999996</v>
      </c>
      <c r="AK461" s="838"/>
      <c r="AL461" s="838"/>
      <c r="AM461" s="838"/>
      <c r="AN461" s="838"/>
      <c r="AO461" s="838"/>
      <c r="AP461" s="838"/>
      <c r="AQ461" s="838"/>
    </row>
    <row r="462" spans="2:43">
      <c r="B462" s="839" t="s">
        <v>1223</v>
      </c>
      <c r="C462" s="839">
        <v>539</v>
      </c>
      <c r="D462" s="839">
        <v>597</v>
      </c>
      <c r="E462" s="839">
        <v>668</v>
      </c>
      <c r="F462" s="839">
        <v>805</v>
      </c>
      <c r="G462" s="839">
        <v>681</v>
      </c>
      <c r="H462" s="839">
        <v>818</v>
      </c>
      <c r="I462" s="839">
        <v>1029</v>
      </c>
      <c r="J462" s="839">
        <v>947</v>
      </c>
      <c r="K462" s="839">
        <v>897</v>
      </c>
      <c r="L462" s="840">
        <v>645.7440185546875</v>
      </c>
      <c r="M462" s="840">
        <v>596.916015625</v>
      </c>
      <c r="N462" s="840">
        <v>640.99</v>
      </c>
      <c r="O462" s="840">
        <v>544.14</v>
      </c>
      <c r="P462" s="840">
        <v>618.32000000000005</v>
      </c>
      <c r="Q462" s="840">
        <v>1055.6600000000001</v>
      </c>
      <c r="R462" s="840">
        <v>766.97</v>
      </c>
      <c r="S462" s="840">
        <v>1008.08</v>
      </c>
      <c r="T462" s="840">
        <v>1124.5</v>
      </c>
      <c r="U462" s="840">
        <v>1033.29</v>
      </c>
      <c r="V462" s="840">
        <v>1001.18</v>
      </c>
      <c r="W462" s="840">
        <v>879.24</v>
      </c>
      <c r="X462" s="840">
        <v>892.32</v>
      </c>
      <c r="Y462" s="840">
        <v>971.44</v>
      </c>
      <c r="Z462" s="840">
        <v>788.15</v>
      </c>
      <c r="AA462" s="840">
        <v>873.65</v>
      </c>
      <c r="AB462" s="840">
        <v>1149.44</v>
      </c>
      <c r="AC462" s="840">
        <v>1058.32</v>
      </c>
      <c r="AD462" s="840">
        <v>1051.1199999999999</v>
      </c>
      <c r="AE462" s="840">
        <v>1128.6500000000001</v>
      </c>
      <c r="AF462" s="840">
        <v>839.36</v>
      </c>
      <c r="AG462" s="840">
        <v>1189.31</v>
      </c>
      <c r="AH462" s="840">
        <v>1335.59</v>
      </c>
      <c r="AI462" s="840">
        <v>910.61</v>
      </c>
      <c r="AJ462" s="840">
        <v>280.63</v>
      </c>
      <c r="AK462" s="840"/>
      <c r="AL462" s="840"/>
      <c r="AM462" s="840"/>
      <c r="AN462" s="840"/>
      <c r="AO462" s="840"/>
      <c r="AP462" s="840"/>
      <c r="AQ462" s="840"/>
    </row>
    <row r="463" spans="2:43">
      <c r="B463" s="837" t="s">
        <v>1224</v>
      </c>
      <c r="C463" s="837">
        <v>129</v>
      </c>
      <c r="D463" s="837">
        <v>61</v>
      </c>
      <c r="E463" s="837">
        <v>162</v>
      </c>
      <c r="F463" s="837">
        <v>121</v>
      </c>
      <c r="G463" s="837">
        <v>114</v>
      </c>
      <c r="H463" s="837">
        <v>105</v>
      </c>
      <c r="I463" s="837">
        <v>123</v>
      </c>
      <c r="J463" s="837">
        <v>112</v>
      </c>
      <c r="K463" s="837">
        <v>99</v>
      </c>
      <c r="L463" s="838">
        <v>77.683502197265625</v>
      </c>
      <c r="M463" s="838">
        <v>102.87437438964844</v>
      </c>
      <c r="N463" s="838">
        <v>75.900000000000006</v>
      </c>
      <c r="O463" s="838">
        <v>122.01</v>
      </c>
      <c r="P463" s="838">
        <v>121.21</v>
      </c>
      <c r="Q463" s="838">
        <v>123.18</v>
      </c>
      <c r="R463" s="838">
        <v>100.74</v>
      </c>
      <c r="S463" s="838">
        <v>106.1</v>
      </c>
      <c r="T463" s="838">
        <v>113.3</v>
      </c>
      <c r="U463" s="838">
        <v>109.76</v>
      </c>
      <c r="V463" s="838">
        <v>71.92</v>
      </c>
      <c r="W463" s="838">
        <v>109</v>
      </c>
      <c r="X463" s="838">
        <v>76.47</v>
      </c>
      <c r="Y463" s="838">
        <v>91.69</v>
      </c>
      <c r="Z463" s="838">
        <v>103.88</v>
      </c>
      <c r="AA463" s="838">
        <v>72.5</v>
      </c>
      <c r="AB463" s="838">
        <v>86.05</v>
      </c>
      <c r="AC463" s="838">
        <v>98.41</v>
      </c>
      <c r="AD463" s="838">
        <v>81.83</v>
      </c>
      <c r="AE463" s="838">
        <v>79.680000000000007</v>
      </c>
      <c r="AF463" s="838">
        <v>76.260000000000005</v>
      </c>
      <c r="AG463" s="838">
        <v>100.03</v>
      </c>
      <c r="AH463" s="838">
        <v>100.42</v>
      </c>
      <c r="AI463" s="838">
        <v>80.900000000000006</v>
      </c>
      <c r="AJ463" s="838">
        <v>77.09</v>
      </c>
      <c r="AK463" s="838"/>
      <c r="AL463" s="838"/>
      <c r="AM463" s="838"/>
      <c r="AN463" s="838"/>
      <c r="AO463" s="838"/>
      <c r="AP463" s="838"/>
      <c r="AQ463" s="838"/>
    </row>
    <row r="464" spans="2:43">
      <c r="B464" s="839" t="s">
        <v>1225</v>
      </c>
      <c r="C464" s="839">
        <v>1241</v>
      </c>
      <c r="D464" s="839">
        <v>2414</v>
      </c>
      <c r="E464" s="839">
        <v>1871</v>
      </c>
      <c r="F464" s="839">
        <v>1377</v>
      </c>
      <c r="G464" s="839">
        <v>1885</v>
      </c>
      <c r="H464" s="839">
        <v>1667</v>
      </c>
      <c r="I464" s="839">
        <v>4001</v>
      </c>
      <c r="J464" s="839">
        <v>4002</v>
      </c>
      <c r="K464" s="839">
        <v>3627</v>
      </c>
      <c r="L464" s="840">
        <v>3287.152099609375</v>
      </c>
      <c r="M464" s="840">
        <v>2254.35205078125</v>
      </c>
      <c r="N464" s="840">
        <v>2175.3000000000002</v>
      </c>
      <c r="O464" s="840">
        <v>1483.86</v>
      </c>
      <c r="P464" s="840">
        <v>1596.82</v>
      </c>
      <c r="Q464" s="840">
        <v>2746.34</v>
      </c>
      <c r="R464" s="840">
        <v>3163.1</v>
      </c>
      <c r="S464" s="840">
        <v>3584.99</v>
      </c>
      <c r="T464" s="840">
        <v>3677.71</v>
      </c>
      <c r="U464" s="840">
        <v>4702.1099999999997</v>
      </c>
      <c r="V464" s="840">
        <v>5099.9399999999996</v>
      </c>
      <c r="W464" s="840">
        <v>4239.18</v>
      </c>
      <c r="X464" s="840">
        <v>3815.23</v>
      </c>
      <c r="Y464" s="840">
        <v>2837.22</v>
      </c>
      <c r="Z464" s="840">
        <v>2245.15</v>
      </c>
      <c r="AA464" s="840">
        <v>2183.58</v>
      </c>
      <c r="AB464" s="840">
        <v>2826.21</v>
      </c>
      <c r="AC464" s="840">
        <v>3678.98</v>
      </c>
      <c r="AD464" s="840">
        <v>4351.26</v>
      </c>
      <c r="AE464" s="840">
        <v>4835.78</v>
      </c>
      <c r="AF464" s="840">
        <v>4061.52</v>
      </c>
      <c r="AG464" s="840">
        <v>4582.58</v>
      </c>
      <c r="AH464" s="840">
        <v>4611.5</v>
      </c>
      <c r="AI464" s="840">
        <v>3797.2</v>
      </c>
      <c r="AJ464" s="840">
        <v>1009.66</v>
      </c>
      <c r="AK464" s="840"/>
      <c r="AL464" s="840"/>
      <c r="AM464" s="840"/>
      <c r="AN464" s="840"/>
      <c r="AO464" s="840"/>
      <c r="AP464" s="840"/>
      <c r="AQ464" s="840"/>
    </row>
    <row r="465" spans="2:43">
      <c r="B465" s="841" t="s">
        <v>1226</v>
      </c>
      <c r="C465" s="841">
        <v>5948</v>
      </c>
      <c r="D465" s="841">
        <v>7789</v>
      </c>
      <c r="E465" s="841">
        <v>7792</v>
      </c>
      <c r="F465" s="841">
        <v>6209</v>
      </c>
      <c r="G465" s="841">
        <v>7583</v>
      </c>
      <c r="H465" s="841">
        <v>7200</v>
      </c>
      <c r="I465" s="841">
        <v>10300</v>
      </c>
      <c r="J465" s="841">
        <v>10494</v>
      </c>
      <c r="K465" s="841">
        <v>9724</v>
      </c>
      <c r="L465" s="842">
        <v>9168.591796875</v>
      </c>
      <c r="M465" s="842">
        <v>8257.6162109375</v>
      </c>
      <c r="N465" s="842">
        <v>7837.3</v>
      </c>
      <c r="O465" s="842">
        <v>6832.22</v>
      </c>
      <c r="P465" s="842">
        <v>6925.94</v>
      </c>
      <c r="Q465" s="842">
        <v>9339.5</v>
      </c>
      <c r="R465" s="842">
        <v>8645.31</v>
      </c>
      <c r="S465" s="842">
        <v>10452.32</v>
      </c>
      <c r="T465" s="842">
        <v>10260.450000000001</v>
      </c>
      <c r="U465" s="842">
        <v>11405.34</v>
      </c>
      <c r="V465" s="842">
        <v>12154.4</v>
      </c>
      <c r="W465" s="842">
        <v>10658.02</v>
      </c>
      <c r="X465" s="842">
        <v>10186.4</v>
      </c>
      <c r="Y465" s="842">
        <v>8968.42</v>
      </c>
      <c r="Z465" s="842">
        <v>7626.4</v>
      </c>
      <c r="AA465" s="842">
        <v>7721.86</v>
      </c>
      <c r="AB465" s="842">
        <v>8387.6200000000008</v>
      </c>
      <c r="AC465" s="842">
        <v>9698.43</v>
      </c>
      <c r="AD465" s="842">
        <v>10511.74</v>
      </c>
      <c r="AE465" s="842">
        <v>11948.42</v>
      </c>
      <c r="AF465" s="842">
        <v>10226.43</v>
      </c>
      <c r="AG465" s="842">
        <v>11630.05</v>
      </c>
      <c r="AH465" s="842">
        <v>11564.03</v>
      </c>
      <c r="AI465" s="842">
        <v>10226.719999999999</v>
      </c>
      <c r="AJ465" s="842">
        <v>6231.74</v>
      </c>
      <c r="AK465" s="842"/>
      <c r="AL465" s="842"/>
      <c r="AM465" s="842"/>
      <c r="AN465" s="842"/>
      <c r="AO465" s="842"/>
      <c r="AP465" s="842"/>
      <c r="AQ465" s="842"/>
    </row>
    <row r="466" spans="2:43">
      <c r="B466" s="839" t="s">
        <v>1227</v>
      </c>
      <c r="C466" s="839">
        <v>632</v>
      </c>
      <c r="D466" s="839">
        <v>615</v>
      </c>
      <c r="E466" s="839">
        <v>682</v>
      </c>
      <c r="F466" s="839">
        <v>655</v>
      </c>
      <c r="G466" s="839">
        <v>883</v>
      </c>
      <c r="H466" s="839">
        <v>885</v>
      </c>
      <c r="I466" s="839">
        <v>754</v>
      </c>
      <c r="J466" s="839">
        <v>727</v>
      </c>
      <c r="K466" s="839">
        <v>755</v>
      </c>
      <c r="L466" s="840">
        <v>750.00201416015625</v>
      </c>
      <c r="M466" s="840">
        <v>755.5980224609375</v>
      </c>
      <c r="N466" s="840">
        <v>609.08000000000004</v>
      </c>
      <c r="O466" s="840">
        <v>616.02</v>
      </c>
      <c r="P466" s="840">
        <v>538.97</v>
      </c>
      <c r="Q466" s="840">
        <v>664.26</v>
      </c>
      <c r="R466" s="840">
        <v>555.79</v>
      </c>
      <c r="S466" s="840">
        <v>684.28</v>
      </c>
      <c r="T466" s="840">
        <v>594.51</v>
      </c>
      <c r="U466" s="840">
        <v>645.84</v>
      </c>
      <c r="V466" s="840">
        <v>861.68</v>
      </c>
      <c r="W466" s="840">
        <v>707.69</v>
      </c>
      <c r="X466" s="840">
        <v>668.7</v>
      </c>
      <c r="Y466" s="840">
        <v>628.14</v>
      </c>
      <c r="Z466" s="840">
        <v>515.1</v>
      </c>
      <c r="AA466" s="840">
        <v>534.82000000000005</v>
      </c>
      <c r="AB466" s="840">
        <v>601.72</v>
      </c>
      <c r="AC466" s="840">
        <v>616.44000000000005</v>
      </c>
      <c r="AD466" s="840">
        <v>572.91</v>
      </c>
      <c r="AE466" s="840">
        <v>873.12</v>
      </c>
      <c r="AF466" s="840">
        <v>754.64</v>
      </c>
      <c r="AG466" s="840">
        <v>675.97</v>
      </c>
      <c r="AH466" s="840">
        <v>695.55</v>
      </c>
      <c r="AI466" s="840">
        <v>698.39</v>
      </c>
      <c r="AJ466" s="840">
        <v>173.69</v>
      </c>
      <c r="AK466" s="840"/>
      <c r="AL466" s="840"/>
      <c r="AM466" s="840"/>
      <c r="AN466" s="840"/>
      <c r="AO466" s="840"/>
      <c r="AP466" s="840"/>
      <c r="AQ466" s="840"/>
    </row>
    <row r="467" spans="2:43">
      <c r="B467" s="837" t="s">
        <v>1228</v>
      </c>
      <c r="C467" s="837">
        <v>0</v>
      </c>
      <c r="D467" s="837">
        <v>0</v>
      </c>
      <c r="E467" s="837">
        <v>0</v>
      </c>
      <c r="F467" s="837">
        <v>0</v>
      </c>
      <c r="G467" s="837">
        <v>0</v>
      </c>
      <c r="H467" s="837">
        <v>0</v>
      </c>
      <c r="I467" s="837">
        <v>0</v>
      </c>
      <c r="J467" s="837">
        <v>0</v>
      </c>
      <c r="K467" s="837">
        <v>0</v>
      </c>
      <c r="L467" s="838">
        <v>0</v>
      </c>
      <c r="M467" s="838">
        <v>113.85057830810547</v>
      </c>
      <c r="N467" s="838">
        <v>304.25</v>
      </c>
      <c r="O467" s="838">
        <v>290.81</v>
      </c>
      <c r="P467" s="838">
        <v>275.79000000000002</v>
      </c>
      <c r="Q467" s="838">
        <v>320.04000000000002</v>
      </c>
      <c r="R467" s="838">
        <v>307.94</v>
      </c>
      <c r="S467" s="838">
        <v>351.79</v>
      </c>
      <c r="T467" s="838">
        <v>376.76</v>
      </c>
      <c r="U467" s="838">
        <v>366.67</v>
      </c>
      <c r="V467" s="838">
        <v>385.63</v>
      </c>
      <c r="W467" s="838">
        <v>351.26</v>
      </c>
      <c r="X467" s="838">
        <v>345.14</v>
      </c>
      <c r="Y467" s="838">
        <v>290.54000000000002</v>
      </c>
      <c r="Z467" s="838">
        <v>256.45</v>
      </c>
      <c r="AA467" s="838">
        <v>263.19</v>
      </c>
      <c r="AB467" s="838">
        <v>287.58</v>
      </c>
      <c r="AC467" s="838">
        <v>281.66000000000003</v>
      </c>
      <c r="AD467" s="838">
        <v>287.48</v>
      </c>
      <c r="AE467" s="838">
        <v>347.94</v>
      </c>
      <c r="AF467" s="838">
        <v>371.84</v>
      </c>
      <c r="AG467" s="838">
        <v>285.32</v>
      </c>
      <c r="AH467" s="838">
        <v>281.56</v>
      </c>
      <c r="AI467" s="838">
        <v>314.22000000000003</v>
      </c>
      <c r="AJ467" s="838">
        <v>369.06</v>
      </c>
      <c r="AK467" s="838"/>
      <c r="AL467" s="838"/>
      <c r="AM467" s="838"/>
      <c r="AN467" s="838"/>
      <c r="AO467" s="838"/>
      <c r="AP467" s="838"/>
      <c r="AQ467" s="838"/>
    </row>
    <row r="468" spans="2:43" s="473" customFormat="1">
      <c r="B468" s="839" t="s">
        <v>1229</v>
      </c>
      <c r="C468" s="839">
        <v>7</v>
      </c>
      <c r="D468" s="839">
        <v>37</v>
      </c>
      <c r="E468" s="839">
        <v>30</v>
      </c>
      <c r="F468" s="839">
        <v>17</v>
      </c>
      <c r="G468" s="839">
        <v>35</v>
      </c>
      <c r="H468" s="839">
        <v>12</v>
      </c>
      <c r="I468" s="839">
        <v>58</v>
      </c>
      <c r="J468" s="839">
        <v>128</v>
      </c>
      <c r="K468" s="839">
        <v>70</v>
      </c>
      <c r="L468" s="840">
        <v>71.006622314453125</v>
      </c>
      <c r="M468" s="840">
        <v>65.751060485839844</v>
      </c>
      <c r="N468" s="840">
        <v>61.63</v>
      </c>
      <c r="O468" s="840">
        <v>153.94</v>
      </c>
      <c r="P468" s="840">
        <v>255.7</v>
      </c>
      <c r="Q468" s="840">
        <v>440.1</v>
      </c>
      <c r="R468" s="840">
        <v>400.2</v>
      </c>
      <c r="S468" s="840">
        <v>503.73</v>
      </c>
      <c r="T468" s="840">
        <v>426.86</v>
      </c>
      <c r="U468" s="840">
        <v>714.37</v>
      </c>
      <c r="V468" s="840">
        <v>814.74</v>
      </c>
      <c r="W468" s="840">
        <v>696.51</v>
      </c>
      <c r="X468" s="840">
        <v>694.3</v>
      </c>
      <c r="Y468" s="840">
        <v>363.52</v>
      </c>
      <c r="Z468" s="840">
        <v>165.58</v>
      </c>
      <c r="AA468" s="840">
        <v>233.62</v>
      </c>
      <c r="AB468" s="840">
        <v>613.02</v>
      </c>
      <c r="AC468" s="840">
        <v>792.72</v>
      </c>
      <c r="AD468" s="840">
        <v>799.86</v>
      </c>
      <c r="AE468" s="840">
        <v>935.65</v>
      </c>
      <c r="AF468" s="840">
        <v>634.17999999999995</v>
      </c>
      <c r="AG468" s="840">
        <v>717.66</v>
      </c>
      <c r="AH468" s="840">
        <v>856.59</v>
      </c>
      <c r="AI468" s="840">
        <v>782.61</v>
      </c>
      <c r="AJ468" s="840">
        <v>775.1</v>
      </c>
      <c r="AK468" s="840"/>
      <c r="AL468" s="840"/>
      <c r="AM468" s="840"/>
      <c r="AN468" s="840"/>
      <c r="AO468" s="840"/>
      <c r="AP468" s="840"/>
      <c r="AQ468" s="840"/>
    </row>
    <row r="469" spans="2:43">
      <c r="B469" s="837" t="s">
        <v>1230</v>
      </c>
      <c r="C469" s="837">
        <v>1561</v>
      </c>
      <c r="D469" s="837">
        <v>3018</v>
      </c>
      <c r="E469" s="837">
        <v>2358</v>
      </c>
      <c r="F469" s="837">
        <v>1747</v>
      </c>
      <c r="G469" s="837">
        <v>2370</v>
      </c>
      <c r="H469" s="837">
        <v>2101</v>
      </c>
      <c r="I469" s="837">
        <v>4973</v>
      </c>
      <c r="J469" s="837">
        <v>4974</v>
      </c>
      <c r="K469" s="837">
        <v>4512</v>
      </c>
      <c r="L469" s="838">
        <v>4094.8798828125</v>
      </c>
      <c r="M469" s="838">
        <v>2828.384033203125</v>
      </c>
      <c r="N469" s="838">
        <v>2734.14</v>
      </c>
      <c r="O469" s="838">
        <v>1884.83</v>
      </c>
      <c r="P469" s="838">
        <v>2015.87</v>
      </c>
      <c r="Q469" s="838">
        <v>3436.26</v>
      </c>
      <c r="R469" s="838">
        <v>3949.22</v>
      </c>
      <c r="S469" s="838">
        <v>4469.25</v>
      </c>
      <c r="T469" s="838">
        <v>4575.97</v>
      </c>
      <c r="U469" s="838">
        <v>5839.26</v>
      </c>
      <c r="V469" s="838">
        <v>6329.28</v>
      </c>
      <c r="W469" s="838">
        <v>5266.59</v>
      </c>
      <c r="X469" s="838">
        <v>4746.62</v>
      </c>
      <c r="Y469" s="838">
        <v>3542.24</v>
      </c>
      <c r="Z469" s="838">
        <v>2814.59</v>
      </c>
      <c r="AA469" s="838">
        <v>2740.29</v>
      </c>
      <c r="AB469" s="838">
        <v>3526.37</v>
      </c>
      <c r="AC469" s="838">
        <v>4576.32</v>
      </c>
      <c r="AD469" s="838">
        <v>5402.11</v>
      </c>
      <c r="AE469" s="838">
        <v>5998.94</v>
      </c>
      <c r="AF469" s="838">
        <v>5046.88</v>
      </c>
      <c r="AG469" s="838">
        <v>5689.57</v>
      </c>
      <c r="AH469" s="838">
        <v>5723.71</v>
      </c>
      <c r="AI469" s="838">
        <v>4774.53</v>
      </c>
      <c r="AJ469" s="838">
        <v>4765.12</v>
      </c>
      <c r="AK469" s="838"/>
      <c r="AL469" s="838"/>
      <c r="AM469" s="838"/>
      <c r="AN469" s="838"/>
      <c r="AO469" s="838"/>
      <c r="AP469" s="838"/>
      <c r="AQ469" s="838"/>
    </row>
    <row r="470" spans="2:43">
      <c r="B470" s="839" t="s">
        <v>1231</v>
      </c>
      <c r="C470" s="839">
        <v>27736.592000000001</v>
      </c>
      <c r="D470" s="839">
        <v>35153.951999999997</v>
      </c>
      <c r="E470" s="839">
        <v>50402.48</v>
      </c>
      <c r="F470" s="839">
        <v>45199.631999999998</v>
      </c>
      <c r="G470" s="839">
        <v>54997.152000000002</v>
      </c>
      <c r="H470" s="839">
        <v>49162.8</v>
      </c>
      <c r="I470" s="839">
        <v>51920.735999999997</v>
      </c>
      <c r="J470" s="839">
        <v>55323.616000000002</v>
      </c>
      <c r="K470" s="839">
        <v>53956.608</v>
      </c>
      <c r="L470" s="840">
        <v>33596.9296875</v>
      </c>
      <c r="M470" s="840">
        <v>23738.3046875</v>
      </c>
      <c r="N470" s="840">
        <v>27186.21</v>
      </c>
      <c r="O470" s="840">
        <v>29394.11</v>
      </c>
      <c r="P470" s="840">
        <v>32581.82</v>
      </c>
      <c r="Q470" s="840">
        <v>51400</v>
      </c>
      <c r="R470" s="840">
        <v>51848.99</v>
      </c>
      <c r="S470" s="840">
        <v>56205.31</v>
      </c>
      <c r="T470" s="840">
        <v>52695.49</v>
      </c>
      <c r="U470" s="840">
        <v>57448.26</v>
      </c>
      <c r="V470" s="840">
        <v>60855.87</v>
      </c>
      <c r="W470" s="840">
        <v>55694.66</v>
      </c>
      <c r="X470" s="840">
        <v>55096.45</v>
      </c>
      <c r="Y470" s="840">
        <v>27958.59</v>
      </c>
      <c r="Z470" s="840">
        <v>12799.49</v>
      </c>
      <c r="AA470" s="840">
        <v>12089.92</v>
      </c>
      <c r="AB470" s="840">
        <v>10795.07</v>
      </c>
      <c r="AC470" s="840">
        <v>10491.9</v>
      </c>
      <c r="AD470" s="840" t="s">
        <v>699</v>
      </c>
      <c r="AE470" s="840" t="s">
        <v>699</v>
      </c>
      <c r="AF470" s="840" t="s">
        <v>699</v>
      </c>
      <c r="AG470" s="840" t="s">
        <v>699</v>
      </c>
      <c r="AH470" s="840" t="s">
        <v>699</v>
      </c>
      <c r="AI470" s="840" t="s">
        <v>699</v>
      </c>
      <c r="AJ470" s="840" t="s">
        <v>699</v>
      </c>
      <c r="AK470" s="840"/>
      <c r="AL470" s="840"/>
      <c r="AM470" s="840"/>
      <c r="AN470" s="840"/>
      <c r="AO470" s="840"/>
      <c r="AP470" s="840"/>
      <c r="AQ470" s="840"/>
    </row>
    <row r="471" spans="2:43">
      <c r="B471" s="837" t="s">
        <v>1232</v>
      </c>
      <c r="C471" s="837">
        <v>2620</v>
      </c>
      <c r="D471" s="837">
        <v>3745</v>
      </c>
      <c r="E471" s="837">
        <v>5119</v>
      </c>
      <c r="F471" s="837">
        <v>4142</v>
      </c>
      <c r="G471" s="837">
        <v>5049</v>
      </c>
      <c r="H471" s="837">
        <v>5036</v>
      </c>
      <c r="I471" s="837">
        <v>5278</v>
      </c>
      <c r="J471" s="837">
        <v>5650</v>
      </c>
      <c r="K471" s="837">
        <v>5842</v>
      </c>
      <c r="L471" s="838">
        <v>5871.7958984375</v>
      </c>
      <c r="M471" s="838">
        <v>3557.867919921875</v>
      </c>
      <c r="N471" s="838">
        <v>2701.64</v>
      </c>
      <c r="O471" s="838">
        <v>3000.95</v>
      </c>
      <c r="P471" s="838">
        <v>3587.02</v>
      </c>
      <c r="Q471" s="838">
        <v>5107.38</v>
      </c>
      <c r="R471" s="838">
        <v>4746.49</v>
      </c>
      <c r="S471" s="838">
        <v>5834.85</v>
      </c>
      <c r="T471" s="838">
        <v>5655.12</v>
      </c>
      <c r="U471" s="838">
        <v>6481.54</v>
      </c>
      <c r="V471" s="838">
        <v>6333.48</v>
      </c>
      <c r="W471" s="838">
        <v>5546.73</v>
      </c>
      <c r="X471" s="838">
        <v>5736.98</v>
      </c>
      <c r="Y471" s="838">
        <v>3824.36</v>
      </c>
      <c r="Z471" s="838">
        <v>2407.2600000000002</v>
      </c>
      <c r="AA471" s="838">
        <v>2184.14</v>
      </c>
      <c r="AB471" s="838">
        <v>1900.06</v>
      </c>
      <c r="AC471" s="838">
        <v>2384.41</v>
      </c>
      <c r="AD471" s="838">
        <v>223.52</v>
      </c>
      <c r="AE471" s="838" t="s">
        <v>699</v>
      </c>
      <c r="AF471" s="838" t="s">
        <v>699</v>
      </c>
      <c r="AG471" s="838" t="s">
        <v>699</v>
      </c>
      <c r="AH471" s="838" t="s">
        <v>699</v>
      </c>
      <c r="AI471" s="838" t="s">
        <v>699</v>
      </c>
      <c r="AJ471" s="838" t="s">
        <v>699</v>
      </c>
      <c r="AK471" s="838"/>
      <c r="AL471" s="838"/>
      <c r="AM471" s="838"/>
      <c r="AN471" s="838"/>
      <c r="AO471" s="838"/>
      <c r="AP471" s="838"/>
      <c r="AQ471" s="838"/>
    </row>
    <row r="472" spans="2:43">
      <c r="B472" s="839" t="s">
        <v>1233</v>
      </c>
      <c r="C472" s="839">
        <v>8576</v>
      </c>
      <c r="D472" s="839">
        <v>16293</v>
      </c>
      <c r="E472" s="839">
        <v>22426</v>
      </c>
      <c r="F472" s="839">
        <v>20234</v>
      </c>
      <c r="G472" s="839">
        <v>23684</v>
      </c>
      <c r="H472" s="839">
        <v>20732</v>
      </c>
      <c r="I472" s="839">
        <v>20911</v>
      </c>
      <c r="J472" s="839">
        <v>22816</v>
      </c>
      <c r="K472" s="839">
        <v>21902</v>
      </c>
      <c r="L472" s="840">
        <v>22528.912109375</v>
      </c>
      <c r="M472" s="840">
        <v>13554.0322265625</v>
      </c>
      <c r="N472" s="840">
        <v>8237.81</v>
      </c>
      <c r="O472" s="840">
        <v>10992.72</v>
      </c>
      <c r="P472" s="840">
        <v>13832.51</v>
      </c>
      <c r="Q472" s="840">
        <v>22869.95</v>
      </c>
      <c r="R472" s="840">
        <v>20066.46</v>
      </c>
      <c r="S472" s="840">
        <v>23428.19</v>
      </c>
      <c r="T472" s="840">
        <v>19801.7</v>
      </c>
      <c r="U472" s="840">
        <v>20755.55</v>
      </c>
      <c r="V472" s="840">
        <v>22149.54</v>
      </c>
      <c r="W472" s="840">
        <v>21402.400000000001</v>
      </c>
      <c r="X472" s="840">
        <v>21577.66</v>
      </c>
      <c r="Y472" s="840">
        <v>8094.4</v>
      </c>
      <c r="Z472" s="840">
        <v>1942.37</v>
      </c>
      <c r="AA472" s="840">
        <v>1617.15</v>
      </c>
      <c r="AB472" s="840">
        <v>1594.5</v>
      </c>
      <c r="AC472" s="840">
        <v>1942.37</v>
      </c>
      <c r="AD472" s="840">
        <v>103.97</v>
      </c>
      <c r="AE472" s="840" t="s">
        <v>699</v>
      </c>
      <c r="AF472" s="840" t="s">
        <v>699</v>
      </c>
      <c r="AG472" s="840" t="s">
        <v>699</v>
      </c>
      <c r="AH472" s="840" t="s">
        <v>699</v>
      </c>
      <c r="AI472" s="840" t="s">
        <v>699</v>
      </c>
      <c r="AJ472" s="840" t="s">
        <v>699</v>
      </c>
      <c r="AK472" s="840"/>
      <c r="AL472" s="840"/>
      <c r="AM472" s="840"/>
      <c r="AN472" s="840"/>
      <c r="AO472" s="840"/>
      <c r="AP472" s="840"/>
      <c r="AQ472" s="840"/>
    </row>
    <row r="473" spans="2:43">
      <c r="B473" s="837" t="s">
        <v>1234</v>
      </c>
      <c r="C473" s="837">
        <v>4070</v>
      </c>
      <c r="D473" s="837">
        <v>3115</v>
      </c>
      <c r="E473" s="837">
        <v>4388</v>
      </c>
      <c r="F473" s="837">
        <v>3960</v>
      </c>
      <c r="G473" s="837">
        <v>5360</v>
      </c>
      <c r="H473" s="837">
        <v>4791</v>
      </c>
      <c r="I473" s="837">
        <v>5178</v>
      </c>
      <c r="J473" s="837">
        <v>5334</v>
      </c>
      <c r="K473" s="837">
        <v>5487</v>
      </c>
      <c r="L473" s="838">
        <v>5558.2998046875</v>
      </c>
      <c r="M473" s="838">
        <v>3130.679931640625</v>
      </c>
      <c r="N473" s="838">
        <v>3751.86</v>
      </c>
      <c r="O473" s="838">
        <v>3378.38</v>
      </c>
      <c r="P473" s="838">
        <v>3133.97</v>
      </c>
      <c r="Q473" s="838">
        <v>4426.51</v>
      </c>
      <c r="R473" s="838">
        <v>9252.07</v>
      </c>
      <c r="S473" s="838">
        <v>5893.42</v>
      </c>
      <c r="T473" s="838">
        <v>5744.18</v>
      </c>
      <c r="U473" s="838">
        <v>6051.1</v>
      </c>
      <c r="V473" s="838">
        <v>7359.62</v>
      </c>
      <c r="W473" s="838">
        <v>5561.34</v>
      </c>
      <c r="X473" s="838">
        <v>5488.48</v>
      </c>
      <c r="Y473" s="838">
        <v>2648.14</v>
      </c>
      <c r="Z473" s="838">
        <v>562.22</v>
      </c>
      <c r="AA473" s="838">
        <v>469.3</v>
      </c>
      <c r="AB473" s="838">
        <v>441.02</v>
      </c>
      <c r="AC473" s="838">
        <v>472.92</v>
      </c>
      <c r="AD473" s="838">
        <v>24.25</v>
      </c>
      <c r="AE473" s="838" t="s">
        <v>699</v>
      </c>
      <c r="AF473" s="838" t="s">
        <v>699</v>
      </c>
      <c r="AG473" s="838" t="s">
        <v>699</v>
      </c>
      <c r="AH473" s="838" t="s">
        <v>699</v>
      </c>
      <c r="AI473" s="838" t="s">
        <v>699</v>
      </c>
      <c r="AJ473" s="838" t="s">
        <v>699</v>
      </c>
      <c r="AK473" s="838"/>
      <c r="AL473" s="838"/>
      <c r="AM473" s="838"/>
      <c r="AN473" s="838"/>
      <c r="AO473" s="838"/>
      <c r="AP473" s="838"/>
      <c r="AQ473" s="838"/>
    </row>
    <row r="474" spans="2:43">
      <c r="B474" s="839" t="s">
        <v>1235</v>
      </c>
      <c r="C474" s="839">
        <v>272</v>
      </c>
      <c r="D474" s="839">
        <v>430</v>
      </c>
      <c r="E474" s="839">
        <v>1172</v>
      </c>
      <c r="F474" s="839">
        <v>1549</v>
      </c>
      <c r="G474" s="839">
        <v>2723</v>
      </c>
      <c r="H474" s="839">
        <v>2897</v>
      </c>
      <c r="I474" s="839">
        <v>3390</v>
      </c>
      <c r="J474" s="839">
        <v>3461</v>
      </c>
      <c r="K474" s="839">
        <v>3323</v>
      </c>
      <c r="L474" s="840">
        <v>2946.763916015625</v>
      </c>
      <c r="M474" s="840">
        <v>524.7860107421875</v>
      </c>
      <c r="N474" s="840">
        <v>347.5</v>
      </c>
      <c r="O474" s="840">
        <v>391.03</v>
      </c>
      <c r="P474" s="840">
        <v>483.22</v>
      </c>
      <c r="Q474" s="840">
        <v>1320.81</v>
      </c>
      <c r="R474" s="840">
        <v>1256.55</v>
      </c>
      <c r="S474" s="840">
        <v>2416.71</v>
      </c>
      <c r="T474" s="840">
        <v>2127.06</v>
      </c>
      <c r="U474" s="840">
        <v>2800.22</v>
      </c>
      <c r="V474" s="840">
        <v>3306.89</v>
      </c>
      <c r="W474" s="840">
        <v>2620.5300000000002</v>
      </c>
      <c r="X474" s="840">
        <v>2037.86</v>
      </c>
      <c r="Y474" s="840">
        <v>671.44</v>
      </c>
      <c r="Z474" s="840">
        <v>280.06</v>
      </c>
      <c r="AA474" s="840">
        <v>273.39999999999998</v>
      </c>
      <c r="AB474" s="840">
        <v>265.16000000000003</v>
      </c>
      <c r="AC474" s="840">
        <v>301.56</v>
      </c>
      <c r="AD474" s="840">
        <v>17.420000000000002</v>
      </c>
      <c r="AE474" s="840" t="s">
        <v>699</v>
      </c>
      <c r="AF474" s="840" t="s">
        <v>699</v>
      </c>
      <c r="AG474" s="840" t="s">
        <v>699</v>
      </c>
      <c r="AH474" s="840" t="s">
        <v>699</v>
      </c>
      <c r="AI474" s="840" t="s">
        <v>699</v>
      </c>
      <c r="AJ474" s="840" t="s">
        <v>699</v>
      </c>
      <c r="AK474" s="840"/>
      <c r="AL474" s="840"/>
      <c r="AM474" s="840"/>
      <c r="AN474" s="840"/>
      <c r="AO474" s="840"/>
      <c r="AP474" s="840"/>
      <c r="AQ474" s="840"/>
    </row>
    <row r="475" spans="2:43">
      <c r="B475" s="837" t="s">
        <v>1236</v>
      </c>
      <c r="C475" s="837">
        <v>7258</v>
      </c>
      <c r="D475" s="837">
        <v>5912</v>
      </c>
      <c r="E475" s="837">
        <v>9464</v>
      </c>
      <c r="F475" s="837">
        <v>8179</v>
      </c>
      <c r="G475" s="837">
        <v>10100</v>
      </c>
      <c r="H475" s="837">
        <v>8407</v>
      </c>
      <c r="I475" s="837">
        <v>9374</v>
      </c>
      <c r="J475" s="837">
        <v>10021</v>
      </c>
      <c r="K475" s="837">
        <v>9713</v>
      </c>
      <c r="L475" s="838">
        <v>10232.072265625</v>
      </c>
      <c r="M475" s="838">
        <v>6367.31982421875</v>
      </c>
      <c r="N475" s="838">
        <v>7103.46</v>
      </c>
      <c r="O475" s="838">
        <v>6015.06</v>
      </c>
      <c r="P475" s="838">
        <v>5829.89</v>
      </c>
      <c r="Q475" s="838">
        <v>9577.5</v>
      </c>
      <c r="R475" s="838">
        <v>8898.35</v>
      </c>
      <c r="S475" s="838">
        <v>10291.549999999999</v>
      </c>
      <c r="T475" s="838">
        <v>11772.82</v>
      </c>
      <c r="U475" s="838">
        <v>12945.14</v>
      </c>
      <c r="V475" s="838">
        <v>13342.96</v>
      </c>
      <c r="W475" s="838">
        <v>12592.24</v>
      </c>
      <c r="X475" s="838">
        <v>12048.3</v>
      </c>
      <c r="Y475" s="838">
        <v>7115.6</v>
      </c>
      <c r="Z475" s="838">
        <v>3349.63</v>
      </c>
      <c r="AA475" s="838">
        <v>3284.11</v>
      </c>
      <c r="AB475" s="838">
        <v>2775.68</v>
      </c>
      <c r="AC475" s="838">
        <v>3079.38</v>
      </c>
      <c r="AD475" s="838">
        <v>157.09</v>
      </c>
      <c r="AE475" s="838" t="s">
        <v>699</v>
      </c>
      <c r="AF475" s="838" t="s">
        <v>699</v>
      </c>
      <c r="AG475" s="838" t="s">
        <v>699</v>
      </c>
      <c r="AH475" s="838" t="s">
        <v>699</v>
      </c>
      <c r="AI475" s="838" t="s">
        <v>699</v>
      </c>
      <c r="AJ475" s="838" t="s">
        <v>699</v>
      </c>
      <c r="AK475" s="838"/>
      <c r="AL475" s="838"/>
      <c r="AM475" s="838"/>
      <c r="AN475" s="838"/>
      <c r="AO475" s="838"/>
      <c r="AP475" s="838"/>
      <c r="AQ475" s="838"/>
    </row>
    <row r="476" spans="2:43">
      <c r="B476" s="839" t="s">
        <v>1237</v>
      </c>
      <c r="C476" s="839">
        <v>4745</v>
      </c>
      <c r="D476" s="839">
        <v>5101</v>
      </c>
      <c r="E476" s="839">
        <v>7010</v>
      </c>
      <c r="F476" s="839">
        <v>6451</v>
      </c>
      <c r="G476" s="839">
        <v>7205</v>
      </c>
      <c r="H476" s="839">
        <v>6576</v>
      </c>
      <c r="I476" s="839">
        <v>6998</v>
      </c>
      <c r="J476" s="839">
        <v>7196</v>
      </c>
      <c r="K476" s="839">
        <v>6808</v>
      </c>
      <c r="L476" s="840">
        <v>6995.83984375</v>
      </c>
      <c r="M476" s="840">
        <v>5414.01611328125</v>
      </c>
      <c r="N476" s="840">
        <v>4643.42</v>
      </c>
      <c r="O476" s="840">
        <v>5120.5600000000004</v>
      </c>
      <c r="P476" s="840">
        <v>5060.2</v>
      </c>
      <c r="Q476" s="840">
        <v>6922.58</v>
      </c>
      <c r="R476" s="840">
        <v>6504.79</v>
      </c>
      <c r="S476" s="840">
        <v>7082.87</v>
      </c>
      <c r="T476" s="840">
        <v>6422.83</v>
      </c>
      <c r="U476" s="840">
        <v>6987.65</v>
      </c>
      <c r="V476" s="840">
        <v>7106.76</v>
      </c>
      <c r="W476" s="840">
        <v>6775.35</v>
      </c>
      <c r="X476" s="840">
        <v>6949.79</v>
      </c>
      <c r="Y476" s="840">
        <v>4985.6000000000004</v>
      </c>
      <c r="Z476" s="840">
        <v>3856.11</v>
      </c>
      <c r="AA476" s="840">
        <v>3829.26</v>
      </c>
      <c r="AB476" s="840">
        <v>3327.87</v>
      </c>
      <c r="AC476" s="840">
        <v>3282.19</v>
      </c>
      <c r="AD476" s="840">
        <v>170.85</v>
      </c>
      <c r="AE476" s="840" t="s">
        <v>699</v>
      </c>
      <c r="AF476" s="840" t="s">
        <v>699</v>
      </c>
      <c r="AG476" s="840" t="s">
        <v>699</v>
      </c>
      <c r="AH476" s="840" t="s">
        <v>699</v>
      </c>
      <c r="AI476" s="840" t="s">
        <v>699</v>
      </c>
      <c r="AJ476" s="840" t="s">
        <v>699</v>
      </c>
      <c r="AK476" s="840"/>
      <c r="AL476" s="840"/>
      <c r="AM476" s="840"/>
      <c r="AN476" s="840"/>
      <c r="AO476" s="840"/>
      <c r="AP476" s="840"/>
      <c r="AQ476" s="840"/>
    </row>
    <row r="477" spans="2:43">
      <c r="B477" s="837" t="s">
        <v>1238</v>
      </c>
      <c r="C477" s="837">
        <v>3011</v>
      </c>
      <c r="D477" s="837">
        <v>4781</v>
      </c>
      <c r="E477" s="837">
        <v>7206</v>
      </c>
      <c r="F477" s="837">
        <v>5927</v>
      </c>
      <c r="G477" s="837">
        <v>7302</v>
      </c>
      <c r="H477" s="837">
        <v>6424</v>
      </c>
      <c r="I477" s="837">
        <v>7583</v>
      </c>
      <c r="J477" s="837">
        <v>8497</v>
      </c>
      <c r="K477" s="837">
        <v>7766</v>
      </c>
      <c r="L477" s="838">
        <v>8189.59619140625</v>
      </c>
      <c r="M477" s="838">
        <v>4652.6318359375</v>
      </c>
      <c r="N477" s="838">
        <v>3067.74</v>
      </c>
      <c r="O477" s="838">
        <v>3216.58</v>
      </c>
      <c r="P477" s="838">
        <v>5473.06</v>
      </c>
      <c r="Q477" s="838">
        <v>7411.3</v>
      </c>
      <c r="R477" s="838">
        <v>7052.66</v>
      </c>
      <c r="S477" s="838">
        <v>7892.2</v>
      </c>
      <c r="T477" s="838">
        <v>6498.9</v>
      </c>
      <c r="U477" s="838">
        <v>6769.41</v>
      </c>
      <c r="V477" s="838">
        <v>7649.68</v>
      </c>
      <c r="W477" s="838">
        <v>6679.77</v>
      </c>
      <c r="X477" s="838">
        <v>7054.7</v>
      </c>
      <c r="Y477" s="838">
        <v>4846.7700000000004</v>
      </c>
      <c r="Z477" s="838">
        <v>3563.47</v>
      </c>
      <c r="AA477" s="838">
        <v>3247.36</v>
      </c>
      <c r="AB477" s="838">
        <v>5214.38</v>
      </c>
      <c r="AC477" s="838">
        <v>6780.83</v>
      </c>
      <c r="AD477" s="838">
        <v>6240.8</v>
      </c>
      <c r="AE477" s="838">
        <v>7516.51</v>
      </c>
      <c r="AF477" s="838">
        <v>6422.93</v>
      </c>
      <c r="AG477" s="838">
        <v>6342.74</v>
      </c>
      <c r="AH477" s="838">
        <v>7865.41</v>
      </c>
      <c r="AI477" s="838">
        <v>6874.85</v>
      </c>
      <c r="AJ477" s="838">
        <v>7298.75</v>
      </c>
      <c r="AK477" s="838"/>
      <c r="AL477" s="838"/>
      <c r="AM477" s="838"/>
      <c r="AN477" s="838"/>
      <c r="AO477" s="838"/>
      <c r="AP477" s="838"/>
      <c r="AQ477" s="838"/>
    </row>
    <row r="478" spans="2:43">
      <c r="B478" s="839" t="s">
        <v>1239</v>
      </c>
      <c r="C478" s="839">
        <v>95</v>
      </c>
      <c r="D478" s="839">
        <v>470</v>
      </c>
      <c r="E478" s="839">
        <v>951</v>
      </c>
      <c r="F478" s="839">
        <v>1162</v>
      </c>
      <c r="G478" s="839">
        <v>2354</v>
      </c>
      <c r="H478" s="839">
        <v>2845</v>
      </c>
      <c r="I478" s="839">
        <v>3372</v>
      </c>
      <c r="J478" s="839">
        <v>2927</v>
      </c>
      <c r="K478" s="839">
        <v>2548</v>
      </c>
      <c r="L478" s="840">
        <v>2606.382080078125</v>
      </c>
      <c r="M478" s="840">
        <v>533.1719970703125</v>
      </c>
      <c r="N478" s="840">
        <v>125.19</v>
      </c>
      <c r="O478" s="840">
        <v>87.28</v>
      </c>
      <c r="P478" s="840">
        <v>505.2</v>
      </c>
      <c r="Q478" s="840">
        <v>1302.29</v>
      </c>
      <c r="R478" s="840">
        <v>2030.35</v>
      </c>
      <c r="S478" s="840">
        <v>3009.29</v>
      </c>
      <c r="T478" s="840">
        <v>2003.65</v>
      </c>
      <c r="U478" s="840">
        <v>5228.33</v>
      </c>
      <c r="V478" s="840">
        <v>4405.18</v>
      </c>
      <c r="W478" s="840">
        <v>3638.6</v>
      </c>
      <c r="X478" s="840">
        <v>3005.19</v>
      </c>
      <c r="Y478" s="840">
        <v>1754.8</v>
      </c>
      <c r="Z478" s="840">
        <v>522.16</v>
      </c>
      <c r="AA478" s="840">
        <v>200.22</v>
      </c>
      <c r="AB478" s="840">
        <v>516.24</v>
      </c>
      <c r="AC478" s="840">
        <v>2800.3</v>
      </c>
      <c r="AD478" s="840">
        <v>3243.25</v>
      </c>
      <c r="AE478" s="840">
        <v>4670.25</v>
      </c>
      <c r="AF478" s="840">
        <v>4247.63</v>
      </c>
      <c r="AG478" s="840">
        <v>3957.58</v>
      </c>
      <c r="AH478" s="840">
        <v>4800.05</v>
      </c>
      <c r="AI478" s="840">
        <v>3748.89</v>
      </c>
      <c r="AJ478" s="840">
        <v>3465.17</v>
      </c>
      <c r="AK478" s="840"/>
      <c r="AL478" s="840"/>
      <c r="AM478" s="840"/>
      <c r="AN478" s="840"/>
      <c r="AO478" s="840"/>
      <c r="AP478" s="840"/>
      <c r="AQ478" s="840"/>
    </row>
    <row r="479" spans="2:43">
      <c r="B479" s="837" t="s">
        <v>1240</v>
      </c>
      <c r="C479" s="837">
        <v>377</v>
      </c>
      <c r="D479" s="837">
        <v>804</v>
      </c>
      <c r="E479" s="837">
        <v>1302</v>
      </c>
      <c r="F479" s="837">
        <v>1217</v>
      </c>
      <c r="G479" s="837">
        <v>1531</v>
      </c>
      <c r="H479" s="837">
        <v>2214</v>
      </c>
      <c r="I479" s="837">
        <v>2558</v>
      </c>
      <c r="J479" s="837">
        <v>3089</v>
      </c>
      <c r="K479" s="837">
        <v>2542</v>
      </c>
      <c r="L479" s="838">
        <v>2368.615966796875</v>
      </c>
      <c r="M479" s="838">
        <v>948.5419921875</v>
      </c>
      <c r="N479" s="838">
        <v>573.30999999999995</v>
      </c>
      <c r="O479" s="838">
        <v>695.8</v>
      </c>
      <c r="P479" s="838">
        <v>916.95</v>
      </c>
      <c r="Q479" s="838">
        <v>1413.94</v>
      </c>
      <c r="R479" s="838">
        <v>1614.79</v>
      </c>
      <c r="S479" s="838">
        <v>1597.71</v>
      </c>
      <c r="T479" s="838">
        <v>1544.36</v>
      </c>
      <c r="U479" s="838">
        <v>1821.32</v>
      </c>
      <c r="V479" s="838">
        <v>2866.9</v>
      </c>
      <c r="W479" s="838">
        <v>1982.23</v>
      </c>
      <c r="X479" s="838">
        <v>2019.03</v>
      </c>
      <c r="Y479" s="838">
        <v>1117.6099999999999</v>
      </c>
      <c r="Z479" s="838">
        <v>779.27</v>
      </c>
      <c r="AA479" s="838">
        <v>758.2</v>
      </c>
      <c r="AB479" s="838">
        <v>1105.46</v>
      </c>
      <c r="AC479" s="838">
        <v>1596.86</v>
      </c>
      <c r="AD479" s="838">
        <v>2155.6799999999998</v>
      </c>
      <c r="AE479" s="838">
        <v>3152.68</v>
      </c>
      <c r="AF479" s="838">
        <v>2173.54</v>
      </c>
      <c r="AG479" s="838">
        <v>2604.8200000000002</v>
      </c>
      <c r="AH479" s="838">
        <v>3329.52</v>
      </c>
      <c r="AI479" s="838">
        <v>2599.14</v>
      </c>
      <c r="AJ479" s="838">
        <v>1911.46</v>
      </c>
      <c r="AK479" s="838"/>
      <c r="AL479" s="838"/>
      <c r="AM479" s="838"/>
      <c r="AN479" s="838"/>
      <c r="AO479" s="838"/>
      <c r="AP479" s="838"/>
      <c r="AQ479" s="838"/>
    </row>
    <row r="480" spans="2:43">
      <c r="B480" s="839" t="s">
        <v>1241</v>
      </c>
      <c r="C480" s="839">
        <v>454</v>
      </c>
      <c r="D480" s="839">
        <v>887</v>
      </c>
      <c r="E480" s="839">
        <v>2227</v>
      </c>
      <c r="F480" s="839">
        <v>3050</v>
      </c>
      <c r="G480" s="839">
        <v>10849</v>
      </c>
      <c r="H480" s="839">
        <v>14886</v>
      </c>
      <c r="I480" s="839">
        <v>19797</v>
      </c>
      <c r="J480" s="839">
        <v>17036</v>
      </c>
      <c r="K480" s="839">
        <v>13226</v>
      </c>
      <c r="L480" s="840">
        <v>10519.984375</v>
      </c>
      <c r="M480" s="840">
        <v>1624.6800537109375</v>
      </c>
      <c r="N480" s="840">
        <v>510.72</v>
      </c>
      <c r="O480" s="840">
        <v>223.61</v>
      </c>
      <c r="P480" s="840">
        <v>641.34</v>
      </c>
      <c r="Q480" s="840">
        <v>3501.71</v>
      </c>
      <c r="R480" s="840">
        <v>5851.62</v>
      </c>
      <c r="S480" s="840">
        <v>11409.08</v>
      </c>
      <c r="T480" s="840">
        <v>13210.75</v>
      </c>
      <c r="U480" s="840">
        <v>18151.78</v>
      </c>
      <c r="V480" s="840">
        <v>19289.18</v>
      </c>
      <c r="W480" s="840">
        <v>9651.9500000000007</v>
      </c>
      <c r="X480" s="840">
        <v>6470.27</v>
      </c>
      <c r="Y480" s="840">
        <v>2449.73</v>
      </c>
      <c r="Z480" s="840">
        <v>1145.5999999999999</v>
      </c>
      <c r="AA480" s="840">
        <v>185.31</v>
      </c>
      <c r="AB480" s="840">
        <v>851.09</v>
      </c>
      <c r="AC480" s="840">
        <v>3987.87</v>
      </c>
      <c r="AD480" s="840">
        <v>8021.9</v>
      </c>
      <c r="AE480" s="840">
        <v>21093.040000000001</v>
      </c>
      <c r="AF480" s="840">
        <v>17007.2</v>
      </c>
      <c r="AG480" s="840">
        <v>20990.29</v>
      </c>
      <c r="AH480" s="840">
        <v>23043.439999999999</v>
      </c>
      <c r="AI480" s="840">
        <v>15242.37</v>
      </c>
      <c r="AJ480" s="840">
        <v>12767.39</v>
      </c>
      <c r="AK480" s="840"/>
      <c r="AL480" s="840"/>
      <c r="AM480" s="840"/>
      <c r="AN480" s="840"/>
      <c r="AO480" s="840"/>
      <c r="AP480" s="840"/>
      <c r="AQ480" s="840"/>
    </row>
    <row r="481" spans="2:43">
      <c r="B481" s="837" t="s">
        <v>1242</v>
      </c>
      <c r="C481" s="837">
        <v>731</v>
      </c>
      <c r="D481" s="837">
        <v>1647</v>
      </c>
      <c r="E481" s="837">
        <v>2834</v>
      </c>
      <c r="F481" s="837">
        <v>2355</v>
      </c>
      <c r="G481" s="837">
        <v>3007</v>
      </c>
      <c r="H481" s="837">
        <v>2488</v>
      </c>
      <c r="I481" s="837">
        <v>2612</v>
      </c>
      <c r="J481" s="837">
        <v>2722</v>
      </c>
      <c r="K481" s="837">
        <v>2562</v>
      </c>
      <c r="L481" s="838">
        <v>2535.944091796875</v>
      </c>
      <c r="M481" s="838">
        <v>1472.2220458984375</v>
      </c>
      <c r="N481" s="838">
        <v>721.36</v>
      </c>
      <c r="O481" s="838">
        <v>711.22</v>
      </c>
      <c r="P481" s="838">
        <v>1506.2</v>
      </c>
      <c r="Q481" s="838">
        <v>2538.4699999999998</v>
      </c>
      <c r="R481" s="838">
        <v>2255.1999999999998</v>
      </c>
      <c r="S481" s="838">
        <v>2770.85</v>
      </c>
      <c r="T481" s="838">
        <v>2300.29</v>
      </c>
      <c r="U481" s="838">
        <v>2513.4499999999998</v>
      </c>
      <c r="V481" s="838">
        <v>2686.79</v>
      </c>
      <c r="W481" s="838">
        <v>2605.46</v>
      </c>
      <c r="X481" s="838">
        <v>2474.04</v>
      </c>
      <c r="Y481" s="838">
        <v>1556.74</v>
      </c>
      <c r="Z481" s="838">
        <v>773.49</v>
      </c>
      <c r="AA481" s="838">
        <v>848.84</v>
      </c>
      <c r="AB481" s="838">
        <v>1574.91</v>
      </c>
      <c r="AC481" s="838">
        <v>2357.0500000000002</v>
      </c>
      <c r="AD481" s="838">
        <v>2339.65</v>
      </c>
      <c r="AE481" s="838">
        <v>2686.53</v>
      </c>
      <c r="AF481" s="838">
        <v>2243.38</v>
      </c>
      <c r="AG481" s="838">
        <v>2294.52</v>
      </c>
      <c r="AH481" s="838">
        <v>2608.7399999999998</v>
      </c>
      <c r="AI481" s="838">
        <v>2293.3000000000002</v>
      </c>
      <c r="AJ481" s="838">
        <v>2400.38</v>
      </c>
      <c r="AK481" s="838"/>
      <c r="AL481" s="838"/>
      <c r="AM481" s="838"/>
      <c r="AN481" s="838"/>
      <c r="AO481" s="838"/>
      <c r="AP481" s="838"/>
      <c r="AQ481" s="838"/>
    </row>
    <row r="482" spans="2:43">
      <c r="B482" s="839" t="s">
        <v>1243</v>
      </c>
      <c r="C482" s="839">
        <v>1097</v>
      </c>
      <c r="D482" s="839">
        <v>1922</v>
      </c>
      <c r="E482" s="839">
        <v>4561</v>
      </c>
      <c r="F482" s="839">
        <v>4073</v>
      </c>
      <c r="G482" s="839">
        <v>6146</v>
      </c>
      <c r="H482" s="839">
        <v>5507</v>
      </c>
      <c r="I482" s="839">
        <v>5994</v>
      </c>
      <c r="J482" s="839">
        <v>6519</v>
      </c>
      <c r="K482" s="839">
        <v>6049</v>
      </c>
      <c r="L482" s="840">
        <v>5791.01611328125</v>
      </c>
      <c r="M482" s="840">
        <v>2704.18408203125</v>
      </c>
      <c r="N482" s="840">
        <v>1239.48</v>
      </c>
      <c r="O482" s="840">
        <v>1232.07</v>
      </c>
      <c r="P482" s="840">
        <v>2128.73</v>
      </c>
      <c r="Q482" s="840">
        <v>4511.05</v>
      </c>
      <c r="R482" s="840">
        <v>3862.99</v>
      </c>
      <c r="S482" s="840">
        <v>5483.36</v>
      </c>
      <c r="T482" s="840">
        <v>4942.51</v>
      </c>
      <c r="U482" s="840">
        <v>5559.64</v>
      </c>
      <c r="V482" s="840">
        <v>6176.54</v>
      </c>
      <c r="W482" s="840">
        <v>5325.01</v>
      </c>
      <c r="X482" s="840">
        <v>5188.09</v>
      </c>
      <c r="Y482" s="840">
        <v>2821.92</v>
      </c>
      <c r="Z482" s="840">
        <v>1433.93</v>
      </c>
      <c r="AA482" s="840">
        <v>1273.6300000000001</v>
      </c>
      <c r="AB482" s="840">
        <v>2566.16</v>
      </c>
      <c r="AC482" s="840">
        <v>4906.26</v>
      </c>
      <c r="AD482" s="840">
        <v>4824.54</v>
      </c>
      <c r="AE482" s="840">
        <v>6291.3</v>
      </c>
      <c r="AF482" s="840">
        <v>4892.92</v>
      </c>
      <c r="AG482" s="840">
        <v>4798.34</v>
      </c>
      <c r="AH482" s="840">
        <v>6367.7</v>
      </c>
      <c r="AI482" s="840">
        <v>5343.04</v>
      </c>
      <c r="AJ482" s="840">
        <v>5656.03</v>
      </c>
      <c r="AK482" s="840"/>
      <c r="AL482" s="840"/>
      <c r="AM482" s="840"/>
      <c r="AN482" s="840"/>
      <c r="AO482" s="840"/>
      <c r="AP482" s="840"/>
      <c r="AQ482" s="840"/>
    </row>
    <row r="483" spans="2:43">
      <c r="B483" s="837" t="s">
        <v>1244</v>
      </c>
      <c r="C483" s="837">
        <v>2051</v>
      </c>
      <c r="D483" s="837">
        <v>3937</v>
      </c>
      <c r="E483" s="837">
        <v>9755</v>
      </c>
      <c r="F483" s="837">
        <v>8807</v>
      </c>
      <c r="G483" s="837">
        <v>13168</v>
      </c>
      <c r="H483" s="837">
        <v>10781</v>
      </c>
      <c r="I483" s="837">
        <v>11735</v>
      </c>
      <c r="J483" s="837">
        <v>13148</v>
      </c>
      <c r="K483" s="837">
        <v>12359</v>
      </c>
      <c r="L483" s="838">
        <v>13495.591796875</v>
      </c>
      <c r="M483" s="838">
        <v>5144.087890625</v>
      </c>
      <c r="N483" s="838">
        <v>2785.73</v>
      </c>
      <c r="O483" s="838">
        <v>2350.94</v>
      </c>
      <c r="P483" s="838">
        <v>4111.3900000000003</v>
      </c>
      <c r="Q483" s="838">
        <v>9619.64</v>
      </c>
      <c r="R483" s="838">
        <v>9035.9599999999991</v>
      </c>
      <c r="S483" s="838">
        <v>12181.07</v>
      </c>
      <c r="T483" s="838">
        <v>10034.32</v>
      </c>
      <c r="U483" s="838">
        <v>11566.5</v>
      </c>
      <c r="V483" s="838">
        <v>14350.1</v>
      </c>
      <c r="W483" s="838">
        <v>14362.19</v>
      </c>
      <c r="X483" s="838">
        <v>14618.05</v>
      </c>
      <c r="Y483" s="838">
        <v>5787.49</v>
      </c>
      <c r="Z483" s="838">
        <v>2579.04</v>
      </c>
      <c r="AA483" s="838">
        <v>2394.27</v>
      </c>
      <c r="AB483" s="838">
        <v>5843.7</v>
      </c>
      <c r="AC483" s="838">
        <v>11806.77</v>
      </c>
      <c r="AD483" s="838">
        <v>12741.49</v>
      </c>
      <c r="AE483" s="838">
        <v>17714.72</v>
      </c>
      <c r="AF483" s="838">
        <v>12967.9</v>
      </c>
      <c r="AG483" s="838">
        <v>12882.88</v>
      </c>
      <c r="AH483" s="838">
        <v>17877.41</v>
      </c>
      <c r="AI483" s="838">
        <v>15117.31</v>
      </c>
      <c r="AJ483" s="838">
        <v>16139.71</v>
      </c>
      <c r="AK483" s="838"/>
      <c r="AL483" s="838"/>
      <c r="AM483" s="838"/>
      <c r="AN483" s="838"/>
      <c r="AO483" s="838"/>
      <c r="AP483" s="838"/>
      <c r="AQ483" s="838"/>
    </row>
    <row r="484" spans="2:43">
      <c r="B484" s="839" t="s">
        <v>1245</v>
      </c>
      <c r="C484" s="839">
        <v>817</v>
      </c>
      <c r="D484" s="839">
        <v>1087</v>
      </c>
      <c r="E484" s="839">
        <v>1727</v>
      </c>
      <c r="F484" s="839">
        <v>1544</v>
      </c>
      <c r="G484" s="839">
        <v>1943</v>
      </c>
      <c r="H484" s="839">
        <v>1621</v>
      </c>
      <c r="I484" s="839">
        <v>1430</v>
      </c>
      <c r="J484" s="839">
        <v>1979</v>
      </c>
      <c r="K484" s="839">
        <v>1799</v>
      </c>
      <c r="L484" s="840">
        <v>1929.6529541015625</v>
      </c>
      <c r="M484" s="840">
        <v>1092.095947265625</v>
      </c>
      <c r="N484" s="840">
        <v>873.04</v>
      </c>
      <c r="O484" s="840">
        <v>836.68</v>
      </c>
      <c r="P484" s="840">
        <v>1066</v>
      </c>
      <c r="Q484" s="840">
        <v>1716.74</v>
      </c>
      <c r="R484" s="840">
        <v>1689.04</v>
      </c>
      <c r="S484" s="840">
        <v>2003.63</v>
      </c>
      <c r="T484" s="840">
        <v>1537.31</v>
      </c>
      <c r="U484" s="840">
        <v>1855.32</v>
      </c>
      <c r="V484" s="840">
        <v>1952.6</v>
      </c>
      <c r="W484" s="840">
        <v>1936.75</v>
      </c>
      <c r="X484" s="840">
        <v>1680.83</v>
      </c>
      <c r="Y484" s="840">
        <v>1062.1600000000001</v>
      </c>
      <c r="Z484" s="840">
        <v>918.82</v>
      </c>
      <c r="AA484" s="840">
        <v>848.74</v>
      </c>
      <c r="AB484" s="840">
        <v>1120.26</v>
      </c>
      <c r="AC484" s="840">
        <v>1815.98</v>
      </c>
      <c r="AD484" s="840">
        <v>1799.63</v>
      </c>
      <c r="AE484" s="840">
        <v>2298.3000000000002</v>
      </c>
      <c r="AF484" s="840">
        <v>1679.98</v>
      </c>
      <c r="AG484" s="840">
        <v>1780.42</v>
      </c>
      <c r="AH484" s="840">
        <v>2094.5100000000002</v>
      </c>
      <c r="AI484" s="840">
        <v>1870.64</v>
      </c>
      <c r="AJ484" s="840">
        <v>1970.42</v>
      </c>
      <c r="AK484" s="840"/>
      <c r="AL484" s="840"/>
      <c r="AM484" s="840"/>
      <c r="AN484" s="840"/>
      <c r="AO484" s="840"/>
      <c r="AP484" s="840"/>
      <c r="AQ484" s="840"/>
    </row>
    <row r="485" spans="2:43">
      <c r="B485" s="837" t="s">
        <v>1246</v>
      </c>
      <c r="C485" s="837">
        <v>334</v>
      </c>
      <c r="D485" s="837">
        <v>862</v>
      </c>
      <c r="E485" s="837">
        <v>1304</v>
      </c>
      <c r="F485" s="837">
        <v>2239</v>
      </c>
      <c r="G485" s="837">
        <v>3572</v>
      </c>
      <c r="H485" s="837">
        <v>5072</v>
      </c>
      <c r="I485" s="837">
        <v>5493</v>
      </c>
      <c r="J485" s="837">
        <v>4644</v>
      </c>
      <c r="K485" s="837">
        <v>3836</v>
      </c>
      <c r="L485" s="838">
        <v>3390.10205078125</v>
      </c>
      <c r="M485" s="838">
        <v>1307.6920166015625</v>
      </c>
      <c r="N485" s="838">
        <v>725.13</v>
      </c>
      <c r="O485" s="838">
        <v>477.24</v>
      </c>
      <c r="P485" s="838">
        <v>2129.36</v>
      </c>
      <c r="Q485" s="838">
        <v>2943.52</v>
      </c>
      <c r="R485" s="838">
        <v>3130.5</v>
      </c>
      <c r="S485" s="838">
        <v>3287.54</v>
      </c>
      <c r="T485" s="838">
        <v>4051.8</v>
      </c>
      <c r="U485" s="838">
        <v>4149.96</v>
      </c>
      <c r="V485" s="838">
        <v>5122.22</v>
      </c>
      <c r="W485" s="838">
        <v>3624.89</v>
      </c>
      <c r="X485" s="838">
        <v>2842.4</v>
      </c>
      <c r="Y485" s="838">
        <v>1855.06</v>
      </c>
      <c r="Z485" s="838">
        <v>1004.66</v>
      </c>
      <c r="AA485" s="838">
        <v>466.65</v>
      </c>
      <c r="AB485" s="838">
        <v>1816.1</v>
      </c>
      <c r="AC485" s="838">
        <v>2902.74</v>
      </c>
      <c r="AD485" s="838">
        <v>2832.06</v>
      </c>
      <c r="AE485" s="838">
        <v>4259.3500000000004</v>
      </c>
      <c r="AF485" s="838">
        <v>4517.5200000000004</v>
      </c>
      <c r="AG485" s="838">
        <v>4011.02</v>
      </c>
      <c r="AH485" s="838">
        <v>3644.62</v>
      </c>
      <c r="AI485" s="838">
        <v>3554.22</v>
      </c>
      <c r="AJ485" s="838">
        <v>3712.1</v>
      </c>
      <c r="AK485" s="838"/>
      <c r="AL485" s="838"/>
      <c r="AM485" s="838"/>
      <c r="AN485" s="838"/>
      <c r="AO485" s="838"/>
      <c r="AP485" s="838"/>
      <c r="AQ485" s="838"/>
    </row>
    <row r="486" spans="2:43">
      <c r="B486" s="839" t="s">
        <v>1247</v>
      </c>
      <c r="C486" s="839">
        <v>3805</v>
      </c>
      <c r="D486" s="839">
        <v>11273</v>
      </c>
      <c r="E486" s="839">
        <v>19294</v>
      </c>
      <c r="F486" s="839">
        <v>19397</v>
      </c>
      <c r="G486" s="839">
        <v>22787</v>
      </c>
      <c r="H486" s="839">
        <v>23779</v>
      </c>
      <c r="I486" s="839">
        <v>23852</v>
      </c>
      <c r="J486" s="839">
        <v>22507</v>
      </c>
      <c r="K486" s="839">
        <v>20914</v>
      </c>
      <c r="L486" s="840">
        <v>19565.18359375</v>
      </c>
      <c r="M486" s="840">
        <v>9264.255859375</v>
      </c>
      <c r="N486" s="840">
        <v>4644.22</v>
      </c>
      <c r="O486" s="840">
        <v>4726.78</v>
      </c>
      <c r="P486" s="840">
        <v>9105.2800000000007</v>
      </c>
      <c r="Q486" s="840">
        <v>15732.99</v>
      </c>
      <c r="R486" s="840">
        <v>14597.5</v>
      </c>
      <c r="S486" s="840">
        <v>16376.83</v>
      </c>
      <c r="T486" s="840">
        <v>19172.86</v>
      </c>
      <c r="U486" s="840">
        <v>22311.42</v>
      </c>
      <c r="V486" s="840">
        <v>22585.86</v>
      </c>
      <c r="W486" s="840">
        <v>18804.740000000002</v>
      </c>
      <c r="X486" s="840">
        <v>18415.099999999999</v>
      </c>
      <c r="Y486" s="840">
        <v>9639.2999999999993</v>
      </c>
      <c r="Z486" s="840">
        <v>4420.1000000000004</v>
      </c>
      <c r="AA486" s="840">
        <v>4614.91</v>
      </c>
      <c r="AB486" s="840">
        <v>10923.9</v>
      </c>
      <c r="AC486" s="840">
        <v>16527.23</v>
      </c>
      <c r="AD486" s="840">
        <v>17353.98</v>
      </c>
      <c r="AE486" s="840">
        <v>21156.1</v>
      </c>
      <c r="AF486" s="840">
        <v>18602.37</v>
      </c>
      <c r="AG486" s="840">
        <v>19674.5</v>
      </c>
      <c r="AH486" s="840">
        <v>20021.5</v>
      </c>
      <c r="AI486" s="840">
        <v>16702.849999999999</v>
      </c>
      <c r="AJ486" s="840">
        <v>16254.59</v>
      </c>
      <c r="AK486" s="840"/>
      <c r="AL486" s="840"/>
      <c r="AM486" s="840"/>
      <c r="AN486" s="840"/>
      <c r="AO486" s="840"/>
      <c r="AP486" s="840"/>
      <c r="AQ486" s="840"/>
    </row>
    <row r="487" spans="2:43">
      <c r="B487" s="837" t="s">
        <v>1248</v>
      </c>
      <c r="C487" s="837">
        <v>2228</v>
      </c>
      <c r="D487" s="837">
        <v>4469</v>
      </c>
      <c r="E487" s="837">
        <v>7203</v>
      </c>
      <c r="F487" s="837">
        <v>8068</v>
      </c>
      <c r="G487" s="837">
        <v>11680</v>
      </c>
      <c r="H487" s="837">
        <v>13407</v>
      </c>
      <c r="I487" s="837">
        <v>15279</v>
      </c>
      <c r="J487" s="837">
        <v>13723</v>
      </c>
      <c r="K487" s="837">
        <v>12333</v>
      </c>
      <c r="L487" s="838">
        <v>11610.8720703125</v>
      </c>
      <c r="M487" s="838">
        <v>5551.97607421875</v>
      </c>
      <c r="N487" s="838">
        <v>3458.25</v>
      </c>
      <c r="O487" s="838">
        <v>1593.45</v>
      </c>
      <c r="P487" s="838">
        <v>2903.34</v>
      </c>
      <c r="Q487" s="838">
        <v>4715.38</v>
      </c>
      <c r="R487" s="838">
        <v>6676.82</v>
      </c>
      <c r="S487" s="838">
        <v>9078.7000000000007</v>
      </c>
      <c r="T487" s="838">
        <v>11874.22</v>
      </c>
      <c r="U487" s="838">
        <v>11870.96</v>
      </c>
      <c r="V487" s="838">
        <v>13832.7</v>
      </c>
      <c r="W487" s="838">
        <v>10722.9</v>
      </c>
      <c r="X487" s="838">
        <v>9261.73</v>
      </c>
      <c r="Y487" s="838">
        <v>5542.34</v>
      </c>
      <c r="Z487" s="838">
        <v>3301.22</v>
      </c>
      <c r="AA487" s="838">
        <v>2496.0500000000002</v>
      </c>
      <c r="AB487" s="838">
        <v>3552.5</v>
      </c>
      <c r="AC487" s="838">
        <v>7981.86</v>
      </c>
      <c r="AD487" s="838">
        <v>10154.94</v>
      </c>
      <c r="AE487" s="838">
        <v>15306.54</v>
      </c>
      <c r="AF487" s="838">
        <v>13436.21</v>
      </c>
      <c r="AG487" s="838">
        <v>13534.06</v>
      </c>
      <c r="AH487" s="838">
        <v>15239.82</v>
      </c>
      <c r="AI487" s="838">
        <v>12346.75</v>
      </c>
      <c r="AJ487" s="838">
        <v>11928.54</v>
      </c>
      <c r="AK487" s="838"/>
      <c r="AL487" s="838"/>
      <c r="AM487" s="838"/>
      <c r="AN487" s="838"/>
      <c r="AO487" s="838"/>
      <c r="AP487" s="838"/>
      <c r="AQ487" s="838"/>
    </row>
    <row r="488" spans="2:43">
      <c r="B488" s="839" t="s">
        <v>1249</v>
      </c>
      <c r="C488" s="839">
        <v>997</v>
      </c>
      <c r="D488" s="839">
        <v>2336</v>
      </c>
      <c r="E488" s="839">
        <v>5395</v>
      </c>
      <c r="F488" s="839">
        <v>4883</v>
      </c>
      <c r="G488" s="839">
        <v>6218</v>
      </c>
      <c r="H488" s="839">
        <v>5503</v>
      </c>
      <c r="I488" s="839">
        <v>5851</v>
      </c>
      <c r="J488" s="839">
        <v>6189</v>
      </c>
      <c r="K488" s="839">
        <v>5900</v>
      </c>
      <c r="L488" s="840">
        <v>5936.9482421875</v>
      </c>
      <c r="M488" s="840">
        <v>2666.419921875</v>
      </c>
      <c r="N488" s="840">
        <v>1406.83</v>
      </c>
      <c r="O488" s="840">
        <v>1280.5999999999999</v>
      </c>
      <c r="P488" s="840">
        <v>2269.87</v>
      </c>
      <c r="Q488" s="840">
        <v>5225.41</v>
      </c>
      <c r="R488" s="840">
        <v>4852.54</v>
      </c>
      <c r="S488" s="840">
        <v>6060.89</v>
      </c>
      <c r="T488" s="840">
        <v>5026.92</v>
      </c>
      <c r="U488" s="840">
        <v>5738.19</v>
      </c>
      <c r="V488" s="840">
        <v>6281.14</v>
      </c>
      <c r="W488" s="840">
        <v>5834.82</v>
      </c>
      <c r="X488" s="840">
        <v>5786.88</v>
      </c>
      <c r="Y488" s="840">
        <v>2161.58</v>
      </c>
      <c r="Z488" s="840">
        <v>1171.1400000000001</v>
      </c>
      <c r="AA488" s="840">
        <v>1171.3800000000001</v>
      </c>
      <c r="AB488" s="840">
        <v>2741.2</v>
      </c>
      <c r="AC488" s="840">
        <v>5400.37</v>
      </c>
      <c r="AD488" s="840">
        <v>5327.37</v>
      </c>
      <c r="AE488" s="840">
        <v>6379.92</v>
      </c>
      <c r="AF488" s="840">
        <v>5448.05</v>
      </c>
      <c r="AG488" s="840">
        <v>5743.62</v>
      </c>
      <c r="AH488" s="840">
        <v>7080.9</v>
      </c>
      <c r="AI488" s="840">
        <v>6134.72</v>
      </c>
      <c r="AJ488" s="840">
        <v>6291.78</v>
      </c>
      <c r="AK488" s="840"/>
      <c r="AL488" s="840"/>
      <c r="AM488" s="840"/>
      <c r="AN488" s="840"/>
      <c r="AO488" s="840"/>
      <c r="AP488" s="840"/>
      <c r="AQ488" s="840"/>
    </row>
    <row r="489" spans="2:43">
      <c r="B489" s="837" t="s">
        <v>1250</v>
      </c>
      <c r="C489" s="837">
        <v>7888</v>
      </c>
      <c r="D489" s="837">
        <v>10708</v>
      </c>
      <c r="E489" s="837">
        <v>28855</v>
      </c>
      <c r="F489" s="837">
        <v>33523</v>
      </c>
      <c r="G489" s="837">
        <v>50061</v>
      </c>
      <c r="H489" s="837">
        <v>58893</v>
      </c>
      <c r="I489" s="837">
        <v>71137</v>
      </c>
      <c r="J489" s="837">
        <v>63862</v>
      </c>
      <c r="K489" s="837">
        <v>55597</v>
      </c>
      <c r="L489" s="838">
        <v>49720.57421875</v>
      </c>
      <c r="M489" s="838">
        <v>18997.50390625</v>
      </c>
      <c r="N489" s="838">
        <v>10992.13</v>
      </c>
      <c r="O489" s="838">
        <v>8262.91</v>
      </c>
      <c r="P489" s="838">
        <v>11272.7</v>
      </c>
      <c r="Q489" s="838">
        <v>26624.26</v>
      </c>
      <c r="R489" s="838">
        <v>28869.38</v>
      </c>
      <c r="S489" s="838">
        <v>39459.33</v>
      </c>
      <c r="T489" s="838">
        <v>42588.160000000003</v>
      </c>
      <c r="U489" s="838">
        <v>47153.41</v>
      </c>
      <c r="V489" s="838">
        <v>50918.400000000001</v>
      </c>
      <c r="W489" s="838">
        <v>40298.75</v>
      </c>
      <c r="X489" s="838">
        <v>36436.480000000003</v>
      </c>
      <c r="Y489" s="838">
        <v>16100.1</v>
      </c>
      <c r="Z489" s="838">
        <v>6808.58</v>
      </c>
      <c r="AA489" s="838">
        <v>8767.49</v>
      </c>
      <c r="AB489" s="838">
        <v>17807.62</v>
      </c>
      <c r="AC489" s="838">
        <v>21448.45</v>
      </c>
      <c r="AD489" s="838" t="s">
        <v>699</v>
      </c>
      <c r="AE489" s="838" t="s">
        <v>699</v>
      </c>
      <c r="AF489" s="838" t="s">
        <v>699</v>
      </c>
      <c r="AG489" s="838" t="s">
        <v>699</v>
      </c>
      <c r="AH489" s="838" t="s">
        <v>699</v>
      </c>
      <c r="AI489" s="838" t="s">
        <v>699</v>
      </c>
      <c r="AJ489" s="838" t="s">
        <v>699</v>
      </c>
      <c r="AK489" s="838"/>
      <c r="AL489" s="838"/>
      <c r="AM489" s="838"/>
      <c r="AN489" s="838"/>
      <c r="AO489" s="838"/>
      <c r="AP489" s="838"/>
      <c r="AQ489" s="838"/>
    </row>
    <row r="490" spans="2:43">
      <c r="B490" s="839" t="s">
        <v>1251</v>
      </c>
      <c r="C490" s="839">
        <v>480</v>
      </c>
      <c r="D490" s="839">
        <v>1000</v>
      </c>
      <c r="E490" s="839">
        <v>4134</v>
      </c>
      <c r="F490" s="839">
        <v>4061</v>
      </c>
      <c r="G490" s="839">
        <v>6291</v>
      </c>
      <c r="H490" s="839">
        <v>4566</v>
      </c>
      <c r="I490" s="839">
        <v>5149</v>
      </c>
      <c r="J490" s="839">
        <v>6454</v>
      </c>
      <c r="K490" s="839">
        <v>5718</v>
      </c>
      <c r="L490" s="840">
        <v>6108.92822265625</v>
      </c>
      <c r="M490" s="840">
        <v>1845.9840087890625</v>
      </c>
      <c r="N490" s="840">
        <v>537.41</v>
      </c>
      <c r="O490" s="840">
        <v>506.75</v>
      </c>
      <c r="P490" s="840">
        <v>1442.18</v>
      </c>
      <c r="Q490" s="840">
        <v>5120.6400000000003</v>
      </c>
      <c r="R490" s="840">
        <v>5170.72</v>
      </c>
      <c r="S490" s="840">
        <v>6916.86</v>
      </c>
      <c r="T490" s="840">
        <v>5383.62</v>
      </c>
      <c r="U490" s="840">
        <v>5879.36</v>
      </c>
      <c r="V490" s="840">
        <v>7692.61</v>
      </c>
      <c r="W490" s="840">
        <v>7248</v>
      </c>
      <c r="X490" s="840">
        <v>7264.19</v>
      </c>
      <c r="Y490" s="840">
        <v>2127.1999999999998</v>
      </c>
      <c r="Z490" s="840">
        <v>678.4</v>
      </c>
      <c r="AA490" s="840">
        <v>783.74</v>
      </c>
      <c r="AB490" s="840">
        <v>2254.85</v>
      </c>
      <c r="AC490" s="840">
        <v>3611.17</v>
      </c>
      <c r="AD490" s="840" t="s">
        <v>699</v>
      </c>
      <c r="AE490" s="840" t="s">
        <v>699</v>
      </c>
      <c r="AF490" s="840" t="s">
        <v>699</v>
      </c>
      <c r="AG490" s="840" t="s">
        <v>699</v>
      </c>
      <c r="AH490" s="840" t="s">
        <v>699</v>
      </c>
      <c r="AI490" s="840" t="s">
        <v>699</v>
      </c>
      <c r="AJ490" s="840" t="s">
        <v>699</v>
      </c>
      <c r="AK490" s="840"/>
      <c r="AL490" s="840"/>
      <c r="AM490" s="840"/>
      <c r="AN490" s="840"/>
      <c r="AO490" s="840"/>
      <c r="AP490" s="840"/>
      <c r="AQ490" s="840"/>
    </row>
    <row r="491" spans="2:43">
      <c r="B491" s="837" t="s">
        <v>1252</v>
      </c>
      <c r="C491" s="837">
        <v>3791</v>
      </c>
      <c r="D491" s="837">
        <v>5154</v>
      </c>
      <c r="E491" s="837">
        <v>10894</v>
      </c>
      <c r="F491" s="837">
        <v>11501</v>
      </c>
      <c r="G491" s="837">
        <v>13571</v>
      </c>
      <c r="H491" s="837">
        <v>13298</v>
      </c>
      <c r="I491" s="837">
        <v>15702</v>
      </c>
      <c r="J491" s="837">
        <v>15551</v>
      </c>
      <c r="K491" s="837">
        <v>15012</v>
      </c>
      <c r="L491" s="838">
        <v>14597.6318359375</v>
      </c>
      <c r="M491" s="838">
        <v>6985.72802734375</v>
      </c>
      <c r="N491" s="838">
        <v>3587.33</v>
      </c>
      <c r="O491" s="838">
        <v>3642.05</v>
      </c>
      <c r="P491" s="838">
        <v>7028.74</v>
      </c>
      <c r="Q491" s="838">
        <v>12851.14</v>
      </c>
      <c r="R491" s="838">
        <v>12686.91</v>
      </c>
      <c r="S491" s="838">
        <v>15696.13</v>
      </c>
      <c r="T491" s="838">
        <v>16030.85</v>
      </c>
      <c r="U491" s="838">
        <v>18342.66</v>
      </c>
      <c r="V491" s="838">
        <v>20503.04</v>
      </c>
      <c r="W491" s="838">
        <v>16222.59</v>
      </c>
      <c r="X491" s="838">
        <v>16640</v>
      </c>
      <c r="Y491" s="838">
        <v>8251.84</v>
      </c>
      <c r="Z491" s="838">
        <v>3873.92</v>
      </c>
      <c r="AA491" s="838">
        <v>3859.58</v>
      </c>
      <c r="AB491" s="838">
        <v>7431.68</v>
      </c>
      <c r="AC491" s="838">
        <v>9100.0300000000007</v>
      </c>
      <c r="AD491" s="838" t="s">
        <v>699</v>
      </c>
      <c r="AE491" s="838" t="s">
        <v>699</v>
      </c>
      <c r="AF491" s="838" t="s">
        <v>699</v>
      </c>
      <c r="AG491" s="838" t="s">
        <v>699</v>
      </c>
      <c r="AH491" s="838" t="s">
        <v>699</v>
      </c>
      <c r="AI491" s="838" t="s">
        <v>699</v>
      </c>
      <c r="AJ491" s="838" t="s">
        <v>699</v>
      </c>
      <c r="AK491" s="838"/>
      <c r="AL491" s="838"/>
      <c r="AM491" s="838"/>
      <c r="AN491" s="838"/>
      <c r="AO491" s="838"/>
      <c r="AP491" s="838"/>
      <c r="AQ491" s="838"/>
    </row>
    <row r="492" spans="2:43">
      <c r="B492" s="839" t="s">
        <v>1253</v>
      </c>
      <c r="C492" s="839">
        <v>1178</v>
      </c>
      <c r="D492" s="839">
        <v>1542</v>
      </c>
      <c r="E492" s="839">
        <v>2376</v>
      </c>
      <c r="F492" s="839">
        <v>3909</v>
      </c>
      <c r="G492" s="839">
        <v>8254</v>
      </c>
      <c r="H492" s="839">
        <v>12910</v>
      </c>
      <c r="I492" s="839">
        <v>14293</v>
      </c>
      <c r="J492" s="839">
        <v>11514</v>
      </c>
      <c r="K492" s="839">
        <v>8574</v>
      </c>
      <c r="L492" s="840">
        <v>8234.431640625</v>
      </c>
      <c r="M492" s="840">
        <v>1659.64794921875</v>
      </c>
      <c r="N492" s="840">
        <v>1447.9</v>
      </c>
      <c r="O492" s="840">
        <v>880.13</v>
      </c>
      <c r="P492" s="840">
        <v>2011.17</v>
      </c>
      <c r="Q492" s="840">
        <v>4686.0200000000004</v>
      </c>
      <c r="R492" s="840">
        <v>6013.34</v>
      </c>
      <c r="S492" s="840">
        <v>9211.81</v>
      </c>
      <c r="T492" s="840">
        <v>11803.87</v>
      </c>
      <c r="U492" s="840">
        <v>11683.01</v>
      </c>
      <c r="V492" s="840">
        <v>10888.51</v>
      </c>
      <c r="W492" s="840">
        <v>8049.54</v>
      </c>
      <c r="X492" s="840">
        <v>7136.83</v>
      </c>
      <c r="Y492" s="840">
        <v>2864.45</v>
      </c>
      <c r="Z492" s="840">
        <v>1024.51</v>
      </c>
      <c r="AA492" s="840">
        <v>984.32</v>
      </c>
      <c r="AB492" s="840">
        <v>2028.42</v>
      </c>
      <c r="AC492" s="840">
        <v>2832.96</v>
      </c>
      <c r="AD492" s="840" t="s">
        <v>699</v>
      </c>
      <c r="AE492" s="840" t="s">
        <v>699</v>
      </c>
      <c r="AF492" s="840" t="s">
        <v>699</v>
      </c>
      <c r="AG492" s="840" t="s">
        <v>699</v>
      </c>
      <c r="AH492" s="840" t="s">
        <v>699</v>
      </c>
      <c r="AI492" s="840" t="s">
        <v>699</v>
      </c>
      <c r="AJ492" s="840" t="s">
        <v>699</v>
      </c>
      <c r="AK492" s="840"/>
      <c r="AL492" s="840"/>
      <c r="AM492" s="840"/>
      <c r="AN492" s="840"/>
      <c r="AO492" s="840"/>
      <c r="AP492" s="840"/>
      <c r="AQ492" s="840"/>
    </row>
    <row r="493" spans="2:43">
      <c r="B493" s="837" t="s">
        <v>1254</v>
      </c>
      <c r="C493" s="837">
        <v>59</v>
      </c>
      <c r="D493" s="837">
        <v>0</v>
      </c>
      <c r="E493" s="837">
        <v>0</v>
      </c>
      <c r="F493" s="837">
        <v>0</v>
      </c>
      <c r="G493" s="837">
        <v>0</v>
      </c>
      <c r="H493" s="837">
        <v>0</v>
      </c>
      <c r="I493" s="837">
        <v>0</v>
      </c>
      <c r="J493" s="837">
        <v>5</v>
      </c>
      <c r="K493" s="837">
        <v>9</v>
      </c>
      <c r="L493" s="838">
        <v>0.61599999666213989</v>
      </c>
      <c r="M493" s="838">
        <v>5.5920000076293945</v>
      </c>
      <c r="N493" s="838">
        <v>90.65</v>
      </c>
      <c r="O493" s="838">
        <v>113.8</v>
      </c>
      <c r="P493" s="838">
        <v>0</v>
      </c>
      <c r="Q493" s="838">
        <v>0</v>
      </c>
      <c r="R493" s="838">
        <v>0</v>
      </c>
      <c r="S493" s="838">
        <v>0</v>
      </c>
      <c r="T493" s="838">
        <v>0</v>
      </c>
      <c r="U493" s="838">
        <v>0</v>
      </c>
      <c r="V493" s="838">
        <v>0</v>
      </c>
      <c r="W493" s="838">
        <v>0</v>
      </c>
      <c r="X493" s="838">
        <v>0</v>
      </c>
      <c r="Y493" s="838">
        <v>0</v>
      </c>
      <c r="Z493" s="838">
        <v>0</v>
      </c>
      <c r="AA493" s="838">
        <v>0</v>
      </c>
      <c r="AB493" s="838">
        <v>0</v>
      </c>
      <c r="AC493" s="838">
        <v>0</v>
      </c>
      <c r="AD493" s="838">
        <v>0</v>
      </c>
      <c r="AE493" s="838" t="s">
        <v>699</v>
      </c>
      <c r="AF493" s="838" t="s">
        <v>699</v>
      </c>
      <c r="AG493" s="838" t="s">
        <v>699</v>
      </c>
      <c r="AH493" s="838" t="s">
        <v>699</v>
      </c>
      <c r="AI493" s="838" t="s">
        <v>699</v>
      </c>
      <c r="AJ493" s="838" t="s">
        <v>699</v>
      </c>
      <c r="AK493" s="838"/>
      <c r="AL493" s="838"/>
      <c r="AM493" s="838"/>
      <c r="AN493" s="838"/>
      <c r="AO493" s="838"/>
      <c r="AP493" s="838"/>
      <c r="AQ493" s="838"/>
    </row>
    <row r="494" spans="2:43">
      <c r="B494" s="839" t="s">
        <v>1255</v>
      </c>
      <c r="C494" s="839">
        <v>5766</v>
      </c>
      <c r="D494" s="839">
        <v>11073</v>
      </c>
      <c r="E494" s="839">
        <v>15248</v>
      </c>
      <c r="F494" s="839">
        <v>13788</v>
      </c>
      <c r="G494" s="839">
        <v>15609</v>
      </c>
      <c r="H494" s="839">
        <v>13494</v>
      </c>
      <c r="I494" s="839">
        <v>14055</v>
      </c>
      <c r="J494" s="839">
        <v>14753</v>
      </c>
      <c r="K494" s="839">
        <v>14818</v>
      </c>
      <c r="L494" s="840">
        <v>14663.984375</v>
      </c>
      <c r="M494" s="840">
        <v>7557.50390625</v>
      </c>
      <c r="N494" s="840">
        <v>4031.82</v>
      </c>
      <c r="O494" s="840">
        <v>6130.85</v>
      </c>
      <c r="P494" s="840">
        <v>11376</v>
      </c>
      <c r="Q494" s="840">
        <v>13540.05</v>
      </c>
      <c r="R494" s="840">
        <v>12600</v>
      </c>
      <c r="S494" s="840">
        <v>13880.5</v>
      </c>
      <c r="T494" s="840">
        <v>12563.41</v>
      </c>
      <c r="U494" s="840">
        <v>12445.3</v>
      </c>
      <c r="V494" s="840">
        <v>14028.13</v>
      </c>
      <c r="W494" s="840">
        <v>12521.2</v>
      </c>
      <c r="X494" s="840">
        <v>12996.53</v>
      </c>
      <c r="Y494" s="840">
        <v>6837.95</v>
      </c>
      <c r="Z494" s="840">
        <v>3351.14</v>
      </c>
      <c r="AA494" s="840">
        <v>6105.09</v>
      </c>
      <c r="AB494" s="840">
        <v>9913.76</v>
      </c>
      <c r="AC494" s="840">
        <v>12009.73</v>
      </c>
      <c r="AD494" s="840">
        <v>10762.14</v>
      </c>
      <c r="AE494" s="840">
        <v>12344.58</v>
      </c>
      <c r="AF494" s="840">
        <v>10984.58</v>
      </c>
      <c r="AG494" s="840">
        <v>10990.4</v>
      </c>
      <c r="AH494" s="840">
        <v>12206.98</v>
      </c>
      <c r="AI494" s="840">
        <v>11621.82</v>
      </c>
      <c r="AJ494" s="840">
        <v>11855.87</v>
      </c>
      <c r="AK494" s="840"/>
      <c r="AL494" s="840"/>
      <c r="AM494" s="840"/>
      <c r="AN494" s="840"/>
      <c r="AO494" s="840"/>
      <c r="AP494" s="840"/>
      <c r="AQ494" s="840"/>
    </row>
    <row r="495" spans="2:43">
      <c r="B495" s="837" t="s">
        <v>1256</v>
      </c>
      <c r="C495" s="837">
        <v>1271</v>
      </c>
      <c r="D495" s="837">
        <v>1817</v>
      </c>
      <c r="E495" s="837">
        <v>2101</v>
      </c>
      <c r="F495" s="837">
        <v>2038</v>
      </c>
      <c r="G495" s="837">
        <v>3322</v>
      </c>
      <c r="H495" s="837">
        <v>3541</v>
      </c>
      <c r="I495" s="837">
        <v>4685</v>
      </c>
      <c r="J495" s="837">
        <v>3230</v>
      </c>
      <c r="K495" s="837">
        <v>2359</v>
      </c>
      <c r="L495" s="838">
        <v>2429.58203125</v>
      </c>
      <c r="M495" s="838">
        <v>1733.865966796875</v>
      </c>
      <c r="N495" s="838">
        <v>1257.75</v>
      </c>
      <c r="O495" s="838">
        <v>1671.29</v>
      </c>
      <c r="P495" s="838">
        <v>2278.4899999999998</v>
      </c>
      <c r="Q495" s="838">
        <v>2604.02</v>
      </c>
      <c r="R495" s="838">
        <v>2478.67</v>
      </c>
      <c r="S495" s="838">
        <v>2909.01</v>
      </c>
      <c r="T495" s="838">
        <v>3584.48</v>
      </c>
      <c r="U495" s="838">
        <v>3529.6</v>
      </c>
      <c r="V495" s="838">
        <v>3296.52</v>
      </c>
      <c r="W495" s="838">
        <v>2968.41</v>
      </c>
      <c r="X495" s="838">
        <v>2841.09</v>
      </c>
      <c r="Y495" s="838">
        <v>2031.66</v>
      </c>
      <c r="Z495" s="838">
        <v>1066.29</v>
      </c>
      <c r="AA495" s="838">
        <v>1724.14</v>
      </c>
      <c r="AB495" s="838">
        <v>2199.8000000000002</v>
      </c>
      <c r="AC495" s="838">
        <v>2655.89</v>
      </c>
      <c r="AD495" s="838">
        <v>3065.27</v>
      </c>
      <c r="AE495" s="838">
        <v>2969.71</v>
      </c>
      <c r="AF495" s="838">
        <v>3619.88</v>
      </c>
      <c r="AG495" s="838">
        <v>3624.93</v>
      </c>
      <c r="AH495" s="838">
        <v>3229.14</v>
      </c>
      <c r="AI495" s="838">
        <v>2463.71</v>
      </c>
      <c r="AJ495" s="838">
        <v>2513.23</v>
      </c>
      <c r="AK495" s="838"/>
      <c r="AL495" s="838"/>
      <c r="AM495" s="838"/>
      <c r="AN495" s="838"/>
      <c r="AO495" s="838"/>
      <c r="AP495" s="838"/>
      <c r="AQ495" s="838"/>
    </row>
    <row r="496" spans="2:43">
      <c r="B496" s="839" t="s">
        <v>1257</v>
      </c>
      <c r="C496" s="839">
        <v>90</v>
      </c>
      <c r="D496" s="839">
        <v>194</v>
      </c>
      <c r="E496" s="839">
        <v>444</v>
      </c>
      <c r="F496" s="839">
        <v>800</v>
      </c>
      <c r="G496" s="839">
        <v>1315</v>
      </c>
      <c r="H496" s="839">
        <v>1441</v>
      </c>
      <c r="I496" s="839">
        <v>1669</v>
      </c>
      <c r="J496" s="839">
        <v>1528</v>
      </c>
      <c r="K496" s="839">
        <v>1479</v>
      </c>
      <c r="L496" s="840">
        <v>1174.7449951171875</v>
      </c>
      <c r="M496" s="840">
        <v>261.7869873046875</v>
      </c>
      <c r="N496" s="840">
        <v>121.47</v>
      </c>
      <c r="O496" s="840">
        <v>113.19</v>
      </c>
      <c r="P496" s="840">
        <v>296.24</v>
      </c>
      <c r="Q496" s="840">
        <v>474.92</v>
      </c>
      <c r="R496" s="840">
        <v>852.23</v>
      </c>
      <c r="S496" s="840">
        <v>1121.26</v>
      </c>
      <c r="T496" s="840">
        <v>1441.61</v>
      </c>
      <c r="U496" s="840">
        <v>1559.16</v>
      </c>
      <c r="V496" s="840">
        <v>1804.78</v>
      </c>
      <c r="W496" s="840">
        <v>1287</v>
      </c>
      <c r="X496" s="840">
        <v>813.13</v>
      </c>
      <c r="Y496" s="840">
        <v>299.41000000000003</v>
      </c>
      <c r="Z496" s="840">
        <v>116.7</v>
      </c>
      <c r="AA496" s="840">
        <v>125.43</v>
      </c>
      <c r="AB496" s="840">
        <v>437.57</v>
      </c>
      <c r="AC496" s="840">
        <v>864.12</v>
      </c>
      <c r="AD496" s="840">
        <v>1205.49</v>
      </c>
      <c r="AE496" s="840">
        <v>2137.1</v>
      </c>
      <c r="AF496" s="840">
        <v>1562.22</v>
      </c>
      <c r="AG496" s="840">
        <v>1485.75</v>
      </c>
      <c r="AH496" s="840">
        <v>2082.6799999999998</v>
      </c>
      <c r="AI496" s="840">
        <v>1596.13</v>
      </c>
      <c r="AJ496" s="840">
        <v>1696.93</v>
      </c>
      <c r="AK496" s="840"/>
      <c r="AL496" s="840"/>
      <c r="AM496" s="840"/>
      <c r="AN496" s="840"/>
      <c r="AO496" s="840"/>
      <c r="AP496" s="840"/>
      <c r="AQ496" s="840"/>
    </row>
    <row r="497" spans="1:43">
      <c r="B497" s="837" t="s">
        <v>1258</v>
      </c>
      <c r="C497" s="837">
        <v>7179</v>
      </c>
      <c r="D497" s="837">
        <v>9211</v>
      </c>
      <c r="E497" s="837">
        <v>8625</v>
      </c>
      <c r="F497" s="837">
        <v>18167</v>
      </c>
      <c r="G497" s="837">
        <v>26187</v>
      </c>
      <c r="H497" s="837">
        <v>31936</v>
      </c>
      <c r="I497" s="837">
        <v>34108</v>
      </c>
      <c r="J497" s="837">
        <v>30856</v>
      </c>
      <c r="K497" s="837">
        <v>28835</v>
      </c>
      <c r="L497" s="838">
        <v>25643.583984375</v>
      </c>
      <c r="M497" s="838">
        <v>8955.83984375</v>
      </c>
      <c r="N497" s="838">
        <v>6289.89</v>
      </c>
      <c r="O497" s="838">
        <v>4239.8599999999997</v>
      </c>
      <c r="P497" s="838">
        <v>5323.23</v>
      </c>
      <c r="Q497" s="838">
        <v>9665.98</v>
      </c>
      <c r="R497" s="838">
        <v>16773.39</v>
      </c>
      <c r="S497" s="838">
        <v>17980.22</v>
      </c>
      <c r="T497" s="838">
        <v>19002.21</v>
      </c>
      <c r="U497" s="838">
        <v>23700.7</v>
      </c>
      <c r="V497" s="838">
        <v>23661.759999999998</v>
      </c>
      <c r="W497" s="838">
        <v>17672.32</v>
      </c>
      <c r="X497" s="838">
        <v>15625.28</v>
      </c>
      <c r="Y497" s="838">
        <v>12133.98</v>
      </c>
      <c r="Z497" s="838">
        <v>6762.91</v>
      </c>
      <c r="AA497" s="838">
        <v>5810.56</v>
      </c>
      <c r="AB497" s="838">
        <v>9578.02</v>
      </c>
      <c r="AC497" s="838">
        <v>13212</v>
      </c>
      <c r="AD497" s="838">
        <v>16252.22</v>
      </c>
      <c r="AE497" s="838">
        <v>23499.39</v>
      </c>
      <c r="AF497" s="838">
        <v>20803.71</v>
      </c>
      <c r="AG497" s="838">
        <v>22504.48</v>
      </c>
      <c r="AH497" s="838">
        <v>21880.959999999999</v>
      </c>
      <c r="AI497" s="838">
        <v>20151.939999999999</v>
      </c>
      <c r="AJ497" s="838">
        <v>17382.21</v>
      </c>
      <c r="AK497" s="838"/>
      <c r="AL497" s="838"/>
      <c r="AM497" s="838"/>
      <c r="AN497" s="838"/>
      <c r="AO497" s="838"/>
      <c r="AP497" s="838"/>
      <c r="AQ497" s="838"/>
    </row>
    <row r="498" spans="1:43">
      <c r="B498" s="839" t="s">
        <v>1259</v>
      </c>
      <c r="C498" s="839">
        <v>2481</v>
      </c>
      <c r="D498" s="839">
        <v>3632</v>
      </c>
      <c r="E498" s="839">
        <v>4163</v>
      </c>
      <c r="F498" s="839">
        <v>6037</v>
      </c>
      <c r="G498" s="839">
        <v>11093</v>
      </c>
      <c r="H498" s="839">
        <v>13358</v>
      </c>
      <c r="I498" s="839">
        <v>15478</v>
      </c>
      <c r="J498" s="839">
        <v>12132</v>
      </c>
      <c r="K498" s="839">
        <v>10650</v>
      </c>
      <c r="L498" s="840">
        <v>9144.8876953125</v>
      </c>
      <c r="M498" s="840">
        <v>2970.10400390625</v>
      </c>
      <c r="N498" s="840">
        <v>2985.41</v>
      </c>
      <c r="O498" s="840">
        <v>1557.82</v>
      </c>
      <c r="P498" s="840">
        <v>2075.63</v>
      </c>
      <c r="Q498" s="840">
        <v>5036.16</v>
      </c>
      <c r="R498" s="840">
        <v>7603.42</v>
      </c>
      <c r="S498" s="840">
        <v>11110.74</v>
      </c>
      <c r="T498" s="840">
        <v>11957.7</v>
      </c>
      <c r="U498" s="840">
        <v>13989.02</v>
      </c>
      <c r="V498" s="840">
        <v>13671.44</v>
      </c>
      <c r="W498" s="840">
        <v>10519.2</v>
      </c>
      <c r="X498" s="840">
        <v>8730.67</v>
      </c>
      <c r="Y498" s="840">
        <v>4750.6899999999996</v>
      </c>
      <c r="Z498" s="840">
        <v>2641.47</v>
      </c>
      <c r="AA498" s="840">
        <v>1607.98</v>
      </c>
      <c r="AB498" s="840">
        <v>2633.36</v>
      </c>
      <c r="AC498" s="840">
        <v>6766.88</v>
      </c>
      <c r="AD498" s="840">
        <v>9485.25</v>
      </c>
      <c r="AE498" s="840">
        <v>14049.49</v>
      </c>
      <c r="AF498" s="840">
        <v>13080.35</v>
      </c>
      <c r="AG498" s="840">
        <v>13987.28</v>
      </c>
      <c r="AH498" s="840">
        <v>13854.29</v>
      </c>
      <c r="AI498" s="840">
        <v>11344.43</v>
      </c>
      <c r="AJ498" s="840">
        <v>10622.5</v>
      </c>
      <c r="AK498" s="840"/>
      <c r="AL498" s="840"/>
      <c r="AM498" s="840"/>
      <c r="AN498" s="840"/>
      <c r="AO498" s="840"/>
      <c r="AP498" s="840"/>
      <c r="AQ498" s="840"/>
    </row>
    <row r="499" spans="1:43">
      <c r="B499" s="837" t="s">
        <v>1260</v>
      </c>
      <c r="C499" s="837">
        <v>1022</v>
      </c>
      <c r="D499" s="837">
        <v>2122</v>
      </c>
      <c r="E499" s="837">
        <v>3487</v>
      </c>
      <c r="F499" s="837">
        <v>2894</v>
      </c>
      <c r="G499" s="837">
        <v>3814</v>
      </c>
      <c r="H499" s="837">
        <v>3097</v>
      </c>
      <c r="I499" s="837">
        <v>3298</v>
      </c>
      <c r="J499" s="837">
        <v>3899</v>
      </c>
      <c r="K499" s="837">
        <v>3552</v>
      </c>
      <c r="L499" s="838">
        <v>3770.236083984375</v>
      </c>
      <c r="M499" s="838">
        <v>1894.0240478515625</v>
      </c>
      <c r="N499" s="838">
        <v>634.51</v>
      </c>
      <c r="O499" s="838">
        <v>1044.1199999999999</v>
      </c>
      <c r="P499" s="838">
        <v>2202.2399999999998</v>
      </c>
      <c r="Q499" s="838">
        <v>3417.86</v>
      </c>
      <c r="R499" s="838">
        <v>3323.54</v>
      </c>
      <c r="S499" s="838">
        <v>4356.3</v>
      </c>
      <c r="T499" s="838">
        <v>3813.28</v>
      </c>
      <c r="U499" s="838">
        <v>3795.67</v>
      </c>
      <c r="V499" s="838">
        <v>4419.26</v>
      </c>
      <c r="W499" s="838">
        <v>4029.14</v>
      </c>
      <c r="X499" s="838">
        <v>3844.07</v>
      </c>
      <c r="Y499" s="1145">
        <v>1902.36</v>
      </c>
      <c r="Z499" s="1145">
        <v>853.66</v>
      </c>
      <c r="AA499" s="838">
        <v>1538.5</v>
      </c>
      <c r="AB499" s="838">
        <v>2317.25</v>
      </c>
      <c r="AC499" s="838">
        <v>3089.74</v>
      </c>
      <c r="AD499" s="838">
        <v>2897.08</v>
      </c>
      <c r="AE499" s="838">
        <v>3622.78</v>
      </c>
      <c r="AF499" s="838">
        <v>2665.87</v>
      </c>
      <c r="AG499" s="838">
        <v>2411.34</v>
      </c>
      <c r="AH499" s="838">
        <v>3434.9</v>
      </c>
      <c r="AI499" s="838">
        <v>2983.26</v>
      </c>
      <c r="AJ499" s="838">
        <v>3237.03</v>
      </c>
      <c r="AK499" s="838"/>
      <c r="AL499" s="838"/>
      <c r="AM499" s="838"/>
      <c r="AN499" s="838"/>
      <c r="AO499" s="838"/>
      <c r="AP499" s="838"/>
      <c r="AQ499" s="838"/>
    </row>
    <row r="500" spans="1:43">
      <c r="A500" s="35" t="s">
        <v>1261</v>
      </c>
      <c r="B500" s="839" t="s">
        <v>1262</v>
      </c>
      <c r="C500" s="839">
        <v>51049</v>
      </c>
      <c r="D500" s="839">
        <v>44726</v>
      </c>
      <c r="E500" s="839">
        <v>46945</v>
      </c>
      <c r="F500" s="839">
        <v>39120</v>
      </c>
      <c r="G500" s="839">
        <v>35233</v>
      </c>
      <c r="H500" s="839">
        <v>31532</v>
      </c>
      <c r="I500" s="839">
        <v>30061</v>
      </c>
      <c r="J500" s="839">
        <v>27768</v>
      </c>
      <c r="K500" s="839">
        <v>26843</v>
      </c>
      <c r="L500" s="840">
        <v>28339.455078125</v>
      </c>
      <c r="M500" s="840">
        <v>28904.703125</v>
      </c>
      <c r="N500" s="840">
        <v>27498.240000000002</v>
      </c>
      <c r="O500" s="840">
        <v>27374.34</v>
      </c>
      <c r="P500" s="840">
        <v>27105.79</v>
      </c>
      <c r="Q500" s="840">
        <v>26575.87</v>
      </c>
      <c r="R500" s="840">
        <v>25829.119999999999</v>
      </c>
      <c r="S500" s="840">
        <v>28214.27</v>
      </c>
      <c r="T500" s="840">
        <v>33819.14</v>
      </c>
      <c r="U500" s="840">
        <v>28910.34</v>
      </c>
      <c r="V500" s="840">
        <v>2049.54</v>
      </c>
      <c r="W500" s="840">
        <v>16.899999999999999</v>
      </c>
      <c r="X500" s="840">
        <v>0</v>
      </c>
      <c r="Y500" s="840">
        <v>0</v>
      </c>
      <c r="Z500" s="840">
        <v>0</v>
      </c>
      <c r="AA500" s="840">
        <v>0</v>
      </c>
      <c r="AB500" s="840">
        <v>0</v>
      </c>
      <c r="AC500" s="840">
        <v>0</v>
      </c>
      <c r="AD500" s="840">
        <v>0</v>
      </c>
      <c r="AE500" s="840">
        <v>0</v>
      </c>
      <c r="AF500" s="840">
        <v>0</v>
      </c>
      <c r="AG500" s="840">
        <v>0</v>
      </c>
      <c r="AH500" s="840">
        <v>0</v>
      </c>
      <c r="AI500" s="840">
        <v>0</v>
      </c>
      <c r="AJ500" s="840">
        <v>0</v>
      </c>
      <c r="AK500" s="840"/>
      <c r="AL500" s="840"/>
      <c r="AM500" s="840"/>
      <c r="AN500" s="840"/>
      <c r="AO500" s="840"/>
      <c r="AP500" s="840"/>
      <c r="AQ500" s="840"/>
    </row>
    <row r="501" spans="1:43">
      <c r="B501" s="837" t="s">
        <v>1263</v>
      </c>
      <c r="C501" s="837">
        <v>48691</v>
      </c>
      <c r="D501" s="837">
        <v>42703</v>
      </c>
      <c r="E501" s="837">
        <v>44905</v>
      </c>
      <c r="F501" s="837">
        <v>37455</v>
      </c>
      <c r="G501" s="837">
        <v>33853</v>
      </c>
      <c r="H501" s="837">
        <v>30307</v>
      </c>
      <c r="I501" s="837">
        <v>28926</v>
      </c>
      <c r="J501" s="837">
        <v>26687</v>
      </c>
      <c r="K501" s="837">
        <v>25798</v>
      </c>
      <c r="L501" s="838">
        <v>27289.599609375</v>
      </c>
      <c r="M501" s="838">
        <v>27675.904296875</v>
      </c>
      <c r="N501" s="838">
        <v>26362.37</v>
      </c>
      <c r="O501" s="838">
        <v>26263.3</v>
      </c>
      <c r="P501" s="838">
        <v>25930.75</v>
      </c>
      <c r="Q501" s="838">
        <v>25491.46</v>
      </c>
      <c r="R501" s="838">
        <v>24742.14</v>
      </c>
      <c r="S501" s="838">
        <v>27060.99</v>
      </c>
      <c r="T501" s="838">
        <v>32486.91</v>
      </c>
      <c r="U501" s="838">
        <v>27905.279999999999</v>
      </c>
      <c r="V501" s="838">
        <v>66282.240000000005</v>
      </c>
      <c r="W501" s="838">
        <v>66667.520000000004</v>
      </c>
      <c r="X501" s="838">
        <v>9236.74</v>
      </c>
      <c r="Y501" s="838">
        <v>57678.85</v>
      </c>
      <c r="Z501" s="1281">
        <v>369739.01</v>
      </c>
      <c r="AA501" s="838">
        <v>85172.73</v>
      </c>
      <c r="AB501" s="838">
        <v>83985.919999999998</v>
      </c>
      <c r="AC501" s="838">
        <v>69996.03</v>
      </c>
      <c r="AD501" s="838">
        <v>64796.41</v>
      </c>
      <c r="AE501" s="838">
        <v>71891.710000000006</v>
      </c>
      <c r="AF501" s="838">
        <v>65693.95</v>
      </c>
      <c r="AG501" s="838">
        <v>68380.41</v>
      </c>
      <c r="AH501" s="838">
        <v>64479.74</v>
      </c>
      <c r="AI501" s="838">
        <v>58550.53</v>
      </c>
      <c r="AJ501" s="838">
        <v>75774.210000000006</v>
      </c>
      <c r="AK501" s="838"/>
      <c r="AL501" s="838"/>
      <c r="AM501" s="838"/>
      <c r="AN501" s="838"/>
      <c r="AO501" s="838"/>
      <c r="AP501" s="838"/>
      <c r="AQ501" s="838"/>
    </row>
    <row r="502" spans="1:43">
      <c r="B502" s="839" t="s">
        <v>1264</v>
      </c>
      <c r="C502" s="839">
        <v>33610</v>
      </c>
      <c r="D502" s="839">
        <v>26787</v>
      </c>
      <c r="E502" s="839">
        <v>21192</v>
      </c>
      <c r="F502" s="839">
        <v>10658</v>
      </c>
      <c r="G502" s="839">
        <v>381</v>
      </c>
      <c r="H502" s="839">
        <v>324</v>
      </c>
      <c r="I502" s="839">
        <v>314</v>
      </c>
      <c r="J502" s="839">
        <v>316</v>
      </c>
      <c r="K502" s="839">
        <v>327</v>
      </c>
      <c r="L502" s="840">
        <v>339.64801025390625</v>
      </c>
      <c r="M502" s="840">
        <v>7199.16796875</v>
      </c>
      <c r="N502" s="840">
        <v>6475.49</v>
      </c>
      <c r="O502" s="840">
        <v>1389.57</v>
      </c>
      <c r="P502" s="840">
        <v>1704.22</v>
      </c>
      <c r="Q502" s="840">
        <v>322.91000000000003</v>
      </c>
      <c r="R502" s="840">
        <v>313.63</v>
      </c>
      <c r="S502" s="840">
        <v>3107.1</v>
      </c>
      <c r="T502" s="840">
        <v>723.84</v>
      </c>
      <c r="U502" s="840">
        <v>329.41</v>
      </c>
      <c r="V502" s="840">
        <v>349.22</v>
      </c>
      <c r="W502" s="840">
        <v>574.85</v>
      </c>
      <c r="X502" s="1215">
        <v>85.63</v>
      </c>
      <c r="Y502" s="1215">
        <v>310.14</v>
      </c>
      <c r="Z502" s="1215">
        <v>291.81</v>
      </c>
      <c r="AA502" s="840">
        <v>18410.53</v>
      </c>
      <c r="AB502" s="840">
        <v>20910.27</v>
      </c>
      <c r="AC502" s="840">
        <v>9105.5400000000009</v>
      </c>
      <c r="AD502" s="840">
        <v>4504.8599999999997</v>
      </c>
      <c r="AE502" s="840">
        <v>7470.37</v>
      </c>
      <c r="AF502" s="840">
        <v>4780.13</v>
      </c>
      <c r="AG502" s="840">
        <v>5284.51</v>
      </c>
      <c r="AH502" s="840">
        <v>2352.96</v>
      </c>
      <c r="AI502" s="840">
        <v>311.33</v>
      </c>
      <c r="AJ502" s="840">
        <v>1528.9</v>
      </c>
      <c r="AK502" s="840"/>
      <c r="AL502" s="840"/>
      <c r="AM502" s="840"/>
      <c r="AN502" s="840"/>
      <c r="AO502" s="840"/>
      <c r="AP502" s="840"/>
      <c r="AQ502" s="840"/>
    </row>
    <row r="503" spans="1:43">
      <c r="B503" s="837" t="s">
        <v>1265</v>
      </c>
      <c r="C503" s="837">
        <v>6702</v>
      </c>
      <c r="D503" s="837">
        <v>6370</v>
      </c>
      <c r="E503" s="837">
        <v>7493</v>
      </c>
      <c r="F503" s="837">
        <v>7074</v>
      </c>
      <c r="G503" s="837">
        <v>6724</v>
      </c>
      <c r="H503" s="837">
        <v>7661</v>
      </c>
      <c r="I503" s="837">
        <v>6399</v>
      </c>
      <c r="J503" s="837">
        <v>6642</v>
      </c>
      <c r="K503" s="837">
        <v>5968</v>
      </c>
      <c r="L503" s="838">
        <v>5815.13623046875</v>
      </c>
      <c r="M503" s="838">
        <v>6255.9677734375</v>
      </c>
      <c r="N503" s="838">
        <v>5901.73</v>
      </c>
      <c r="O503" s="838">
        <v>6234.37</v>
      </c>
      <c r="P503" s="838">
        <v>5884.48</v>
      </c>
      <c r="Q503" s="838">
        <v>5638.21</v>
      </c>
      <c r="R503" s="838">
        <v>5934.56</v>
      </c>
      <c r="S503" s="838">
        <v>5886.14</v>
      </c>
      <c r="T503" s="838">
        <v>6237.34</v>
      </c>
      <c r="U503" s="838">
        <v>4626.43</v>
      </c>
      <c r="V503" s="838">
        <v>4371.33</v>
      </c>
      <c r="W503" s="1214">
        <v>4842.1099999999997</v>
      </c>
      <c r="X503" s="1214">
        <v>1898.5</v>
      </c>
      <c r="Y503" s="1214">
        <v>5425.7</v>
      </c>
      <c r="Z503" s="1214">
        <v>3386.3</v>
      </c>
      <c r="AA503" s="838">
        <v>2188</v>
      </c>
      <c r="AB503" s="838">
        <v>3968.06</v>
      </c>
      <c r="AC503" s="838">
        <v>4333.9799999999996</v>
      </c>
      <c r="AD503" s="838">
        <v>4660.51</v>
      </c>
      <c r="AE503" s="838">
        <v>4229.66</v>
      </c>
      <c r="AF503" s="838">
        <v>4080</v>
      </c>
      <c r="AG503" s="838">
        <v>4789.7299999999996</v>
      </c>
      <c r="AH503" s="838">
        <v>3994.66</v>
      </c>
      <c r="AI503" s="838">
        <v>4409.63</v>
      </c>
      <c r="AJ503" s="838">
        <v>1089.47</v>
      </c>
      <c r="AK503" s="838"/>
      <c r="AL503" s="838"/>
      <c r="AM503" s="838"/>
      <c r="AN503" s="838"/>
      <c r="AO503" s="838"/>
      <c r="AP503" s="838"/>
      <c r="AQ503" s="838"/>
    </row>
    <row r="504" spans="1:43">
      <c r="B504" s="839" t="s">
        <v>1266</v>
      </c>
      <c r="C504" s="839">
        <v>6732</v>
      </c>
      <c r="D504" s="839">
        <v>6325</v>
      </c>
      <c r="E504" s="839">
        <v>7096</v>
      </c>
      <c r="F504" s="839">
        <v>6854</v>
      </c>
      <c r="G504" s="839">
        <v>7277</v>
      </c>
      <c r="H504" s="839">
        <v>4258</v>
      </c>
      <c r="I504" s="839">
        <v>6452</v>
      </c>
      <c r="J504" s="839">
        <v>2370</v>
      </c>
      <c r="K504" s="839">
        <v>3609</v>
      </c>
      <c r="L504" s="840">
        <v>5426.240234375</v>
      </c>
      <c r="M504" s="840">
        <v>3430.7041015625</v>
      </c>
      <c r="N504" s="840">
        <v>2869.98</v>
      </c>
      <c r="O504" s="840">
        <v>3043.26</v>
      </c>
      <c r="P504" s="840">
        <v>2990.43</v>
      </c>
      <c r="Q504" s="840">
        <v>3235.89</v>
      </c>
      <c r="R504" s="840">
        <v>2353.0100000000002</v>
      </c>
      <c r="S504" s="840">
        <v>3025.22</v>
      </c>
      <c r="T504" s="840">
        <v>6216.8</v>
      </c>
      <c r="U504" s="840">
        <v>6353.34</v>
      </c>
      <c r="V504" s="840">
        <v>15106.1</v>
      </c>
      <c r="W504" s="1215">
        <v>11858.85</v>
      </c>
      <c r="X504" s="1215">
        <v>3551.66</v>
      </c>
      <c r="Y504" s="1215">
        <v>5419.52</v>
      </c>
      <c r="Z504" s="1215">
        <v>2696.03</v>
      </c>
      <c r="AA504" s="840">
        <v>2213.41</v>
      </c>
      <c r="AB504" s="840">
        <v>4880.93</v>
      </c>
      <c r="AC504" s="840">
        <v>5713.31</v>
      </c>
      <c r="AD504" s="840">
        <v>6296.06</v>
      </c>
      <c r="AE504" s="840">
        <v>9306.7800000000007</v>
      </c>
      <c r="AF504" s="840">
        <v>8630.2099999999991</v>
      </c>
      <c r="AG504" s="840">
        <v>9907.65</v>
      </c>
      <c r="AH504" s="840">
        <v>9728.26</v>
      </c>
      <c r="AI504" s="840">
        <v>8942.85</v>
      </c>
      <c r="AJ504" s="840">
        <v>2189.73</v>
      </c>
      <c r="AK504" s="840"/>
      <c r="AL504" s="840"/>
      <c r="AM504" s="840"/>
      <c r="AN504" s="840"/>
      <c r="AO504" s="840"/>
      <c r="AP504" s="840"/>
      <c r="AQ504" s="840"/>
    </row>
    <row r="505" spans="1:43">
      <c r="A505" s="1297"/>
      <c r="B505" s="1296" t="s">
        <v>1267</v>
      </c>
      <c r="C505" s="815">
        <v>44562</v>
      </c>
      <c r="D505" s="815">
        <v>44593</v>
      </c>
      <c r="E505" s="815">
        <v>44621</v>
      </c>
      <c r="F505" s="815">
        <v>44652</v>
      </c>
      <c r="G505" s="815">
        <v>44682</v>
      </c>
      <c r="H505" s="815">
        <v>44713</v>
      </c>
      <c r="I505" s="815">
        <v>44743</v>
      </c>
      <c r="J505" s="815">
        <v>44774</v>
      </c>
      <c r="K505" s="815">
        <v>44805</v>
      </c>
      <c r="L505" s="814">
        <v>44835</v>
      </c>
      <c r="M505" s="814">
        <v>44866</v>
      </c>
      <c r="N505" s="814">
        <v>44896</v>
      </c>
      <c r="O505" s="814">
        <v>44927</v>
      </c>
      <c r="P505" s="814">
        <v>44958</v>
      </c>
      <c r="Q505" s="814">
        <v>44986</v>
      </c>
      <c r="R505" s="814">
        <v>45017</v>
      </c>
      <c r="S505" s="814">
        <v>45047</v>
      </c>
      <c r="T505" s="814">
        <v>45078</v>
      </c>
      <c r="U505" s="814">
        <v>45108</v>
      </c>
      <c r="V505" s="814">
        <v>45139</v>
      </c>
      <c r="W505" s="814">
        <v>45170</v>
      </c>
      <c r="X505" s="814">
        <v>45200</v>
      </c>
      <c r="Y505" s="814">
        <v>45231</v>
      </c>
      <c r="Z505" s="814">
        <v>45261</v>
      </c>
      <c r="AA505" s="814">
        <v>45292</v>
      </c>
      <c r="AB505" s="814">
        <v>45323</v>
      </c>
      <c r="AC505" s="814">
        <v>45352</v>
      </c>
      <c r="AD505" s="814">
        <v>45383</v>
      </c>
      <c r="AE505" s="814">
        <v>45413</v>
      </c>
      <c r="AF505" s="814">
        <v>45444</v>
      </c>
      <c r="AG505" s="814">
        <v>45474</v>
      </c>
      <c r="AH505" s="814">
        <v>45505</v>
      </c>
      <c r="AI505" s="814">
        <v>45536</v>
      </c>
      <c r="AJ505" s="814">
        <v>45566</v>
      </c>
      <c r="AK505" s="814">
        <v>45597</v>
      </c>
      <c r="AL505" s="814">
        <v>45627</v>
      </c>
      <c r="AM505" s="814">
        <v>45658</v>
      </c>
      <c r="AN505" s="814">
        <v>45689</v>
      </c>
      <c r="AO505" s="814">
        <v>45717</v>
      </c>
      <c r="AP505" s="814">
        <v>45748</v>
      </c>
      <c r="AQ505" s="814">
        <v>45778</v>
      </c>
    </row>
    <row r="506" spans="1:43">
      <c r="A506" s="35" t="s">
        <v>1268</v>
      </c>
      <c r="B506" s="839" t="s">
        <v>1269</v>
      </c>
      <c r="C506" s="952">
        <v>160624</v>
      </c>
      <c r="D506" s="952">
        <v>192054</v>
      </c>
      <c r="E506" s="952">
        <v>194137</v>
      </c>
      <c r="F506" s="952">
        <v>198909</v>
      </c>
      <c r="G506" s="952">
        <v>204295</v>
      </c>
      <c r="H506" s="952">
        <v>209479</v>
      </c>
      <c r="I506" s="952">
        <v>214479</v>
      </c>
      <c r="J506" s="952">
        <v>220976</v>
      </c>
      <c r="K506" s="952">
        <v>226185</v>
      </c>
      <c r="L506" s="956">
        <v>231829</v>
      </c>
      <c r="M506" s="956">
        <v>237411</v>
      </c>
      <c r="N506" s="963">
        <f>M506+5100</f>
        <v>242511</v>
      </c>
      <c r="O506" s="956">
        <v>248404</v>
      </c>
      <c r="P506" s="963">
        <f>O506+5100</f>
        <v>253504</v>
      </c>
      <c r="Q506" s="956">
        <v>259359</v>
      </c>
      <c r="R506" s="956">
        <v>264881</v>
      </c>
      <c r="S506" s="956">
        <v>270225</v>
      </c>
      <c r="T506" s="956">
        <v>275235</v>
      </c>
      <c r="U506" s="956">
        <v>280782</v>
      </c>
      <c r="V506" s="956">
        <v>286232</v>
      </c>
      <c r="W506" s="963">
        <f>V506+5200</f>
        <v>291432</v>
      </c>
      <c r="X506" s="956">
        <v>296764</v>
      </c>
      <c r="Y506" s="956">
        <v>301626</v>
      </c>
      <c r="Z506" s="1066">
        <f>Y506+5000</f>
        <v>306626</v>
      </c>
      <c r="AA506" s="1066">
        <v>309000</v>
      </c>
      <c r="AB506" s="956">
        <v>316294</v>
      </c>
      <c r="AC506" s="956">
        <v>321828</v>
      </c>
      <c r="AD506" s="956">
        <f>AC506+5100</f>
        <v>326928</v>
      </c>
      <c r="AE506" s="1066">
        <v>332272</v>
      </c>
      <c r="AF506" s="1066">
        <v>337282</v>
      </c>
      <c r="AG506" s="1066">
        <v>342282</v>
      </c>
      <c r="AH506" s="1066">
        <v>347282</v>
      </c>
      <c r="AI506" s="1066">
        <v>352282</v>
      </c>
      <c r="AJ506" s="956"/>
      <c r="AK506" s="956"/>
      <c r="AL506" s="956"/>
      <c r="AM506" s="956"/>
      <c r="AN506" s="956"/>
      <c r="AO506" s="956"/>
      <c r="AP506" s="956"/>
      <c r="AQ506" s="956"/>
    </row>
    <row r="507" spans="1:43">
      <c r="A507" s="35" t="s">
        <v>1270</v>
      </c>
      <c r="B507" s="841" t="s">
        <v>1271</v>
      </c>
      <c r="C507" s="951">
        <v>234063</v>
      </c>
      <c r="D507" s="951">
        <v>243494</v>
      </c>
      <c r="E507" s="951">
        <v>254244</v>
      </c>
      <c r="F507" s="951">
        <v>260643</v>
      </c>
      <c r="G507" s="951">
        <v>264274</v>
      </c>
      <c r="H507" s="951">
        <v>267556</v>
      </c>
      <c r="I507" s="951">
        <v>270947</v>
      </c>
      <c r="J507" s="951">
        <v>273297</v>
      </c>
      <c r="K507" s="951">
        <v>276917</v>
      </c>
      <c r="L507" s="955">
        <v>280522</v>
      </c>
      <c r="M507" s="955">
        <v>290405</v>
      </c>
      <c r="N507" s="955">
        <v>299746</v>
      </c>
      <c r="O507" s="955">
        <v>313750</v>
      </c>
      <c r="P507" s="955">
        <v>326282</v>
      </c>
      <c r="Q507" s="955">
        <v>338987</v>
      </c>
      <c r="R507" s="955">
        <v>345096</v>
      </c>
      <c r="S507" s="955">
        <v>352148</v>
      </c>
      <c r="T507" s="955">
        <v>355062</v>
      </c>
      <c r="U507" s="955">
        <v>358114</v>
      </c>
      <c r="V507" s="955">
        <v>361120</v>
      </c>
      <c r="W507" s="955">
        <v>366891</v>
      </c>
      <c r="X507" s="955">
        <v>372227</v>
      </c>
      <c r="Y507" s="955">
        <v>377829</v>
      </c>
      <c r="Z507" s="955">
        <v>386709</v>
      </c>
      <c r="AA507" s="955">
        <v>395411</v>
      </c>
      <c r="AB507" s="955">
        <v>405869</v>
      </c>
      <c r="AC507" s="955">
        <v>410457</v>
      </c>
      <c r="AD507" s="955">
        <v>415463</v>
      </c>
      <c r="AE507" s="955">
        <v>418634</v>
      </c>
      <c r="AF507" s="955">
        <v>421239</v>
      </c>
      <c r="AG507" s="955">
        <v>424716</v>
      </c>
      <c r="AH507" s="955">
        <v>426867</v>
      </c>
      <c r="AI507" s="955">
        <v>430966</v>
      </c>
      <c r="AJ507" s="955">
        <v>437529</v>
      </c>
      <c r="AK507" s="955"/>
      <c r="AL507" s="955"/>
      <c r="AM507" s="955"/>
      <c r="AN507" s="955"/>
      <c r="AO507" s="955"/>
      <c r="AP507" s="955"/>
      <c r="AQ507" s="955"/>
    </row>
    <row r="508" spans="1:43">
      <c r="B508" s="843" t="s">
        <v>1272</v>
      </c>
      <c r="C508" s="952">
        <v>205201</v>
      </c>
      <c r="D508" s="952">
        <v>216101</v>
      </c>
      <c r="E508" s="952">
        <v>227876</v>
      </c>
      <c r="F508" s="952">
        <v>234450</v>
      </c>
      <c r="G508" s="952">
        <v>240427</v>
      </c>
      <c r="H508" s="952">
        <v>242925</v>
      </c>
      <c r="I508" s="952">
        <v>245187</v>
      </c>
      <c r="J508" s="952">
        <v>248477</v>
      </c>
      <c r="K508" s="952">
        <v>251635</v>
      </c>
      <c r="L508" s="956">
        <v>257859</v>
      </c>
      <c r="M508" s="956">
        <v>267751</v>
      </c>
      <c r="N508" s="956">
        <v>278434</v>
      </c>
      <c r="O508" s="956">
        <v>294985</v>
      </c>
      <c r="P508" s="956">
        <v>314695</v>
      </c>
      <c r="Q508" s="956">
        <v>325026</v>
      </c>
      <c r="R508" s="956">
        <v>330578</v>
      </c>
      <c r="S508" s="956">
        <v>334609</v>
      </c>
      <c r="T508" s="956">
        <v>338262</v>
      </c>
      <c r="U508" s="956">
        <v>341888</v>
      </c>
      <c r="V508" s="956">
        <v>345346</v>
      </c>
      <c r="W508" s="956">
        <v>350494</v>
      </c>
      <c r="X508" s="956">
        <v>357739</v>
      </c>
      <c r="Y508" s="956">
        <v>363353</v>
      </c>
      <c r="Z508" s="956">
        <v>372382</v>
      </c>
      <c r="AA508" s="956">
        <v>380896</v>
      </c>
      <c r="AB508" s="956">
        <v>390823</v>
      </c>
      <c r="AC508" s="956">
        <v>396960</v>
      </c>
      <c r="AD508" s="956">
        <v>401750</v>
      </c>
      <c r="AE508" s="956">
        <v>404558</v>
      </c>
      <c r="AF508" s="956">
        <v>405784</v>
      </c>
      <c r="AG508" s="956">
        <v>408898</v>
      </c>
      <c r="AH508" s="956">
        <v>412053</v>
      </c>
      <c r="AI508" s="956">
        <v>415475</v>
      </c>
      <c r="AJ508" s="956">
        <v>420594</v>
      </c>
      <c r="AK508" s="956"/>
      <c r="AL508" s="956"/>
      <c r="AM508" s="956"/>
      <c r="AN508" s="956"/>
      <c r="AO508" s="956"/>
      <c r="AP508" s="956"/>
      <c r="AQ508" s="956"/>
    </row>
    <row r="509" spans="1:43">
      <c r="A509" s="35" t="s">
        <v>1273</v>
      </c>
      <c r="B509" s="837" t="s">
        <v>1274</v>
      </c>
      <c r="C509" s="951">
        <v>182906</v>
      </c>
      <c r="D509" s="951">
        <v>183477</v>
      </c>
      <c r="E509" s="951">
        <v>184203</v>
      </c>
      <c r="F509" s="951">
        <v>185695</v>
      </c>
      <c r="G509" s="951">
        <v>187639</v>
      </c>
      <c r="H509" s="951">
        <v>189777</v>
      </c>
      <c r="I509" s="951">
        <v>192622</v>
      </c>
      <c r="J509" s="951">
        <v>194964</v>
      </c>
      <c r="K509" s="951">
        <v>196744</v>
      </c>
      <c r="L509" s="955">
        <v>198186</v>
      </c>
      <c r="M509" s="955">
        <v>198848</v>
      </c>
      <c r="N509" s="962">
        <v>199200</v>
      </c>
      <c r="O509" s="955">
        <v>200256</v>
      </c>
      <c r="P509" s="955">
        <v>200861</v>
      </c>
      <c r="Q509" s="955">
        <v>201824.16</v>
      </c>
      <c r="R509" s="955">
        <v>203282</v>
      </c>
      <c r="S509" s="1123">
        <f>R509+1300</f>
        <v>204582</v>
      </c>
      <c r="T509" s="1123">
        <f>S509+2700</f>
        <v>207282</v>
      </c>
      <c r="U509" s="955">
        <v>210420</v>
      </c>
      <c r="V509" s="955">
        <v>212700</v>
      </c>
      <c r="W509" s="1103">
        <f>V509+1700</f>
        <v>214400</v>
      </c>
      <c r="X509" s="955">
        <v>214695</v>
      </c>
      <c r="Y509" s="955">
        <v>215407</v>
      </c>
      <c r="Z509" s="1103">
        <f>Y509+350</f>
        <v>215757</v>
      </c>
      <c r="AA509" s="1103">
        <f>Z509+350</f>
        <v>216107</v>
      </c>
      <c r="AB509" s="1103">
        <f>AA509+650</f>
        <v>216757</v>
      </c>
      <c r="AC509" s="955">
        <v>217598</v>
      </c>
      <c r="AD509" s="955">
        <v>218990</v>
      </c>
      <c r="AE509" s="955">
        <v>220219</v>
      </c>
      <c r="AF509" s="955">
        <v>222919</v>
      </c>
      <c r="AG509" s="1103">
        <v>226000</v>
      </c>
      <c r="AH509" s="955">
        <v>226947</v>
      </c>
      <c r="AI509" s="1103">
        <v>228547</v>
      </c>
      <c r="AJ509" s="955">
        <v>230258</v>
      </c>
      <c r="AK509" s="955"/>
      <c r="AL509" s="955"/>
      <c r="AM509" s="955"/>
      <c r="AN509" s="955"/>
      <c r="AO509" s="955"/>
      <c r="AP509" s="955"/>
      <c r="AQ509" s="955"/>
    </row>
    <row r="510" spans="1:43">
      <c r="A510" s="35" t="s">
        <v>1273</v>
      </c>
      <c r="B510" s="839" t="s">
        <v>1275</v>
      </c>
      <c r="C510" s="952">
        <v>124781</v>
      </c>
      <c r="D510" s="952">
        <v>125172</v>
      </c>
      <c r="E510" s="952">
        <v>125559</v>
      </c>
      <c r="F510" s="952">
        <v>126870</v>
      </c>
      <c r="G510" s="952">
        <v>128405</v>
      </c>
      <c r="H510" s="952">
        <v>130093</v>
      </c>
      <c r="I510" s="952">
        <v>132885</v>
      </c>
      <c r="J510" s="952">
        <v>134841</v>
      </c>
      <c r="K510" s="952">
        <v>136693</v>
      </c>
      <c r="L510" s="956">
        <v>138162</v>
      </c>
      <c r="M510" s="956">
        <v>138610</v>
      </c>
      <c r="N510" s="963">
        <v>139000</v>
      </c>
      <c r="O510" s="956">
        <v>139395</v>
      </c>
      <c r="P510" s="956">
        <v>139805</v>
      </c>
      <c r="Q510" s="956">
        <v>140693.56</v>
      </c>
      <c r="R510" s="956">
        <v>142107</v>
      </c>
      <c r="S510" s="1122">
        <f>R510+1300</f>
        <v>143407</v>
      </c>
      <c r="T510" s="1122">
        <f>S510+2500</f>
        <v>145907</v>
      </c>
      <c r="U510" s="956">
        <v>149114</v>
      </c>
      <c r="V510" s="956">
        <v>152000</v>
      </c>
      <c r="W510" s="1066">
        <f>V510+1700</f>
        <v>153700</v>
      </c>
      <c r="X510" s="956">
        <v>154254</v>
      </c>
      <c r="Y510" s="956">
        <v>155051</v>
      </c>
      <c r="Z510" s="1066">
        <f>Y510+350</f>
        <v>155401</v>
      </c>
      <c r="AA510" s="1066">
        <f>Z510+350</f>
        <v>155751</v>
      </c>
      <c r="AB510" s="1066">
        <f>AA510+650</f>
        <v>156401</v>
      </c>
      <c r="AC510" s="956">
        <v>157532</v>
      </c>
      <c r="AD510" s="956">
        <v>159469</v>
      </c>
      <c r="AE510" s="956">
        <v>161349</v>
      </c>
      <c r="AF510" s="1066">
        <v>163849</v>
      </c>
      <c r="AG510" s="1066">
        <v>166300</v>
      </c>
      <c r="AH510" s="956">
        <v>168561</v>
      </c>
      <c r="AI510" s="1066">
        <v>170261</v>
      </c>
      <c r="AJ510" s="956">
        <v>172160.94</v>
      </c>
      <c r="AK510" s="956"/>
      <c r="AL510" s="956"/>
      <c r="AM510" s="956"/>
      <c r="AN510" s="956"/>
      <c r="AO510" s="956"/>
      <c r="AP510" s="956"/>
      <c r="AQ510" s="956"/>
    </row>
    <row r="511" spans="1:43">
      <c r="A511" s="1020" t="s">
        <v>1276</v>
      </c>
      <c r="B511" s="843" t="s">
        <v>1277</v>
      </c>
      <c r="C511" s="952">
        <v>135705</v>
      </c>
      <c r="D511" s="952">
        <v>135745</v>
      </c>
      <c r="E511" s="952">
        <v>135923</v>
      </c>
      <c r="F511" s="952">
        <v>136249</v>
      </c>
      <c r="G511" s="952">
        <v>136705</v>
      </c>
      <c r="H511" s="952">
        <v>137050</v>
      </c>
      <c r="I511" s="952">
        <v>137443</v>
      </c>
      <c r="J511" s="952">
        <v>137793</v>
      </c>
      <c r="K511" s="952">
        <v>138387</v>
      </c>
      <c r="L511" s="956">
        <v>138888</v>
      </c>
      <c r="M511" s="963">
        <v>139195</v>
      </c>
      <c r="N511" s="956">
        <v>139210</v>
      </c>
      <c r="O511" s="956">
        <v>139777.60000000001</v>
      </c>
      <c r="P511" s="956">
        <v>140036.6</v>
      </c>
      <c r="Q511" s="1122">
        <f>P511+300</f>
        <v>140336.6</v>
      </c>
      <c r="R511" s="956">
        <v>140699.4</v>
      </c>
      <c r="S511" s="956">
        <v>141120.70000000001</v>
      </c>
      <c r="T511" s="1122">
        <f>S511+400</f>
        <v>141520.70000000001</v>
      </c>
      <c r="U511" s="956">
        <v>142027.79999999999</v>
      </c>
      <c r="V511" s="1122">
        <f>U511+400</f>
        <v>142427.79999999999</v>
      </c>
      <c r="W511" s="956">
        <v>142837.79999999999</v>
      </c>
      <c r="X511" s="956">
        <v>143244.79999999999</v>
      </c>
      <c r="Y511" s="956">
        <v>143575.29999999999</v>
      </c>
      <c r="Z511" s="1066">
        <f>Y511+200</f>
        <v>143775.29999999999</v>
      </c>
      <c r="AA511" s="1066">
        <f>Z511+200</f>
        <v>143975.29999999999</v>
      </c>
      <c r="AB511" s="956">
        <v>144395.5</v>
      </c>
      <c r="AC511" s="956">
        <v>144766.70000000001</v>
      </c>
      <c r="AD511" s="956">
        <v>145118</v>
      </c>
      <c r="AE511" s="956">
        <v>145577.9</v>
      </c>
      <c r="AF511" s="1066">
        <v>145878</v>
      </c>
      <c r="AG511" s="956">
        <v>146384.70000000001</v>
      </c>
      <c r="AH511" s="956">
        <v>146796.79999999999</v>
      </c>
      <c r="AI511" s="956">
        <v>147193.79999999999</v>
      </c>
      <c r="AJ511" s="956">
        <v>147534.70000000001</v>
      </c>
      <c r="AK511" s="956"/>
      <c r="AL511" s="956"/>
      <c r="AM511" s="956"/>
      <c r="AN511" s="956"/>
      <c r="AO511" s="956"/>
      <c r="AP511" s="956"/>
      <c r="AQ511" s="956"/>
    </row>
    <row r="512" spans="1:43">
      <c r="A512" s="35" t="s">
        <v>1278</v>
      </c>
      <c r="B512" s="837" t="s">
        <v>1279</v>
      </c>
      <c r="C512" s="951">
        <v>412224</v>
      </c>
      <c r="D512" s="951">
        <v>412481</v>
      </c>
      <c r="E512" s="951">
        <v>413122</v>
      </c>
      <c r="F512" s="951">
        <v>414142</v>
      </c>
      <c r="G512" s="951">
        <v>415547</v>
      </c>
      <c r="H512" s="951">
        <v>416900</v>
      </c>
      <c r="I512" s="951">
        <v>418400</v>
      </c>
      <c r="J512" s="951">
        <v>420530</v>
      </c>
      <c r="K512" s="951">
        <v>421930</v>
      </c>
      <c r="L512" s="955">
        <v>423158</v>
      </c>
      <c r="M512" s="955">
        <v>423550</v>
      </c>
      <c r="N512" s="955">
        <v>423803</v>
      </c>
      <c r="O512" s="962">
        <f>N512+400</f>
        <v>424203</v>
      </c>
      <c r="P512" s="962">
        <f t="shared" ref="P512:U512" si="0">O512</f>
        <v>424203</v>
      </c>
      <c r="Q512" s="962">
        <f t="shared" si="0"/>
        <v>424203</v>
      </c>
      <c r="R512" s="962">
        <f t="shared" si="0"/>
        <v>424203</v>
      </c>
      <c r="S512" s="962">
        <f t="shared" si="0"/>
        <v>424203</v>
      </c>
      <c r="T512" s="962">
        <f t="shared" si="0"/>
        <v>424203</v>
      </c>
      <c r="U512" s="962">
        <f t="shared" si="0"/>
        <v>424203</v>
      </c>
      <c r="V512" s="962">
        <f t="shared" ref="V512" si="1">U512</f>
        <v>424203</v>
      </c>
      <c r="W512" s="962">
        <f t="shared" ref="W512" si="2">V512</f>
        <v>424203</v>
      </c>
      <c r="X512" s="962">
        <f t="shared" ref="X512" si="3">W512</f>
        <v>424203</v>
      </c>
      <c r="Y512" s="962">
        <f t="shared" ref="Y512" si="4">X512</f>
        <v>424203</v>
      </c>
      <c r="Z512" s="962">
        <f t="shared" ref="Z512" si="5">Y512</f>
        <v>424203</v>
      </c>
      <c r="AA512" s="962">
        <f t="shared" ref="AA512" si="6">Z512</f>
        <v>424203</v>
      </c>
      <c r="AB512" s="962">
        <f t="shared" ref="AB512" si="7">AA512</f>
        <v>424203</v>
      </c>
      <c r="AC512" s="962">
        <f t="shared" ref="AC512" si="8">AB512</f>
        <v>424203</v>
      </c>
      <c r="AD512" s="962">
        <f t="shared" ref="AD512" si="9">AC512</f>
        <v>424203</v>
      </c>
      <c r="AE512" s="962">
        <f t="shared" ref="AE512" si="10">AD512</f>
        <v>424203</v>
      </c>
      <c r="AF512" s="962">
        <f t="shared" ref="AF512" si="11">AE512</f>
        <v>424203</v>
      </c>
      <c r="AG512" s="962">
        <f t="shared" ref="AG512" si="12">AF512</f>
        <v>424203</v>
      </c>
      <c r="AH512" s="962">
        <f t="shared" ref="AH512" si="13">AG512</f>
        <v>424203</v>
      </c>
      <c r="AI512" s="962">
        <f t="shared" ref="AI512" si="14">AH512</f>
        <v>424203</v>
      </c>
      <c r="AJ512" s="962">
        <f t="shared" ref="AJ512" si="15">AI512</f>
        <v>424203</v>
      </c>
      <c r="AK512" s="962">
        <f t="shared" ref="AK512" si="16">AJ512</f>
        <v>424203</v>
      </c>
      <c r="AL512" s="962">
        <f t="shared" ref="AL512" si="17">AK512</f>
        <v>424203</v>
      </c>
      <c r="AM512" s="962">
        <f t="shared" ref="AM512" si="18">AL512</f>
        <v>424203</v>
      </c>
      <c r="AN512" s="962">
        <f t="shared" ref="AN512" si="19">AM512</f>
        <v>424203</v>
      </c>
      <c r="AO512" s="962">
        <f t="shared" ref="AO512" si="20">AN512</f>
        <v>424203</v>
      </c>
      <c r="AP512" s="962">
        <f t="shared" ref="AP512" si="21">AO512</f>
        <v>424203</v>
      </c>
      <c r="AQ512" s="962">
        <f t="shared" ref="AQ512" si="22">AP512</f>
        <v>424203</v>
      </c>
    </row>
    <row r="513" spans="1:43">
      <c r="A513" s="35" t="s">
        <v>1278</v>
      </c>
      <c r="B513" s="843" t="s">
        <v>1280</v>
      </c>
      <c r="C513" s="952">
        <v>313041</v>
      </c>
      <c r="D513" s="952">
        <v>314274</v>
      </c>
      <c r="E513" s="952">
        <v>315718</v>
      </c>
      <c r="F513" s="952">
        <v>317697</v>
      </c>
      <c r="G513" s="952">
        <v>320178</v>
      </c>
      <c r="H513" s="952">
        <v>322500</v>
      </c>
      <c r="I513" s="952">
        <v>326734</v>
      </c>
      <c r="J513" s="952">
        <v>330147</v>
      </c>
      <c r="K513" s="952">
        <v>332490</v>
      </c>
      <c r="L513" s="956">
        <v>334855</v>
      </c>
      <c r="M513" s="956">
        <v>336855</v>
      </c>
      <c r="N513" s="1026">
        <v>262132</v>
      </c>
      <c r="O513" s="956">
        <v>264550</v>
      </c>
      <c r="P513" s="956">
        <v>265568</v>
      </c>
      <c r="Q513" s="956">
        <v>267379</v>
      </c>
      <c r="R513" s="956">
        <v>269390</v>
      </c>
      <c r="S513" s="956">
        <v>272350</v>
      </c>
      <c r="T513" s="1122">
        <f>S513+3100</f>
        <v>275450</v>
      </c>
      <c r="U513" s="956">
        <v>279195</v>
      </c>
      <c r="V513" s="1122">
        <f>U513+3500</f>
        <v>282695</v>
      </c>
      <c r="W513" s="956">
        <v>285234</v>
      </c>
      <c r="X513" s="956">
        <v>287845</v>
      </c>
      <c r="Y513" s="1066">
        <v>263147</v>
      </c>
      <c r="Z513" s="956">
        <f>Y513+2000</f>
        <v>265147</v>
      </c>
      <c r="AA513" s="956">
        <v>266000</v>
      </c>
      <c r="AB513" s="956">
        <v>267077</v>
      </c>
      <c r="AC513" s="956">
        <v>269159</v>
      </c>
      <c r="AD513" s="956">
        <v>271316</v>
      </c>
      <c r="AE513" s="956">
        <v>275081</v>
      </c>
      <c r="AF513" s="956">
        <v>277997</v>
      </c>
      <c r="AG513" s="956">
        <v>281848</v>
      </c>
      <c r="AH513" s="956">
        <v>285301</v>
      </c>
      <c r="AI513" s="956">
        <v>287913</v>
      </c>
      <c r="AJ513" s="956">
        <v>290418</v>
      </c>
      <c r="AK513" s="956"/>
      <c r="AL513" s="956"/>
      <c r="AM513" s="956"/>
      <c r="AN513" s="956"/>
      <c r="AO513" s="956"/>
      <c r="AP513" s="956"/>
      <c r="AQ513" s="956"/>
    </row>
    <row r="514" spans="1:43">
      <c r="A514" s="35" t="s">
        <v>1278</v>
      </c>
      <c r="B514" s="841" t="s">
        <v>1281</v>
      </c>
      <c r="C514" s="951">
        <v>26.79</v>
      </c>
      <c r="D514" s="951">
        <v>27.39</v>
      </c>
      <c r="E514" s="951">
        <v>28.08</v>
      </c>
      <c r="F514" s="951">
        <v>29.41</v>
      </c>
      <c r="G514" s="951">
        <v>31.12</v>
      </c>
      <c r="H514" s="951">
        <v>33</v>
      </c>
      <c r="I514" s="951">
        <v>35.64</v>
      </c>
      <c r="J514" s="951">
        <v>37.81</v>
      </c>
      <c r="K514" s="951">
        <v>39.56</v>
      </c>
      <c r="L514" s="955">
        <v>41.4</v>
      </c>
      <c r="M514" s="955">
        <v>42.48</v>
      </c>
      <c r="N514" s="962">
        <v>43</v>
      </c>
      <c r="O514" s="955">
        <v>43.78</v>
      </c>
      <c r="P514" s="955">
        <v>44.34</v>
      </c>
      <c r="Q514" s="955">
        <v>45.46</v>
      </c>
      <c r="R514" s="955">
        <v>46.74</v>
      </c>
      <c r="S514" s="955">
        <v>48.53</v>
      </c>
      <c r="T514" s="1123">
        <v>50.35</v>
      </c>
      <c r="U514" s="955">
        <v>53.03</v>
      </c>
      <c r="V514" s="1123">
        <v>56</v>
      </c>
      <c r="W514" s="955">
        <v>56.98</v>
      </c>
      <c r="X514" s="955">
        <v>58.69</v>
      </c>
      <c r="Y514" s="955">
        <v>60.15</v>
      </c>
      <c r="Z514" s="1103">
        <v>61</v>
      </c>
      <c r="AA514" s="955">
        <v>61.8</v>
      </c>
      <c r="AB514" s="955">
        <v>62.5</v>
      </c>
      <c r="AC514" s="955">
        <v>63.86</v>
      </c>
      <c r="AD514" s="955">
        <v>65.33</v>
      </c>
      <c r="AE514" s="955">
        <v>67.78</v>
      </c>
      <c r="AF514" s="955">
        <v>69.239999999999995</v>
      </c>
      <c r="AG514" s="955">
        <v>71.069999999999993</v>
      </c>
      <c r="AH514" s="955">
        <v>73</v>
      </c>
      <c r="AI514" s="955">
        <v>74</v>
      </c>
      <c r="AJ514" s="955">
        <v>75.19</v>
      </c>
      <c r="AK514" s="955"/>
      <c r="AL514" s="955"/>
      <c r="AM514" s="955"/>
      <c r="AN514" s="955"/>
      <c r="AO514" s="955"/>
      <c r="AP514" s="955"/>
      <c r="AQ514" s="955"/>
    </row>
    <row r="515" spans="1:43">
      <c r="B515" s="839" t="s">
        <v>1282</v>
      </c>
      <c r="C515" s="952">
        <v>282.11</v>
      </c>
      <c r="D515" s="952">
        <v>283.38</v>
      </c>
      <c r="E515" s="952">
        <v>285.08999999999997</v>
      </c>
      <c r="F515" s="952">
        <v>287.05</v>
      </c>
      <c r="G515" s="952">
        <v>289.48</v>
      </c>
      <c r="H515" s="952">
        <v>293.61</v>
      </c>
      <c r="I515" s="952">
        <v>298.08999999999997</v>
      </c>
      <c r="J515" s="952">
        <v>302.08999999999997</v>
      </c>
      <c r="K515" s="952">
        <v>305.32</v>
      </c>
      <c r="L515" s="956">
        <v>307.49</v>
      </c>
      <c r="M515" s="956">
        <v>308.45</v>
      </c>
      <c r="N515" s="956">
        <v>309.58</v>
      </c>
      <c r="O515" s="956">
        <v>309.98</v>
      </c>
      <c r="P515" s="956">
        <v>310.52999999999997</v>
      </c>
      <c r="Q515" s="956">
        <v>311.82</v>
      </c>
      <c r="R515" s="956">
        <v>314.11</v>
      </c>
      <c r="S515" s="956">
        <v>316.74</v>
      </c>
      <c r="T515" s="956">
        <v>319.45999999999998</v>
      </c>
      <c r="U515" s="956">
        <v>322.7</v>
      </c>
      <c r="V515" s="956">
        <v>325.45999999999998</v>
      </c>
      <c r="W515" s="956">
        <v>327.42</v>
      </c>
      <c r="X515" s="956">
        <v>329.12</v>
      </c>
      <c r="Y515" s="956">
        <v>329.97</v>
      </c>
      <c r="Z515" s="1066">
        <f>Y515+0.6</f>
        <v>330.57000000000005</v>
      </c>
      <c r="AA515" s="1066">
        <v>331</v>
      </c>
      <c r="AB515" s="956">
        <v>331.24</v>
      </c>
      <c r="AC515" s="956">
        <v>331.63</v>
      </c>
      <c r="AD515" s="963">
        <v>332</v>
      </c>
      <c r="AE515" s="963">
        <v>332</v>
      </c>
      <c r="AF515" s="956">
        <v>332</v>
      </c>
      <c r="AG515" s="956">
        <v>337.35</v>
      </c>
      <c r="AH515" s="956">
        <v>342.14</v>
      </c>
      <c r="AI515" s="956">
        <v>345.8</v>
      </c>
      <c r="AJ515" s="956">
        <v>349.39</v>
      </c>
      <c r="AK515" s="956"/>
      <c r="AL515" s="956"/>
      <c r="AM515" s="956"/>
      <c r="AN515" s="956"/>
      <c r="AO515" s="956"/>
      <c r="AP515" s="956"/>
      <c r="AQ515" s="956"/>
    </row>
    <row r="516" spans="1:43">
      <c r="B516" s="837" t="s">
        <v>1283</v>
      </c>
      <c r="C516" s="951">
        <v>42457</v>
      </c>
      <c r="D516" s="951">
        <v>42643</v>
      </c>
      <c r="E516" s="951">
        <v>42856</v>
      </c>
      <c r="F516" s="951">
        <v>43084</v>
      </c>
      <c r="G516" s="951">
        <v>43285</v>
      </c>
      <c r="H516" s="951">
        <v>43504</v>
      </c>
      <c r="I516" s="951">
        <v>43799</v>
      </c>
      <c r="J516" s="951">
        <v>44004</v>
      </c>
      <c r="K516" s="951">
        <v>44245</v>
      </c>
      <c r="L516" s="955">
        <v>44489</v>
      </c>
      <c r="M516" s="955">
        <v>44713</v>
      </c>
      <c r="N516" s="955">
        <v>44927</v>
      </c>
      <c r="O516" s="955">
        <v>45118</v>
      </c>
      <c r="P516" s="955">
        <v>45328</v>
      </c>
      <c r="Q516" s="955">
        <v>45578</v>
      </c>
      <c r="R516" s="955">
        <v>45839</v>
      </c>
      <c r="S516" s="955">
        <v>46142</v>
      </c>
      <c r="T516" s="955">
        <v>46297</v>
      </c>
      <c r="U516" s="955">
        <v>46762</v>
      </c>
      <c r="V516" s="955">
        <v>47331</v>
      </c>
      <c r="W516" s="955">
        <v>47931</v>
      </c>
      <c r="X516" s="955">
        <v>48482</v>
      </c>
      <c r="Y516" s="955">
        <v>48993</v>
      </c>
      <c r="Z516" s="1103">
        <f>Y516+200</f>
        <v>49193</v>
      </c>
      <c r="AA516" s="1103">
        <f>Z516+200</f>
        <v>49393</v>
      </c>
      <c r="AB516" s="955">
        <v>50776</v>
      </c>
      <c r="AC516" s="955">
        <v>51311</v>
      </c>
      <c r="AD516" s="955">
        <v>51909</v>
      </c>
      <c r="AE516" s="955">
        <v>52551</v>
      </c>
      <c r="AF516" s="1103">
        <v>52701</v>
      </c>
      <c r="AG516" s="955">
        <v>53659</v>
      </c>
      <c r="AH516" s="955">
        <v>54252</v>
      </c>
      <c r="AI516" s="1103">
        <v>54850</v>
      </c>
      <c r="AJ516" s="955">
        <v>55670</v>
      </c>
      <c r="AK516" s="955"/>
      <c r="AL516" s="955"/>
      <c r="AM516" s="955"/>
      <c r="AN516" s="955"/>
      <c r="AO516" s="955"/>
      <c r="AP516" s="955"/>
      <c r="AQ516" s="955"/>
    </row>
    <row r="517" spans="1:43">
      <c r="B517" s="839" t="s">
        <v>1284</v>
      </c>
      <c r="C517" s="952">
        <v>157.57</v>
      </c>
      <c r="D517" s="952">
        <v>158.28</v>
      </c>
      <c r="E517" s="952">
        <v>158.91</v>
      </c>
      <c r="F517" s="952">
        <v>159.77000000000001</v>
      </c>
      <c r="G517" s="952">
        <v>160.74</v>
      </c>
      <c r="H517" s="952">
        <v>162</v>
      </c>
      <c r="I517" s="952">
        <v>162.55000000000001</v>
      </c>
      <c r="J517" s="952">
        <v>163.55000000000001</v>
      </c>
      <c r="K517" s="952">
        <v>164.43</v>
      </c>
      <c r="L517" s="956">
        <v>165.41</v>
      </c>
      <c r="M517" s="956">
        <v>165.94</v>
      </c>
      <c r="N517" s="956">
        <v>166.78</v>
      </c>
      <c r="O517" s="956">
        <v>167.22</v>
      </c>
      <c r="P517" s="956">
        <v>167.73</v>
      </c>
      <c r="Q517" s="956">
        <v>168.44</v>
      </c>
      <c r="R517" s="956">
        <v>169.18</v>
      </c>
      <c r="S517" s="956">
        <v>170.26</v>
      </c>
      <c r="T517" s="956">
        <v>171.12</v>
      </c>
      <c r="U517" s="956">
        <v>171.95</v>
      </c>
      <c r="V517" s="956">
        <v>172.75</v>
      </c>
      <c r="W517" s="956">
        <v>173.51</v>
      </c>
      <c r="X517" s="956">
        <v>174.33</v>
      </c>
      <c r="Y517" s="956">
        <v>174.93</v>
      </c>
      <c r="Z517" s="1066">
        <v>175.6</v>
      </c>
      <c r="AA517" s="1066">
        <v>175.6</v>
      </c>
      <c r="AB517" s="1066">
        <v>175.7</v>
      </c>
      <c r="AC517" s="956">
        <v>175.8</v>
      </c>
      <c r="AD517" s="956">
        <v>176</v>
      </c>
      <c r="AE517" s="956">
        <v>176</v>
      </c>
      <c r="AF517" s="1066">
        <v>177</v>
      </c>
      <c r="AG517" s="956">
        <v>177.92</v>
      </c>
      <c r="AH517" s="956">
        <v>180.13</v>
      </c>
      <c r="AI517" s="1066">
        <v>182</v>
      </c>
      <c r="AJ517" s="956">
        <v>183.6</v>
      </c>
      <c r="AK517" s="956"/>
      <c r="AL517" s="956"/>
      <c r="AM517" s="956"/>
      <c r="AN517" s="956"/>
      <c r="AO517" s="956"/>
      <c r="AP517" s="956"/>
      <c r="AQ517" s="956"/>
    </row>
    <row r="518" spans="1:43">
      <c r="B518" s="837" t="s">
        <v>1285</v>
      </c>
      <c r="C518" s="951">
        <v>452571</v>
      </c>
      <c r="D518" s="951">
        <v>453813</v>
      </c>
      <c r="E518" s="951">
        <v>455184</v>
      </c>
      <c r="F518" s="951">
        <v>457331</v>
      </c>
      <c r="G518" s="951">
        <v>459964</v>
      </c>
      <c r="H518" s="951">
        <v>463658</v>
      </c>
      <c r="I518" s="951">
        <v>467993</v>
      </c>
      <c r="J518" s="951">
        <v>471245</v>
      </c>
      <c r="K518" s="951">
        <v>474121</v>
      </c>
      <c r="L518" s="955">
        <v>476925</v>
      </c>
      <c r="M518" s="955">
        <v>478198.8</v>
      </c>
      <c r="N518" s="955">
        <v>479960</v>
      </c>
      <c r="O518" s="955">
        <f>N518+(O275-O581)</f>
        <v>480927.66</v>
      </c>
      <c r="P518" s="955">
        <f>O518+P275-P581</f>
        <v>481715.19</v>
      </c>
      <c r="Q518" s="955">
        <v>483637</v>
      </c>
      <c r="R518" s="955">
        <v>486041</v>
      </c>
      <c r="S518" s="955">
        <v>489081</v>
      </c>
      <c r="T518" s="955">
        <v>492388</v>
      </c>
      <c r="U518" s="955">
        <v>496082</v>
      </c>
      <c r="V518" s="955">
        <v>499747</v>
      </c>
      <c r="W518" s="955">
        <v>502410</v>
      </c>
      <c r="X518" s="955">
        <v>504615</v>
      </c>
      <c r="Y518" s="955">
        <v>506558</v>
      </c>
      <c r="Z518" s="1103">
        <f>Y518+1700</f>
        <v>508258</v>
      </c>
      <c r="AA518" s="955">
        <v>509511</v>
      </c>
      <c r="AB518" s="955">
        <v>510718</v>
      </c>
      <c r="AC518" s="955">
        <v>513031</v>
      </c>
      <c r="AD518" s="955">
        <v>515722</v>
      </c>
      <c r="AE518" s="1103">
        <f>AD518+3307</f>
        <v>519029</v>
      </c>
      <c r="AF518" s="1103">
        <f>AE518+3700</f>
        <v>522729</v>
      </c>
      <c r="AG518" s="955">
        <v>525870</v>
      </c>
      <c r="AH518" s="955">
        <v>529356</v>
      </c>
      <c r="AI518" s="955">
        <v>531321</v>
      </c>
      <c r="AJ518" s="955"/>
      <c r="AK518" s="955"/>
      <c r="AL518" s="955"/>
      <c r="AM518" s="955"/>
      <c r="AN518" s="955"/>
      <c r="AO518" s="955"/>
      <c r="AP518" s="955"/>
      <c r="AQ518" s="955"/>
    </row>
    <row r="519" spans="1:43">
      <c r="B519" s="839" t="s">
        <v>1286</v>
      </c>
      <c r="C519" s="952">
        <v>489232</v>
      </c>
      <c r="D519" s="952">
        <v>490201</v>
      </c>
      <c r="E519" s="952">
        <v>491416</v>
      </c>
      <c r="F519" s="952">
        <v>493049</v>
      </c>
      <c r="G519" s="952">
        <v>495077</v>
      </c>
      <c r="H519" s="952">
        <v>498448</v>
      </c>
      <c r="I519" s="952">
        <v>501532</v>
      </c>
      <c r="J519" s="952">
        <v>504208</v>
      </c>
      <c r="K519" s="952">
        <v>506817</v>
      </c>
      <c r="L519" s="956">
        <v>508685</v>
      </c>
      <c r="M519" s="956">
        <v>509958.8</v>
      </c>
      <c r="N519" s="956">
        <v>511033</v>
      </c>
      <c r="O519" s="956">
        <v>511792</v>
      </c>
      <c r="P519" s="956">
        <v>512771</v>
      </c>
      <c r="Q519" s="956">
        <v>514582</v>
      </c>
      <c r="R519" s="956">
        <v>516778</v>
      </c>
      <c r="S519" s="956">
        <v>519496</v>
      </c>
      <c r="T519" s="956">
        <v>521986</v>
      </c>
      <c r="U519" s="956">
        <v>524644</v>
      </c>
      <c r="V519" s="956">
        <v>527553</v>
      </c>
      <c r="W519" s="956">
        <v>529851</v>
      </c>
      <c r="X519" s="956">
        <v>531606</v>
      </c>
      <c r="Y519" s="956">
        <v>532892</v>
      </c>
      <c r="Z519" s="1066">
        <f>Y519+1000</f>
        <v>533892</v>
      </c>
      <c r="AA519" s="956">
        <v>534477</v>
      </c>
      <c r="AB519" s="956">
        <v>535503</v>
      </c>
      <c r="AC519" s="956">
        <v>536995</v>
      </c>
      <c r="AD519" s="956">
        <v>538832</v>
      </c>
      <c r="AE519" s="1066">
        <f>AD519+2490</f>
        <v>541322</v>
      </c>
      <c r="AF519" s="1066">
        <v>544000</v>
      </c>
      <c r="AG519" s="1066">
        <v>547000</v>
      </c>
      <c r="AH519" s="956">
        <v>549581</v>
      </c>
      <c r="AI519" s="956">
        <v>552199</v>
      </c>
      <c r="AJ519" s="956"/>
      <c r="AK519" s="956"/>
      <c r="AL519" s="956"/>
      <c r="AM519" s="956"/>
      <c r="AN519" s="956"/>
      <c r="AO519" s="956"/>
      <c r="AP519" s="956"/>
      <c r="AQ519" s="956"/>
    </row>
    <row r="520" spans="1:43">
      <c r="B520" s="841" t="s">
        <v>1287</v>
      </c>
      <c r="C520" s="953">
        <v>12230</v>
      </c>
      <c r="D520" s="953">
        <v>12306</v>
      </c>
      <c r="E520" s="953">
        <v>12384</v>
      </c>
      <c r="F520" s="953">
        <v>12492</v>
      </c>
      <c r="G520" s="953">
        <v>12852</v>
      </c>
      <c r="H520" s="953">
        <v>13280</v>
      </c>
      <c r="I520" s="953">
        <v>13777</v>
      </c>
      <c r="J520" s="953">
        <v>14220</v>
      </c>
      <c r="K520" s="953">
        <v>14363</v>
      </c>
      <c r="L520" s="957">
        <v>14577</v>
      </c>
      <c r="M520" s="957">
        <v>14698</v>
      </c>
      <c r="N520" s="957">
        <v>14771</v>
      </c>
      <c r="O520" s="1027">
        <v>14800</v>
      </c>
      <c r="P520" s="957">
        <v>15001</v>
      </c>
      <c r="Q520" s="957">
        <v>15166.8</v>
      </c>
      <c r="R520" s="957">
        <v>15285</v>
      </c>
      <c r="S520" s="1124">
        <f>R520+300</f>
        <v>15585</v>
      </c>
      <c r="T520" s="957">
        <v>16000</v>
      </c>
      <c r="U520" s="957">
        <v>16604</v>
      </c>
      <c r="V520" s="957">
        <v>17251</v>
      </c>
      <c r="W520" s="957">
        <v>17941</v>
      </c>
      <c r="X520" s="957">
        <v>18468</v>
      </c>
      <c r="Y520" s="957">
        <v>18735</v>
      </c>
      <c r="Z520" s="957">
        <v>18878</v>
      </c>
      <c r="AA520" s="957">
        <v>18970.7</v>
      </c>
      <c r="AB520" s="957">
        <v>19152.5</v>
      </c>
      <c r="AC520" s="957">
        <v>19335</v>
      </c>
      <c r="AD520" s="957">
        <v>19654</v>
      </c>
      <c r="AE520" s="1276">
        <v>21496</v>
      </c>
      <c r="AF520" s="1276">
        <v>21496</v>
      </c>
      <c r="AG520" s="957">
        <v>21636.5</v>
      </c>
      <c r="AH520" s="1103">
        <v>22000</v>
      </c>
      <c r="AI520" s="1103">
        <v>22700</v>
      </c>
      <c r="AJ520" s="955">
        <v>22959</v>
      </c>
      <c r="AK520" s="957"/>
      <c r="AL520" s="957"/>
      <c r="AM520" s="957"/>
      <c r="AN520" s="957"/>
      <c r="AO520" s="957"/>
      <c r="AP520" s="957"/>
      <c r="AQ520" s="957"/>
    </row>
    <row r="521" spans="1:43">
      <c r="B521" s="843" t="s">
        <v>1288</v>
      </c>
      <c r="C521" s="954">
        <v>8682</v>
      </c>
      <c r="D521" s="954">
        <v>8868</v>
      </c>
      <c r="E521" s="954">
        <v>9065</v>
      </c>
      <c r="F521" s="954">
        <v>9197</v>
      </c>
      <c r="G521" s="954">
        <v>9444</v>
      </c>
      <c r="H521" s="954">
        <v>9879</v>
      </c>
      <c r="I521" s="954">
        <v>10351</v>
      </c>
      <c r="J521" s="954">
        <v>10638</v>
      </c>
      <c r="K521" s="954">
        <v>10868</v>
      </c>
      <c r="L521" s="958">
        <v>11126</v>
      </c>
      <c r="M521" s="958">
        <v>11345</v>
      </c>
      <c r="N521" s="958">
        <v>11478</v>
      </c>
      <c r="O521" s="958">
        <v>11640</v>
      </c>
      <c r="P521" s="958">
        <v>11786</v>
      </c>
      <c r="Q521" s="958">
        <v>11996.6</v>
      </c>
      <c r="R521" s="958">
        <v>12130.8</v>
      </c>
      <c r="S521" s="958">
        <f>12131+282</f>
        <v>12413</v>
      </c>
      <c r="T521" s="958">
        <v>12742</v>
      </c>
      <c r="U521" s="958">
        <v>13172</v>
      </c>
      <c r="V521" s="958">
        <v>13612</v>
      </c>
      <c r="W521" s="958">
        <v>13881</v>
      </c>
      <c r="X521" s="958">
        <v>14083</v>
      </c>
      <c r="Y521" s="958">
        <v>14247</v>
      </c>
      <c r="Z521" s="958">
        <v>14410</v>
      </c>
      <c r="AA521" s="958">
        <v>14545.6</v>
      </c>
      <c r="AB521" s="958">
        <v>14703.6</v>
      </c>
      <c r="AC521" s="958">
        <v>14864</v>
      </c>
      <c r="AD521" s="958">
        <v>15039.9</v>
      </c>
      <c r="AE521" s="958">
        <v>15553</v>
      </c>
      <c r="AF521" s="958">
        <v>16247.8</v>
      </c>
      <c r="AG521" s="958">
        <v>17043.3</v>
      </c>
      <c r="AH521" s="956">
        <v>17747.900000000001</v>
      </c>
      <c r="AI521" s="958">
        <v>18325</v>
      </c>
      <c r="AJ521" s="956">
        <v>18714</v>
      </c>
      <c r="AK521" s="958"/>
      <c r="AL521" s="958"/>
      <c r="AM521" s="958"/>
      <c r="AN521" s="958"/>
      <c r="AO521" s="958"/>
      <c r="AP521" s="958"/>
      <c r="AQ521" s="958"/>
    </row>
    <row r="522" spans="1:43">
      <c r="A522" s="1020" t="s">
        <v>1289</v>
      </c>
      <c r="B522" s="837" t="s">
        <v>1290</v>
      </c>
      <c r="C522" s="951">
        <v>69350</v>
      </c>
      <c r="D522" s="951">
        <v>69350</v>
      </c>
      <c r="E522" s="951">
        <v>69489</v>
      </c>
      <c r="F522" s="951">
        <v>69640</v>
      </c>
      <c r="G522" s="951">
        <v>69698</v>
      </c>
      <c r="H522" s="951">
        <v>69760</v>
      </c>
      <c r="I522" s="951">
        <v>69810</v>
      </c>
      <c r="J522" s="951">
        <v>69820</v>
      </c>
      <c r="K522" s="951">
        <v>69830</v>
      </c>
      <c r="L522" s="962">
        <v>69835</v>
      </c>
      <c r="M522" s="962">
        <v>69835</v>
      </c>
      <c r="N522" s="962">
        <v>69836</v>
      </c>
      <c r="O522" s="962">
        <f>N522</f>
        <v>69836</v>
      </c>
      <c r="P522" s="962">
        <f>O522+500</f>
        <v>70336</v>
      </c>
      <c r="Q522" s="962">
        <v>71336</v>
      </c>
      <c r="R522" s="962">
        <v>71346</v>
      </c>
      <c r="S522" s="962">
        <v>71356</v>
      </c>
      <c r="T522" s="962">
        <v>71366</v>
      </c>
      <c r="U522" s="962">
        <f>T522+10</f>
        <v>71376</v>
      </c>
      <c r="V522" s="962">
        <f>U522+10</f>
        <v>71386</v>
      </c>
      <c r="W522" s="962">
        <f>V522+10</f>
        <v>71396</v>
      </c>
      <c r="X522" s="1204">
        <f>W522+10</f>
        <v>71406</v>
      </c>
      <c r="Y522" s="1204">
        <f>X522</f>
        <v>71406</v>
      </c>
      <c r="Z522" s="1204">
        <f>Y522</f>
        <v>71406</v>
      </c>
      <c r="AA522" s="1204">
        <f>Z522</f>
        <v>71406</v>
      </c>
      <c r="AB522" s="1204">
        <f>AA522</f>
        <v>71406</v>
      </c>
      <c r="AC522" s="1103">
        <v>71500</v>
      </c>
      <c r="AD522" s="955">
        <v>73017</v>
      </c>
      <c r="AE522" s="1103">
        <v>73027</v>
      </c>
      <c r="AF522" s="1103">
        <v>73037</v>
      </c>
      <c r="AG522" s="1103">
        <v>73047</v>
      </c>
      <c r="AH522" s="1103">
        <v>73057</v>
      </c>
      <c r="AI522" s="955">
        <v>73568</v>
      </c>
      <c r="AJ522" s="955"/>
      <c r="AK522" s="955"/>
      <c r="AL522" s="955"/>
      <c r="AM522" s="955"/>
      <c r="AN522" s="955"/>
      <c r="AO522" s="955"/>
      <c r="AP522" s="955"/>
      <c r="AQ522" s="955"/>
    </row>
    <row r="523" spans="1:43" s="473" customFormat="1">
      <c r="B523" s="839" t="s">
        <v>1291</v>
      </c>
      <c r="C523" s="952">
        <v>513.97</v>
      </c>
      <c r="D523" s="952">
        <v>515.91999999999996</v>
      </c>
      <c r="E523" s="952">
        <v>518.34</v>
      </c>
      <c r="F523" s="952">
        <v>523.38</v>
      </c>
      <c r="G523" s="952">
        <v>529.41</v>
      </c>
      <c r="H523" s="952">
        <v>537.69000000000005</v>
      </c>
      <c r="I523" s="952">
        <v>546.63</v>
      </c>
      <c r="J523" s="952">
        <v>554.30999999999995</v>
      </c>
      <c r="K523" s="952">
        <v>560.89</v>
      </c>
      <c r="L523" s="956">
        <v>565.49</v>
      </c>
      <c r="M523" s="956">
        <v>566.97</v>
      </c>
      <c r="N523" s="956">
        <v>568.84</v>
      </c>
      <c r="O523" s="956">
        <v>569.4</v>
      </c>
      <c r="P523" s="956">
        <v>570.1</v>
      </c>
      <c r="Q523" s="956">
        <v>572.37</v>
      </c>
      <c r="R523" s="956">
        <v>575.83000000000004</v>
      </c>
      <c r="S523" s="956">
        <v>582.16999999999996</v>
      </c>
      <c r="T523" s="956">
        <v>589.51</v>
      </c>
      <c r="U523" s="956">
        <v>596.29999999999995</v>
      </c>
      <c r="V523" s="956">
        <v>605.12</v>
      </c>
      <c r="W523" s="956">
        <v>612.08000000000004</v>
      </c>
      <c r="X523" s="956">
        <v>615.88</v>
      </c>
      <c r="Y523" s="956">
        <v>616.76</v>
      </c>
      <c r="Z523" s="1066">
        <f>Y523+0.6</f>
        <v>617.36</v>
      </c>
      <c r="AA523" s="956">
        <v>618.21</v>
      </c>
      <c r="AB523" s="956">
        <v>619.54999999999995</v>
      </c>
      <c r="AC523" s="956">
        <v>623.19000000000005</v>
      </c>
      <c r="AD523" s="956">
        <v>629</v>
      </c>
      <c r="AE523" s="1066">
        <v>637</v>
      </c>
      <c r="AF523" s="1066">
        <v>643</v>
      </c>
      <c r="AG523" s="956">
        <v>653.45000000000005</v>
      </c>
      <c r="AH523" s="956">
        <v>661.88</v>
      </c>
      <c r="AI523" s="956">
        <v>669</v>
      </c>
      <c r="AJ523" s="956">
        <v>676.43</v>
      </c>
      <c r="AK523" s="956"/>
      <c r="AL523" s="956"/>
      <c r="AM523" s="956"/>
      <c r="AN523" s="956"/>
      <c r="AO523" s="956"/>
      <c r="AP523" s="956"/>
      <c r="AQ523" s="956"/>
    </row>
    <row r="524" spans="1:43" s="473" customFormat="1">
      <c r="B524" s="837" t="s">
        <v>1292</v>
      </c>
      <c r="C524" s="951">
        <v>476.78</v>
      </c>
      <c r="D524" s="951">
        <v>478.88</v>
      </c>
      <c r="E524" s="951">
        <v>481.53</v>
      </c>
      <c r="F524" s="951">
        <v>485.64</v>
      </c>
      <c r="G524" s="951">
        <v>490.21</v>
      </c>
      <c r="H524" s="951">
        <v>496.71</v>
      </c>
      <c r="I524" s="951">
        <v>504.32</v>
      </c>
      <c r="J524" s="951">
        <v>510.62</v>
      </c>
      <c r="K524" s="951">
        <v>516.33000000000004</v>
      </c>
      <c r="L524" s="955">
        <v>521.38</v>
      </c>
      <c r="M524" s="955">
        <v>524.05999999999995</v>
      </c>
      <c r="N524" s="955">
        <v>526.79999999999995</v>
      </c>
      <c r="O524" s="955">
        <v>528.58000000000004</v>
      </c>
      <c r="P524" s="955">
        <v>530.36</v>
      </c>
      <c r="Q524" s="955">
        <v>532.91</v>
      </c>
      <c r="R524" s="955">
        <v>536.98</v>
      </c>
      <c r="S524" s="955">
        <v>541.98</v>
      </c>
      <c r="T524" s="955">
        <v>546.63</v>
      </c>
      <c r="U524" s="955">
        <v>552.26</v>
      </c>
      <c r="V524" s="955">
        <v>558.46</v>
      </c>
      <c r="W524" s="955">
        <v>563.78</v>
      </c>
      <c r="X524" s="955">
        <v>568.13</v>
      </c>
      <c r="Y524" s="955">
        <v>571.65</v>
      </c>
      <c r="Z524" s="1103">
        <f>Y524+1.6</f>
        <v>573.25</v>
      </c>
      <c r="AA524" s="955">
        <v>576.15</v>
      </c>
      <c r="AB524" s="955">
        <v>578.35</v>
      </c>
      <c r="AC524" s="955">
        <v>581.51</v>
      </c>
      <c r="AD524" s="955">
        <v>585</v>
      </c>
      <c r="AE524" s="1103">
        <v>590</v>
      </c>
      <c r="AF524" s="1103">
        <v>595</v>
      </c>
      <c r="AG524" s="955">
        <v>599.96</v>
      </c>
      <c r="AH524" s="955">
        <v>605.37</v>
      </c>
      <c r="AI524" s="955">
        <v>610</v>
      </c>
      <c r="AJ524" s="955">
        <v>615.05999999999995</v>
      </c>
      <c r="AK524" s="955"/>
      <c r="AL524" s="955"/>
      <c r="AM524" s="955"/>
      <c r="AN524" s="955"/>
      <c r="AO524" s="955"/>
      <c r="AP524" s="955"/>
      <c r="AQ524" s="955"/>
    </row>
    <row r="525" spans="1:43" ht="12.75">
      <c r="A525" s="35" t="s">
        <v>1293</v>
      </c>
      <c r="B525" s="839" t="s">
        <v>1294</v>
      </c>
      <c r="C525" s="952">
        <v>0</v>
      </c>
      <c r="D525" s="952">
        <v>0</v>
      </c>
      <c r="E525" s="952">
        <v>0</v>
      </c>
      <c r="F525" s="956">
        <v>0</v>
      </c>
      <c r="G525" s="952">
        <v>0</v>
      </c>
      <c r="H525" s="952">
        <v>0</v>
      </c>
      <c r="I525" s="952">
        <v>0</v>
      </c>
      <c r="J525" s="956">
        <v>0</v>
      </c>
      <c r="K525" s="952">
        <v>0</v>
      </c>
      <c r="L525" s="956">
        <v>0</v>
      </c>
      <c r="M525" s="956">
        <v>0</v>
      </c>
      <c r="N525" s="963">
        <v>0</v>
      </c>
      <c r="O525" s="956">
        <v>0</v>
      </c>
      <c r="P525" s="956">
        <v>155.47999999999999</v>
      </c>
      <c r="Q525" s="956">
        <v>159.1</v>
      </c>
      <c r="R525" s="956">
        <v>163.5</v>
      </c>
      <c r="S525" s="956">
        <v>169.38</v>
      </c>
      <c r="T525" s="956">
        <v>174</v>
      </c>
      <c r="U525" s="956">
        <v>178</v>
      </c>
      <c r="V525" s="956">
        <v>184</v>
      </c>
      <c r="W525" s="956">
        <v>189</v>
      </c>
      <c r="X525" s="956">
        <v>193.84</v>
      </c>
      <c r="Y525" s="956">
        <v>196.1</v>
      </c>
      <c r="Z525" s="956">
        <v>197</v>
      </c>
      <c r="AA525" s="956">
        <v>198.72</v>
      </c>
      <c r="AB525" s="956">
        <v>200.3</v>
      </c>
      <c r="AC525" s="956">
        <v>203.9</v>
      </c>
      <c r="AD525" s="956">
        <v>208.40899999999999</v>
      </c>
      <c r="AE525" s="956">
        <v>214</v>
      </c>
      <c r="AF525" s="956">
        <v>219</v>
      </c>
      <c r="AG525" s="956">
        <v>225</v>
      </c>
      <c r="AH525" s="956">
        <v>233</v>
      </c>
      <c r="AI525" s="956">
        <v>237</v>
      </c>
      <c r="AJ525" s="956">
        <v>242.28399999999999</v>
      </c>
      <c r="AK525" s="956">
        <v>244.95400000000001</v>
      </c>
      <c r="AL525" s="956"/>
      <c r="AM525" s="956"/>
      <c r="AN525" s="956"/>
      <c r="AO525" s="956"/>
      <c r="AP525" s="956"/>
      <c r="AQ525" s="956"/>
    </row>
    <row r="526" spans="1:43" ht="12.75">
      <c r="A526" s="35" t="s">
        <v>1295</v>
      </c>
      <c r="B526" s="951" t="s">
        <v>1296</v>
      </c>
      <c r="C526" s="951">
        <v>0</v>
      </c>
      <c r="D526" s="951">
        <v>0</v>
      </c>
      <c r="E526" s="951">
        <v>0</v>
      </c>
      <c r="F526" s="955">
        <v>0</v>
      </c>
      <c r="G526" s="951">
        <v>0</v>
      </c>
      <c r="H526" s="951">
        <v>0</v>
      </c>
      <c r="I526" s="951">
        <v>0</v>
      </c>
      <c r="J526" s="955">
        <v>0</v>
      </c>
      <c r="K526" s="951">
        <v>0</v>
      </c>
      <c r="L526" s="955">
        <v>0</v>
      </c>
      <c r="M526" s="955">
        <v>0</v>
      </c>
      <c r="N526" s="955">
        <v>0</v>
      </c>
      <c r="O526" s="955">
        <v>0</v>
      </c>
      <c r="P526" s="955">
        <v>47811.03</v>
      </c>
      <c r="Q526" s="955">
        <v>50413.84</v>
      </c>
      <c r="R526" s="955">
        <v>54965.9</v>
      </c>
      <c r="S526" s="955">
        <v>59885.85</v>
      </c>
      <c r="T526" s="955">
        <v>65630</v>
      </c>
      <c r="U526" s="955">
        <v>69940</v>
      </c>
      <c r="V526" s="955">
        <v>75143</v>
      </c>
      <c r="W526" s="955">
        <v>79479</v>
      </c>
      <c r="X526" s="955">
        <v>84131.56</v>
      </c>
      <c r="Y526" s="955">
        <v>87164</v>
      </c>
      <c r="Z526" s="955">
        <v>89799</v>
      </c>
      <c r="AA526" s="955">
        <v>91316.67</v>
      </c>
      <c r="AB526" s="955">
        <v>93240.9</v>
      </c>
      <c r="AC526" s="955">
        <v>95959.8</v>
      </c>
      <c r="AD526" s="955">
        <v>98817.547999999995</v>
      </c>
      <c r="AE526" s="955">
        <v>102025</v>
      </c>
      <c r="AF526" s="955">
        <v>107747</v>
      </c>
      <c r="AG526" s="955">
        <v>113466</v>
      </c>
      <c r="AH526" s="955">
        <v>120213</v>
      </c>
      <c r="AI526" s="955">
        <v>123766</v>
      </c>
      <c r="AJ526" s="955">
        <v>128828</v>
      </c>
      <c r="AK526" s="955">
        <v>131389.522</v>
      </c>
      <c r="AL526" s="955"/>
      <c r="AM526" s="955"/>
      <c r="AN526" s="955"/>
      <c r="AO526" s="955"/>
      <c r="AP526" s="955"/>
      <c r="AQ526" s="955"/>
    </row>
    <row r="527" spans="1:43" ht="12.75">
      <c r="B527" s="952" t="s">
        <v>1296</v>
      </c>
      <c r="C527" s="952">
        <v>0</v>
      </c>
      <c r="D527" s="952">
        <v>0</v>
      </c>
      <c r="E527" s="952">
        <v>0</v>
      </c>
      <c r="F527" s="956">
        <v>0</v>
      </c>
      <c r="G527" s="952">
        <v>0</v>
      </c>
      <c r="H527" s="952">
        <v>0</v>
      </c>
      <c r="I527" s="952">
        <v>0</v>
      </c>
      <c r="J527" s="956">
        <v>0</v>
      </c>
      <c r="K527" s="952">
        <v>0</v>
      </c>
      <c r="L527" s="956">
        <v>0</v>
      </c>
      <c r="M527" s="956">
        <v>0</v>
      </c>
      <c r="N527" s="956">
        <v>0</v>
      </c>
      <c r="O527" s="956">
        <v>0</v>
      </c>
      <c r="P527" s="956">
        <v>20028.59</v>
      </c>
      <c r="Q527" s="956">
        <v>21604.13</v>
      </c>
      <c r="R527" s="956">
        <v>22042</v>
      </c>
      <c r="S527" s="956">
        <v>23024.77</v>
      </c>
      <c r="T527" s="956">
        <v>24150</v>
      </c>
      <c r="U527" s="956">
        <v>25017</v>
      </c>
      <c r="V527" s="956">
        <v>26211</v>
      </c>
      <c r="W527" s="956">
        <v>27604</v>
      </c>
      <c r="X527" s="956">
        <v>28811.79</v>
      </c>
      <c r="Y527" s="956">
        <v>29472</v>
      </c>
      <c r="Z527" s="956">
        <v>30232</v>
      </c>
      <c r="AA527" s="956">
        <v>30715.1</v>
      </c>
      <c r="AB527" s="956">
        <v>31392</v>
      </c>
      <c r="AC527" s="956">
        <v>32282</v>
      </c>
      <c r="AD527" s="956">
        <v>33079.665000000001</v>
      </c>
      <c r="AE527" s="956">
        <v>34217</v>
      </c>
      <c r="AF527" s="956">
        <v>35083</v>
      </c>
      <c r="AG527" s="956">
        <v>35997</v>
      </c>
      <c r="AH527" s="956">
        <v>36974</v>
      </c>
      <c r="AI527" s="956">
        <v>37525</v>
      </c>
      <c r="AJ527" s="956">
        <v>38319</v>
      </c>
      <c r="AK527" s="956">
        <v>38883.025999999998</v>
      </c>
      <c r="AL527" s="956"/>
      <c r="AM527" s="956"/>
      <c r="AN527" s="956"/>
      <c r="AO527" s="956"/>
      <c r="AP527" s="956"/>
      <c r="AQ527" s="956"/>
    </row>
    <row r="528" spans="1:43" ht="12.75">
      <c r="B528" s="951" t="s">
        <v>1297</v>
      </c>
      <c r="C528" s="951">
        <v>0</v>
      </c>
      <c r="D528" s="951">
        <v>0</v>
      </c>
      <c r="E528" s="951">
        <v>0</v>
      </c>
      <c r="F528" s="955">
        <v>0</v>
      </c>
      <c r="G528" s="951">
        <v>0</v>
      </c>
      <c r="H528" s="951">
        <v>0</v>
      </c>
      <c r="I528" s="951">
        <v>0</v>
      </c>
      <c r="J528" s="955">
        <v>0</v>
      </c>
      <c r="K528" s="951">
        <v>0</v>
      </c>
      <c r="L528" s="955">
        <v>0</v>
      </c>
      <c r="M528" s="955">
        <v>0</v>
      </c>
      <c r="N528" s="962">
        <v>0</v>
      </c>
      <c r="O528" s="955">
        <v>0</v>
      </c>
      <c r="P528" s="955">
        <v>44917.23</v>
      </c>
      <c r="Q528" s="955">
        <v>48686.13</v>
      </c>
      <c r="R528" s="955">
        <v>53493</v>
      </c>
      <c r="S528" s="955">
        <v>60046.06</v>
      </c>
      <c r="T528" s="955">
        <v>66945</v>
      </c>
      <c r="U528" s="955">
        <v>73245</v>
      </c>
      <c r="V528" s="955">
        <v>81047</v>
      </c>
      <c r="W528" s="955">
        <v>88104</v>
      </c>
      <c r="X528" s="955">
        <v>93233.78</v>
      </c>
      <c r="Y528" s="955">
        <v>95204.9</v>
      </c>
      <c r="Z528" s="955">
        <v>97063</v>
      </c>
      <c r="AA528" s="955">
        <v>98419.06</v>
      </c>
      <c r="AB528" s="955">
        <v>100293</v>
      </c>
      <c r="AC528" s="955">
        <v>104064</v>
      </c>
      <c r="AD528" s="955">
        <v>109030.967</v>
      </c>
      <c r="AE528" s="955">
        <v>117251</v>
      </c>
      <c r="AF528" s="955">
        <v>124002</v>
      </c>
      <c r="AG528" s="955">
        <v>130866</v>
      </c>
      <c r="AH528" s="955">
        <v>140747</v>
      </c>
      <c r="AI528" s="955">
        <v>146218</v>
      </c>
      <c r="AJ528" s="955">
        <v>152290</v>
      </c>
      <c r="AK528" s="955">
        <v>154436</v>
      </c>
      <c r="AL528" s="955"/>
      <c r="AM528" s="955"/>
      <c r="AN528" s="955"/>
      <c r="AO528" s="955"/>
      <c r="AP528" s="955"/>
      <c r="AQ528" s="955"/>
    </row>
    <row r="529" spans="2:43" ht="12.75">
      <c r="B529" s="952" t="s">
        <v>1298</v>
      </c>
      <c r="C529" s="952">
        <v>0</v>
      </c>
      <c r="D529" s="952">
        <v>0</v>
      </c>
      <c r="E529" s="952">
        <v>0</v>
      </c>
      <c r="F529" s="956">
        <v>0</v>
      </c>
      <c r="G529" s="952">
        <v>0</v>
      </c>
      <c r="H529" s="952">
        <v>0</v>
      </c>
      <c r="I529" s="952">
        <v>0</v>
      </c>
      <c r="J529" s="956">
        <v>0</v>
      </c>
      <c r="K529" s="952">
        <v>0</v>
      </c>
      <c r="L529" s="956">
        <v>0</v>
      </c>
      <c r="M529" s="956">
        <v>0</v>
      </c>
      <c r="N529" s="963">
        <v>0</v>
      </c>
      <c r="O529" s="956">
        <v>0</v>
      </c>
      <c r="P529" s="956">
        <v>99556.24</v>
      </c>
      <c r="Q529" s="956">
        <v>103007.32</v>
      </c>
      <c r="R529" s="956">
        <v>107686</v>
      </c>
      <c r="S529" s="956">
        <v>115469.5</v>
      </c>
      <c r="T529" s="956">
        <v>125508</v>
      </c>
      <c r="U529" s="956">
        <v>134859</v>
      </c>
      <c r="V529" s="956">
        <v>146229</v>
      </c>
      <c r="W529" s="956">
        <v>154216</v>
      </c>
      <c r="X529" s="956">
        <v>160629.51</v>
      </c>
      <c r="Y529" s="956">
        <v>163374</v>
      </c>
      <c r="Z529" s="956">
        <v>165443</v>
      </c>
      <c r="AA529" s="956">
        <v>166682.6</v>
      </c>
      <c r="AB529" s="956">
        <v>168708</v>
      </c>
      <c r="AC529" s="956">
        <v>173856</v>
      </c>
      <c r="AD529" s="956">
        <v>179814.035</v>
      </c>
      <c r="AE529" s="956">
        <v>191487</v>
      </c>
      <c r="AF529" s="956">
        <v>202251</v>
      </c>
      <c r="AG529" s="956">
        <v>212648</v>
      </c>
      <c r="AH529" s="956">
        <v>227094</v>
      </c>
      <c r="AI529" s="956">
        <v>234456</v>
      </c>
      <c r="AJ529" s="956">
        <v>242921</v>
      </c>
      <c r="AK529" s="956">
        <v>246168</v>
      </c>
      <c r="AL529" s="956"/>
      <c r="AM529" s="956"/>
      <c r="AN529" s="956"/>
      <c r="AO529" s="956"/>
      <c r="AP529" s="956"/>
      <c r="AQ529" s="956"/>
    </row>
    <row r="530" spans="2:43" ht="12.75">
      <c r="B530" s="951" t="s">
        <v>1299</v>
      </c>
      <c r="C530" s="951">
        <v>0</v>
      </c>
      <c r="D530" s="951">
        <v>0</v>
      </c>
      <c r="E530" s="951">
        <v>0</v>
      </c>
      <c r="F530" s="955">
        <v>0</v>
      </c>
      <c r="G530" s="951">
        <v>0</v>
      </c>
      <c r="H530" s="951">
        <v>0</v>
      </c>
      <c r="I530" s="951">
        <v>0</v>
      </c>
      <c r="J530" s="955">
        <v>0</v>
      </c>
      <c r="K530" s="951">
        <v>0</v>
      </c>
      <c r="L530" s="955">
        <v>0</v>
      </c>
      <c r="M530" s="955">
        <v>0</v>
      </c>
      <c r="N530" s="962">
        <v>0</v>
      </c>
      <c r="O530" s="962">
        <v>0</v>
      </c>
      <c r="P530" s="955">
        <v>13531.34</v>
      </c>
      <c r="Q530" s="955">
        <v>14260.57</v>
      </c>
      <c r="R530" s="955">
        <v>15382</v>
      </c>
      <c r="S530" s="955">
        <v>16949.009999999998</v>
      </c>
      <c r="T530" s="955">
        <v>20076</v>
      </c>
      <c r="U530" s="955">
        <v>22155</v>
      </c>
      <c r="V530" s="955">
        <v>25049</v>
      </c>
      <c r="W530" s="955">
        <v>28052</v>
      </c>
      <c r="X530" s="955">
        <v>30336.49</v>
      </c>
      <c r="Y530" s="955">
        <v>31624.3</v>
      </c>
      <c r="Z530" s="955">
        <v>32951</v>
      </c>
      <c r="AA530" s="955">
        <v>33507</v>
      </c>
      <c r="AB530" s="955">
        <v>34534</v>
      </c>
      <c r="AC530" s="955">
        <v>35070</v>
      </c>
      <c r="AD530" s="955">
        <v>35706.35</v>
      </c>
      <c r="AE530" s="955">
        <v>36973</v>
      </c>
      <c r="AF530" s="955">
        <v>38254</v>
      </c>
      <c r="AG530" s="955">
        <v>40315</v>
      </c>
      <c r="AH530" s="955">
        <v>42839</v>
      </c>
      <c r="AI530" s="955">
        <v>44269</v>
      </c>
      <c r="AJ530" s="955">
        <v>46219</v>
      </c>
      <c r="AK530" s="955">
        <v>47950</v>
      </c>
      <c r="AL530" s="955"/>
      <c r="AM530" s="955"/>
      <c r="AN530" s="955"/>
      <c r="AO530" s="955"/>
      <c r="AP530" s="955"/>
      <c r="AQ530" s="955"/>
    </row>
    <row r="531" spans="2:43" ht="12.75">
      <c r="B531" s="952" t="s">
        <v>1300</v>
      </c>
      <c r="C531" s="952">
        <v>0</v>
      </c>
      <c r="D531" s="952">
        <v>0</v>
      </c>
      <c r="E531" s="952">
        <v>0</v>
      </c>
      <c r="F531" s="956">
        <v>0</v>
      </c>
      <c r="G531" s="952">
        <v>0</v>
      </c>
      <c r="H531" s="952">
        <v>0</v>
      </c>
      <c r="I531" s="952">
        <v>0</v>
      </c>
      <c r="J531" s="956">
        <v>0</v>
      </c>
      <c r="K531" s="952">
        <v>0</v>
      </c>
      <c r="L531" s="956">
        <v>0</v>
      </c>
      <c r="M531" s="963">
        <v>0</v>
      </c>
      <c r="N531" s="956">
        <v>0</v>
      </c>
      <c r="O531" s="956">
        <v>0</v>
      </c>
      <c r="P531" s="956">
        <v>17604.669999999998</v>
      </c>
      <c r="Q531" s="956">
        <v>18351.490000000002</v>
      </c>
      <c r="R531" s="956">
        <v>19324</v>
      </c>
      <c r="S531" s="956">
        <v>20897.900000000001</v>
      </c>
      <c r="T531" s="956">
        <v>22660</v>
      </c>
      <c r="U531" s="956">
        <v>23932</v>
      </c>
      <c r="V531" s="956">
        <v>25824</v>
      </c>
      <c r="W531" s="956">
        <v>27028</v>
      </c>
      <c r="X531" s="956">
        <v>28021.65</v>
      </c>
      <c r="Y531" s="956">
        <v>28374.3</v>
      </c>
      <c r="Z531" s="956">
        <v>28576</v>
      </c>
      <c r="AA531" s="956">
        <v>28701</v>
      </c>
      <c r="AB531" s="956">
        <v>29147</v>
      </c>
      <c r="AC531" s="956">
        <v>30595</v>
      </c>
      <c r="AD531" s="956">
        <v>32215.572</v>
      </c>
      <c r="AE531" s="956">
        <v>35212</v>
      </c>
      <c r="AF531" s="956">
        <v>37376</v>
      </c>
      <c r="AG531" s="956">
        <v>39710</v>
      </c>
      <c r="AH531" s="956">
        <v>42867</v>
      </c>
      <c r="AI531" s="956">
        <v>44651</v>
      </c>
      <c r="AJ531" s="956">
        <v>46507</v>
      </c>
      <c r="AK531" s="956">
        <v>46985</v>
      </c>
      <c r="AL531" s="956"/>
      <c r="AM531" s="956"/>
      <c r="AN531" s="956"/>
      <c r="AO531" s="956"/>
      <c r="AP531" s="956"/>
      <c r="AQ531" s="956"/>
    </row>
    <row r="532" spans="2:43" ht="12.75">
      <c r="B532" s="951" t="s">
        <v>1301</v>
      </c>
      <c r="C532" s="951">
        <v>0</v>
      </c>
      <c r="D532" s="951">
        <v>0</v>
      </c>
      <c r="E532" s="951">
        <v>0</v>
      </c>
      <c r="F532" s="955">
        <v>0</v>
      </c>
      <c r="G532" s="951">
        <v>0</v>
      </c>
      <c r="H532" s="951">
        <v>0</v>
      </c>
      <c r="I532" s="951">
        <v>0</v>
      </c>
      <c r="J532" s="955">
        <v>0</v>
      </c>
      <c r="K532" s="951">
        <v>0</v>
      </c>
      <c r="L532" s="955">
        <v>0</v>
      </c>
      <c r="M532" s="955">
        <v>0</v>
      </c>
      <c r="N532" s="955">
        <v>0</v>
      </c>
      <c r="O532" s="962">
        <v>0</v>
      </c>
      <c r="P532" s="955">
        <v>562.11</v>
      </c>
      <c r="Q532" s="955">
        <v>613.66</v>
      </c>
      <c r="R532" s="955">
        <v>663</v>
      </c>
      <c r="S532" s="955">
        <v>717.18</v>
      </c>
      <c r="T532" s="955">
        <v>769</v>
      </c>
      <c r="U532" s="955">
        <v>811</v>
      </c>
      <c r="V532" s="955">
        <v>863</v>
      </c>
      <c r="W532" s="955">
        <v>916</v>
      </c>
      <c r="X532" s="955">
        <v>967.29</v>
      </c>
      <c r="Y532" s="955">
        <v>991.1</v>
      </c>
      <c r="Z532" s="955">
        <v>1000</v>
      </c>
      <c r="AA532" s="955">
        <v>1002</v>
      </c>
      <c r="AB532" s="955">
        <v>1030</v>
      </c>
      <c r="AC532" s="955">
        <v>1088</v>
      </c>
      <c r="AD532" s="955">
        <v>1140.241</v>
      </c>
      <c r="AE532" s="955">
        <v>1196</v>
      </c>
      <c r="AF532" s="955">
        <v>1245</v>
      </c>
      <c r="AG532" s="955">
        <v>1295</v>
      </c>
      <c r="AH532" s="955">
        <v>1365</v>
      </c>
      <c r="AI532" s="955">
        <v>1404</v>
      </c>
      <c r="AJ532" s="955">
        <v>1458</v>
      </c>
      <c r="AK532" s="955">
        <v>1482</v>
      </c>
      <c r="AL532" s="955"/>
      <c r="AM532" s="955"/>
      <c r="AN532" s="955"/>
      <c r="AO532" s="955"/>
      <c r="AP532" s="955"/>
      <c r="AQ532" s="955"/>
    </row>
    <row r="533" spans="2:43" ht="12.75">
      <c r="B533" s="952" t="s">
        <v>1302</v>
      </c>
      <c r="C533" s="952">
        <v>0</v>
      </c>
      <c r="D533" s="952">
        <v>0</v>
      </c>
      <c r="E533" s="952">
        <v>0</v>
      </c>
      <c r="F533" s="956">
        <v>0</v>
      </c>
      <c r="G533" s="952">
        <v>0</v>
      </c>
      <c r="H533" s="952">
        <v>0</v>
      </c>
      <c r="I533" s="952">
        <v>0</v>
      </c>
      <c r="J533" s="956">
        <v>0</v>
      </c>
      <c r="K533" s="952">
        <v>0</v>
      </c>
      <c r="L533" s="956">
        <v>0</v>
      </c>
      <c r="M533" s="956">
        <v>0</v>
      </c>
      <c r="N533" s="1026">
        <v>0</v>
      </c>
      <c r="O533" s="956">
        <v>0</v>
      </c>
      <c r="P533" s="956">
        <v>1083.3900000000001</v>
      </c>
      <c r="Q533" s="956">
        <v>1169</v>
      </c>
      <c r="R533" s="956">
        <v>1246</v>
      </c>
      <c r="S533" s="956">
        <v>1335</v>
      </c>
      <c r="T533" s="956">
        <v>1413</v>
      </c>
      <c r="U533" s="956">
        <v>1481</v>
      </c>
      <c r="V533" s="956">
        <v>1563</v>
      </c>
      <c r="W533" s="956">
        <v>1645</v>
      </c>
      <c r="X533" s="956">
        <v>1726.25</v>
      </c>
      <c r="Y533" s="956">
        <v>1782.3</v>
      </c>
      <c r="Z533" s="956">
        <v>1837</v>
      </c>
      <c r="AA533" s="956">
        <v>1870</v>
      </c>
      <c r="AB533" s="956">
        <v>1939</v>
      </c>
      <c r="AC533" s="956">
        <v>2042</v>
      </c>
      <c r="AD533" s="956">
        <v>2130.9160000000002</v>
      </c>
      <c r="AE533" s="956">
        <v>2226</v>
      </c>
      <c r="AF533" s="956">
        <v>2301</v>
      </c>
      <c r="AG533" s="956">
        <v>2376</v>
      </c>
      <c r="AH533" s="956">
        <v>2485</v>
      </c>
      <c r="AI533" s="956">
        <v>2547</v>
      </c>
      <c r="AJ533" s="956">
        <v>2631</v>
      </c>
      <c r="AK533" s="956">
        <v>2685</v>
      </c>
      <c r="AL533" s="956"/>
      <c r="AM533" s="956"/>
      <c r="AN533" s="956"/>
      <c r="AO533" s="956"/>
      <c r="AP533" s="956"/>
      <c r="AQ533" s="956"/>
    </row>
    <row r="534" spans="2:43" ht="12.75">
      <c r="B534" s="951" t="s">
        <v>1303</v>
      </c>
      <c r="C534" s="951">
        <v>0</v>
      </c>
      <c r="D534" s="951">
        <v>0</v>
      </c>
      <c r="E534" s="951">
        <v>0</v>
      </c>
      <c r="F534" s="955">
        <v>0</v>
      </c>
      <c r="G534" s="951">
        <v>0</v>
      </c>
      <c r="H534" s="951">
        <v>0</v>
      </c>
      <c r="I534" s="951">
        <v>0</v>
      </c>
      <c r="J534" s="955">
        <v>0</v>
      </c>
      <c r="K534" s="951">
        <v>0</v>
      </c>
      <c r="L534" s="955">
        <v>0</v>
      </c>
      <c r="M534" s="955">
        <v>0</v>
      </c>
      <c r="N534" s="962">
        <v>0</v>
      </c>
      <c r="O534" s="955">
        <v>0</v>
      </c>
      <c r="P534" s="955">
        <v>13821.84</v>
      </c>
      <c r="Q534" s="955">
        <v>14212.58</v>
      </c>
      <c r="R534" s="955">
        <v>15075</v>
      </c>
      <c r="S534" s="955">
        <v>16430</v>
      </c>
      <c r="T534" s="955">
        <v>18502</v>
      </c>
      <c r="U534" s="955">
        <v>20426</v>
      </c>
      <c r="V534" s="955">
        <v>23418</v>
      </c>
      <c r="W534" s="955">
        <v>25855</v>
      </c>
      <c r="X534" s="955">
        <v>27668.94</v>
      </c>
      <c r="Y534" s="955">
        <v>28949.8</v>
      </c>
      <c r="Z534" s="955">
        <v>29273</v>
      </c>
      <c r="AA534" s="955">
        <v>29426</v>
      </c>
      <c r="AB534" s="955">
        <v>29737</v>
      </c>
      <c r="AC534" s="955">
        <v>30548</v>
      </c>
      <c r="AD534" s="955">
        <v>31726.378000000001</v>
      </c>
      <c r="AE534" s="955">
        <v>34208</v>
      </c>
      <c r="AF534" s="955">
        <v>35889</v>
      </c>
      <c r="AG534" s="955">
        <v>38940</v>
      </c>
      <c r="AH534" s="955">
        <v>43770</v>
      </c>
      <c r="AI534" s="955">
        <v>46587</v>
      </c>
      <c r="AJ534" s="955">
        <v>48669</v>
      </c>
      <c r="AK534" s="955">
        <v>49127</v>
      </c>
      <c r="AL534" s="955"/>
      <c r="AM534" s="955"/>
      <c r="AN534" s="955"/>
      <c r="AO534" s="955"/>
      <c r="AP534" s="955"/>
      <c r="AQ534" s="955"/>
    </row>
    <row r="535" spans="2:43" ht="12.75">
      <c r="B535" s="839" t="s">
        <v>1304</v>
      </c>
      <c r="C535" s="952">
        <v>0</v>
      </c>
      <c r="D535" s="952">
        <v>0</v>
      </c>
      <c r="E535" s="952">
        <v>0</v>
      </c>
      <c r="F535" s="952">
        <v>0</v>
      </c>
      <c r="G535" s="952">
        <v>0</v>
      </c>
      <c r="H535" s="952">
        <v>0</v>
      </c>
      <c r="I535" s="952">
        <v>0</v>
      </c>
      <c r="J535" s="952">
        <v>0</v>
      </c>
      <c r="K535" s="952">
        <v>0</v>
      </c>
      <c r="L535" s="956">
        <v>0</v>
      </c>
      <c r="M535" s="963">
        <v>0</v>
      </c>
      <c r="N535" s="956">
        <v>0</v>
      </c>
      <c r="O535" s="956">
        <v>0</v>
      </c>
      <c r="P535" s="956">
        <v>25061.14</v>
      </c>
      <c r="Q535" s="956">
        <v>26886.94</v>
      </c>
      <c r="R535" s="956">
        <v>30686</v>
      </c>
      <c r="S535" s="956">
        <v>34774</v>
      </c>
      <c r="T535" s="956">
        <v>39382</v>
      </c>
      <c r="U535" s="956">
        <v>42744</v>
      </c>
      <c r="V535" s="956">
        <v>47814</v>
      </c>
      <c r="W535" s="956">
        <v>51865</v>
      </c>
      <c r="X535" s="956">
        <v>54644.57</v>
      </c>
      <c r="Y535" s="956">
        <v>55263.1</v>
      </c>
      <c r="Z535" s="956">
        <v>55416</v>
      </c>
      <c r="AA535" s="956">
        <v>55467</v>
      </c>
      <c r="AB535" s="956">
        <v>55602</v>
      </c>
      <c r="AC535" s="956">
        <v>56620</v>
      </c>
      <c r="AD535" s="956">
        <v>57824.665000000001</v>
      </c>
      <c r="AE535" s="956">
        <v>61380</v>
      </c>
      <c r="AF535" s="956">
        <v>64930</v>
      </c>
      <c r="AG535" s="956">
        <v>70073</v>
      </c>
      <c r="AH535" s="956">
        <v>74061</v>
      </c>
      <c r="AI535" s="956">
        <v>75532</v>
      </c>
      <c r="AJ535" s="956">
        <v>77300</v>
      </c>
      <c r="AK535" s="956">
        <v>77544</v>
      </c>
      <c r="AL535" s="956"/>
      <c r="AM535" s="956"/>
      <c r="AN535" s="956"/>
      <c r="AO535" s="956"/>
      <c r="AP535" s="956"/>
      <c r="AQ535" s="956"/>
    </row>
    <row r="536" spans="2:43" ht="12.75">
      <c r="B536" s="837" t="s">
        <v>1305</v>
      </c>
      <c r="C536" s="951">
        <v>0</v>
      </c>
      <c r="D536" s="951">
        <v>0</v>
      </c>
      <c r="E536" s="951">
        <v>0</v>
      </c>
      <c r="F536" s="951">
        <v>0</v>
      </c>
      <c r="G536" s="951">
        <v>0</v>
      </c>
      <c r="H536" s="951">
        <v>0</v>
      </c>
      <c r="I536" s="951">
        <v>0</v>
      </c>
      <c r="J536" s="951">
        <v>0</v>
      </c>
      <c r="K536" s="951">
        <v>0</v>
      </c>
      <c r="L536" s="955">
        <v>0</v>
      </c>
      <c r="M536" s="955">
        <v>0</v>
      </c>
      <c r="N536" s="955">
        <v>0</v>
      </c>
      <c r="O536" s="962">
        <v>0</v>
      </c>
      <c r="P536" s="962">
        <v>23060.03</v>
      </c>
      <c r="Q536" s="955">
        <v>23881.86</v>
      </c>
      <c r="R536" s="955">
        <v>24892</v>
      </c>
      <c r="S536" s="955">
        <v>27615</v>
      </c>
      <c r="T536" s="955">
        <v>31996</v>
      </c>
      <c r="U536" s="955">
        <v>36022</v>
      </c>
      <c r="V536" s="955">
        <v>42096</v>
      </c>
      <c r="W536" s="955">
        <v>45531</v>
      </c>
      <c r="X536" s="955">
        <v>47860.52</v>
      </c>
      <c r="Y536" s="955">
        <v>48347.4</v>
      </c>
      <c r="Z536" s="955">
        <v>48612</v>
      </c>
      <c r="AA536" s="955">
        <v>48787</v>
      </c>
      <c r="AB536" s="955">
        <v>49217</v>
      </c>
      <c r="AC536" s="955">
        <v>51762</v>
      </c>
      <c r="AD536" s="955">
        <v>55822.597999999998</v>
      </c>
      <c r="AE536" s="955">
        <v>62355</v>
      </c>
      <c r="AF536" s="955">
        <v>67494</v>
      </c>
      <c r="AG536" s="955">
        <v>72350</v>
      </c>
      <c r="AH536" s="955">
        <v>77665</v>
      </c>
      <c r="AI536" s="955">
        <v>80779</v>
      </c>
      <c r="AJ536" s="955">
        <v>83741</v>
      </c>
      <c r="AK536" s="955">
        <v>84646</v>
      </c>
      <c r="AL536" s="955"/>
      <c r="AM536" s="955"/>
      <c r="AN536" s="955"/>
      <c r="AO536" s="955"/>
      <c r="AP536" s="955"/>
      <c r="AQ536" s="955"/>
    </row>
    <row r="537" spans="2:43" ht="12.75">
      <c r="B537" s="839" t="s">
        <v>1306</v>
      </c>
      <c r="C537" s="952">
        <v>0</v>
      </c>
      <c r="D537" s="952">
        <v>0</v>
      </c>
      <c r="E537" s="952">
        <v>0</v>
      </c>
      <c r="F537" s="952">
        <v>0</v>
      </c>
      <c r="G537" s="952">
        <v>0</v>
      </c>
      <c r="H537" s="952">
        <v>0</v>
      </c>
      <c r="I537" s="952">
        <v>0</v>
      </c>
      <c r="J537" s="952">
        <v>0</v>
      </c>
      <c r="K537" s="952">
        <v>0</v>
      </c>
      <c r="L537" s="956">
        <v>0</v>
      </c>
      <c r="M537" s="956">
        <v>0</v>
      </c>
      <c r="N537" s="1026">
        <v>0</v>
      </c>
      <c r="O537" s="956">
        <v>0</v>
      </c>
      <c r="P537" s="956">
        <v>33837.06</v>
      </c>
      <c r="Q537" s="956">
        <v>35859.14</v>
      </c>
      <c r="R537" s="956">
        <v>38848</v>
      </c>
      <c r="S537" s="956">
        <v>43958</v>
      </c>
      <c r="T537" s="956">
        <v>51483</v>
      </c>
      <c r="U537" s="956">
        <v>56975</v>
      </c>
      <c r="V537" s="956">
        <v>63977</v>
      </c>
      <c r="W537" s="956">
        <v>69291</v>
      </c>
      <c r="X537" s="956">
        <v>73754.59</v>
      </c>
      <c r="Y537" s="956">
        <v>75155</v>
      </c>
      <c r="Z537" s="956">
        <v>75534</v>
      </c>
      <c r="AA537" s="956">
        <v>75750</v>
      </c>
      <c r="AB537" s="956">
        <v>76185</v>
      </c>
      <c r="AC537" s="956">
        <v>77551</v>
      </c>
      <c r="AD537" s="956">
        <v>80251.543000000005</v>
      </c>
      <c r="AE537" s="956">
        <v>85925</v>
      </c>
      <c r="AF537" s="956">
        <v>90504</v>
      </c>
      <c r="AG537" s="956">
        <v>94922</v>
      </c>
      <c r="AH537" s="956">
        <v>100393</v>
      </c>
      <c r="AI537" s="956">
        <v>103604</v>
      </c>
      <c r="AJ537" s="956">
        <v>107356</v>
      </c>
      <c r="AK537" s="956">
        <v>107989</v>
      </c>
      <c r="AL537" s="956"/>
      <c r="AM537" s="956"/>
      <c r="AN537" s="956"/>
      <c r="AO537" s="956"/>
      <c r="AP537" s="956"/>
      <c r="AQ537" s="956"/>
    </row>
    <row r="538" spans="2:43" ht="12.75">
      <c r="B538" s="837" t="s">
        <v>1307</v>
      </c>
      <c r="C538" s="951">
        <v>0</v>
      </c>
      <c r="D538" s="951">
        <v>0</v>
      </c>
      <c r="E538" s="951">
        <v>0</v>
      </c>
      <c r="F538" s="951">
        <v>0</v>
      </c>
      <c r="G538" s="951">
        <v>0</v>
      </c>
      <c r="H538" s="951">
        <v>0</v>
      </c>
      <c r="I538" s="951">
        <v>0</v>
      </c>
      <c r="J538" s="951">
        <v>0</v>
      </c>
      <c r="K538" s="951">
        <v>0</v>
      </c>
      <c r="L538" s="955">
        <v>0</v>
      </c>
      <c r="M538" s="955">
        <v>0</v>
      </c>
      <c r="N538" s="962">
        <v>0</v>
      </c>
      <c r="O538" s="955">
        <v>0</v>
      </c>
      <c r="P538" s="962">
        <v>5200</v>
      </c>
      <c r="Q538" s="955">
        <v>5614.1</v>
      </c>
      <c r="R538" s="955">
        <v>6159</v>
      </c>
      <c r="S538" s="955">
        <v>6775</v>
      </c>
      <c r="T538" s="955">
        <v>7453</v>
      </c>
      <c r="U538" s="955">
        <v>7953</v>
      </c>
      <c r="V538" s="955">
        <v>8526</v>
      </c>
      <c r="W538" s="955">
        <v>9078</v>
      </c>
      <c r="X538" s="955">
        <v>9615.15</v>
      </c>
      <c r="Y538" s="955">
        <v>9899.5</v>
      </c>
      <c r="Z538" s="955">
        <v>10144</v>
      </c>
      <c r="AA538" s="955">
        <v>10302</v>
      </c>
      <c r="AB538" s="955">
        <v>10604</v>
      </c>
      <c r="AC538" s="955">
        <v>11085</v>
      </c>
      <c r="AD538" s="955">
        <v>11550.089</v>
      </c>
      <c r="AE538" s="955">
        <v>12121</v>
      </c>
      <c r="AF538" s="955">
        <v>12664</v>
      </c>
      <c r="AG538" s="955">
        <v>13136</v>
      </c>
      <c r="AH538" s="955">
        <v>13811</v>
      </c>
      <c r="AI538" s="955">
        <v>14191</v>
      </c>
      <c r="AJ538" s="955">
        <v>14681</v>
      </c>
      <c r="AK538" s="955">
        <v>15023</v>
      </c>
      <c r="AL538" s="955"/>
      <c r="AM538" s="955"/>
      <c r="AN538" s="955"/>
      <c r="AO538" s="955"/>
      <c r="AP538" s="955"/>
      <c r="AQ538" s="955"/>
    </row>
    <row r="539" spans="2:43" ht="12.75">
      <c r="B539" s="839" t="s">
        <v>1308</v>
      </c>
      <c r="C539" s="952">
        <v>0</v>
      </c>
      <c r="D539" s="952">
        <v>0</v>
      </c>
      <c r="E539" s="952">
        <v>0</v>
      </c>
      <c r="F539" s="952">
        <v>0</v>
      </c>
      <c r="G539" s="952">
        <v>0</v>
      </c>
      <c r="H539" s="952">
        <v>0</v>
      </c>
      <c r="I539" s="952">
        <v>0</v>
      </c>
      <c r="J539" s="952">
        <v>0</v>
      </c>
      <c r="K539" s="952">
        <v>0</v>
      </c>
      <c r="L539" s="956">
        <v>0</v>
      </c>
      <c r="M539" s="956">
        <v>0</v>
      </c>
      <c r="N539" s="956">
        <v>0</v>
      </c>
      <c r="O539" s="956">
        <v>0</v>
      </c>
      <c r="P539" s="956">
        <v>3378.26</v>
      </c>
      <c r="Q539" s="956">
        <v>3660.62</v>
      </c>
      <c r="R539" s="956">
        <v>3938</v>
      </c>
      <c r="S539" s="956">
        <v>4249</v>
      </c>
      <c r="T539" s="956">
        <v>4550</v>
      </c>
      <c r="U539" s="956">
        <v>4751</v>
      </c>
      <c r="V539" s="956">
        <v>4994</v>
      </c>
      <c r="W539" s="956">
        <v>5261</v>
      </c>
      <c r="X539" s="956">
        <v>5529.6</v>
      </c>
      <c r="Y539" s="956">
        <v>5749.9</v>
      </c>
      <c r="Z539" s="956">
        <v>5966</v>
      </c>
      <c r="AA539" s="956">
        <v>6098</v>
      </c>
      <c r="AB539" s="956">
        <v>6311</v>
      </c>
      <c r="AC539" s="956">
        <v>6639</v>
      </c>
      <c r="AD539" s="956">
        <v>6897.5739999999996</v>
      </c>
      <c r="AE539" s="956">
        <v>7176</v>
      </c>
      <c r="AF539" s="956">
        <v>7403</v>
      </c>
      <c r="AG539" s="956">
        <v>7640</v>
      </c>
      <c r="AH539" s="956">
        <v>7975</v>
      </c>
      <c r="AI539" s="956">
        <v>8176</v>
      </c>
      <c r="AJ539" s="956">
        <v>8450</v>
      </c>
      <c r="AK539" s="956">
        <v>8632</v>
      </c>
      <c r="AL539" s="956"/>
      <c r="AM539" s="956"/>
      <c r="AN539" s="956"/>
      <c r="AO539" s="956"/>
      <c r="AP539" s="956"/>
      <c r="AQ539" s="956"/>
    </row>
    <row r="540" spans="2:43" ht="12.75">
      <c r="B540" s="837" t="s">
        <v>1309</v>
      </c>
      <c r="C540" s="951">
        <v>0</v>
      </c>
      <c r="D540" s="951">
        <v>0</v>
      </c>
      <c r="E540" s="951">
        <v>0</v>
      </c>
      <c r="F540" s="951">
        <v>0</v>
      </c>
      <c r="G540" s="951">
        <v>0</v>
      </c>
      <c r="H540" s="951">
        <v>0</v>
      </c>
      <c r="I540" s="951">
        <v>0</v>
      </c>
      <c r="J540" s="951">
        <v>0</v>
      </c>
      <c r="K540" s="951">
        <v>0</v>
      </c>
      <c r="L540" s="955">
        <v>0</v>
      </c>
      <c r="M540" s="955">
        <v>0</v>
      </c>
      <c r="N540" s="955">
        <v>0</v>
      </c>
      <c r="O540" s="955">
        <v>0</v>
      </c>
      <c r="P540" s="955">
        <v>2019.82</v>
      </c>
      <c r="Q540" s="955">
        <v>2187.87</v>
      </c>
      <c r="R540" s="955">
        <v>2335</v>
      </c>
      <c r="S540" s="955">
        <v>2523</v>
      </c>
      <c r="T540" s="955">
        <v>2680</v>
      </c>
      <c r="U540" s="955">
        <v>2815</v>
      </c>
      <c r="V540" s="955">
        <v>2966</v>
      </c>
      <c r="W540" s="955">
        <v>3213</v>
      </c>
      <c r="X540" s="955">
        <v>3489.56</v>
      </c>
      <c r="Y540" s="955">
        <v>3583.5</v>
      </c>
      <c r="Z540" s="955">
        <v>3654</v>
      </c>
      <c r="AA540" s="955">
        <v>3699</v>
      </c>
      <c r="AB540" s="955">
        <v>3797</v>
      </c>
      <c r="AC540" s="955">
        <v>3971</v>
      </c>
      <c r="AD540" s="955">
        <v>4144.1030000000001</v>
      </c>
      <c r="AE540" s="955">
        <v>4337</v>
      </c>
      <c r="AF540" s="955">
        <v>4478</v>
      </c>
      <c r="AG540" s="955">
        <v>4613</v>
      </c>
      <c r="AH540" s="955">
        <v>4851</v>
      </c>
      <c r="AI540" s="955">
        <v>4981</v>
      </c>
      <c r="AJ540" s="955">
        <v>5162</v>
      </c>
      <c r="AK540" s="955">
        <v>5309</v>
      </c>
      <c r="AL540" s="955"/>
      <c r="AM540" s="955"/>
      <c r="AN540" s="955"/>
      <c r="AO540" s="955"/>
      <c r="AP540" s="955"/>
      <c r="AQ540" s="955"/>
    </row>
    <row r="541" spans="2:43" ht="12.75">
      <c r="B541" s="839" t="s">
        <v>1310</v>
      </c>
      <c r="C541" s="952">
        <v>0</v>
      </c>
      <c r="D541" s="952">
        <v>0</v>
      </c>
      <c r="E541" s="952">
        <v>0</v>
      </c>
      <c r="F541" s="952">
        <v>0</v>
      </c>
      <c r="G541" s="952">
        <v>0</v>
      </c>
      <c r="H541" s="952">
        <v>0</v>
      </c>
      <c r="I541" s="952">
        <v>0</v>
      </c>
      <c r="J541" s="952">
        <v>0</v>
      </c>
      <c r="K541" s="952">
        <v>0</v>
      </c>
      <c r="L541" s="956">
        <v>0</v>
      </c>
      <c r="M541" s="956">
        <v>0</v>
      </c>
      <c r="N541" s="956">
        <v>0</v>
      </c>
      <c r="O541" s="956">
        <v>0</v>
      </c>
      <c r="P541" s="956">
        <v>6648.07</v>
      </c>
      <c r="Q541" s="956">
        <v>7173.9</v>
      </c>
      <c r="R541" s="956">
        <v>7698</v>
      </c>
      <c r="S541" s="956">
        <v>8362</v>
      </c>
      <c r="T541" s="956">
        <v>9036</v>
      </c>
      <c r="U541" s="956">
        <v>9494</v>
      </c>
      <c r="V541" s="956">
        <v>10052</v>
      </c>
      <c r="W541" s="956">
        <v>10594</v>
      </c>
      <c r="X541" s="956">
        <v>11157.4</v>
      </c>
      <c r="Y541" s="956">
        <v>11494.19</v>
      </c>
      <c r="Z541" s="956">
        <v>11875</v>
      </c>
      <c r="AA541" s="956">
        <v>12143</v>
      </c>
      <c r="AB541" s="956">
        <v>12513</v>
      </c>
      <c r="AC541" s="956">
        <v>13009</v>
      </c>
      <c r="AD541" s="956">
        <v>13530.048000000001</v>
      </c>
      <c r="AE541" s="956">
        <v>14052</v>
      </c>
      <c r="AF541" s="956">
        <v>14476</v>
      </c>
      <c r="AG541" s="956">
        <v>14912</v>
      </c>
      <c r="AH541" s="956">
        <v>15503</v>
      </c>
      <c r="AI541" s="956">
        <v>15836</v>
      </c>
      <c r="AJ541" s="956">
        <v>16327</v>
      </c>
      <c r="AK541" s="956">
        <v>16618</v>
      </c>
      <c r="AL541" s="956"/>
      <c r="AM541" s="956"/>
      <c r="AN541" s="956"/>
      <c r="AO541" s="956"/>
      <c r="AP541" s="956"/>
      <c r="AQ541" s="956"/>
    </row>
    <row r="542" spans="2:43" ht="15" customHeight="1">
      <c r="B542" s="837" t="s">
        <v>1311</v>
      </c>
      <c r="C542" s="951">
        <v>0</v>
      </c>
      <c r="D542" s="951">
        <v>0</v>
      </c>
      <c r="E542" s="951">
        <v>0</v>
      </c>
      <c r="F542" s="951">
        <v>0</v>
      </c>
      <c r="G542" s="951">
        <v>0</v>
      </c>
      <c r="H542" s="951">
        <v>0</v>
      </c>
      <c r="I542" s="951">
        <v>0</v>
      </c>
      <c r="J542" s="951">
        <v>0</v>
      </c>
      <c r="K542" s="951">
        <v>0</v>
      </c>
      <c r="L542" s="955">
        <v>0</v>
      </c>
      <c r="M542" s="955">
        <v>0</v>
      </c>
      <c r="N542" s="955">
        <v>0</v>
      </c>
      <c r="O542" s="955">
        <v>0</v>
      </c>
      <c r="P542" s="955">
        <v>4189.54</v>
      </c>
      <c r="Q542" s="955">
        <v>4493.8100000000004</v>
      </c>
      <c r="R542" s="955">
        <v>4822</v>
      </c>
      <c r="S542" s="955">
        <v>5172</v>
      </c>
      <c r="T542" s="955">
        <v>5516</v>
      </c>
      <c r="U542" s="955">
        <v>5799</v>
      </c>
      <c r="V542" s="955">
        <v>6164</v>
      </c>
      <c r="W542" s="955">
        <v>6535</v>
      </c>
      <c r="X542" s="955">
        <v>6897.13</v>
      </c>
      <c r="Y542" s="955">
        <v>7171.9</v>
      </c>
      <c r="Z542" s="955">
        <v>7463</v>
      </c>
      <c r="AA542" s="955">
        <v>7644</v>
      </c>
      <c r="AB542" s="955">
        <v>7897</v>
      </c>
      <c r="AC542" s="955">
        <v>8247</v>
      </c>
      <c r="AD542" s="955">
        <v>8564.4869999999992</v>
      </c>
      <c r="AE542" s="955">
        <v>8933</v>
      </c>
      <c r="AF542" s="955">
        <v>9258</v>
      </c>
      <c r="AG542" s="955">
        <v>9585</v>
      </c>
      <c r="AH542" s="955">
        <v>10037</v>
      </c>
      <c r="AI542" s="955">
        <v>10321</v>
      </c>
      <c r="AJ542" s="955">
        <v>10716</v>
      </c>
      <c r="AK542" s="955">
        <v>10872</v>
      </c>
      <c r="AL542" s="955"/>
      <c r="AM542" s="955"/>
      <c r="AN542" s="955"/>
      <c r="AO542" s="955"/>
      <c r="AP542" s="955"/>
      <c r="AQ542" s="955"/>
    </row>
    <row r="543" spans="2:43">
      <c r="B543" s="839"/>
      <c r="C543" s="952"/>
      <c r="D543" s="952"/>
      <c r="E543" s="952"/>
      <c r="F543" s="952"/>
      <c r="G543" s="952"/>
      <c r="H543" s="952"/>
      <c r="I543" s="952"/>
      <c r="J543" s="952"/>
      <c r="K543" s="952"/>
      <c r="L543" s="956"/>
      <c r="M543" s="956"/>
      <c r="N543" s="956"/>
      <c r="O543" s="956"/>
      <c r="P543" s="956"/>
      <c r="Q543" s="956"/>
      <c r="R543" s="956"/>
      <c r="S543" s="956"/>
      <c r="T543" s="956"/>
      <c r="U543" s="956"/>
      <c r="V543" s="956"/>
      <c r="W543" s="956"/>
      <c r="X543" s="956"/>
      <c r="Y543" s="956"/>
      <c r="Z543" s="956"/>
      <c r="AA543" s="956"/>
      <c r="AB543" s="956"/>
      <c r="AC543" s="956"/>
      <c r="AD543" s="956"/>
      <c r="AE543" s="956"/>
      <c r="AF543" s="956"/>
      <c r="AG543" s="956"/>
      <c r="AH543" s="956"/>
      <c r="AI543" s="956"/>
      <c r="AJ543" s="956"/>
      <c r="AK543" s="956"/>
      <c r="AL543" s="956"/>
      <c r="AM543" s="956"/>
      <c r="AN543" s="956"/>
      <c r="AO543" s="956"/>
      <c r="AP543" s="956"/>
      <c r="AQ543" s="956"/>
    </row>
    <row r="544" spans="2:43">
      <c r="B544" s="841"/>
      <c r="C544" s="953"/>
      <c r="D544" s="953"/>
      <c r="E544" s="953"/>
      <c r="F544" s="953"/>
      <c r="G544" s="953"/>
      <c r="H544" s="953"/>
      <c r="I544" s="953"/>
      <c r="J544" s="953"/>
      <c r="K544" s="953"/>
      <c r="L544" s="957"/>
      <c r="M544" s="957"/>
      <c r="N544" s="957"/>
      <c r="O544" s="1027"/>
      <c r="P544" s="957"/>
      <c r="Q544" s="957"/>
      <c r="R544" s="957"/>
      <c r="S544" s="957"/>
      <c r="T544" s="957"/>
      <c r="U544" s="957"/>
      <c r="V544" s="957"/>
      <c r="W544" s="957"/>
      <c r="X544" s="957"/>
      <c r="Y544" s="957"/>
      <c r="Z544" s="957"/>
      <c r="AA544" s="957"/>
      <c r="AB544" s="957"/>
      <c r="AC544" s="957"/>
      <c r="AD544" s="957"/>
      <c r="AE544" s="957"/>
      <c r="AF544" s="957"/>
      <c r="AG544" s="957"/>
      <c r="AH544" s="957"/>
      <c r="AI544" s="957"/>
      <c r="AJ544" s="957"/>
      <c r="AK544" s="957"/>
      <c r="AL544" s="957"/>
      <c r="AM544" s="957"/>
      <c r="AN544" s="957"/>
      <c r="AO544" s="957"/>
      <c r="AP544" s="957"/>
      <c r="AQ544" s="957"/>
    </row>
    <row r="545" spans="2:43">
      <c r="B545" s="843"/>
      <c r="C545" s="954"/>
      <c r="D545" s="954"/>
      <c r="E545" s="954"/>
      <c r="F545" s="954"/>
      <c r="G545" s="954"/>
      <c r="H545" s="954"/>
      <c r="I545" s="954"/>
      <c r="J545" s="954"/>
      <c r="K545" s="954"/>
      <c r="L545" s="958"/>
      <c r="M545" s="958"/>
      <c r="N545" s="958"/>
      <c r="O545" s="958"/>
      <c r="P545" s="958"/>
      <c r="Q545" s="958"/>
      <c r="R545" s="958"/>
      <c r="S545" s="958"/>
      <c r="T545" s="958"/>
      <c r="U545" s="958"/>
      <c r="V545" s="958"/>
      <c r="W545" s="958"/>
      <c r="X545" s="958"/>
      <c r="Y545" s="958"/>
      <c r="Z545" s="958"/>
      <c r="AA545" s="958"/>
      <c r="AB545" s="958"/>
      <c r="AC545" s="958"/>
      <c r="AD545" s="958"/>
      <c r="AE545" s="958"/>
      <c r="AF545" s="958"/>
      <c r="AG545" s="958"/>
      <c r="AH545" s="958"/>
      <c r="AI545" s="958"/>
      <c r="AJ545" s="958"/>
      <c r="AK545" s="958"/>
      <c r="AL545" s="958"/>
      <c r="AM545" s="958"/>
      <c r="AN545" s="958"/>
      <c r="AO545" s="958"/>
      <c r="AP545" s="958"/>
      <c r="AQ545" s="958"/>
    </row>
    <row r="546" spans="2:43">
      <c r="B546" s="837"/>
      <c r="C546" s="951"/>
      <c r="D546" s="951"/>
      <c r="E546" s="951"/>
      <c r="F546" s="951"/>
      <c r="G546" s="951"/>
      <c r="H546" s="951"/>
      <c r="I546" s="951"/>
      <c r="J546" s="951"/>
      <c r="K546" s="951"/>
      <c r="L546" s="962"/>
      <c r="M546" s="962"/>
      <c r="N546" s="962"/>
      <c r="O546" s="962"/>
      <c r="P546" s="962"/>
      <c r="Q546" s="955"/>
      <c r="R546" s="955"/>
      <c r="S546" s="955"/>
      <c r="T546" s="955"/>
      <c r="U546" s="955"/>
      <c r="V546" s="955"/>
      <c r="W546" s="955"/>
      <c r="X546" s="955"/>
      <c r="Y546" s="955"/>
      <c r="Z546" s="955"/>
      <c r="AA546" s="955"/>
      <c r="AB546" s="955"/>
      <c r="AC546" s="955"/>
      <c r="AD546" s="955"/>
      <c r="AE546" s="955"/>
      <c r="AF546" s="955"/>
      <c r="AG546" s="955"/>
      <c r="AH546" s="955"/>
      <c r="AI546" s="955"/>
      <c r="AJ546" s="955"/>
      <c r="AK546" s="955"/>
      <c r="AL546" s="955"/>
      <c r="AM546" s="955"/>
      <c r="AN546" s="955"/>
      <c r="AO546" s="955"/>
      <c r="AP546" s="955"/>
      <c r="AQ546" s="955"/>
    </row>
    <row r="547" spans="2:43">
      <c r="B547" s="839"/>
      <c r="C547" s="952"/>
      <c r="D547" s="952"/>
      <c r="E547" s="952"/>
      <c r="F547" s="952"/>
      <c r="G547" s="952"/>
      <c r="H547" s="952"/>
      <c r="I547" s="952"/>
      <c r="J547" s="952"/>
      <c r="K547" s="952"/>
      <c r="L547" s="956"/>
      <c r="M547" s="963"/>
      <c r="N547" s="956"/>
      <c r="O547" s="956"/>
      <c r="P547" s="956"/>
      <c r="Q547" s="956"/>
      <c r="R547" s="956"/>
      <c r="S547" s="956"/>
      <c r="T547" s="956"/>
      <c r="U547" s="956"/>
      <c r="V547" s="956"/>
      <c r="W547" s="956"/>
      <c r="X547" s="956"/>
      <c r="Y547" s="956"/>
      <c r="Z547" s="956"/>
      <c r="AA547" s="956"/>
      <c r="AB547" s="956"/>
      <c r="AC547" s="956"/>
      <c r="AD547" s="956"/>
      <c r="AE547" s="956"/>
      <c r="AF547" s="956"/>
      <c r="AG547" s="956"/>
      <c r="AH547" s="956"/>
      <c r="AI547" s="956"/>
      <c r="AJ547" s="956"/>
      <c r="AK547" s="956"/>
      <c r="AL547" s="956"/>
      <c r="AM547" s="956"/>
      <c r="AN547" s="956"/>
      <c r="AO547" s="956"/>
      <c r="AP547" s="956"/>
      <c r="AQ547" s="956"/>
    </row>
    <row r="548" spans="2:43">
      <c r="B548" s="837"/>
      <c r="C548" s="951"/>
      <c r="D548" s="951"/>
      <c r="E548" s="951"/>
      <c r="F548" s="951"/>
      <c r="G548" s="951"/>
      <c r="H548" s="951"/>
      <c r="I548" s="951"/>
      <c r="J548" s="951"/>
      <c r="K548" s="951"/>
      <c r="L548" s="955"/>
      <c r="M548" s="955"/>
      <c r="N548" s="955"/>
      <c r="O548" s="962"/>
      <c r="P548" s="962"/>
      <c r="Q548" s="955"/>
      <c r="R548" s="955"/>
      <c r="S548" s="955"/>
      <c r="T548" s="955"/>
      <c r="U548" s="955"/>
      <c r="V548" s="955"/>
      <c r="W548" s="955"/>
      <c r="X548" s="955"/>
      <c r="Y548" s="955"/>
      <c r="Z548" s="955"/>
      <c r="AA548" s="955"/>
      <c r="AB548" s="955"/>
      <c r="AC548" s="955"/>
      <c r="AD548" s="955"/>
      <c r="AE548" s="955"/>
      <c r="AF548" s="955"/>
      <c r="AG548" s="955"/>
      <c r="AH548" s="955"/>
      <c r="AI548" s="955"/>
      <c r="AJ548" s="955"/>
      <c r="AK548" s="955"/>
      <c r="AL548" s="955"/>
      <c r="AM548" s="955"/>
      <c r="AN548" s="955"/>
      <c r="AO548" s="955"/>
      <c r="AP548" s="955"/>
      <c r="AQ548" s="955"/>
    </row>
    <row r="549" spans="2:43">
      <c r="B549" s="850" t="s">
        <v>1312</v>
      </c>
      <c r="C549" s="815">
        <v>44562</v>
      </c>
      <c r="D549" s="815">
        <v>44593</v>
      </c>
      <c r="E549" s="815">
        <v>44621</v>
      </c>
      <c r="F549" s="815">
        <v>44652</v>
      </c>
      <c r="G549" s="815">
        <v>44682</v>
      </c>
      <c r="H549" s="815">
        <v>44713</v>
      </c>
      <c r="I549" s="815">
        <v>44743</v>
      </c>
      <c r="J549" s="815">
        <v>44774</v>
      </c>
      <c r="K549" s="815">
        <v>44805</v>
      </c>
      <c r="L549" s="814">
        <v>44835</v>
      </c>
      <c r="M549" s="814">
        <v>44866</v>
      </c>
      <c r="N549" s="814">
        <v>44896</v>
      </c>
      <c r="O549" s="814">
        <v>44927</v>
      </c>
      <c r="P549" s="814">
        <v>44958</v>
      </c>
      <c r="Q549" s="814">
        <v>44986</v>
      </c>
      <c r="R549" s="814">
        <v>45017</v>
      </c>
      <c r="S549" s="814">
        <v>45047</v>
      </c>
      <c r="T549" s="814">
        <v>45078</v>
      </c>
      <c r="U549" s="814">
        <v>45108</v>
      </c>
      <c r="V549" s="814">
        <v>45139</v>
      </c>
      <c r="W549" s="814">
        <v>45170</v>
      </c>
      <c r="X549" s="814">
        <v>45200</v>
      </c>
      <c r="Y549" s="814">
        <v>45231</v>
      </c>
      <c r="Z549" s="814">
        <v>45261</v>
      </c>
      <c r="AA549" s="814">
        <v>45292</v>
      </c>
      <c r="AB549" s="814">
        <v>45323</v>
      </c>
      <c r="AC549" s="814">
        <v>45352</v>
      </c>
      <c r="AD549" s="814">
        <v>45383</v>
      </c>
      <c r="AE549" s="814">
        <v>45413</v>
      </c>
      <c r="AF549" s="814">
        <v>45444</v>
      </c>
      <c r="AG549" s="814">
        <v>45474</v>
      </c>
      <c r="AH549" s="814">
        <v>45505</v>
      </c>
      <c r="AI549" s="814">
        <v>45536</v>
      </c>
      <c r="AJ549" s="814">
        <v>45566</v>
      </c>
      <c r="AK549" s="814">
        <v>45597</v>
      </c>
      <c r="AL549" s="814">
        <v>45627</v>
      </c>
      <c r="AM549" s="814">
        <v>45658</v>
      </c>
      <c r="AN549" s="814">
        <v>45689</v>
      </c>
      <c r="AO549" s="814">
        <v>45717</v>
      </c>
      <c r="AP549" s="814">
        <v>45748</v>
      </c>
      <c r="AQ549" s="814">
        <v>45778</v>
      </c>
    </row>
    <row r="550" spans="2:43">
      <c r="B550" s="837"/>
      <c r="C550" s="951"/>
      <c r="D550" s="951"/>
      <c r="E550" s="951"/>
      <c r="F550" s="951"/>
      <c r="G550" s="951"/>
      <c r="H550" s="951"/>
      <c r="I550" s="951"/>
      <c r="J550" s="951"/>
      <c r="K550" s="951"/>
      <c r="L550" s="955"/>
      <c r="M550" s="955"/>
      <c r="N550" s="955"/>
      <c r="O550" s="955"/>
      <c r="P550" s="955"/>
      <c r="Q550" s="955"/>
      <c r="R550" s="955"/>
      <c r="S550" s="955"/>
      <c r="T550" s="955"/>
      <c r="U550" s="955"/>
      <c r="V550" s="955"/>
      <c r="W550" s="955"/>
      <c r="X550" s="955"/>
      <c r="Y550" s="955"/>
      <c r="Z550" s="955"/>
      <c r="AA550" s="955"/>
      <c r="AB550" s="955"/>
      <c r="AC550" s="955"/>
      <c r="AD550" s="955"/>
      <c r="AE550" s="955"/>
      <c r="AF550" s="955"/>
      <c r="AG550" s="955"/>
      <c r="AH550" s="955"/>
      <c r="AI550" s="955"/>
      <c r="AJ550" s="955"/>
      <c r="AK550" s="955"/>
      <c r="AL550" s="955"/>
      <c r="AM550" s="955"/>
      <c r="AN550" s="955"/>
      <c r="AO550" s="955"/>
      <c r="AP550" s="955"/>
      <c r="AQ550" s="955"/>
    </row>
    <row r="551" spans="2:43">
      <c r="B551" s="939" t="s">
        <v>1313</v>
      </c>
      <c r="C551" s="940">
        <f t="shared" ref="C551:AA551" si="23">IF(ISNUMBER(C4),(C4-C11)," ")</f>
        <v>72936</v>
      </c>
      <c r="D551" s="940">
        <f t="shared" si="23"/>
        <v>72641</v>
      </c>
      <c r="E551" s="940">
        <f t="shared" si="23"/>
        <v>79607</v>
      </c>
      <c r="F551" s="940">
        <f t="shared" si="23"/>
        <v>77617</v>
      </c>
      <c r="G551" s="940">
        <f t="shared" si="23"/>
        <v>84219</v>
      </c>
      <c r="H551" s="940">
        <f t="shared" si="23"/>
        <v>83313</v>
      </c>
      <c r="I551" s="940">
        <f t="shared" si="23"/>
        <v>85241</v>
      </c>
      <c r="J551" s="940">
        <f t="shared" si="23"/>
        <v>85695</v>
      </c>
      <c r="K551" s="940">
        <f t="shared" si="23"/>
        <v>80289</v>
      </c>
      <c r="L551" s="940">
        <f t="shared" si="23"/>
        <v>82633.34375</v>
      </c>
      <c r="M551" s="940">
        <f t="shared" si="23"/>
        <v>69430.654296875</v>
      </c>
      <c r="N551" s="940">
        <f t="shared" si="23"/>
        <v>66206.850000000006</v>
      </c>
      <c r="O551" s="940">
        <f t="shared" si="23"/>
        <v>66319.61</v>
      </c>
      <c r="P551" s="940">
        <f t="shared" si="23"/>
        <v>66769.16</v>
      </c>
      <c r="Q551" s="940">
        <f t="shared" si="23"/>
        <v>81835.51999999999</v>
      </c>
      <c r="R551" s="940">
        <f t="shared" si="23"/>
        <v>76523.390000000014</v>
      </c>
      <c r="S551" s="940">
        <f t="shared" si="23"/>
        <v>86342.91</v>
      </c>
      <c r="T551" s="940">
        <f t="shared" si="23"/>
        <v>86627.199999999997</v>
      </c>
      <c r="U551" s="940">
        <f t="shared" si="23"/>
        <v>86025.22</v>
      </c>
      <c r="V551" s="940">
        <f t="shared" si="23"/>
        <v>90022.28</v>
      </c>
      <c r="W551" s="940">
        <f t="shared" si="23"/>
        <v>78670.850000000006</v>
      </c>
      <c r="X551" s="940">
        <f t="shared" si="23"/>
        <v>81270.009999999995</v>
      </c>
      <c r="Y551" s="940">
        <f t="shared" si="23"/>
        <v>69871.62</v>
      </c>
      <c r="Z551" s="940">
        <f t="shared" si="23"/>
        <v>67262.340000000011</v>
      </c>
      <c r="AA551" s="940">
        <f t="shared" si="23"/>
        <v>68491.78</v>
      </c>
      <c r="AB551" s="940">
        <f t="shared" ref="AB551:AQ551" si="24">IF(ISNUMBER(AB4),(AB4-AB11)," ")</f>
        <v>67414.27</v>
      </c>
      <c r="AC551" s="940">
        <f t="shared" si="24"/>
        <v>73954.039999999994</v>
      </c>
      <c r="AD551" s="940">
        <f t="shared" si="24"/>
        <v>76225.279999999999</v>
      </c>
      <c r="AE551" s="940">
        <f t="shared" si="24"/>
        <v>87057.41</v>
      </c>
      <c r="AF551" s="940">
        <f t="shared" si="24"/>
        <v>80121.98000000001</v>
      </c>
      <c r="AG551" s="940">
        <f t="shared" si="24"/>
        <v>92030.33</v>
      </c>
      <c r="AH551" s="940">
        <f t="shared" si="24"/>
        <v>88376.19</v>
      </c>
      <c r="AI551" s="940">
        <f t="shared" si="24"/>
        <v>81097.98</v>
      </c>
      <c r="AJ551" s="940">
        <f t="shared" si="24"/>
        <v>76967.81</v>
      </c>
      <c r="AK551" s="940" t="str">
        <f t="shared" si="24"/>
        <v xml:space="preserve"> </v>
      </c>
      <c r="AL551" s="940" t="str">
        <f t="shared" si="24"/>
        <v xml:space="preserve"> </v>
      </c>
      <c r="AM551" s="940" t="str">
        <f t="shared" si="24"/>
        <v xml:space="preserve"> </v>
      </c>
      <c r="AN551" s="940" t="str">
        <f t="shared" si="24"/>
        <v xml:space="preserve"> </v>
      </c>
      <c r="AO551" s="940" t="str">
        <f t="shared" si="24"/>
        <v xml:space="preserve"> </v>
      </c>
      <c r="AP551" s="940" t="str">
        <f t="shared" si="24"/>
        <v xml:space="preserve"> </v>
      </c>
      <c r="AQ551" s="940" t="str">
        <f t="shared" si="24"/>
        <v xml:space="preserve"> </v>
      </c>
    </row>
    <row r="552" spans="2:43">
      <c r="B552" s="835" t="s">
        <v>1314</v>
      </c>
      <c r="C552" s="834">
        <f t="shared" ref="C552:AA552" si="25">IF(ISNUMBER(C4),(C3-C4)," ")</f>
        <v>824</v>
      </c>
      <c r="D552" s="834">
        <f t="shared" si="25"/>
        <v>1154</v>
      </c>
      <c r="E552" s="834">
        <f t="shared" si="25"/>
        <v>654</v>
      </c>
      <c r="F552" s="834">
        <f t="shared" si="25"/>
        <v>627</v>
      </c>
      <c r="G552" s="834">
        <f t="shared" si="25"/>
        <v>898</v>
      </c>
      <c r="H552" s="834">
        <f t="shared" si="25"/>
        <v>640</v>
      </c>
      <c r="I552" s="834">
        <f t="shared" si="25"/>
        <v>623</v>
      </c>
      <c r="J552" s="945">
        <f t="shared" si="25"/>
        <v>-2114</v>
      </c>
      <c r="K552" s="944">
        <f t="shared" si="25"/>
        <v>589</v>
      </c>
      <c r="L552" s="944">
        <f t="shared" si="25"/>
        <v>602.625</v>
      </c>
      <c r="M552" s="944">
        <f t="shared" si="25"/>
        <v>453.125</v>
      </c>
      <c r="N552" s="944">
        <f t="shared" si="25"/>
        <v>345.59999999999127</v>
      </c>
      <c r="O552" s="944">
        <f t="shared" si="25"/>
        <v>404.99000000000524</v>
      </c>
      <c r="P552" s="944">
        <f t="shared" si="25"/>
        <v>485.36999999999534</v>
      </c>
      <c r="Q552" s="944">
        <f t="shared" si="25"/>
        <v>638.4600000000064</v>
      </c>
      <c r="R552" s="944">
        <f t="shared" si="25"/>
        <v>564.73999999999069</v>
      </c>
      <c r="S552" s="944">
        <f t="shared" si="25"/>
        <v>857.60000000000582</v>
      </c>
      <c r="T552" s="944">
        <f t="shared" si="25"/>
        <v>691.7100000000064</v>
      </c>
      <c r="U552" s="944">
        <f t="shared" si="25"/>
        <v>658.94000000000233</v>
      </c>
      <c r="V552" s="944">
        <f t="shared" si="25"/>
        <v>711.15999999998894</v>
      </c>
      <c r="W552" s="944">
        <f t="shared" si="25"/>
        <v>-1072.1300000000047</v>
      </c>
      <c r="X552" s="944">
        <f t="shared" si="25"/>
        <v>-3279.3600000000006</v>
      </c>
      <c r="Y552" s="944">
        <f t="shared" si="25"/>
        <v>2164.2200000000012</v>
      </c>
      <c r="Z552" s="944">
        <f t="shared" si="25"/>
        <v>-327.68000000000757</v>
      </c>
      <c r="AA552" s="944">
        <f t="shared" si="25"/>
        <v>1306.6199999999953</v>
      </c>
      <c r="AB552" s="944">
        <f t="shared" ref="AB552:AQ552" si="26">IF(ISNUMBER(AB4),(AB3-AB4)," ")</f>
        <v>453.11999999999534</v>
      </c>
      <c r="AC552" s="944">
        <f t="shared" si="26"/>
        <v>168.4600000000064</v>
      </c>
      <c r="AD552" s="944">
        <f t="shared" si="26"/>
        <v>743.41999999999825</v>
      </c>
      <c r="AE552" s="944">
        <f t="shared" si="26"/>
        <v>671.74000000000524</v>
      </c>
      <c r="AF552" s="944">
        <f t="shared" si="26"/>
        <v>292.34999999999127</v>
      </c>
      <c r="AG552" s="944">
        <f t="shared" si="26"/>
        <v>-516.59999999999127</v>
      </c>
      <c r="AH552" s="944">
        <f t="shared" si="26"/>
        <v>1911.8099999999977</v>
      </c>
      <c r="AI552" s="944">
        <f t="shared" si="26"/>
        <v>-33.789999999993597</v>
      </c>
      <c r="AJ552" s="944">
        <f t="shared" si="26"/>
        <v>-77242.880000000005</v>
      </c>
      <c r="AK552" s="944" t="str">
        <f t="shared" si="26"/>
        <v xml:space="preserve"> </v>
      </c>
      <c r="AL552" s="944" t="str">
        <f t="shared" si="26"/>
        <v xml:space="preserve"> </v>
      </c>
      <c r="AM552" s="944" t="str">
        <f t="shared" si="26"/>
        <v xml:space="preserve"> </v>
      </c>
      <c r="AN552" s="944" t="str">
        <f t="shared" si="26"/>
        <v xml:space="preserve"> </v>
      </c>
      <c r="AO552" s="944" t="str">
        <f t="shared" si="26"/>
        <v xml:space="preserve"> </v>
      </c>
      <c r="AP552" s="944" t="str">
        <f t="shared" si="26"/>
        <v xml:space="preserve"> </v>
      </c>
      <c r="AQ552" s="944" t="str">
        <f t="shared" si="26"/>
        <v xml:space="preserve"> </v>
      </c>
    </row>
    <row r="553" spans="2:43">
      <c r="B553" s="832" t="s">
        <v>1315</v>
      </c>
      <c r="C553" s="833">
        <f t="shared" ref="C553:AA553" si="27">IF(ISNUMBER(C27),(C27-C36-C37)," ")</f>
        <v>370</v>
      </c>
      <c r="D553" s="833">
        <f t="shared" si="27"/>
        <v>5</v>
      </c>
      <c r="E553" s="833">
        <f t="shared" si="27"/>
        <v>251</v>
      </c>
      <c r="F553" s="950">
        <f t="shared" si="27"/>
        <v>-179</v>
      </c>
      <c r="G553" s="833">
        <f t="shared" si="27"/>
        <v>562</v>
      </c>
      <c r="H553" s="950">
        <f t="shared" si="27"/>
        <v>-6920</v>
      </c>
      <c r="I553" s="950">
        <f t="shared" si="27"/>
        <v>-152</v>
      </c>
      <c r="J553" s="950">
        <f t="shared" si="27"/>
        <v>-824</v>
      </c>
      <c r="K553" s="950">
        <f t="shared" si="27"/>
        <v>-514</v>
      </c>
      <c r="L553" s="950">
        <f t="shared" si="27"/>
        <v>-899.703125</v>
      </c>
      <c r="M553" s="833">
        <f t="shared" si="27"/>
        <v>299.6484375</v>
      </c>
      <c r="N553" s="833">
        <f t="shared" si="27"/>
        <v>50.930000000014843</v>
      </c>
      <c r="O553" s="833">
        <f t="shared" si="27"/>
        <v>399.49000000001979</v>
      </c>
      <c r="P553" s="950">
        <f t="shared" si="27"/>
        <v>154.23999999999069</v>
      </c>
      <c r="Q553" s="833">
        <f t="shared" si="27"/>
        <v>121.21000000002095</v>
      </c>
      <c r="R553" s="950">
        <f t="shared" si="27"/>
        <v>-1916.2799999999988</v>
      </c>
      <c r="S553" s="833">
        <f t="shared" si="27"/>
        <v>116.08000000000902</v>
      </c>
      <c r="T553" s="950">
        <f t="shared" si="27"/>
        <v>308.99999999998545</v>
      </c>
      <c r="U553" s="833">
        <f t="shared" si="27"/>
        <v>-701.5800000000163</v>
      </c>
      <c r="V553" s="950">
        <f t="shared" si="27"/>
        <v>-669.94999999999709</v>
      </c>
      <c r="W553" s="833">
        <f t="shared" si="27"/>
        <v>341.5</v>
      </c>
      <c r="X553" s="950">
        <f t="shared" si="27"/>
        <v>337.79999999998836</v>
      </c>
      <c r="Y553" s="833">
        <f t="shared" si="27"/>
        <v>182.52000000000407</v>
      </c>
      <c r="Z553" s="950">
        <f t="shared" si="27"/>
        <v>-164.10000000000582</v>
      </c>
      <c r="AA553" s="833">
        <f t="shared" si="27"/>
        <v>173.05000000000291</v>
      </c>
      <c r="AB553" s="833">
        <f t="shared" ref="AB553:AQ553" si="28">IF(ISNUMBER(AB27),(AB27-AB36-AB37)," ")</f>
        <v>162.82000000000698</v>
      </c>
      <c r="AC553" s="950">
        <f t="shared" si="28"/>
        <v>268.29000000000815</v>
      </c>
      <c r="AD553" s="833">
        <f t="shared" si="28"/>
        <v>-88.579999999987194</v>
      </c>
      <c r="AE553" s="833">
        <f t="shared" si="28"/>
        <v>-879.61000000000058</v>
      </c>
      <c r="AF553" s="950">
        <f t="shared" si="28"/>
        <v>205.56999999999243</v>
      </c>
      <c r="AG553" s="833">
        <f t="shared" si="28"/>
        <v>-2264.830000000009</v>
      </c>
      <c r="AH553" s="833">
        <f t="shared" si="28"/>
        <v>-2711.0500000000029</v>
      </c>
      <c r="AI553" s="950">
        <f t="shared" si="28"/>
        <v>88.840000000003783</v>
      </c>
      <c r="AJ553" s="833">
        <f t="shared" si="28"/>
        <v>208.36999999999534</v>
      </c>
      <c r="AK553" s="833" t="str">
        <f t="shared" si="28"/>
        <v xml:space="preserve"> </v>
      </c>
      <c r="AL553" s="950" t="str">
        <f t="shared" si="28"/>
        <v xml:space="preserve"> </v>
      </c>
      <c r="AM553" s="833" t="str">
        <f t="shared" si="28"/>
        <v xml:space="preserve"> </v>
      </c>
      <c r="AN553" s="833" t="str">
        <f t="shared" si="28"/>
        <v xml:space="preserve"> </v>
      </c>
      <c r="AO553" s="950" t="str">
        <f t="shared" si="28"/>
        <v xml:space="preserve"> </v>
      </c>
      <c r="AP553" s="833" t="str">
        <f t="shared" si="28"/>
        <v xml:space="preserve"> </v>
      </c>
      <c r="AQ553" s="833" t="str">
        <f t="shared" si="28"/>
        <v xml:space="preserve"> </v>
      </c>
    </row>
    <row r="554" spans="2:43" s="473" customFormat="1">
      <c r="B554" s="943"/>
      <c r="C554" s="946"/>
      <c r="D554" s="946"/>
      <c r="E554" s="946"/>
      <c r="F554" s="946"/>
      <c r="G554" s="946"/>
      <c r="H554" s="946"/>
      <c r="I554" s="946"/>
      <c r="J554" s="946"/>
      <c r="K554" s="947"/>
      <c r="L554" s="947"/>
      <c r="M554" s="947"/>
      <c r="N554" s="947"/>
      <c r="O554" s="947"/>
      <c r="P554" s="947"/>
      <c r="Q554" s="947"/>
      <c r="R554" s="947"/>
      <c r="S554" s="947"/>
      <c r="T554" s="947"/>
      <c r="U554" s="947"/>
      <c r="V554" s="947"/>
      <c r="W554" s="947"/>
      <c r="X554" s="947"/>
      <c r="Y554" s="947"/>
      <c r="Z554" s="947"/>
      <c r="AA554" s="947"/>
      <c r="AB554" s="947"/>
      <c r="AC554" s="947"/>
      <c r="AD554" s="947"/>
      <c r="AE554" s="947"/>
      <c r="AF554" s="947"/>
      <c r="AG554" s="947"/>
      <c r="AH554" s="947"/>
      <c r="AI554" s="947"/>
      <c r="AJ554" s="947"/>
      <c r="AK554" s="947"/>
      <c r="AL554" s="947"/>
      <c r="AM554" s="947"/>
      <c r="AN554" s="947"/>
      <c r="AO554" s="947"/>
      <c r="AP554" s="947"/>
      <c r="AQ554" s="947"/>
    </row>
    <row r="555" spans="2:43">
      <c r="B555" s="839" t="s">
        <v>1316</v>
      </c>
      <c r="C555" s="952">
        <v>0</v>
      </c>
      <c r="D555" s="952">
        <v>31430</v>
      </c>
      <c r="E555" s="952">
        <v>2083</v>
      </c>
      <c r="F555" s="952">
        <v>4772</v>
      </c>
      <c r="G555" s="952">
        <v>5386</v>
      </c>
      <c r="H555" s="952">
        <v>5184</v>
      </c>
      <c r="I555" s="952">
        <v>5000</v>
      </c>
      <c r="J555" s="952">
        <v>6497</v>
      </c>
      <c r="K555" s="952">
        <v>5209</v>
      </c>
      <c r="L555" s="956">
        <v>5644</v>
      </c>
      <c r="M555" s="956">
        <f t="shared" ref="M555:AA555" si="29">IF(ISNUMBER(M506),(M506-L506)," ")</f>
        <v>5582</v>
      </c>
      <c r="N555" s="956">
        <f t="shared" si="29"/>
        <v>5100</v>
      </c>
      <c r="O555" s="956">
        <f t="shared" si="29"/>
        <v>5893</v>
      </c>
      <c r="P555" s="956">
        <f t="shared" si="29"/>
        <v>5100</v>
      </c>
      <c r="Q555" s="956">
        <f t="shared" si="29"/>
        <v>5855</v>
      </c>
      <c r="R555" s="956">
        <f t="shared" si="29"/>
        <v>5522</v>
      </c>
      <c r="S555" s="956">
        <f t="shared" si="29"/>
        <v>5344</v>
      </c>
      <c r="T555" s="956">
        <f t="shared" si="29"/>
        <v>5010</v>
      </c>
      <c r="U555" s="956">
        <f t="shared" si="29"/>
        <v>5547</v>
      </c>
      <c r="V555" s="956">
        <f t="shared" si="29"/>
        <v>5450</v>
      </c>
      <c r="W555" s="956">
        <f t="shared" si="29"/>
        <v>5200</v>
      </c>
      <c r="X555" s="956">
        <f t="shared" si="29"/>
        <v>5332</v>
      </c>
      <c r="Y555" s="956">
        <f t="shared" si="29"/>
        <v>4862</v>
      </c>
      <c r="Z555" s="1066">
        <f t="shared" si="29"/>
        <v>5000</v>
      </c>
      <c r="AA555" s="956">
        <f t="shared" si="29"/>
        <v>2374</v>
      </c>
      <c r="AB555" s="956">
        <f t="shared" ref="AB555:AB557" si="30">IF(ISNUMBER(AB506),(AB506-AA506)," ")</f>
        <v>7294</v>
      </c>
      <c r="AC555" s="956">
        <f t="shared" ref="AC555:AC557" si="31">IF(ISNUMBER(AC506),(AC506-AB506)," ")</f>
        <v>5534</v>
      </c>
      <c r="AD555" s="956">
        <f t="shared" ref="AD555:AD557" si="32">IF(ISNUMBER(AD506),(AD506-AC506)," ")</f>
        <v>5100</v>
      </c>
      <c r="AE555" s="956">
        <f t="shared" ref="AE555:AE557" si="33">IF(ISNUMBER(AE506),(AE506-AD506)," ")</f>
        <v>5344</v>
      </c>
      <c r="AF555" s="956">
        <f t="shared" ref="AF555:AF557" si="34">IF(ISNUMBER(AF506),(AF506-AE506)," ")</f>
        <v>5010</v>
      </c>
      <c r="AG555" s="956">
        <f>IF(ISNUMBER(AG506),(AG506-AF506)," ")</f>
        <v>5000</v>
      </c>
      <c r="AH555" s="956">
        <f>IF(ISNUMBER(AH506),(AH506-AG506)," ")</f>
        <v>5000</v>
      </c>
      <c r="AI555" s="956">
        <f>IF(ISNUMBER(AI506),(AI506-AH506)," ")</f>
        <v>5000</v>
      </c>
      <c r="AJ555" s="956" t="str">
        <f t="shared" ref="AJ555:AJ557" si="35">IF(ISNUMBER(AJ506),(AJ506-AI506)," ")</f>
        <v xml:space="preserve"> </v>
      </c>
      <c r="AK555" s="956" t="str">
        <f t="shared" ref="AK555:AK557" si="36">IF(ISNUMBER(AK506),(AK506-AJ506)," ")</f>
        <v xml:space="preserve"> </v>
      </c>
      <c r="AL555" s="956" t="str">
        <f t="shared" ref="AL555:AL557" si="37">IF(ISNUMBER(AL506),(AL506-AK506)," ")</f>
        <v xml:space="preserve"> </v>
      </c>
      <c r="AM555" s="956" t="str">
        <f t="shared" ref="AM555:AM557" si="38">IF(ISNUMBER(AM506),(AM506-AL506)," ")</f>
        <v xml:space="preserve"> </v>
      </c>
      <c r="AN555" s="956" t="str">
        <f t="shared" ref="AN555:AN557" si="39">IF(ISNUMBER(AN506),(AN506-AM506)," ")</f>
        <v xml:space="preserve"> </v>
      </c>
      <c r="AO555" s="956" t="str">
        <f t="shared" ref="AO555:AO557" si="40">IF(ISNUMBER(AO506),(AO506-AN506)," ")</f>
        <v xml:space="preserve"> </v>
      </c>
      <c r="AP555" s="956" t="str">
        <f t="shared" ref="AP555:AP557" si="41">IF(ISNUMBER(AP506),(AP506-AO506)," ")</f>
        <v xml:space="preserve"> </v>
      </c>
      <c r="AQ555" s="956" t="str">
        <f t="shared" ref="AQ555:AQ557" si="42">IF(ISNUMBER(AQ506),(AQ506-AP506)," ")</f>
        <v xml:space="preserve"> </v>
      </c>
    </row>
    <row r="556" spans="2:43">
      <c r="B556" s="837" t="s">
        <v>1271</v>
      </c>
      <c r="C556" s="951">
        <v>9193</v>
      </c>
      <c r="D556" s="951">
        <v>9431</v>
      </c>
      <c r="E556" s="951">
        <v>10750</v>
      </c>
      <c r="F556" s="951">
        <v>6399</v>
      </c>
      <c r="G556" s="951">
        <v>3631</v>
      </c>
      <c r="H556" s="951">
        <v>3282</v>
      </c>
      <c r="I556" s="951">
        <v>3391</v>
      </c>
      <c r="J556" s="951">
        <v>2350</v>
      </c>
      <c r="K556" s="951">
        <v>3620</v>
      </c>
      <c r="L556" s="955">
        <v>3605</v>
      </c>
      <c r="M556" s="955">
        <f t="shared" ref="M556:AA556" si="43">IF(ISNUMBER(M507),(M507-L507)," ")</f>
        <v>9883</v>
      </c>
      <c r="N556" s="955">
        <f t="shared" si="43"/>
        <v>9341</v>
      </c>
      <c r="O556" s="955">
        <f t="shared" si="43"/>
        <v>14004</v>
      </c>
      <c r="P556" s="955">
        <f t="shared" si="43"/>
        <v>12532</v>
      </c>
      <c r="Q556" s="955">
        <f t="shared" si="43"/>
        <v>12705</v>
      </c>
      <c r="R556" s="955">
        <f t="shared" si="43"/>
        <v>6109</v>
      </c>
      <c r="S556" s="955">
        <f t="shared" si="43"/>
        <v>7052</v>
      </c>
      <c r="T556" s="955">
        <f t="shared" si="43"/>
        <v>2914</v>
      </c>
      <c r="U556" s="955">
        <f t="shared" si="43"/>
        <v>3052</v>
      </c>
      <c r="V556" s="955">
        <f t="shared" si="43"/>
        <v>3006</v>
      </c>
      <c r="W556" s="955">
        <f t="shared" si="43"/>
        <v>5771</v>
      </c>
      <c r="X556" s="955">
        <f t="shared" si="43"/>
        <v>5336</v>
      </c>
      <c r="Y556" s="955">
        <f t="shared" si="43"/>
        <v>5602</v>
      </c>
      <c r="Z556" s="955">
        <f t="shared" si="43"/>
        <v>8880</v>
      </c>
      <c r="AA556" s="955">
        <f t="shared" si="43"/>
        <v>8702</v>
      </c>
      <c r="AB556" s="955">
        <f t="shared" si="30"/>
        <v>10458</v>
      </c>
      <c r="AC556" s="955">
        <f t="shared" si="31"/>
        <v>4588</v>
      </c>
      <c r="AD556" s="955">
        <f t="shared" si="32"/>
        <v>5006</v>
      </c>
      <c r="AE556" s="955">
        <f t="shared" si="33"/>
        <v>3171</v>
      </c>
      <c r="AF556" s="955">
        <f t="shared" si="34"/>
        <v>2605</v>
      </c>
      <c r="AG556" s="955">
        <f t="shared" ref="AG556:AG557" si="44">IF(ISNUMBER(AG507),(AG507-AF507)," ")</f>
        <v>3477</v>
      </c>
      <c r="AH556" s="955">
        <f t="shared" ref="AH556:AH557" si="45">IF(ISNUMBER(AH507),(AH507-AG507)," ")</f>
        <v>2151</v>
      </c>
      <c r="AI556" s="955">
        <f t="shared" ref="AI556" si="46">IF(ISNUMBER(AI507),(AI507-AH507)," ")</f>
        <v>4099</v>
      </c>
      <c r="AJ556" s="955">
        <f t="shared" si="35"/>
        <v>6563</v>
      </c>
      <c r="AK556" s="955" t="str">
        <f t="shared" si="36"/>
        <v xml:space="preserve"> </v>
      </c>
      <c r="AL556" s="955" t="str">
        <f t="shared" si="37"/>
        <v xml:space="preserve"> </v>
      </c>
      <c r="AM556" s="955" t="str">
        <f t="shared" si="38"/>
        <v xml:space="preserve"> </v>
      </c>
      <c r="AN556" s="955" t="str">
        <f t="shared" si="39"/>
        <v xml:space="preserve"> </v>
      </c>
      <c r="AO556" s="955" t="str">
        <f t="shared" si="40"/>
        <v xml:space="preserve"> </v>
      </c>
      <c r="AP556" s="955" t="str">
        <f t="shared" si="41"/>
        <v xml:space="preserve"> </v>
      </c>
      <c r="AQ556" s="955" t="str">
        <f t="shared" si="42"/>
        <v xml:space="preserve"> </v>
      </c>
    </row>
    <row r="557" spans="2:43" s="473" customFormat="1">
      <c r="B557" s="839" t="s">
        <v>1272</v>
      </c>
      <c r="C557" s="952">
        <v>8202</v>
      </c>
      <c r="D557" s="952">
        <v>10900</v>
      </c>
      <c r="E557" s="952">
        <v>11775</v>
      </c>
      <c r="F557" s="952">
        <v>6574</v>
      </c>
      <c r="G557" s="952">
        <v>5977</v>
      </c>
      <c r="H557" s="952">
        <v>2498</v>
      </c>
      <c r="I557" s="952">
        <v>2262</v>
      </c>
      <c r="J557" s="952">
        <v>3290</v>
      </c>
      <c r="K557" s="952">
        <v>3158</v>
      </c>
      <c r="L557" s="956">
        <v>6224</v>
      </c>
      <c r="M557" s="956">
        <f t="shared" ref="M557:AA557" si="47">IF(ISNUMBER(M508),(M508-L508)," ")</f>
        <v>9892</v>
      </c>
      <c r="N557" s="956">
        <f t="shared" si="47"/>
        <v>10683</v>
      </c>
      <c r="O557" s="956">
        <f t="shared" si="47"/>
        <v>16551</v>
      </c>
      <c r="P557" s="956">
        <f t="shared" si="47"/>
        <v>19710</v>
      </c>
      <c r="Q557" s="956">
        <f t="shared" si="47"/>
        <v>10331</v>
      </c>
      <c r="R557" s="956">
        <f t="shared" si="47"/>
        <v>5552</v>
      </c>
      <c r="S557" s="956">
        <f t="shared" si="47"/>
        <v>4031</v>
      </c>
      <c r="T557" s="956">
        <f t="shared" si="47"/>
        <v>3653</v>
      </c>
      <c r="U557" s="956">
        <f t="shared" si="47"/>
        <v>3626</v>
      </c>
      <c r="V557" s="956">
        <f t="shared" si="47"/>
        <v>3458</v>
      </c>
      <c r="W557" s="956">
        <f t="shared" si="47"/>
        <v>5148</v>
      </c>
      <c r="X557" s="956">
        <f t="shared" si="47"/>
        <v>7245</v>
      </c>
      <c r="Y557" s="956">
        <f t="shared" si="47"/>
        <v>5614</v>
      </c>
      <c r="Z557" s="956">
        <f t="shared" si="47"/>
        <v>9029</v>
      </c>
      <c r="AA557" s="956">
        <f t="shared" si="47"/>
        <v>8514</v>
      </c>
      <c r="AB557" s="956">
        <f t="shared" si="30"/>
        <v>9927</v>
      </c>
      <c r="AC557" s="956">
        <f t="shared" si="31"/>
        <v>6137</v>
      </c>
      <c r="AD557" s="956">
        <f t="shared" si="32"/>
        <v>4790</v>
      </c>
      <c r="AE557" s="956">
        <f t="shared" si="33"/>
        <v>2808</v>
      </c>
      <c r="AF557" s="956">
        <f t="shared" si="34"/>
        <v>1226</v>
      </c>
      <c r="AG557" s="956">
        <f t="shared" si="44"/>
        <v>3114</v>
      </c>
      <c r="AH557" s="956">
        <f t="shared" si="45"/>
        <v>3155</v>
      </c>
      <c r="AI557" s="956">
        <f>IF(ISNUMBER(AI508),(AI508-AH508)," ")</f>
        <v>3422</v>
      </c>
      <c r="AJ557" s="956">
        <f t="shared" si="35"/>
        <v>5119</v>
      </c>
      <c r="AK557" s="956" t="str">
        <f t="shared" si="36"/>
        <v xml:space="preserve"> </v>
      </c>
      <c r="AL557" s="956" t="str">
        <f t="shared" si="37"/>
        <v xml:space="preserve"> </v>
      </c>
      <c r="AM557" s="956" t="str">
        <f t="shared" si="38"/>
        <v xml:space="preserve"> </v>
      </c>
      <c r="AN557" s="956" t="str">
        <f t="shared" si="39"/>
        <v xml:space="preserve"> </v>
      </c>
      <c r="AO557" s="956" t="str">
        <f t="shared" si="40"/>
        <v xml:space="preserve"> </v>
      </c>
      <c r="AP557" s="956" t="str">
        <f t="shared" si="41"/>
        <v xml:space="preserve"> </v>
      </c>
      <c r="AQ557" s="956" t="str">
        <f t="shared" si="42"/>
        <v xml:space="preserve"> </v>
      </c>
    </row>
    <row r="558" spans="2:43">
      <c r="B558" s="941" t="s">
        <v>1317</v>
      </c>
      <c r="C558" s="942">
        <f t="shared" ref="C558:AA558" si="48">IF(ISNUMBER(C45),(C45-C46-C47)," ")</f>
        <v>10876</v>
      </c>
      <c r="D558" s="942">
        <f t="shared" si="48"/>
        <v>10018</v>
      </c>
      <c r="E558" s="942">
        <f t="shared" si="48"/>
        <v>13648</v>
      </c>
      <c r="F558" s="942">
        <f t="shared" si="48"/>
        <v>11082</v>
      </c>
      <c r="G558" s="942">
        <f t="shared" si="48"/>
        <v>13187</v>
      </c>
      <c r="H558" s="942">
        <f t="shared" si="48"/>
        <v>12986</v>
      </c>
      <c r="I558" s="942">
        <f t="shared" si="48"/>
        <v>15135</v>
      </c>
      <c r="J558" s="942">
        <f t="shared" si="48"/>
        <v>14395</v>
      </c>
      <c r="K558" s="940">
        <f t="shared" si="48"/>
        <v>14037</v>
      </c>
      <c r="L558" s="940">
        <f t="shared" si="48"/>
        <v>11936.27099609375</v>
      </c>
      <c r="M558" s="940">
        <f t="shared" si="48"/>
        <v>9558.3681640625</v>
      </c>
      <c r="N558" s="940">
        <f t="shared" si="48"/>
        <v>8910.739999999998</v>
      </c>
      <c r="O558" s="940">
        <f t="shared" si="48"/>
        <v>8379.15</v>
      </c>
      <c r="P558" s="940">
        <f t="shared" si="48"/>
        <v>8755.92</v>
      </c>
      <c r="Q558" s="940">
        <f t="shared" si="48"/>
        <v>11696.72</v>
      </c>
      <c r="R558" s="940">
        <f t="shared" si="48"/>
        <v>11241.11</v>
      </c>
      <c r="S558" s="940">
        <f t="shared" si="48"/>
        <v>13797.05</v>
      </c>
      <c r="T558" s="940">
        <f t="shared" si="48"/>
        <v>12981.030000000002</v>
      </c>
      <c r="U558" s="940">
        <f t="shared" si="48"/>
        <v>14242.82</v>
      </c>
      <c r="V558" s="940">
        <f t="shared" si="48"/>
        <v>15069.559999999998</v>
      </c>
      <c r="W558" s="940">
        <f t="shared" si="48"/>
        <v>13125.279999999999</v>
      </c>
      <c r="X558" s="940">
        <f t="shared" si="48"/>
        <v>12061.07</v>
      </c>
      <c r="Y558" s="940">
        <f t="shared" si="48"/>
        <v>10541.46</v>
      </c>
      <c r="Z558" s="940">
        <f t="shared" si="48"/>
        <v>8894.26</v>
      </c>
      <c r="AA558" s="940">
        <f t="shared" si="48"/>
        <v>9345.68</v>
      </c>
      <c r="AB558" s="940">
        <f t="shared" ref="AB558:AQ558" si="49">IF(ISNUMBER(AB45),(AB45-AB46-AB47)," ")</f>
        <v>10425.310000000001</v>
      </c>
      <c r="AC558" s="940">
        <f t="shared" si="49"/>
        <v>11898.509999999998</v>
      </c>
      <c r="AD558" s="940">
        <f t="shared" si="49"/>
        <v>12016.05</v>
      </c>
      <c r="AE558" s="940">
        <f t="shared" si="49"/>
        <v>13643.66</v>
      </c>
      <c r="AF558" s="940">
        <f t="shared" si="49"/>
        <v>11547.640000000001</v>
      </c>
      <c r="AG558" s="940">
        <f t="shared" si="49"/>
        <v>13302.56</v>
      </c>
      <c r="AH558" s="940">
        <f t="shared" si="49"/>
        <v>13596.88</v>
      </c>
      <c r="AI558" s="940">
        <f t="shared" si="49"/>
        <v>12857.780000000002</v>
      </c>
      <c r="AJ558" s="940">
        <f t="shared" si="49"/>
        <v>3277.119999999999</v>
      </c>
      <c r="AK558" s="940" t="str">
        <f t="shared" si="49"/>
        <v xml:space="preserve"> </v>
      </c>
      <c r="AL558" s="940" t="str">
        <f t="shared" si="49"/>
        <v xml:space="preserve"> </v>
      </c>
      <c r="AM558" s="940" t="str">
        <f t="shared" si="49"/>
        <v xml:space="preserve"> </v>
      </c>
      <c r="AN558" s="940" t="str">
        <f t="shared" si="49"/>
        <v xml:space="preserve"> </v>
      </c>
      <c r="AO558" s="940" t="str">
        <f t="shared" si="49"/>
        <v xml:space="preserve"> </v>
      </c>
      <c r="AP558" s="940" t="str">
        <f t="shared" si="49"/>
        <v xml:space="preserve"> </v>
      </c>
      <c r="AQ558" s="940" t="str">
        <f t="shared" si="49"/>
        <v xml:space="preserve"> </v>
      </c>
    </row>
    <row r="559" spans="2:43">
      <c r="B559" s="943" t="s">
        <v>1318</v>
      </c>
      <c r="C559" s="946">
        <f t="shared" ref="C559:AA559" si="50">IF(ISNUMBER(C45),(C44-C45-C48)," ")</f>
        <v>37769</v>
      </c>
      <c r="D559" s="946">
        <f t="shared" si="50"/>
        <v>32364</v>
      </c>
      <c r="E559" s="946">
        <f t="shared" si="50"/>
        <v>36705</v>
      </c>
      <c r="F559" s="946">
        <f t="shared" si="50"/>
        <v>32775</v>
      </c>
      <c r="G559" s="946">
        <f t="shared" si="50"/>
        <v>33693</v>
      </c>
      <c r="H559" s="946">
        <f t="shared" si="50"/>
        <v>32145</v>
      </c>
      <c r="I559" s="946">
        <f t="shared" si="50"/>
        <v>33035</v>
      </c>
      <c r="J559" s="946">
        <f t="shared" si="50"/>
        <v>35357</v>
      </c>
      <c r="K559" s="947">
        <f t="shared" si="50"/>
        <v>36218</v>
      </c>
      <c r="L559" s="947">
        <f t="shared" si="50"/>
        <v>37285.2490234375</v>
      </c>
      <c r="M559" s="947">
        <f t="shared" si="50"/>
        <v>36794.4951171875</v>
      </c>
      <c r="N559" s="947">
        <f t="shared" si="50"/>
        <v>39010.810000000005</v>
      </c>
      <c r="O559" s="947">
        <f t="shared" si="50"/>
        <v>41309.439999999995</v>
      </c>
      <c r="P559" s="947">
        <f t="shared" si="50"/>
        <v>37607.299999999996</v>
      </c>
      <c r="Q559" s="947">
        <f t="shared" si="50"/>
        <v>40010.11</v>
      </c>
      <c r="R559" s="947">
        <f t="shared" si="50"/>
        <v>35689.47</v>
      </c>
      <c r="S559" s="947">
        <f t="shared" si="50"/>
        <v>36744.320000000007</v>
      </c>
      <c r="T559" s="947">
        <f t="shared" si="50"/>
        <v>35090.31</v>
      </c>
      <c r="U559" s="947">
        <f t="shared" si="50"/>
        <v>36819.46</v>
      </c>
      <c r="V559" s="947">
        <f t="shared" si="50"/>
        <v>38383.619999999995</v>
      </c>
      <c r="W559" s="947">
        <f t="shared" si="50"/>
        <v>37398.390000000007</v>
      </c>
      <c r="X559" s="947">
        <f t="shared" si="50"/>
        <v>39200</v>
      </c>
      <c r="Y559" s="947">
        <f t="shared" si="50"/>
        <v>38050.939999999995</v>
      </c>
      <c r="Z559" s="947">
        <f t="shared" si="50"/>
        <v>39232.629999999997</v>
      </c>
      <c r="AA559" s="947">
        <f t="shared" si="50"/>
        <v>41107.97</v>
      </c>
      <c r="AB559" s="947">
        <f t="shared" ref="AB559:AQ559" si="51">IF(ISNUMBER(AB45),(AB44-AB45-AB48)," ")</f>
        <v>38292.850000000006</v>
      </c>
      <c r="AC559" s="947">
        <f t="shared" si="51"/>
        <v>34513.409999999989</v>
      </c>
      <c r="AD559" s="947">
        <f t="shared" si="51"/>
        <v>32493.569999999996</v>
      </c>
      <c r="AE559" s="947">
        <f t="shared" si="51"/>
        <v>34594.680000000008</v>
      </c>
      <c r="AF559" s="947">
        <f t="shared" si="51"/>
        <v>32396.679999999989</v>
      </c>
      <c r="AG559" s="947">
        <f t="shared" si="51"/>
        <v>34997.12000000001</v>
      </c>
      <c r="AH559" s="947">
        <f t="shared" si="51"/>
        <v>32691.959999999992</v>
      </c>
      <c r="AI559" s="947">
        <f t="shared" si="51"/>
        <v>34010.11</v>
      </c>
      <c r="AJ559" s="947">
        <f t="shared" si="51"/>
        <v>62235.640000000007</v>
      </c>
      <c r="AK559" s="947" t="str">
        <f t="shared" si="51"/>
        <v xml:space="preserve"> </v>
      </c>
      <c r="AL559" s="947" t="str">
        <f t="shared" si="51"/>
        <v xml:space="preserve"> </v>
      </c>
      <c r="AM559" s="947" t="str">
        <f t="shared" si="51"/>
        <v xml:space="preserve"> </v>
      </c>
      <c r="AN559" s="947" t="str">
        <f t="shared" si="51"/>
        <v xml:space="preserve"> </v>
      </c>
      <c r="AO559" s="947" t="str">
        <f t="shared" si="51"/>
        <v xml:space="preserve"> </v>
      </c>
      <c r="AP559" s="947" t="str">
        <f t="shared" si="51"/>
        <v xml:space="preserve"> </v>
      </c>
      <c r="AQ559" s="947" t="str">
        <f t="shared" si="51"/>
        <v xml:space="preserve"> </v>
      </c>
    </row>
    <row r="560" spans="2:43">
      <c r="B560" s="939" t="s">
        <v>1319</v>
      </c>
      <c r="C560" s="940">
        <v>127748</v>
      </c>
      <c r="D560" s="940">
        <v>117146</v>
      </c>
      <c r="E560" s="940">
        <v>134855</v>
      </c>
      <c r="F560" s="940">
        <v>129467</v>
      </c>
      <c r="G560" s="940">
        <v>137229</v>
      </c>
      <c r="H560" s="940">
        <v>133950</v>
      </c>
      <c r="I560" s="940">
        <v>135861</v>
      </c>
      <c r="J560" s="940">
        <v>135071</v>
      </c>
      <c r="K560" s="940">
        <v>127943</v>
      </c>
      <c r="L560" s="940">
        <v>135458.041015625</v>
      </c>
      <c r="M560" s="940">
        <v>131964.16015625</v>
      </c>
      <c r="N560" s="940">
        <f t="shared" ref="N560:AA560" si="52">IF(ISNUMBER(N49),(N49-N50)," ")</f>
        <v>136195.59000000003</v>
      </c>
      <c r="O560" s="940">
        <f t="shared" si="52"/>
        <v>142502.65999999997</v>
      </c>
      <c r="P560" s="940">
        <f t="shared" si="52"/>
        <v>129993.47</v>
      </c>
      <c r="Q560" s="940">
        <f t="shared" si="52"/>
        <v>148823.04000000001</v>
      </c>
      <c r="R560" s="940">
        <f t="shared" si="52"/>
        <v>139961.60000000001</v>
      </c>
      <c r="S560" s="940">
        <f t="shared" si="52"/>
        <v>146054.14000000001</v>
      </c>
      <c r="T560" s="940">
        <f t="shared" si="52"/>
        <v>142425.84999999998</v>
      </c>
      <c r="U560" s="940">
        <f t="shared" si="52"/>
        <v>145802.25</v>
      </c>
      <c r="V560" s="940">
        <f t="shared" si="52"/>
        <v>143569.14000000001</v>
      </c>
      <c r="W560" s="940">
        <f t="shared" si="52"/>
        <v>141108.23000000001</v>
      </c>
      <c r="X560" s="940">
        <f t="shared" si="52"/>
        <v>141125.38</v>
      </c>
      <c r="Y560" s="940">
        <f t="shared" si="52"/>
        <v>145808.39000000001</v>
      </c>
      <c r="Z560" s="940">
        <f t="shared" si="52"/>
        <v>153152.25999999998</v>
      </c>
      <c r="AA560" s="940">
        <f t="shared" si="52"/>
        <v>152384.76999999999</v>
      </c>
      <c r="AB560" s="940">
        <f t="shared" ref="AB560:AQ560" si="53">IF(ISNUMBER(AB49),(AB49-AB50)," ")</f>
        <v>141760.76</v>
      </c>
      <c r="AC560" s="940">
        <f t="shared" si="53"/>
        <v>150091</v>
      </c>
      <c r="AD560" s="940">
        <f t="shared" si="53"/>
        <v>143823.11000000002</v>
      </c>
      <c r="AE560" s="940">
        <f t="shared" si="53"/>
        <v>149721.59999999998</v>
      </c>
      <c r="AF560" s="940">
        <f t="shared" si="53"/>
        <v>145358.59000000003</v>
      </c>
      <c r="AG560" s="940">
        <f t="shared" si="53"/>
        <v>153205.5</v>
      </c>
      <c r="AH560" s="940">
        <f t="shared" si="53"/>
        <v>152299.25999999998</v>
      </c>
      <c r="AI560" s="940">
        <f t="shared" si="53"/>
        <v>146707.71</v>
      </c>
      <c r="AJ560" s="940">
        <f t="shared" si="53"/>
        <v>168395.51999999999</v>
      </c>
      <c r="AK560" s="940" t="str">
        <f t="shared" si="53"/>
        <v xml:space="preserve"> </v>
      </c>
      <c r="AL560" s="940" t="str">
        <f t="shared" si="53"/>
        <v xml:space="preserve"> </v>
      </c>
      <c r="AM560" s="940" t="str">
        <f t="shared" si="53"/>
        <v xml:space="preserve"> </v>
      </c>
      <c r="AN560" s="940" t="str">
        <f t="shared" si="53"/>
        <v xml:space="preserve"> </v>
      </c>
      <c r="AO560" s="940" t="str">
        <f t="shared" si="53"/>
        <v xml:space="preserve"> </v>
      </c>
      <c r="AP560" s="940" t="str">
        <f t="shared" si="53"/>
        <v xml:space="preserve"> </v>
      </c>
      <c r="AQ560" s="940" t="str">
        <f t="shared" si="53"/>
        <v xml:space="preserve"> </v>
      </c>
    </row>
    <row r="561" spans="2:43" s="473" customFormat="1">
      <c r="B561" s="835" t="s">
        <v>1320</v>
      </c>
      <c r="C561" s="834">
        <f t="shared" ref="C561:AQ561" si="54">IF(ISNUMBER(C51),(C560-C51-C52-C53-C54-C55)," ")</f>
        <v>104497</v>
      </c>
      <c r="D561" s="834">
        <f t="shared" si="54"/>
        <v>96541</v>
      </c>
      <c r="E561" s="834">
        <f t="shared" si="54"/>
        <v>109663</v>
      </c>
      <c r="F561" s="834">
        <f t="shared" si="54"/>
        <v>106485</v>
      </c>
      <c r="G561" s="834">
        <f t="shared" si="54"/>
        <v>113743</v>
      </c>
      <c r="H561" s="834">
        <f t="shared" si="54"/>
        <v>112650</v>
      </c>
      <c r="I561" s="834">
        <f t="shared" si="54"/>
        <v>117574</v>
      </c>
      <c r="J561" s="834">
        <f t="shared" si="54"/>
        <v>115392</v>
      </c>
      <c r="K561" s="944">
        <f t="shared" si="54"/>
        <v>109931</v>
      </c>
      <c r="L561" s="944">
        <f t="shared" si="54"/>
        <v>115794.50073242188</v>
      </c>
      <c r="M561" s="944">
        <f t="shared" si="54"/>
        <v>110193.88012695313</v>
      </c>
      <c r="N561" s="944">
        <f t="shared" si="54"/>
        <v>112221.81000000003</v>
      </c>
      <c r="O561" s="944">
        <f t="shared" si="54"/>
        <v>113032.03999999998</v>
      </c>
      <c r="P561" s="944">
        <f t="shared" si="54"/>
        <v>103664.95999999999</v>
      </c>
      <c r="Q561" s="944">
        <f t="shared" si="54"/>
        <v>119549.27</v>
      </c>
      <c r="R561" s="944">
        <f t="shared" si="54"/>
        <v>114879.40999999999</v>
      </c>
      <c r="S561" s="944">
        <f t="shared" si="54"/>
        <v>122152.77</v>
      </c>
      <c r="T561" s="944">
        <f t="shared" si="54"/>
        <v>121592.92999999998</v>
      </c>
      <c r="U561" s="944">
        <f t="shared" si="54"/>
        <v>126422.16999999998</v>
      </c>
      <c r="V561" s="944">
        <f t="shared" si="54"/>
        <v>125597.37</v>
      </c>
      <c r="W561" s="944">
        <f t="shared" si="54"/>
        <v>118450.28</v>
      </c>
      <c r="X561" s="944">
        <f t="shared" si="54"/>
        <v>117209.55</v>
      </c>
      <c r="Y561" s="944">
        <f t="shared" si="54"/>
        <v>119796.75000000001</v>
      </c>
      <c r="Z561" s="944">
        <f t="shared" si="54"/>
        <v>122600.84</v>
      </c>
      <c r="AA561" s="944">
        <f t="shared" si="54"/>
        <v>119903.73999999999</v>
      </c>
      <c r="AB561" s="944">
        <f t="shared" si="54"/>
        <v>111974.26000000001</v>
      </c>
      <c r="AC561" s="944">
        <f t="shared" si="54"/>
        <v>121443.53</v>
      </c>
      <c r="AD561" s="944">
        <f t="shared" si="54"/>
        <v>117974.87000000001</v>
      </c>
      <c r="AE561" s="944">
        <f t="shared" si="54"/>
        <v>128786.16999999998</v>
      </c>
      <c r="AF561" s="944">
        <f t="shared" si="54"/>
        <v>124727.78000000003</v>
      </c>
      <c r="AG561" s="944">
        <f t="shared" si="54"/>
        <v>131885.09999999998</v>
      </c>
      <c r="AH561" s="944">
        <f t="shared" si="54"/>
        <v>132032.32999999999</v>
      </c>
      <c r="AI561" s="944">
        <f t="shared" si="54"/>
        <v>126240.11</v>
      </c>
      <c r="AJ561" s="944">
        <f t="shared" si="54"/>
        <v>144927.30000000002</v>
      </c>
      <c r="AK561" s="944" t="str">
        <f t="shared" si="54"/>
        <v xml:space="preserve"> </v>
      </c>
      <c r="AL561" s="944" t="str">
        <f t="shared" si="54"/>
        <v xml:space="preserve"> </v>
      </c>
      <c r="AM561" s="944" t="str">
        <f t="shared" si="54"/>
        <v xml:space="preserve"> </v>
      </c>
      <c r="AN561" s="944" t="str">
        <f t="shared" si="54"/>
        <v xml:space="preserve"> </v>
      </c>
      <c r="AO561" s="944" t="str">
        <f t="shared" si="54"/>
        <v xml:space="preserve"> </v>
      </c>
      <c r="AP561" s="944" t="str">
        <f t="shared" si="54"/>
        <v xml:space="preserve"> </v>
      </c>
      <c r="AQ561" s="944" t="str">
        <f t="shared" si="54"/>
        <v xml:space="preserve"> </v>
      </c>
    </row>
    <row r="562" spans="2:43" s="473" customFormat="1">
      <c r="B562" s="839" t="s">
        <v>1274</v>
      </c>
      <c r="C562" s="952">
        <v>1206</v>
      </c>
      <c r="D562" s="952">
        <v>571</v>
      </c>
      <c r="E562" s="952">
        <v>726</v>
      </c>
      <c r="F562" s="952">
        <v>1492</v>
      </c>
      <c r="G562" s="952">
        <v>1944</v>
      </c>
      <c r="H562" s="952">
        <v>2138</v>
      </c>
      <c r="I562" s="952">
        <v>2845</v>
      </c>
      <c r="J562" s="952">
        <v>2342</v>
      </c>
      <c r="K562" s="952">
        <v>1780</v>
      </c>
      <c r="L562" s="956">
        <v>1442</v>
      </c>
      <c r="M562" s="956">
        <v>662</v>
      </c>
      <c r="N562" s="956">
        <f t="shared" ref="N562:AA562" si="55">IF(ISNUMBER(N509),N509-M509," ")</f>
        <v>352</v>
      </c>
      <c r="O562" s="956">
        <f t="shared" si="55"/>
        <v>1056</v>
      </c>
      <c r="P562" s="956">
        <f t="shared" si="55"/>
        <v>605</v>
      </c>
      <c r="Q562" s="956">
        <f t="shared" si="55"/>
        <v>963.16000000000349</v>
      </c>
      <c r="R562" s="956">
        <f t="shared" si="55"/>
        <v>1457.8399999999965</v>
      </c>
      <c r="S562" s="1066">
        <f t="shared" si="55"/>
        <v>1300</v>
      </c>
      <c r="T562" s="1066">
        <f t="shared" si="55"/>
        <v>2700</v>
      </c>
      <c r="U562" s="956">
        <f t="shared" si="55"/>
        <v>3138</v>
      </c>
      <c r="V562" s="956">
        <f t="shared" si="55"/>
        <v>2280</v>
      </c>
      <c r="W562" s="1066">
        <f t="shared" si="55"/>
        <v>1700</v>
      </c>
      <c r="X562" s="956">
        <f t="shared" si="55"/>
        <v>295</v>
      </c>
      <c r="Y562" s="956">
        <f t="shared" si="55"/>
        <v>712</v>
      </c>
      <c r="Z562" s="1066">
        <f t="shared" si="55"/>
        <v>350</v>
      </c>
      <c r="AA562" s="956">
        <f t="shared" si="55"/>
        <v>350</v>
      </c>
      <c r="AB562" s="956">
        <f t="shared" ref="AB562:AB563" si="56">IF(ISNUMBER(AB509),AB509-AA509," ")</f>
        <v>650</v>
      </c>
      <c r="AC562" s="956">
        <f t="shared" ref="AC562" si="57">IF(ISNUMBER(AC509),AC509-AB509," ")</f>
        <v>841</v>
      </c>
      <c r="AD562" s="956">
        <f t="shared" ref="AD562:AD563" si="58">IF(ISNUMBER(AD509),AD509-AC509," ")</f>
        <v>1392</v>
      </c>
      <c r="AE562" s="956">
        <f t="shared" ref="AE562:AE563" si="59">IF(ISNUMBER(AE509),AE509-AD509," ")</f>
        <v>1229</v>
      </c>
      <c r="AF562" s="956">
        <f t="shared" ref="AF562:AF563" si="60">IF(ISNUMBER(AF509),AF509-AE509," ")</f>
        <v>2700</v>
      </c>
      <c r="AG562" s="956">
        <f t="shared" ref="AG562:AG563" si="61">IF(ISNUMBER(AG509),AG509-AF509," ")</f>
        <v>3081</v>
      </c>
      <c r="AH562" s="956">
        <f t="shared" ref="AH562:AH563" si="62">IF(ISNUMBER(AH509),AH509-AG509," ")</f>
        <v>947</v>
      </c>
      <c r="AI562" s="956">
        <f t="shared" ref="AI562:AI563" si="63">IF(ISNUMBER(AI509),AI509-AH509," ")</f>
        <v>1600</v>
      </c>
      <c r="AJ562" s="956">
        <f t="shared" ref="AJ562:AJ563" si="64">IF(ISNUMBER(AJ509),AJ509-AI509," ")</f>
        <v>1711</v>
      </c>
      <c r="AK562" s="956" t="str">
        <f t="shared" ref="AK562:AK563" si="65">IF(ISNUMBER(AK509),AK509-AJ509," ")</f>
        <v xml:space="preserve"> </v>
      </c>
      <c r="AL562" s="956" t="str">
        <f t="shared" ref="AL562:AL563" si="66">IF(ISNUMBER(AL509),AL509-AK509," ")</f>
        <v xml:space="preserve"> </v>
      </c>
      <c r="AM562" s="956" t="str">
        <f t="shared" ref="AM562:AM563" si="67">IF(ISNUMBER(AM509),AM509-AL509," ")</f>
        <v xml:space="preserve"> </v>
      </c>
      <c r="AN562" s="956" t="str">
        <f t="shared" ref="AN562:AN563" si="68">IF(ISNUMBER(AN509),AN509-AM509," ")</f>
        <v xml:space="preserve"> </v>
      </c>
      <c r="AO562" s="956" t="str">
        <f t="shared" ref="AO562:AO563" si="69">IF(ISNUMBER(AO509),AO509-AN509," ")</f>
        <v xml:space="preserve"> </v>
      </c>
      <c r="AP562" s="956" t="str">
        <f t="shared" ref="AP562:AP563" si="70">IF(ISNUMBER(AP509),AP509-AO509," ")</f>
        <v xml:space="preserve"> </v>
      </c>
      <c r="AQ562" s="956" t="str">
        <f t="shared" ref="AQ562:AQ563" si="71">IF(ISNUMBER(AQ509),AQ509-AP509," ")</f>
        <v xml:space="preserve"> </v>
      </c>
    </row>
    <row r="563" spans="2:43" s="473" customFormat="1">
      <c r="B563" s="837" t="s">
        <v>1275</v>
      </c>
      <c r="C563" s="951">
        <v>581</v>
      </c>
      <c r="D563" s="951">
        <v>391</v>
      </c>
      <c r="E563" s="951">
        <v>387</v>
      </c>
      <c r="F563" s="951">
        <v>1311</v>
      </c>
      <c r="G563" s="951">
        <v>1535</v>
      </c>
      <c r="H563" s="951">
        <v>1688</v>
      </c>
      <c r="I563" s="951">
        <v>2792</v>
      </c>
      <c r="J563" s="951">
        <v>1956</v>
      </c>
      <c r="K563" s="951">
        <v>1852</v>
      </c>
      <c r="L563" s="955">
        <v>1469</v>
      </c>
      <c r="M563" s="955">
        <v>448</v>
      </c>
      <c r="N563" s="955">
        <f t="shared" ref="N563:AA563" si="72">IF(ISNUMBER(N510),N510-M510," ")</f>
        <v>390</v>
      </c>
      <c r="O563" s="955">
        <f t="shared" si="72"/>
        <v>395</v>
      </c>
      <c r="P563" s="955">
        <f t="shared" si="72"/>
        <v>410</v>
      </c>
      <c r="Q563" s="955">
        <f t="shared" si="72"/>
        <v>888.55999999999767</v>
      </c>
      <c r="R563" s="955">
        <f t="shared" si="72"/>
        <v>1413.4400000000023</v>
      </c>
      <c r="S563" s="1103">
        <f t="shared" si="72"/>
        <v>1300</v>
      </c>
      <c r="T563" s="1103">
        <f t="shared" si="72"/>
        <v>2500</v>
      </c>
      <c r="U563" s="955">
        <f t="shared" si="72"/>
        <v>3207</v>
      </c>
      <c r="V563" s="955">
        <f t="shared" si="72"/>
        <v>2886</v>
      </c>
      <c r="W563" s="1103">
        <f t="shared" si="72"/>
        <v>1700</v>
      </c>
      <c r="X563" s="955">
        <f t="shared" si="72"/>
        <v>554</v>
      </c>
      <c r="Y563" s="955">
        <f t="shared" si="72"/>
        <v>797</v>
      </c>
      <c r="Z563" s="1103">
        <f t="shared" si="72"/>
        <v>350</v>
      </c>
      <c r="AA563" s="955">
        <f t="shared" si="72"/>
        <v>350</v>
      </c>
      <c r="AB563" s="955">
        <f t="shared" si="56"/>
        <v>650</v>
      </c>
      <c r="AC563" s="955">
        <f>IF(ISNUMBER(AC510),AC510-AB510," ")</f>
        <v>1131</v>
      </c>
      <c r="AD563" s="955">
        <f t="shared" si="58"/>
        <v>1937</v>
      </c>
      <c r="AE563" s="955">
        <f t="shared" si="59"/>
        <v>1880</v>
      </c>
      <c r="AF563" s="955">
        <f t="shared" si="60"/>
        <v>2500</v>
      </c>
      <c r="AG563" s="955">
        <f t="shared" si="61"/>
        <v>2451</v>
      </c>
      <c r="AH563" s="955">
        <f t="shared" si="62"/>
        <v>2261</v>
      </c>
      <c r="AI563" s="955">
        <f t="shared" si="63"/>
        <v>1700</v>
      </c>
      <c r="AJ563" s="955">
        <f t="shared" si="64"/>
        <v>1899.9400000000023</v>
      </c>
      <c r="AK563" s="955" t="str">
        <f t="shared" si="65"/>
        <v xml:space="preserve"> </v>
      </c>
      <c r="AL563" s="955" t="str">
        <f t="shared" si="66"/>
        <v xml:space="preserve"> </v>
      </c>
      <c r="AM563" s="955" t="str">
        <f t="shared" si="67"/>
        <v xml:space="preserve"> </v>
      </c>
      <c r="AN563" s="955" t="str">
        <f t="shared" si="68"/>
        <v xml:space="preserve"> </v>
      </c>
      <c r="AO563" s="955" t="str">
        <f t="shared" si="69"/>
        <v xml:space="preserve"> </v>
      </c>
      <c r="AP563" s="955" t="str">
        <f t="shared" si="70"/>
        <v xml:space="preserve"> </v>
      </c>
      <c r="AQ563" s="955" t="str">
        <f t="shared" si="71"/>
        <v xml:space="preserve"> </v>
      </c>
    </row>
    <row r="564" spans="2:43" s="473" customFormat="1">
      <c r="B564" s="837" t="s">
        <v>1321</v>
      </c>
      <c r="C564" s="951">
        <f>IF(ISNUMBER(C152),C136+C140+C144+C148+C152," ")</f>
        <v>0</v>
      </c>
      <c r="D564" s="951">
        <f t="shared" ref="D564:AQ564" si="73">IF(ISNUMBER(D152),D136+D140+D144+D148+D152," ")</f>
        <v>0</v>
      </c>
      <c r="E564" s="951">
        <f t="shared" si="73"/>
        <v>0</v>
      </c>
      <c r="F564" s="951">
        <f t="shared" si="73"/>
        <v>0</v>
      </c>
      <c r="G564" s="951">
        <f t="shared" si="73"/>
        <v>0</v>
      </c>
      <c r="H564" s="951">
        <f t="shared" si="73"/>
        <v>0</v>
      </c>
      <c r="I564" s="951">
        <f t="shared" si="73"/>
        <v>0</v>
      </c>
      <c r="J564" s="951">
        <f t="shared" si="73"/>
        <v>0</v>
      </c>
      <c r="K564" s="951">
        <f t="shared" si="73"/>
        <v>0</v>
      </c>
      <c r="L564" s="951">
        <f t="shared" si="73"/>
        <v>0</v>
      </c>
      <c r="M564" s="951">
        <f t="shared" si="73"/>
        <v>0</v>
      </c>
      <c r="N564" s="951">
        <f t="shared" si="73"/>
        <v>0</v>
      </c>
      <c r="O564" s="951">
        <f t="shared" si="73"/>
        <v>0</v>
      </c>
      <c r="P564" s="951">
        <f t="shared" si="73"/>
        <v>0</v>
      </c>
      <c r="Q564" s="951">
        <f t="shared" si="73"/>
        <v>0</v>
      </c>
      <c r="R564" s="951">
        <f t="shared" si="73"/>
        <v>0</v>
      </c>
      <c r="S564" s="951">
        <f t="shared" si="73"/>
        <v>0</v>
      </c>
      <c r="T564" s="951">
        <f t="shared" si="73"/>
        <v>0</v>
      </c>
      <c r="U564" s="951">
        <f t="shared" si="73"/>
        <v>52.51</v>
      </c>
      <c r="V564" s="951">
        <f t="shared" si="73"/>
        <v>608.25</v>
      </c>
      <c r="W564" s="951">
        <f t="shared" si="73"/>
        <v>1552.49</v>
      </c>
      <c r="X564" s="951">
        <f t="shared" si="73"/>
        <v>2458.71</v>
      </c>
      <c r="Y564" s="951">
        <f t="shared" si="73"/>
        <v>6530.1399999999994</v>
      </c>
      <c r="Z564" s="951">
        <f t="shared" si="73"/>
        <v>10403.86</v>
      </c>
      <c r="AA564" s="951">
        <f t="shared" si="73"/>
        <v>10469.540000000001</v>
      </c>
      <c r="AB564" s="951">
        <f t="shared" si="73"/>
        <v>9731.9599999999991</v>
      </c>
      <c r="AC564" s="951">
        <f t="shared" si="73"/>
        <v>10376.640000000001</v>
      </c>
      <c r="AD564" s="951">
        <f t="shared" si="73"/>
        <v>10044.210000000001</v>
      </c>
      <c r="AE564" s="951">
        <f t="shared" si="73"/>
        <v>10328.370000000001</v>
      </c>
      <c r="AF564" s="951">
        <f t="shared" si="73"/>
        <v>9995.52</v>
      </c>
      <c r="AG564" s="951">
        <f t="shared" si="73"/>
        <v>10341.86</v>
      </c>
      <c r="AH564" s="951">
        <f t="shared" si="73"/>
        <v>10328.679999999998</v>
      </c>
      <c r="AI564" s="951">
        <f t="shared" si="73"/>
        <v>10032.259999999998</v>
      </c>
      <c r="AJ564" s="951">
        <f t="shared" si="73"/>
        <v>10368.959999999999</v>
      </c>
      <c r="AK564" s="951" t="str">
        <f t="shared" si="73"/>
        <v xml:space="preserve"> </v>
      </c>
      <c r="AL564" s="951" t="str">
        <f t="shared" si="73"/>
        <v xml:space="preserve"> </v>
      </c>
      <c r="AM564" s="951" t="str">
        <f t="shared" si="73"/>
        <v xml:space="preserve"> </v>
      </c>
      <c r="AN564" s="951" t="str">
        <f t="shared" si="73"/>
        <v xml:space="preserve"> </v>
      </c>
      <c r="AO564" s="951" t="str">
        <f t="shared" si="73"/>
        <v xml:space="preserve"> </v>
      </c>
      <c r="AP564" s="951" t="str">
        <f t="shared" si="73"/>
        <v xml:space="preserve"> </v>
      </c>
      <c r="AQ564" s="951" t="str">
        <f t="shared" si="73"/>
        <v xml:space="preserve"> </v>
      </c>
    </row>
    <row r="565" spans="2:43">
      <c r="B565" s="839" t="s">
        <v>1277</v>
      </c>
      <c r="C565" s="952">
        <v>3200</v>
      </c>
      <c r="D565" s="952">
        <v>8000</v>
      </c>
      <c r="E565" s="952">
        <v>35600</v>
      </c>
      <c r="F565" s="952">
        <v>65200</v>
      </c>
      <c r="G565" s="952">
        <v>91200</v>
      </c>
      <c r="H565" s="952">
        <v>69000</v>
      </c>
      <c r="I565" s="952">
        <v>78600</v>
      </c>
      <c r="J565" s="952">
        <v>70000</v>
      </c>
      <c r="K565" s="956">
        <f t="shared" ref="K565:AA565" si="74">IF(ISNUMBER(K511),(K511-J511)*200," ")</f>
        <v>118800</v>
      </c>
      <c r="L565" s="956">
        <f t="shared" si="74"/>
        <v>100200</v>
      </c>
      <c r="M565" s="956">
        <f t="shared" si="74"/>
        <v>61400</v>
      </c>
      <c r="N565" s="956">
        <f t="shared" si="74"/>
        <v>3000</v>
      </c>
      <c r="O565" s="956">
        <f t="shared" si="74"/>
        <v>113520.00000000116</v>
      </c>
      <c r="P565" s="956">
        <f t="shared" si="74"/>
        <v>51800</v>
      </c>
      <c r="Q565" s="1066">
        <f t="shared" si="74"/>
        <v>60000</v>
      </c>
      <c r="R565" s="956">
        <f t="shared" si="74"/>
        <v>72559.999999997672</v>
      </c>
      <c r="S565" s="956">
        <f t="shared" si="74"/>
        <v>84260.000000003492</v>
      </c>
      <c r="T565" s="1066">
        <f t="shared" si="74"/>
        <v>80000</v>
      </c>
      <c r="U565" s="956">
        <f t="shared" si="74"/>
        <v>101419.99999999534</v>
      </c>
      <c r="V565" s="1066">
        <f t="shared" si="74"/>
        <v>80000</v>
      </c>
      <c r="W565" s="956">
        <f t="shared" si="74"/>
        <v>82000</v>
      </c>
      <c r="X565" s="956">
        <f t="shared" si="74"/>
        <v>81400</v>
      </c>
      <c r="Y565" s="956">
        <f t="shared" si="74"/>
        <v>66100</v>
      </c>
      <c r="Z565" s="1066">
        <f t="shared" si="74"/>
        <v>40000</v>
      </c>
      <c r="AA565" s="956">
        <f t="shared" si="74"/>
        <v>40000</v>
      </c>
      <c r="AB565" s="956">
        <f t="shared" ref="AB565" si="75">IF(ISNUMBER(AB511),(AB511-AA511)*200," ")</f>
        <v>84040.000000002328</v>
      </c>
      <c r="AC565" s="956">
        <f t="shared" ref="AC565" si="76">IF(ISNUMBER(AC511),(AC511-AB511)*200," ")</f>
        <v>74240.000000002328</v>
      </c>
      <c r="AD565" s="956">
        <f t="shared" ref="AD565" si="77">IF(ISNUMBER(AD511),(AD511-AC511)*200," ")</f>
        <v>70259.999999997672</v>
      </c>
      <c r="AE565" s="956">
        <f t="shared" ref="AE565:AF565" si="78">IF(ISNUMBER(AE511),(AE511-AD511)*200," ")</f>
        <v>91979.999999998836</v>
      </c>
      <c r="AF565" s="956">
        <f t="shared" si="78"/>
        <v>60020.000000001164</v>
      </c>
      <c r="AG565" s="956">
        <f t="shared" ref="AG565" si="79">IF(ISNUMBER(AG511),(AG511-AF511)*200," ")</f>
        <v>101340.00000000233</v>
      </c>
      <c r="AH565" s="956">
        <f t="shared" ref="AH565" si="80">IF(ISNUMBER(AH511),(AH511-AG511)*200," ")</f>
        <v>82419.999999995343</v>
      </c>
      <c r="AI565" s="956">
        <f t="shared" ref="AI565" si="81">IF(ISNUMBER(AI511),(AI511-AH511)*200," ")</f>
        <v>79400</v>
      </c>
      <c r="AJ565" s="956">
        <f t="shared" ref="AJ565" si="82">IF(ISNUMBER(AJ511),(AJ511-AI511)*200," ")</f>
        <v>68180.000000004657</v>
      </c>
      <c r="AK565" s="956" t="str">
        <f t="shared" ref="AK565" si="83">IF(ISNUMBER(AK511),(AK511-AJ511)*200," ")</f>
        <v xml:space="preserve"> </v>
      </c>
      <c r="AL565" s="956" t="str">
        <f t="shared" ref="AL565" si="84">IF(ISNUMBER(AL511),(AL511-AK511)*200," ")</f>
        <v xml:space="preserve"> </v>
      </c>
      <c r="AM565" s="956" t="str">
        <f t="shared" ref="AM565" si="85">IF(ISNUMBER(AM511),(AM511-AL511)*200," ")</f>
        <v xml:space="preserve"> </v>
      </c>
      <c r="AN565" s="956" t="str">
        <f t="shared" ref="AN565" si="86">IF(ISNUMBER(AN511),(AN511-AM511)*200," ")</f>
        <v xml:space="preserve"> </v>
      </c>
      <c r="AO565" s="956" t="str">
        <f t="shared" ref="AO565" si="87">IF(ISNUMBER(AO511),(AO511-AN511)*200," ")</f>
        <v xml:space="preserve"> </v>
      </c>
      <c r="AP565" s="956" t="str">
        <f t="shared" ref="AP565" si="88">IF(ISNUMBER(AP511),(AP511-AO511)*200," ")</f>
        <v xml:space="preserve"> </v>
      </c>
      <c r="AQ565" s="956" t="str">
        <f t="shared" ref="AQ565" si="89">IF(ISNUMBER(AQ511),(AQ511-AP511)*200," ")</f>
        <v xml:space="preserve"> </v>
      </c>
    </row>
    <row r="566" spans="2:43" s="473" customFormat="1">
      <c r="B566" s="837" t="s">
        <v>1322</v>
      </c>
      <c r="C566" s="951">
        <v>362</v>
      </c>
      <c r="D566" s="951">
        <v>257</v>
      </c>
      <c r="E566" s="951">
        <v>641</v>
      </c>
      <c r="F566" s="951">
        <v>1020</v>
      </c>
      <c r="G566" s="951">
        <v>1405</v>
      </c>
      <c r="H566" s="951">
        <v>1353</v>
      </c>
      <c r="I566" s="951">
        <v>1500</v>
      </c>
      <c r="J566" s="951">
        <v>2130</v>
      </c>
      <c r="K566" s="955">
        <f t="shared" ref="K566:AA566" si="90">IF(ISNUMBER(K512),(K512-J512)," ")</f>
        <v>1400</v>
      </c>
      <c r="L566" s="955">
        <f t="shared" si="90"/>
        <v>1228</v>
      </c>
      <c r="M566" s="955">
        <f t="shared" si="90"/>
        <v>392</v>
      </c>
      <c r="N566" s="955">
        <f t="shared" si="90"/>
        <v>253</v>
      </c>
      <c r="O566" s="955">
        <f t="shared" si="90"/>
        <v>400</v>
      </c>
      <c r="P566" s="955">
        <f t="shared" si="90"/>
        <v>0</v>
      </c>
      <c r="Q566" s="955">
        <f t="shared" si="90"/>
        <v>0</v>
      </c>
      <c r="R566" s="955">
        <f t="shared" si="90"/>
        <v>0</v>
      </c>
      <c r="S566" s="955">
        <f t="shared" si="90"/>
        <v>0</v>
      </c>
      <c r="T566" s="955">
        <f t="shared" si="90"/>
        <v>0</v>
      </c>
      <c r="U566" s="955">
        <f t="shared" si="90"/>
        <v>0</v>
      </c>
      <c r="V566" s="955">
        <f t="shared" si="90"/>
        <v>0</v>
      </c>
      <c r="W566" s="955">
        <f t="shared" si="90"/>
        <v>0</v>
      </c>
      <c r="X566" s="955">
        <f t="shared" si="90"/>
        <v>0</v>
      </c>
      <c r="Y566" s="955">
        <f t="shared" si="90"/>
        <v>0</v>
      </c>
      <c r="Z566" s="955">
        <f t="shared" si="90"/>
        <v>0</v>
      </c>
      <c r="AA566" s="955">
        <f t="shared" si="90"/>
        <v>0</v>
      </c>
      <c r="AB566" s="955">
        <f t="shared" ref="AB566" si="91">IF(ISNUMBER(AB512),(AB512-AA512)," ")</f>
        <v>0</v>
      </c>
      <c r="AC566" s="955">
        <f t="shared" ref="AC566" si="92">IF(ISNUMBER(AC512),(AC512-AB512)," ")</f>
        <v>0</v>
      </c>
      <c r="AD566" s="955">
        <f t="shared" ref="AD566" si="93">IF(ISNUMBER(AD512),(AD512-AC512)," ")</f>
        <v>0</v>
      </c>
      <c r="AE566" s="955">
        <f t="shared" ref="AE566" si="94">IF(ISNUMBER(AE512),(AE512-AD512)," ")</f>
        <v>0</v>
      </c>
      <c r="AF566" s="955">
        <f t="shared" ref="AF566" si="95">IF(ISNUMBER(AF512),(AF512-AE512)," ")</f>
        <v>0</v>
      </c>
      <c r="AG566" s="955">
        <f t="shared" ref="AG566" si="96">IF(ISNUMBER(AG512),(AG512-AF512)," ")</f>
        <v>0</v>
      </c>
      <c r="AH566" s="955">
        <f t="shared" ref="AH566" si="97">IF(ISNUMBER(AH512),(AH512-AG512)," ")</f>
        <v>0</v>
      </c>
      <c r="AI566" s="955">
        <f t="shared" ref="AI566" si="98">IF(ISNUMBER(AI512),(AI512-AH512)," ")</f>
        <v>0</v>
      </c>
      <c r="AJ566" s="955">
        <f t="shared" ref="AJ566" si="99">IF(ISNUMBER(AJ512),(AJ512-AI512)," ")</f>
        <v>0</v>
      </c>
      <c r="AK566" s="955">
        <f t="shared" ref="AK566" si="100">IF(ISNUMBER(AK512),(AK512-AJ512)," ")</f>
        <v>0</v>
      </c>
      <c r="AL566" s="955">
        <f t="shared" ref="AL566" si="101">IF(ISNUMBER(AL512),(AL512-AK512)," ")</f>
        <v>0</v>
      </c>
      <c r="AM566" s="955">
        <f t="shared" ref="AM566" si="102">IF(ISNUMBER(AM512),(AM512-AL512)," ")</f>
        <v>0</v>
      </c>
      <c r="AN566" s="955">
        <f t="shared" ref="AN566" si="103">IF(ISNUMBER(AN512),(AN512-AM512)," ")</f>
        <v>0</v>
      </c>
      <c r="AO566" s="955">
        <f t="shared" ref="AO566" si="104">IF(ISNUMBER(AO512),(AO512-AN512)," ")</f>
        <v>0</v>
      </c>
      <c r="AP566" s="955">
        <f t="shared" ref="AP566" si="105">IF(ISNUMBER(AP512),(AP512-AO512)," ")</f>
        <v>0</v>
      </c>
      <c r="AQ566" s="955">
        <f t="shared" ref="AQ566" si="106">IF(ISNUMBER(AQ512),(AQ512-AP512)," ")</f>
        <v>0</v>
      </c>
    </row>
    <row r="567" spans="2:43">
      <c r="B567" s="1024" t="s">
        <v>1323</v>
      </c>
      <c r="C567" s="954">
        <f t="shared" ref="C567:AA567" si="107">IF(ISNUMBER(C219),(C219-C221)," ")</f>
        <v>2763</v>
      </c>
      <c r="D567" s="954">
        <f t="shared" si="107"/>
        <v>2774</v>
      </c>
      <c r="E567" s="954">
        <f t="shared" si="107"/>
        <v>2696</v>
      </c>
      <c r="F567" s="954">
        <f t="shared" si="107"/>
        <v>2858</v>
      </c>
      <c r="G567" s="954">
        <f t="shared" si="107"/>
        <v>4605</v>
      </c>
      <c r="H567" s="954">
        <f t="shared" si="107"/>
        <v>4338</v>
      </c>
      <c r="I567" s="954">
        <f t="shared" si="107"/>
        <v>5414</v>
      </c>
      <c r="J567" s="954">
        <f t="shared" si="107"/>
        <v>5134</v>
      </c>
      <c r="K567" s="954">
        <f t="shared" si="107"/>
        <v>4364</v>
      </c>
      <c r="L567" s="954">
        <f t="shared" si="107"/>
        <v>3671.584228515625</v>
      </c>
      <c r="M567" s="954">
        <f t="shared" si="107"/>
        <v>2940.4639892578125</v>
      </c>
      <c r="N567" s="954">
        <f t="shared" si="107"/>
        <v>2447.14</v>
      </c>
      <c r="O567" s="954">
        <f t="shared" si="107"/>
        <v>2391.37</v>
      </c>
      <c r="P567" s="954">
        <f t="shared" si="107"/>
        <v>3298.2099999999996</v>
      </c>
      <c r="Q567" s="954">
        <f t="shared" si="107"/>
        <v>4184.34</v>
      </c>
      <c r="R567" s="954">
        <f t="shared" si="107"/>
        <v>3703.43</v>
      </c>
      <c r="S567" s="954">
        <f t="shared" si="107"/>
        <v>4896.91</v>
      </c>
      <c r="T567" s="954">
        <f t="shared" si="107"/>
        <v>5111.1099999999997</v>
      </c>
      <c r="U567" s="954">
        <f t="shared" si="107"/>
        <v>5002.1099999999997</v>
      </c>
      <c r="V567" s="954">
        <f t="shared" si="107"/>
        <v>5449.5500000000011</v>
      </c>
      <c r="W567" s="954">
        <f t="shared" si="107"/>
        <v>3749.44</v>
      </c>
      <c r="X567" s="954">
        <f t="shared" si="107"/>
        <v>3382.0200000000004</v>
      </c>
      <c r="Y567" s="954">
        <f t="shared" si="107"/>
        <v>2717.2700000000004</v>
      </c>
      <c r="Z567" s="954">
        <f t="shared" si="107"/>
        <v>2096.2800000000002</v>
      </c>
      <c r="AA567" s="954">
        <f t="shared" si="107"/>
        <v>2315.8200000000002</v>
      </c>
      <c r="AB567" s="954">
        <f t="shared" ref="AB567:AQ567" si="108">IF(ISNUMBER(AB219),(AB219-AB221)," ")</f>
        <v>2518.98</v>
      </c>
      <c r="AC567" s="954">
        <f t="shared" si="108"/>
        <v>3011.2000000000003</v>
      </c>
      <c r="AD567" s="954">
        <f t="shared" si="108"/>
        <v>3730.3199999999997</v>
      </c>
      <c r="AE567" s="954">
        <f t="shared" si="108"/>
        <v>5531.57</v>
      </c>
      <c r="AF567" s="954">
        <f t="shared" si="108"/>
        <v>5098.8900000000012</v>
      </c>
      <c r="AG567" s="954">
        <f t="shared" si="108"/>
        <v>4493.97</v>
      </c>
      <c r="AH567" s="954">
        <f t="shared" si="108"/>
        <v>3604.35</v>
      </c>
      <c r="AI567" s="954">
        <f t="shared" si="108"/>
        <v>3029.5799999999995</v>
      </c>
      <c r="AJ567" s="954">
        <f t="shared" si="108"/>
        <v>-607.72999999999979</v>
      </c>
      <c r="AK567" s="954" t="str">
        <f t="shared" si="108"/>
        <v xml:space="preserve"> </v>
      </c>
      <c r="AL567" s="954" t="str">
        <f t="shared" si="108"/>
        <v xml:space="preserve"> </v>
      </c>
      <c r="AM567" s="954" t="str">
        <f t="shared" si="108"/>
        <v xml:space="preserve"> </v>
      </c>
      <c r="AN567" s="954" t="str">
        <f t="shared" si="108"/>
        <v xml:space="preserve"> </v>
      </c>
      <c r="AO567" s="954" t="str">
        <f t="shared" si="108"/>
        <v xml:space="preserve"> </v>
      </c>
      <c r="AP567" s="954" t="str">
        <f t="shared" si="108"/>
        <v xml:space="preserve"> </v>
      </c>
      <c r="AQ567" s="954" t="str">
        <f t="shared" si="108"/>
        <v xml:space="preserve"> </v>
      </c>
    </row>
    <row r="568" spans="2:43">
      <c r="B568" s="841" t="s">
        <v>1324</v>
      </c>
      <c r="C568" s="953">
        <f t="shared" ref="C568:AA568" si="109">IF(ISNUMBER(C223),(C223-C224-C225)," ")</f>
        <v>863</v>
      </c>
      <c r="D568" s="953">
        <f t="shared" si="109"/>
        <v>1083</v>
      </c>
      <c r="E568" s="953">
        <f t="shared" si="109"/>
        <v>3406</v>
      </c>
      <c r="F568" s="953">
        <f t="shared" si="109"/>
        <v>3038</v>
      </c>
      <c r="G568" s="953">
        <f t="shared" si="109"/>
        <v>4386</v>
      </c>
      <c r="H568" s="953">
        <f t="shared" si="109"/>
        <v>3027</v>
      </c>
      <c r="I568" s="953">
        <f t="shared" si="109"/>
        <v>4187</v>
      </c>
      <c r="J568" s="953">
        <f t="shared" si="109"/>
        <v>4578</v>
      </c>
      <c r="K568" s="953">
        <f t="shared" si="109"/>
        <v>5656</v>
      </c>
      <c r="L568" s="953">
        <f t="shared" si="109"/>
        <v>5063.7915649414063</v>
      </c>
      <c r="M568" s="953">
        <f t="shared" si="109"/>
        <v>2077.6641235351563</v>
      </c>
      <c r="N568" s="953">
        <f t="shared" si="109"/>
        <v>1060.4499999999998</v>
      </c>
      <c r="O568" s="953">
        <f t="shared" si="109"/>
        <v>966.59000000000015</v>
      </c>
      <c r="P568" s="953">
        <f t="shared" si="109"/>
        <v>1840.0500000000002</v>
      </c>
      <c r="Q568" s="953">
        <f t="shared" si="109"/>
        <v>3925.6100000000006</v>
      </c>
      <c r="R568" s="953">
        <f t="shared" si="109"/>
        <v>3952</v>
      </c>
      <c r="S568" s="953">
        <f t="shared" si="109"/>
        <v>5379.1399999999994</v>
      </c>
      <c r="T568" s="953">
        <f t="shared" si="109"/>
        <v>4907.05</v>
      </c>
      <c r="U568" s="953">
        <f t="shared" si="109"/>
        <v>5111.8799999999992</v>
      </c>
      <c r="V568" s="953">
        <f t="shared" si="109"/>
        <v>5351.14</v>
      </c>
      <c r="W568" s="953">
        <f t="shared" si="109"/>
        <v>5501.82</v>
      </c>
      <c r="X568" s="953">
        <f t="shared" si="109"/>
        <v>4528.8999999999996</v>
      </c>
      <c r="Y568" s="953">
        <f t="shared" si="109"/>
        <v>2642.05</v>
      </c>
      <c r="Z568" s="1219">
        <f t="shared" si="109"/>
        <v>1299.6800000000003</v>
      </c>
      <c r="AA568" s="953">
        <f t="shared" si="109"/>
        <v>1169.5700000000002</v>
      </c>
      <c r="AB568" s="953">
        <f t="shared" ref="AB568:AQ568" si="110">IF(ISNUMBER(AB223),(AB223-AB224-AB225)," ")</f>
        <v>1966.8199999999997</v>
      </c>
      <c r="AC568" s="953">
        <f t="shared" si="110"/>
        <v>3547.8399999999992</v>
      </c>
      <c r="AD568" s="953">
        <f t="shared" si="110"/>
        <v>5151.3599999999997</v>
      </c>
      <c r="AE568" s="953">
        <f t="shared" si="110"/>
        <v>6491.75</v>
      </c>
      <c r="AF568" s="953">
        <f t="shared" si="110"/>
        <v>5239.0999999999995</v>
      </c>
      <c r="AG568" s="953">
        <f t="shared" si="110"/>
        <v>4633.0899999999992</v>
      </c>
      <c r="AH568" s="953">
        <f t="shared" si="110"/>
        <v>7707.9899999999989</v>
      </c>
      <c r="AI568" s="953">
        <f t="shared" si="110"/>
        <v>7957.47</v>
      </c>
      <c r="AJ568" s="953">
        <f t="shared" si="110"/>
        <v>7765.5</v>
      </c>
      <c r="AK568" s="953" t="str">
        <f t="shared" si="110"/>
        <v xml:space="preserve"> </v>
      </c>
      <c r="AL568" s="953" t="str">
        <f t="shared" si="110"/>
        <v xml:space="preserve"> </v>
      </c>
      <c r="AM568" s="953" t="str">
        <f t="shared" si="110"/>
        <v xml:space="preserve"> </v>
      </c>
      <c r="AN568" s="953" t="str">
        <f t="shared" si="110"/>
        <v xml:space="preserve"> </v>
      </c>
      <c r="AO568" s="953" t="str">
        <f t="shared" si="110"/>
        <v xml:space="preserve"> </v>
      </c>
      <c r="AP568" s="953" t="str">
        <f t="shared" si="110"/>
        <v xml:space="preserve"> </v>
      </c>
      <c r="AQ568" s="953" t="str">
        <f t="shared" si="110"/>
        <v xml:space="preserve"> </v>
      </c>
    </row>
    <row r="569" spans="2:43">
      <c r="B569" s="951" t="s">
        <v>1280</v>
      </c>
      <c r="C569" s="951">
        <v>896</v>
      </c>
      <c r="D569" s="951">
        <v>1233</v>
      </c>
      <c r="E569" s="951">
        <v>1444</v>
      </c>
      <c r="F569" s="955">
        <v>1979</v>
      </c>
      <c r="G569" s="951">
        <v>2481</v>
      </c>
      <c r="H569" s="951">
        <v>2322</v>
      </c>
      <c r="I569" s="951">
        <v>4234</v>
      </c>
      <c r="J569" s="955">
        <v>3413</v>
      </c>
      <c r="K569" s="951">
        <v>2343</v>
      </c>
      <c r="L569" s="955">
        <v>2365</v>
      </c>
      <c r="M569" s="955">
        <v>2000</v>
      </c>
      <c r="N569" s="955">
        <v>1200</v>
      </c>
      <c r="O569" s="962">
        <f t="shared" ref="O569:Z569" si="111">IF(ISNUMBER(O513),(O513-N513)*1," ")</f>
        <v>2418</v>
      </c>
      <c r="P569" s="955">
        <f t="shared" si="111"/>
        <v>1018</v>
      </c>
      <c r="Q569" s="955">
        <f t="shared" si="111"/>
        <v>1811</v>
      </c>
      <c r="R569" s="955">
        <f t="shared" si="111"/>
        <v>2011</v>
      </c>
      <c r="S569" s="955">
        <f t="shared" si="111"/>
        <v>2960</v>
      </c>
      <c r="T569" s="955">
        <f t="shared" si="111"/>
        <v>3100</v>
      </c>
      <c r="U569" s="955">
        <f t="shared" si="111"/>
        <v>3745</v>
      </c>
      <c r="V569" s="955">
        <f t="shared" si="111"/>
        <v>3500</v>
      </c>
      <c r="W569" s="955">
        <f t="shared" si="111"/>
        <v>2539</v>
      </c>
      <c r="X569" s="955">
        <f t="shared" si="111"/>
        <v>2611</v>
      </c>
      <c r="Y569" s="1204">
        <v>2500</v>
      </c>
      <c r="Z569" s="1103">
        <f t="shared" si="111"/>
        <v>2000</v>
      </c>
      <c r="AA569" s="955">
        <f>IF(ISNUMBER(AA513),(AA513-Z513)*1," ")</f>
        <v>853</v>
      </c>
      <c r="AB569" s="955">
        <f>IF(ISNUMBER(AB513),(AB513-AA513)*1," ")</f>
        <v>1077</v>
      </c>
      <c r="AC569" s="955">
        <f>IF(ISNUMBER(AC513),(AC513-AB513)*1," ")</f>
        <v>2082</v>
      </c>
      <c r="AD569" s="955">
        <f t="shared" ref="AD569" si="112">IF(ISNUMBER(AD513),(AD513-AC513)*1," ")</f>
        <v>2157</v>
      </c>
      <c r="AE569" s="955">
        <f t="shared" ref="AE569" si="113">IF(ISNUMBER(AE513),(AE513-AD513)*1," ")</f>
        <v>3765</v>
      </c>
      <c r="AF569" s="955">
        <f t="shared" ref="AF569" si="114">IF(ISNUMBER(AF513),(AF513-AE513)*1," ")</f>
        <v>2916</v>
      </c>
      <c r="AG569" s="955">
        <f t="shared" ref="AG569" si="115">IF(ISNUMBER(AG513),(AG513-AF513)*1," ")</f>
        <v>3851</v>
      </c>
      <c r="AH569" s="955">
        <f t="shared" ref="AH569" si="116">IF(ISNUMBER(AH513),(AH513-AG513)*1," ")</f>
        <v>3453</v>
      </c>
      <c r="AI569" s="955">
        <f t="shared" ref="AI569" si="117">IF(ISNUMBER(AI513),(AI513-AH513)*1," ")</f>
        <v>2612</v>
      </c>
      <c r="AJ569" s="955">
        <f t="shared" ref="AJ569" si="118">IF(ISNUMBER(AJ513),(AJ513-AI513)*1," ")</f>
        <v>2505</v>
      </c>
      <c r="AK569" s="955" t="str">
        <f t="shared" ref="AK569" si="119">IF(ISNUMBER(AK513),(AK513-AJ513)*1," ")</f>
        <v xml:space="preserve"> </v>
      </c>
      <c r="AL569" s="955" t="str">
        <f t="shared" ref="AL569" si="120">IF(ISNUMBER(AL513),(AL513-AK513)*1," ")</f>
        <v xml:space="preserve"> </v>
      </c>
      <c r="AM569" s="955" t="str">
        <f t="shared" ref="AM569" si="121">IF(ISNUMBER(AM513),(AM513-AL513)*1," ")</f>
        <v xml:space="preserve"> </v>
      </c>
      <c r="AN569" s="955" t="str">
        <f t="shared" ref="AN569" si="122">IF(ISNUMBER(AN513),(AN513-AM513)*1," ")</f>
        <v xml:space="preserve"> </v>
      </c>
      <c r="AO569" s="955" t="str">
        <f t="shared" ref="AO569" si="123">IF(ISNUMBER(AO513),(AO513-AN513)*1," ")</f>
        <v xml:space="preserve"> </v>
      </c>
      <c r="AP569" s="955" t="str">
        <f t="shared" ref="AP569" si="124">IF(ISNUMBER(AP513),(AP513-AO513)*1," ")</f>
        <v xml:space="preserve"> </v>
      </c>
      <c r="AQ569" s="955" t="str">
        <f t="shared" ref="AQ569" si="125">IF(ISNUMBER(AQ513),(AQ513-AP513)*1," ")</f>
        <v xml:space="preserve"> </v>
      </c>
    </row>
    <row r="570" spans="2:43" s="473" customFormat="1">
      <c r="B570" s="952" t="s">
        <v>1281</v>
      </c>
      <c r="C570" s="952">
        <v>460.00000000000085</v>
      </c>
      <c r="D570" s="952">
        <v>600.00000000000136</v>
      </c>
      <c r="E570" s="952">
        <v>689.99999999999773</v>
      </c>
      <c r="F570" s="956">
        <v>1330.0000000000018</v>
      </c>
      <c r="G570" s="952">
        <v>1710.0000000000009</v>
      </c>
      <c r="H570" s="952">
        <v>1879.9999999999991</v>
      </c>
      <c r="I570" s="952">
        <v>2640.0000000000005</v>
      </c>
      <c r="J570" s="956">
        <v>2170.0000000000018</v>
      </c>
      <c r="K570" s="952">
        <v>1750</v>
      </c>
      <c r="L570" s="956">
        <v>1839.9999999999964</v>
      </c>
      <c r="M570" s="956">
        <v>1080</v>
      </c>
      <c r="N570" s="1026">
        <f t="shared" ref="N570:Y570" si="126">IF(ISNUMBER(N514),(N514-M514)*1000," ")</f>
        <v>520.00000000000318</v>
      </c>
      <c r="O570" s="956">
        <f t="shared" si="126"/>
        <v>780.00000000000114</v>
      </c>
      <c r="P570" s="956">
        <f t="shared" si="126"/>
        <v>560.00000000000227</v>
      </c>
      <c r="Q570" s="956">
        <f t="shared" si="126"/>
        <v>1119.9999999999975</v>
      </c>
      <c r="R570" s="956">
        <f t="shared" si="126"/>
        <v>1280.0000000000011</v>
      </c>
      <c r="S570" s="956">
        <f t="shared" si="126"/>
        <v>1789.9999999999991</v>
      </c>
      <c r="T570" s="956">
        <f t="shared" si="126"/>
        <v>1820.0000000000002</v>
      </c>
      <c r="U570" s="956">
        <f t="shared" si="126"/>
        <v>2679.9999999999995</v>
      </c>
      <c r="V570" s="956">
        <f t="shared" si="126"/>
        <v>2969.9999999999991</v>
      </c>
      <c r="W570" s="956">
        <f t="shared" si="126"/>
        <v>979.99999999999682</v>
      </c>
      <c r="X570" s="956">
        <f t="shared" si="126"/>
        <v>1710.0000000000009</v>
      </c>
      <c r="Y570" s="956">
        <f t="shared" si="126"/>
        <v>1460.0000000000009</v>
      </c>
      <c r="Z570" s="956">
        <f>IF(ISNUMBER(Z514),(Z514-Y514)*1000," ")</f>
        <v>850.00000000000136</v>
      </c>
      <c r="AA570" s="956">
        <f>IF(ISNUMBER(AA514),(AA514-Z514)*1000," ")</f>
        <v>799.99999999999716</v>
      </c>
      <c r="AB570" s="956">
        <f>IF(ISNUMBER(AB514),(AB514-AA514)*1000," ")</f>
        <v>700.00000000000284</v>
      </c>
      <c r="AC570" s="956">
        <f>IF(ISNUMBER(AC514),(AC514-AB514)*1000," ")</f>
        <v>1359.9999999999995</v>
      </c>
      <c r="AD570" s="956">
        <f t="shared" ref="AD570" si="127">IF(ISNUMBER(AD514),(AD514-AC514)*1000," ")</f>
        <v>1469.9999999999989</v>
      </c>
      <c r="AE570" s="956">
        <f t="shared" ref="AE570" si="128">IF(ISNUMBER(AE514),(AE514-AD514)*1000," ")</f>
        <v>2450.0000000000027</v>
      </c>
      <c r="AF570" s="956">
        <f t="shared" ref="AF570" si="129">IF(ISNUMBER(AF514),(AF514-AE514)*1000," ")</f>
        <v>1459.9999999999936</v>
      </c>
      <c r="AG570" s="956">
        <f t="shared" ref="AG570" si="130">IF(ISNUMBER(AG514),(AG514-AF514)*1000," ")</f>
        <v>1829.9999999999982</v>
      </c>
      <c r="AH570" s="956">
        <f t="shared" ref="AH570" si="131">IF(ISNUMBER(AH514),(AH514-AG514)*1000," ")</f>
        <v>1930.0000000000068</v>
      </c>
      <c r="AI570" s="956">
        <f t="shared" ref="AI570" si="132">IF(ISNUMBER(AI514),(AI514-AH514)*1000," ")</f>
        <v>1000</v>
      </c>
      <c r="AJ570" s="956">
        <f t="shared" ref="AJ570" si="133">IF(ISNUMBER(AJ514),(AJ514-AI514)*1000," ")</f>
        <v>1189.9999999999977</v>
      </c>
      <c r="AK570" s="956" t="str">
        <f t="shared" ref="AK570" si="134">IF(ISNUMBER(AK514),(AK514-AJ514)*1000," ")</f>
        <v xml:space="preserve"> </v>
      </c>
      <c r="AL570" s="956" t="str">
        <f t="shared" ref="AL570" si="135">IF(ISNUMBER(AL514),(AL514-AK514)*1000," ")</f>
        <v xml:space="preserve"> </v>
      </c>
      <c r="AM570" s="956" t="str">
        <f t="shared" ref="AM570" si="136">IF(ISNUMBER(AM514),(AM514-AL514)*1000," ")</f>
        <v xml:space="preserve"> </v>
      </c>
      <c r="AN570" s="956" t="str">
        <f t="shared" ref="AN570" si="137">IF(ISNUMBER(AN514),(AN514-AM514)*1000," ")</f>
        <v xml:space="preserve"> </v>
      </c>
      <c r="AO570" s="956" t="str">
        <f t="shared" ref="AO570" si="138">IF(ISNUMBER(AO514),(AO514-AN514)*1000," ")</f>
        <v xml:space="preserve"> </v>
      </c>
      <c r="AP570" s="956" t="str">
        <f t="shared" ref="AP570" si="139">IF(ISNUMBER(AP514),(AP514-AO514)*1000," ")</f>
        <v xml:space="preserve"> </v>
      </c>
      <c r="AQ570" s="956" t="str">
        <f t="shared" ref="AQ570" si="140">IF(ISNUMBER(AQ514),(AQ514-AP514)*1000," ")</f>
        <v xml:space="preserve"> </v>
      </c>
    </row>
    <row r="571" spans="2:43" s="473" customFormat="1" ht="26.45">
      <c r="B571" s="952" t="s">
        <v>1325</v>
      </c>
      <c r="C571" s="1026">
        <f t="shared" ref="C571:M571" si="141">IF(ISNUMBER(C218),(C218-C223)," ")</f>
        <v>22382</v>
      </c>
      <c r="D571" s="1026">
        <f t="shared" si="141"/>
        <v>28838</v>
      </c>
      <c r="E571" s="1026">
        <f t="shared" si="141"/>
        <v>33947</v>
      </c>
      <c r="F571" s="1026">
        <f t="shared" si="141"/>
        <v>35149</v>
      </c>
      <c r="G571" s="1026">
        <f t="shared" si="141"/>
        <v>38277</v>
      </c>
      <c r="H571" s="1026">
        <f t="shared" si="141"/>
        <v>32858</v>
      </c>
      <c r="I571" s="1026">
        <f t="shared" si="141"/>
        <v>33877</v>
      </c>
      <c r="J571" s="1026">
        <f t="shared" si="141"/>
        <v>34158</v>
      </c>
      <c r="K571" s="1026">
        <f t="shared" si="141"/>
        <v>30616</v>
      </c>
      <c r="L571" s="1026">
        <f t="shared" si="141"/>
        <v>32901.759765625</v>
      </c>
      <c r="M571" s="1026">
        <f t="shared" si="141"/>
        <v>22007.552734375</v>
      </c>
      <c r="N571" s="1026">
        <f>IF(ISNUMBER(N218),(N218-N223)," ")</f>
        <v>10104.700000000001</v>
      </c>
      <c r="O571" s="1026">
        <f>IF(ISNUMBER(O218),(O218-O223)," ")</f>
        <v>8378.7599999999984</v>
      </c>
      <c r="P571" s="1026">
        <f t="shared" ref="P571:AQ571" si="142">IF(ISNUMBER(P218),(P218-P223)," ")</f>
        <v>9509.25</v>
      </c>
      <c r="Q571" s="1026">
        <f t="shared" si="142"/>
        <v>12711.55</v>
      </c>
      <c r="R571" s="1026">
        <f t="shared" si="142"/>
        <v>14315.52</v>
      </c>
      <c r="S571" s="1026">
        <f t="shared" si="142"/>
        <v>19332.599999999999</v>
      </c>
      <c r="T571" s="1026">
        <f t="shared" si="142"/>
        <v>22229.25</v>
      </c>
      <c r="U571" s="1026">
        <f t="shared" si="142"/>
        <v>24978.940000000002</v>
      </c>
      <c r="V571" s="1026">
        <f t="shared" si="142"/>
        <v>24861.69</v>
      </c>
      <c r="W571" s="1026">
        <f t="shared" si="142"/>
        <v>18110.21</v>
      </c>
      <c r="X571" s="1026">
        <f t="shared" si="142"/>
        <v>15950.330000000002</v>
      </c>
      <c r="Y571" s="1026">
        <f t="shared" si="142"/>
        <v>13537.66</v>
      </c>
      <c r="Z571" s="1026">
        <f t="shared" si="142"/>
        <v>9943.81</v>
      </c>
      <c r="AA571" s="1026">
        <f t="shared" si="142"/>
        <v>9406.2099999999991</v>
      </c>
      <c r="AB571" s="1026">
        <f t="shared" si="142"/>
        <v>11543.16</v>
      </c>
      <c r="AC571" s="1026">
        <f t="shared" si="142"/>
        <v>13673.850000000002</v>
      </c>
      <c r="AD571" s="1026">
        <f t="shared" si="142"/>
        <v>15880.320000000002</v>
      </c>
      <c r="AE571" s="1026">
        <f t="shared" si="142"/>
        <v>24231.929999999997</v>
      </c>
      <c r="AF571" s="1026">
        <f t="shared" si="142"/>
        <v>19797.629999999997</v>
      </c>
      <c r="AG571" s="1026">
        <f t="shared" si="142"/>
        <v>21200.260000000002</v>
      </c>
      <c r="AH571" s="1026">
        <f t="shared" si="142"/>
        <v>19771.91</v>
      </c>
      <c r="AI571" s="1026">
        <f t="shared" si="142"/>
        <v>16200.580000000002</v>
      </c>
      <c r="AJ571" s="1026">
        <f t="shared" si="142"/>
        <v>14249.6</v>
      </c>
      <c r="AK571" s="1026" t="str">
        <f t="shared" si="142"/>
        <v xml:space="preserve"> </v>
      </c>
      <c r="AL571" s="1026" t="str">
        <f t="shared" si="142"/>
        <v xml:space="preserve"> </v>
      </c>
      <c r="AM571" s="1026" t="str">
        <f t="shared" si="142"/>
        <v xml:space="preserve"> </v>
      </c>
      <c r="AN571" s="1026" t="str">
        <f t="shared" si="142"/>
        <v xml:space="preserve"> </v>
      </c>
      <c r="AO571" s="1026" t="str">
        <f t="shared" si="142"/>
        <v xml:space="preserve"> </v>
      </c>
      <c r="AP571" s="1026" t="str">
        <f t="shared" si="142"/>
        <v xml:space="preserve"> </v>
      </c>
      <c r="AQ571" s="1026" t="str">
        <f t="shared" si="142"/>
        <v xml:space="preserve"> </v>
      </c>
    </row>
    <row r="572" spans="2:43" s="473" customFormat="1">
      <c r="B572" s="951" t="s">
        <v>1326</v>
      </c>
      <c r="C572" s="951">
        <f t="shared" ref="C572:AA572" si="143">IF(ISNUMBER(C227),(C227-C226)," ")</f>
        <v>74772</v>
      </c>
      <c r="D572" s="951">
        <f t="shared" si="143"/>
        <v>74370</v>
      </c>
      <c r="E572" s="951">
        <f t="shared" si="143"/>
        <v>91300</v>
      </c>
      <c r="F572" s="955">
        <f t="shared" si="143"/>
        <v>83490</v>
      </c>
      <c r="G572" s="951">
        <f t="shared" si="143"/>
        <v>94513</v>
      </c>
      <c r="H572" s="951">
        <f t="shared" si="143"/>
        <v>80661</v>
      </c>
      <c r="I572" s="951">
        <f t="shared" si="143"/>
        <v>74670</v>
      </c>
      <c r="J572" s="955">
        <f t="shared" si="143"/>
        <v>85960</v>
      </c>
      <c r="K572" s="951">
        <f t="shared" si="143"/>
        <v>80377</v>
      </c>
      <c r="L572" s="955">
        <f t="shared" si="143"/>
        <v>84496.640625</v>
      </c>
      <c r="M572" s="955">
        <f t="shared" si="143"/>
        <v>68045.822265625</v>
      </c>
      <c r="N572" s="962">
        <f t="shared" si="143"/>
        <v>63979.51999999999</v>
      </c>
      <c r="O572" s="955">
        <f t="shared" si="143"/>
        <v>70062.33</v>
      </c>
      <c r="P572" s="955">
        <f t="shared" si="143"/>
        <v>69392.12</v>
      </c>
      <c r="Q572" s="955">
        <f t="shared" si="143"/>
        <v>84587.01</v>
      </c>
      <c r="R572" s="955">
        <f t="shared" si="143"/>
        <v>80197.889999999985</v>
      </c>
      <c r="S572" s="955">
        <f t="shared" si="143"/>
        <v>90793.48</v>
      </c>
      <c r="T572" s="955">
        <f t="shared" si="143"/>
        <v>81708.289999999994</v>
      </c>
      <c r="U572" s="955">
        <f t="shared" si="143"/>
        <v>72782.600000000006</v>
      </c>
      <c r="V572" s="955">
        <f t="shared" si="143"/>
        <v>86306.819999999978</v>
      </c>
      <c r="W572" s="955">
        <f t="shared" si="143"/>
        <v>84244.99000000002</v>
      </c>
      <c r="X572" s="955">
        <f t="shared" si="143"/>
        <v>90727.16</v>
      </c>
      <c r="Y572" s="955">
        <f t="shared" si="143"/>
        <v>78365.450000000012</v>
      </c>
      <c r="Z572" s="955">
        <f t="shared" si="143"/>
        <v>61171.98</v>
      </c>
      <c r="AA572" s="955">
        <f t="shared" si="143"/>
        <v>67807.23000000001</v>
      </c>
      <c r="AB572" s="955">
        <f t="shared" ref="AB572:AQ572" si="144">IF(ISNUMBER(AB227),(AB227-AB226)," ")</f>
        <v>70367.48000000001</v>
      </c>
      <c r="AC572" s="955">
        <f t="shared" si="144"/>
        <v>82264.58</v>
      </c>
      <c r="AD572" s="955">
        <f t="shared" si="144"/>
        <v>83998.98</v>
      </c>
      <c r="AE572" s="955">
        <f t="shared" si="144"/>
        <v>98462.459999999992</v>
      </c>
      <c r="AF572" s="955">
        <f t="shared" si="144"/>
        <v>84714.750000000015</v>
      </c>
      <c r="AG572" s="955">
        <f t="shared" si="144"/>
        <v>76011</v>
      </c>
      <c r="AH572" s="955">
        <f t="shared" si="144"/>
        <v>88751.35</v>
      </c>
      <c r="AI572" s="955">
        <f t="shared" si="144"/>
        <v>85689.600000000006</v>
      </c>
      <c r="AJ572" s="955">
        <f t="shared" si="144"/>
        <v>130482.18000000001</v>
      </c>
      <c r="AK572" s="955" t="str">
        <f t="shared" si="144"/>
        <v xml:space="preserve"> </v>
      </c>
      <c r="AL572" s="955" t="str">
        <f t="shared" si="144"/>
        <v xml:space="preserve"> </v>
      </c>
      <c r="AM572" s="955" t="str">
        <f t="shared" si="144"/>
        <v xml:space="preserve"> </v>
      </c>
      <c r="AN572" s="955" t="str">
        <f t="shared" si="144"/>
        <v xml:space="preserve"> </v>
      </c>
      <c r="AO572" s="955" t="str">
        <f t="shared" si="144"/>
        <v xml:space="preserve"> </v>
      </c>
      <c r="AP572" s="955" t="str">
        <f t="shared" si="144"/>
        <v xml:space="preserve"> </v>
      </c>
      <c r="AQ572" s="955" t="str">
        <f t="shared" si="144"/>
        <v xml:space="preserve"> </v>
      </c>
    </row>
    <row r="573" spans="2:43">
      <c r="B573" s="839" t="s">
        <v>1327</v>
      </c>
      <c r="C573" s="952">
        <f t="shared" ref="C573:AQ573" si="145">IF(ISNUMBER(C227),(C572-C234-C236-C237-C238-C239-C240-C233-C232-C231-C230-C229-C228)/C227," ")</f>
        <v>0.21377517868745938</v>
      </c>
      <c r="D573" s="952">
        <f t="shared" si="145"/>
        <v>0.2089700198265676</v>
      </c>
      <c r="E573" s="952">
        <f t="shared" si="145"/>
        <v>0.2396566942738558</v>
      </c>
      <c r="F573" s="952">
        <f t="shared" si="145"/>
        <v>0.16059448859531428</v>
      </c>
      <c r="G573" s="952">
        <f t="shared" si="145"/>
        <v>0.13130001122496432</v>
      </c>
      <c r="H573" s="952">
        <f t="shared" si="145"/>
        <v>0.12477514727320778</v>
      </c>
      <c r="I573" s="952">
        <f t="shared" si="145"/>
        <v>0.1166866281527406</v>
      </c>
      <c r="J573" s="952">
        <f t="shared" si="145"/>
        <v>0.1343541594979436</v>
      </c>
      <c r="K573" s="952">
        <f t="shared" si="145"/>
        <v>0.13437917510666725</v>
      </c>
      <c r="L573" s="956">
        <f t="shared" si="145"/>
        <v>0.13630937959965422</v>
      </c>
      <c r="M573" s="963">
        <f t="shared" si="145"/>
        <v>0.13390730190417013</v>
      </c>
      <c r="N573" s="956">
        <f t="shared" si="145"/>
        <v>0.14308052605413535</v>
      </c>
      <c r="O573" s="956">
        <f t="shared" si="145"/>
        <v>0.13302590867890687</v>
      </c>
      <c r="P573" s="956">
        <f t="shared" si="145"/>
        <v>0.14248500573951073</v>
      </c>
      <c r="Q573" s="956">
        <f t="shared" si="145"/>
        <v>0.13404134072513679</v>
      </c>
      <c r="R573" s="956">
        <f t="shared" si="145"/>
        <v>0.13954258500921943</v>
      </c>
      <c r="S573" s="956">
        <f t="shared" si="145"/>
        <v>0.13047912580284687</v>
      </c>
      <c r="T573" s="956">
        <f t="shared" si="145"/>
        <v>0.1195969456314042</v>
      </c>
      <c r="U573" s="956">
        <f t="shared" si="145"/>
        <v>0.13514079755325809</v>
      </c>
      <c r="V573" s="956">
        <f t="shared" si="145"/>
        <v>0.11186805601086905</v>
      </c>
      <c r="W573" s="956">
        <f t="shared" si="145"/>
        <v>0.11411246502893929</v>
      </c>
      <c r="X573" s="956">
        <f t="shared" si="145"/>
        <v>0.11757565966383866</v>
      </c>
      <c r="Y573" s="956">
        <f t="shared" si="145"/>
        <v>0.13730427488228283</v>
      </c>
      <c r="Z573" s="956">
        <f t="shared" si="145"/>
        <v>9.18698456362331E-2</v>
      </c>
      <c r="AA573" s="956">
        <f t="shared" si="145"/>
        <v>0.10085640230867915</v>
      </c>
      <c r="AB573" s="956">
        <f t="shared" si="145"/>
        <v>0.11146064983536813</v>
      </c>
      <c r="AC573" s="956">
        <f t="shared" si="145"/>
        <v>0.10978087133471599</v>
      </c>
      <c r="AD573" s="956">
        <f t="shared" si="145"/>
        <v>0.11050637266049103</v>
      </c>
      <c r="AE573" s="956">
        <f t="shared" si="145"/>
        <v>0.10707162859593386</v>
      </c>
      <c r="AF573" s="956">
        <f t="shared" si="145"/>
        <v>0.1022920884140561</v>
      </c>
      <c r="AG573" s="956">
        <f t="shared" si="145"/>
        <v>9.6102760874632848E-2</v>
      </c>
      <c r="AH573" s="956">
        <f t="shared" si="145"/>
        <v>9.70077332058525E-2</v>
      </c>
      <c r="AI573" s="956">
        <f t="shared" si="145"/>
        <v>0.11732230228379667</v>
      </c>
      <c r="AJ573" s="956">
        <f t="shared" si="145"/>
        <v>0.3948660329489368</v>
      </c>
      <c r="AK573" s="956" t="str">
        <f t="shared" si="145"/>
        <v xml:space="preserve"> </v>
      </c>
      <c r="AL573" s="956" t="str">
        <f t="shared" si="145"/>
        <v xml:space="preserve"> </v>
      </c>
      <c r="AM573" s="956" t="str">
        <f t="shared" si="145"/>
        <v xml:space="preserve"> </v>
      </c>
      <c r="AN573" s="956" t="str">
        <f t="shared" si="145"/>
        <v xml:space="preserve"> </v>
      </c>
      <c r="AO573" s="956" t="str">
        <f t="shared" si="145"/>
        <v xml:space="preserve"> </v>
      </c>
      <c r="AP573" s="956" t="str">
        <f t="shared" si="145"/>
        <v xml:space="preserve"> </v>
      </c>
      <c r="AQ573" s="956" t="str">
        <f t="shared" si="145"/>
        <v xml:space="preserve"> </v>
      </c>
    </row>
    <row r="574" spans="2:43">
      <c r="B574" s="837" t="s">
        <v>1328</v>
      </c>
      <c r="C574" s="951">
        <f t="shared" ref="C574:AA574" si="146">IF(ISNUMBER(C241),(C241-C242-C243-C244-C245)," ")</f>
        <v>62392</v>
      </c>
      <c r="D574" s="951">
        <f t="shared" si="146"/>
        <v>58868</v>
      </c>
      <c r="E574" s="951">
        <f t="shared" si="146"/>
        <v>70067</v>
      </c>
      <c r="F574" s="951">
        <f t="shared" si="146"/>
        <v>64977</v>
      </c>
      <c r="G574" s="951">
        <f t="shared" si="146"/>
        <v>69451</v>
      </c>
      <c r="H574" s="951">
        <f t="shared" si="146"/>
        <v>59670</v>
      </c>
      <c r="I574" s="951">
        <f t="shared" si="146"/>
        <v>67402</v>
      </c>
      <c r="J574" s="951">
        <f t="shared" si="146"/>
        <v>75562</v>
      </c>
      <c r="K574" s="951">
        <f t="shared" si="146"/>
        <v>69914</v>
      </c>
      <c r="L574" s="955">
        <f t="shared" si="146"/>
        <v>75168.179222106934</v>
      </c>
      <c r="M574" s="955">
        <f t="shared" si="146"/>
        <v>61689.004409790039</v>
      </c>
      <c r="N574" s="955">
        <f t="shared" si="146"/>
        <v>50649.840000000004</v>
      </c>
      <c r="O574" s="962">
        <f t="shared" si="146"/>
        <v>62910.130000000005</v>
      </c>
      <c r="P574" s="962">
        <f t="shared" si="146"/>
        <v>63041.740000000005</v>
      </c>
      <c r="Q574" s="955">
        <f t="shared" si="146"/>
        <v>71311.409999999989</v>
      </c>
      <c r="R574" s="955">
        <f t="shared" si="146"/>
        <v>64798.020000000011</v>
      </c>
      <c r="S574" s="955">
        <f t="shared" si="146"/>
        <v>74385.009999999995</v>
      </c>
      <c r="T574" s="955">
        <f t="shared" si="146"/>
        <v>68902.8</v>
      </c>
      <c r="U574" s="955">
        <f t="shared" si="146"/>
        <v>70751.08</v>
      </c>
      <c r="V574" s="955">
        <f t="shared" si="146"/>
        <v>69839.569999999992</v>
      </c>
      <c r="W574" s="955">
        <f t="shared" si="146"/>
        <v>65938.740000000005</v>
      </c>
      <c r="X574" s="955">
        <f t="shared" si="146"/>
        <v>64035.310000000005</v>
      </c>
      <c r="Y574" s="955">
        <f t="shared" si="146"/>
        <v>58159.92</v>
      </c>
      <c r="Z574" s="955">
        <f t="shared" si="146"/>
        <v>48941.78</v>
      </c>
      <c r="AA574" s="955">
        <f t="shared" si="146"/>
        <v>55816.439999999988</v>
      </c>
      <c r="AB574" s="955">
        <f t="shared" ref="AB574:AQ574" si="147">IF(ISNUMBER(AB241),(AB241-AB242-AB243-AB244-AB245)," ")</f>
        <v>56173.069999999992</v>
      </c>
      <c r="AC574" s="955">
        <f t="shared" si="147"/>
        <v>67525.12999999999</v>
      </c>
      <c r="AD574" s="955">
        <f t="shared" si="147"/>
        <v>61563.69999999999</v>
      </c>
      <c r="AE574" s="955">
        <f t="shared" si="147"/>
        <v>62638.77</v>
      </c>
      <c r="AF574" s="955">
        <f t="shared" si="147"/>
        <v>56435.31</v>
      </c>
      <c r="AG574" s="955">
        <f t="shared" si="147"/>
        <v>60062.58</v>
      </c>
      <c r="AH574" s="955">
        <f t="shared" si="147"/>
        <v>68360.889999999985</v>
      </c>
      <c r="AI574" s="955">
        <f t="shared" si="147"/>
        <v>65673.349999999991</v>
      </c>
      <c r="AJ574" s="955">
        <f t="shared" si="147"/>
        <v>65975.72</v>
      </c>
      <c r="AK574" s="955" t="str">
        <f t="shared" si="147"/>
        <v xml:space="preserve"> </v>
      </c>
      <c r="AL574" s="955" t="str">
        <f t="shared" si="147"/>
        <v xml:space="preserve"> </v>
      </c>
      <c r="AM574" s="955" t="str">
        <f t="shared" si="147"/>
        <v xml:space="preserve"> </v>
      </c>
      <c r="AN574" s="955" t="str">
        <f t="shared" si="147"/>
        <v xml:space="preserve"> </v>
      </c>
      <c r="AO574" s="955" t="str">
        <f t="shared" si="147"/>
        <v xml:space="preserve"> </v>
      </c>
      <c r="AP574" s="955" t="str">
        <f t="shared" si="147"/>
        <v xml:space="preserve"> </v>
      </c>
      <c r="AQ574" s="955" t="str">
        <f t="shared" si="147"/>
        <v xml:space="preserve"> </v>
      </c>
    </row>
    <row r="575" spans="2:43">
      <c r="B575" s="839" t="s">
        <v>1329</v>
      </c>
      <c r="C575" s="952">
        <f t="shared" ref="C575:AQ575" si="148">IF(ISNUMBER(C250),(C574-C246-C247-C248-C249-C250-C251-C252-C253)/C241," ")</f>
        <v>0.19894682192390417</v>
      </c>
      <c r="D575" s="952">
        <f t="shared" si="148"/>
        <v>0.15155322756449074</v>
      </c>
      <c r="E575" s="952">
        <f t="shared" si="148"/>
        <v>0.15695951376331124</v>
      </c>
      <c r="F575" s="952">
        <f t="shared" si="148"/>
        <v>0.13435406698564592</v>
      </c>
      <c r="G575" s="952">
        <f t="shared" si="148"/>
        <v>0.10840807898302897</v>
      </c>
      <c r="H575" s="952">
        <f t="shared" si="148"/>
        <v>2.5740982313503018E-2</v>
      </c>
      <c r="I575" s="952">
        <f t="shared" si="148"/>
        <v>6.2515701648838407E-2</v>
      </c>
      <c r="J575" s="952">
        <f t="shared" si="148"/>
        <v>9.9440280580378584E-2</v>
      </c>
      <c r="K575" s="952">
        <f t="shared" si="148"/>
        <v>0.12744719216898506</v>
      </c>
      <c r="L575" s="956">
        <f t="shared" si="148"/>
        <v>0.16204076020406705</v>
      </c>
      <c r="M575" s="956">
        <f t="shared" si="148"/>
        <v>0.12312434091009339</v>
      </c>
      <c r="N575" s="1026">
        <f t="shared" si="148"/>
        <v>0.10695517189561882</v>
      </c>
      <c r="O575" s="956">
        <f t="shared" si="148"/>
        <v>0.19367157279838271</v>
      </c>
      <c r="P575" s="956">
        <f t="shared" si="148"/>
        <v>0.21710446398822744</v>
      </c>
      <c r="Q575" s="956">
        <f t="shared" si="148"/>
        <v>0.15542616640904641</v>
      </c>
      <c r="R575" s="956">
        <f t="shared" si="148"/>
        <v>0.12339392251293863</v>
      </c>
      <c r="S575" s="956">
        <f t="shared" si="148"/>
        <v>0.12184340371893328</v>
      </c>
      <c r="T575" s="956">
        <f t="shared" si="148"/>
        <v>0.15433211046899709</v>
      </c>
      <c r="U575" s="956">
        <f t="shared" si="148"/>
        <v>0.13852918164507216</v>
      </c>
      <c r="V575" s="956">
        <f t="shared" si="148"/>
        <v>0.14804030839008395</v>
      </c>
      <c r="W575" s="956">
        <f t="shared" si="148"/>
        <v>0.14710502780742202</v>
      </c>
      <c r="X575" s="956">
        <f t="shared" si="148"/>
        <v>0.11125492470969145</v>
      </c>
      <c r="Y575" s="956">
        <f t="shared" si="148"/>
        <v>0.13962505698033914</v>
      </c>
      <c r="Z575" s="956">
        <f t="shared" si="148"/>
        <v>0.13612404202212439</v>
      </c>
      <c r="AA575" s="956">
        <f t="shared" si="148"/>
        <v>0.16074180131611451</v>
      </c>
      <c r="AB575" s="956">
        <f t="shared" si="148"/>
        <v>0.12081071708257257</v>
      </c>
      <c r="AC575" s="956">
        <f t="shared" si="148"/>
        <v>9.9301910971087634E-2</v>
      </c>
      <c r="AD575" s="956">
        <f t="shared" si="148"/>
        <v>0.10364855944206797</v>
      </c>
      <c r="AE575" s="956">
        <f t="shared" si="148"/>
        <v>0.11427648933536133</v>
      </c>
      <c r="AF575" s="956">
        <f t="shared" si="148"/>
        <v>0.13438254217000228</v>
      </c>
      <c r="AG575" s="956">
        <f t="shared" si="148"/>
        <v>0.15103998783061748</v>
      </c>
      <c r="AH575" s="956">
        <f t="shared" si="148"/>
        <v>0.13220143599805731</v>
      </c>
      <c r="AI575" s="956">
        <f t="shared" si="148"/>
        <v>0.10568968239908816</v>
      </c>
      <c r="AJ575" s="956">
        <f t="shared" si="148"/>
        <v>0.10425763633734504</v>
      </c>
      <c r="AK575" s="956" t="str">
        <f t="shared" si="148"/>
        <v xml:space="preserve"> </v>
      </c>
      <c r="AL575" s="956" t="str">
        <f t="shared" si="148"/>
        <v xml:space="preserve"> </v>
      </c>
      <c r="AM575" s="956" t="str">
        <f t="shared" si="148"/>
        <v xml:space="preserve"> </v>
      </c>
      <c r="AN575" s="956" t="str">
        <f t="shared" si="148"/>
        <v xml:space="preserve"> </v>
      </c>
      <c r="AO575" s="956" t="str">
        <f t="shared" si="148"/>
        <v xml:space="preserve"> </v>
      </c>
      <c r="AP575" s="956" t="str">
        <f t="shared" si="148"/>
        <v xml:space="preserve"> </v>
      </c>
      <c r="AQ575" s="956" t="str">
        <f t="shared" si="148"/>
        <v xml:space="preserve"> </v>
      </c>
    </row>
    <row r="576" spans="2:43" s="473" customFormat="1">
      <c r="B576" s="841" t="s">
        <v>1330</v>
      </c>
      <c r="C576" s="953">
        <f t="shared" ref="C576:AA576" si="149">IF(ISNUMBER(C254),C254-C255," ")</f>
        <v>33837</v>
      </c>
      <c r="D576" s="953">
        <f t="shared" si="149"/>
        <v>36637</v>
      </c>
      <c r="E576" s="953">
        <f t="shared" si="149"/>
        <v>52029</v>
      </c>
      <c r="F576" s="953">
        <f t="shared" si="149"/>
        <v>47803</v>
      </c>
      <c r="G576" s="953">
        <f t="shared" si="149"/>
        <v>57885</v>
      </c>
      <c r="H576" s="953">
        <f t="shared" si="149"/>
        <v>52154</v>
      </c>
      <c r="I576" s="953">
        <f t="shared" si="149"/>
        <v>56995</v>
      </c>
      <c r="J576" s="953">
        <f t="shared" si="149"/>
        <v>59662</v>
      </c>
      <c r="K576" s="953">
        <f t="shared" si="149"/>
        <v>55573</v>
      </c>
      <c r="L576" s="957">
        <f t="shared" si="149"/>
        <v>52158.849609375</v>
      </c>
      <c r="M576" s="957">
        <f t="shared" si="149"/>
        <v>43743.6796875</v>
      </c>
      <c r="N576" s="1027">
        <f t="shared" si="149"/>
        <v>37941.18</v>
      </c>
      <c r="O576" s="957">
        <f t="shared" si="149"/>
        <v>37372.089999999997</v>
      </c>
      <c r="P576" s="1027">
        <f t="shared" si="149"/>
        <v>39278.080000000002</v>
      </c>
      <c r="Q576" s="957">
        <f t="shared" si="149"/>
        <v>52986.490000000005</v>
      </c>
      <c r="R576" s="957">
        <f t="shared" si="149"/>
        <v>47655.869999999995</v>
      </c>
      <c r="S576" s="957">
        <f t="shared" si="149"/>
        <v>57341.890000000007</v>
      </c>
      <c r="T576" s="957">
        <f t="shared" si="149"/>
        <v>53153.530000000006</v>
      </c>
      <c r="U576" s="957">
        <f t="shared" si="149"/>
        <v>51743.350000000006</v>
      </c>
      <c r="V576" s="957">
        <f t="shared" si="149"/>
        <v>58591.679999999993</v>
      </c>
      <c r="W576" s="957">
        <f t="shared" si="149"/>
        <v>54433.21</v>
      </c>
      <c r="X576" s="957">
        <f t="shared" si="149"/>
        <v>55698.36</v>
      </c>
      <c r="Y576" s="957">
        <f t="shared" si="149"/>
        <v>45346.11</v>
      </c>
      <c r="Z576" s="957">
        <f t="shared" si="149"/>
        <v>35203.009999999995</v>
      </c>
      <c r="AA576" s="957">
        <f t="shared" si="149"/>
        <v>35901.440000000002</v>
      </c>
      <c r="AB576" s="957">
        <f t="shared" ref="AB576:AQ576" si="150">IF(ISNUMBER(AB254),AB254-AB255," ")</f>
        <v>39866.36</v>
      </c>
      <c r="AC576" s="957">
        <f t="shared" si="150"/>
        <v>49458.87</v>
      </c>
      <c r="AD576" s="957">
        <f t="shared" si="150"/>
        <v>47756.67</v>
      </c>
      <c r="AE576" s="957">
        <f t="shared" si="150"/>
        <v>56822.529999999992</v>
      </c>
      <c r="AF576" s="957">
        <f t="shared" si="150"/>
        <v>50267.649999999994</v>
      </c>
      <c r="AG576" s="957">
        <f t="shared" si="150"/>
        <v>51316.989999999991</v>
      </c>
      <c r="AH576" s="957">
        <f t="shared" si="150"/>
        <v>54519.359999999993</v>
      </c>
      <c r="AI576" s="957">
        <f t="shared" si="150"/>
        <v>50347.07</v>
      </c>
      <c r="AJ576" s="957">
        <f t="shared" si="150"/>
        <v>55543.749999999993</v>
      </c>
      <c r="AK576" s="957" t="str">
        <f t="shared" si="150"/>
        <v xml:space="preserve"> </v>
      </c>
      <c r="AL576" s="957" t="str">
        <f t="shared" si="150"/>
        <v xml:space="preserve"> </v>
      </c>
      <c r="AM576" s="957" t="str">
        <f t="shared" si="150"/>
        <v xml:space="preserve"> </v>
      </c>
      <c r="AN576" s="957" t="str">
        <f t="shared" si="150"/>
        <v xml:space="preserve"> </v>
      </c>
      <c r="AO576" s="957" t="str">
        <f t="shared" si="150"/>
        <v xml:space="preserve"> </v>
      </c>
      <c r="AP576" s="957" t="str">
        <f t="shared" si="150"/>
        <v xml:space="preserve"> </v>
      </c>
      <c r="AQ576" s="957" t="str">
        <f t="shared" si="150"/>
        <v xml:space="preserve"> </v>
      </c>
    </row>
    <row r="577" spans="2:43">
      <c r="B577" s="839" t="s">
        <v>1282</v>
      </c>
      <c r="C577" s="952">
        <v>980.00000000001819</v>
      </c>
      <c r="D577" s="952">
        <v>1269.9999999999818</v>
      </c>
      <c r="E577" s="952">
        <v>1709.9999999999795</v>
      </c>
      <c r="F577" s="952">
        <v>1960.0000000000364</v>
      </c>
      <c r="G577" s="952">
        <v>2430.0000000000068</v>
      </c>
      <c r="H577" s="952">
        <v>4129.9999999999955</v>
      </c>
      <c r="I577" s="952">
        <v>4479.9999999999618</v>
      </c>
      <c r="J577" s="952">
        <v>4000</v>
      </c>
      <c r="K577" s="952">
        <v>3230.0000000000182</v>
      </c>
      <c r="L577" s="956">
        <f>IF(ISNUMBER(L515),(L515-K515)*1000," ")</f>
        <v>2170.0000000000159</v>
      </c>
      <c r="M577" s="956">
        <f>IF(ISNUMBER(M515),(M515-L515)*1000," ")</f>
        <v>959.99999999997954</v>
      </c>
      <c r="N577" s="956">
        <f>IF(ISNUMBER(N515),(N515-M515)*1000," ")</f>
        <v>1129.9999999999955</v>
      </c>
      <c r="O577" s="956">
        <f t="shared" ref="O577:Z577" si="151">IF(ISNUMBER(O515),(O515-N515)*1000," ")</f>
        <v>400.00000000003411</v>
      </c>
      <c r="P577" s="956">
        <f t="shared" si="151"/>
        <v>549.99999999995453</v>
      </c>
      <c r="Q577" s="956">
        <f t="shared" si="151"/>
        <v>1290.0000000000205</v>
      </c>
      <c r="R577" s="956">
        <f t="shared" si="151"/>
        <v>2290.0000000000205</v>
      </c>
      <c r="S577" s="956">
        <f t="shared" si="151"/>
        <v>2629.9999999999955</v>
      </c>
      <c r="T577" s="956">
        <f t="shared" si="151"/>
        <v>2719.9999999999704</v>
      </c>
      <c r="U577" s="956">
        <f t="shared" si="151"/>
        <v>3240.0000000000091</v>
      </c>
      <c r="V577" s="956">
        <f t="shared" si="151"/>
        <v>2759.9999999999909</v>
      </c>
      <c r="W577" s="956">
        <f t="shared" si="151"/>
        <v>1960.0000000000364</v>
      </c>
      <c r="X577" s="956">
        <f t="shared" si="151"/>
        <v>1699.9999999999886</v>
      </c>
      <c r="Y577" s="956">
        <f t="shared" si="151"/>
        <v>850.00000000002274</v>
      </c>
      <c r="Z577" s="1066">
        <f t="shared" si="151"/>
        <v>600.00000000002274</v>
      </c>
      <c r="AA577" s="956"/>
      <c r="AB577" s="956"/>
      <c r="AC577" s="956"/>
      <c r="AD577" s="956"/>
      <c r="AE577" s="956"/>
      <c r="AF577" s="956"/>
      <c r="AG577" s="956"/>
      <c r="AH577" s="956"/>
      <c r="AI577" s="956"/>
      <c r="AJ577" s="956"/>
      <c r="AK577" s="956"/>
      <c r="AL577" s="956"/>
      <c r="AM577" s="956"/>
      <c r="AN577" s="956"/>
      <c r="AO577" s="956"/>
      <c r="AP577" s="956"/>
      <c r="AQ577" s="956"/>
    </row>
    <row r="578" spans="2:43">
      <c r="B578" s="837" t="s">
        <v>1283</v>
      </c>
      <c r="C578" s="951">
        <v>144</v>
      </c>
      <c r="D578" s="951">
        <v>186</v>
      </c>
      <c r="E578" s="951">
        <v>213</v>
      </c>
      <c r="F578" s="951">
        <v>228</v>
      </c>
      <c r="G578" s="951">
        <v>201</v>
      </c>
      <c r="H578" s="951">
        <v>219</v>
      </c>
      <c r="I578" s="951">
        <v>295</v>
      </c>
      <c r="J578" s="951">
        <v>205</v>
      </c>
      <c r="K578" s="951">
        <v>241</v>
      </c>
      <c r="L578" s="955">
        <f t="shared" ref="L578:AA578" si="152">IF(ISNUMBER(L516),L516-K516," ")</f>
        <v>244</v>
      </c>
      <c r="M578" s="955">
        <f t="shared" si="152"/>
        <v>224</v>
      </c>
      <c r="N578" s="955">
        <f t="shared" si="152"/>
        <v>214</v>
      </c>
      <c r="O578" s="955">
        <f t="shared" si="152"/>
        <v>191</v>
      </c>
      <c r="P578" s="955">
        <f t="shared" si="152"/>
        <v>210</v>
      </c>
      <c r="Q578" s="955">
        <f t="shared" si="152"/>
        <v>250</v>
      </c>
      <c r="R578" s="955">
        <f t="shared" si="152"/>
        <v>261</v>
      </c>
      <c r="S578" s="955">
        <f t="shared" si="152"/>
        <v>303</v>
      </c>
      <c r="T578" s="955">
        <f t="shared" si="152"/>
        <v>155</v>
      </c>
      <c r="U578" s="955">
        <f t="shared" si="152"/>
        <v>465</v>
      </c>
      <c r="V578" s="955">
        <f t="shared" si="152"/>
        <v>569</v>
      </c>
      <c r="W578" s="955">
        <f t="shared" si="152"/>
        <v>600</v>
      </c>
      <c r="X578" s="955">
        <f t="shared" si="152"/>
        <v>551</v>
      </c>
      <c r="Y578" s="955">
        <f t="shared" si="152"/>
        <v>511</v>
      </c>
      <c r="Z578" s="1103">
        <f t="shared" si="152"/>
        <v>200</v>
      </c>
      <c r="AA578" s="955">
        <f t="shared" si="152"/>
        <v>200</v>
      </c>
      <c r="AB578" s="955">
        <f t="shared" ref="AB578" si="153">IF(ISNUMBER(AB516),AB516-AA516," ")</f>
        <v>1383</v>
      </c>
      <c r="AC578" s="955">
        <f>IF(ISNUMBER(AC516),AC516-AB516," ")</f>
        <v>535</v>
      </c>
      <c r="AD578" s="955">
        <f>IF(ISNUMBER(AD516),AD516-AC516," ")</f>
        <v>598</v>
      </c>
      <c r="AE578" s="955">
        <f t="shared" ref="AE578" si="154">IF(ISNUMBER(AE516),AE516-AD516," ")</f>
        <v>642</v>
      </c>
      <c r="AF578" s="955">
        <f t="shared" ref="AF578" si="155">IF(ISNUMBER(AF516),AF516-AE516," ")</f>
        <v>150</v>
      </c>
      <c r="AG578" s="955">
        <f t="shared" ref="AG578" si="156">IF(ISNUMBER(AG516),AG516-AF516," ")</f>
        <v>958</v>
      </c>
      <c r="AH578" s="955">
        <f t="shared" ref="AH578" si="157">IF(ISNUMBER(AH516),AH516-AG516," ")</f>
        <v>593</v>
      </c>
      <c r="AI578" s="955">
        <f t="shared" ref="AI578" si="158">IF(ISNUMBER(AI516),AI516-AH516," ")</f>
        <v>598</v>
      </c>
      <c r="AJ578" s="955">
        <f t="shared" ref="AJ578" si="159">IF(ISNUMBER(AJ516),AJ516-AI516," ")</f>
        <v>820</v>
      </c>
      <c r="AK578" s="955" t="str">
        <f t="shared" ref="AK578" si="160">IF(ISNUMBER(AK516),AK516-AJ516," ")</f>
        <v xml:space="preserve"> </v>
      </c>
      <c r="AL578" s="955" t="str">
        <f t="shared" ref="AL578" si="161">IF(ISNUMBER(AL516),AL516-AK516," ")</f>
        <v xml:space="preserve"> </v>
      </c>
      <c r="AM578" s="955" t="str">
        <f t="shared" ref="AM578" si="162">IF(ISNUMBER(AM516),AM516-AL516," ")</f>
        <v xml:space="preserve"> </v>
      </c>
      <c r="AN578" s="955" t="str">
        <f t="shared" ref="AN578" si="163">IF(ISNUMBER(AN516),AN516-AM516," ")</f>
        <v xml:space="preserve"> </v>
      </c>
      <c r="AO578" s="955" t="str">
        <f t="shared" ref="AO578" si="164">IF(ISNUMBER(AO516),AO516-AN516," ")</f>
        <v xml:space="preserve"> </v>
      </c>
      <c r="AP578" s="955" t="str">
        <f t="shared" ref="AP578" si="165">IF(ISNUMBER(AP516),AP516-AO516," ")</f>
        <v xml:space="preserve"> </v>
      </c>
      <c r="AQ578" s="955" t="str">
        <f t="shared" ref="AQ578" si="166">IF(ISNUMBER(AQ516),AQ516-AP516," ")</f>
        <v xml:space="preserve"> </v>
      </c>
    </row>
    <row r="579" spans="2:43">
      <c r="B579" s="839" t="s">
        <v>1284</v>
      </c>
      <c r="C579" s="952">
        <v>669.99999999998749</v>
      </c>
      <c r="D579" s="952">
        <v>710.00000000000796</v>
      </c>
      <c r="E579" s="952">
        <v>629.99999999999545</v>
      </c>
      <c r="F579" s="952">
        <v>860.00000000001364</v>
      </c>
      <c r="G579" s="952">
        <v>969.99999999999886</v>
      </c>
      <c r="H579" s="952">
        <v>1259.9999999999909</v>
      </c>
      <c r="I579" s="952">
        <v>550.00000000001137</v>
      </c>
      <c r="J579" s="952">
        <v>1000</v>
      </c>
      <c r="K579" s="952">
        <v>879.99999999999545</v>
      </c>
      <c r="L579" s="956">
        <v>979.99999999998977</v>
      </c>
      <c r="M579" s="956">
        <f t="shared" ref="M579:AA579" si="167">IF(ISNUMBER(M517),(M517-L517)*1000," ")</f>
        <v>530.00000000000114</v>
      </c>
      <c r="N579" s="956">
        <f t="shared" si="167"/>
        <v>840.00000000000341</v>
      </c>
      <c r="O579" s="956">
        <f t="shared" si="167"/>
        <v>439.99999999999773</v>
      </c>
      <c r="P579" s="956">
        <f t="shared" si="167"/>
        <v>509.99999999999091</v>
      </c>
      <c r="Q579" s="956">
        <f t="shared" si="167"/>
        <v>710.00000000000796</v>
      </c>
      <c r="R579" s="956">
        <f t="shared" si="167"/>
        <v>740.00000000000909</v>
      </c>
      <c r="S579" s="956">
        <f t="shared" si="167"/>
        <v>1079.9999999999841</v>
      </c>
      <c r="T579" s="956">
        <f t="shared" si="167"/>
        <v>860.00000000001364</v>
      </c>
      <c r="U579" s="956">
        <f t="shared" si="167"/>
        <v>829.99999999998408</v>
      </c>
      <c r="V579" s="956">
        <f t="shared" si="167"/>
        <v>800.00000000001137</v>
      </c>
      <c r="W579" s="956">
        <f t="shared" si="167"/>
        <v>759.99999999999091</v>
      </c>
      <c r="X579" s="956">
        <f t="shared" si="167"/>
        <v>820.0000000000216</v>
      </c>
      <c r="Y579" s="956">
        <f t="shared" si="167"/>
        <v>599.99999999999432</v>
      </c>
      <c r="Z579" s="1066">
        <f t="shared" si="167"/>
        <v>669.99999999998749</v>
      </c>
      <c r="AA579" s="956">
        <f t="shared" si="167"/>
        <v>0</v>
      </c>
      <c r="AB579" s="956">
        <f>IF(ISNUMBER(AB515),(AB515-AA517)*1000," ")</f>
        <v>155640.00000000003</v>
      </c>
      <c r="AC579" s="956">
        <f>IF(ISNUMBER(AC517),(AC517-AB515)*1000," ")</f>
        <v>-155440</v>
      </c>
      <c r="AD579" s="956">
        <f>IF(ISNUMBER(AD517),(AD517-AC517)*1000," ")</f>
        <v>199.99999999998863</v>
      </c>
      <c r="AE579" s="956">
        <f t="shared" ref="AE579" si="168">IF(ISNUMBER(AE517),(AE517-AD517)*1000," ")</f>
        <v>0</v>
      </c>
      <c r="AF579" s="956">
        <f t="shared" ref="AF579" si="169">IF(ISNUMBER(AF517),(AF517-AE517)*1000," ")</f>
        <v>1000</v>
      </c>
      <c r="AG579" s="956">
        <f t="shared" ref="AG579" si="170">IF(ISNUMBER(AG517),(AG517-AF517)*1000," ")</f>
        <v>919.99999999998749</v>
      </c>
      <c r="AH579" s="956">
        <f t="shared" ref="AH579" si="171">IF(ISNUMBER(AH517),(AH517-AG517)*1000," ")</f>
        <v>2210.0000000000082</v>
      </c>
      <c r="AI579" s="956">
        <f t="shared" ref="AI579" si="172">IF(ISNUMBER(AI517),(AI517-AH517)*1000," ")</f>
        <v>1870.0000000000045</v>
      </c>
      <c r="AJ579" s="956">
        <f t="shared" ref="AJ579" si="173">IF(ISNUMBER(AJ517),(AJ517-AI517)*1000," ")</f>
        <v>1599.9999999999943</v>
      </c>
      <c r="AK579" s="956" t="str">
        <f t="shared" ref="AK579" si="174">IF(ISNUMBER(AK517),(AK517-AJ517)*1000," ")</f>
        <v xml:space="preserve"> </v>
      </c>
      <c r="AL579" s="956" t="str">
        <f t="shared" ref="AL579" si="175">IF(ISNUMBER(AL517),(AL517-AK517)*1000," ")</f>
        <v xml:space="preserve"> </v>
      </c>
      <c r="AM579" s="956" t="str">
        <f t="shared" ref="AM579" si="176">IF(ISNUMBER(AM517),(AM517-AL517)*1000," ")</f>
        <v xml:space="preserve"> </v>
      </c>
      <c r="AN579" s="956" t="str">
        <f t="shared" ref="AN579" si="177">IF(ISNUMBER(AN517),(AN517-AM517)*1000," ")</f>
        <v xml:space="preserve"> </v>
      </c>
      <c r="AO579" s="956" t="str">
        <f t="shared" ref="AO579" si="178">IF(ISNUMBER(AO517),(AO517-AN517)*1000," ")</f>
        <v xml:space="preserve"> </v>
      </c>
      <c r="AP579" s="956" t="str">
        <f t="shared" ref="AP579" si="179">IF(ISNUMBER(AP517),(AP517-AO517)*1000," ")</f>
        <v xml:space="preserve"> </v>
      </c>
      <c r="AQ579" s="956" t="str">
        <f t="shared" ref="AQ579" si="180">IF(ISNUMBER(AQ517),(AQ517-AP517)*1000," ")</f>
        <v xml:space="preserve"> </v>
      </c>
    </row>
    <row r="580" spans="2:43">
      <c r="B580" s="837" t="s">
        <v>1285</v>
      </c>
      <c r="C580" s="951">
        <v>734</v>
      </c>
      <c r="D580" s="951">
        <v>1242</v>
      </c>
      <c r="E580" s="951">
        <v>1371</v>
      </c>
      <c r="F580" s="951">
        <v>2147</v>
      </c>
      <c r="G580" s="951">
        <v>2633</v>
      </c>
      <c r="H580" s="951">
        <v>3694</v>
      </c>
      <c r="I580" s="951">
        <v>4335</v>
      </c>
      <c r="J580" s="951">
        <v>3252</v>
      </c>
      <c r="K580" s="951">
        <v>2876</v>
      </c>
      <c r="L580" s="955">
        <v>2804</v>
      </c>
      <c r="M580" s="955">
        <v>1273.7999999999884</v>
      </c>
      <c r="N580" s="955">
        <f t="shared" ref="N580:AA580" si="181">IF(ISNUMBER(N518),N518-M518," ")</f>
        <v>1761.2000000000116</v>
      </c>
      <c r="O580" s="955">
        <f t="shared" si="181"/>
        <v>967.65999999997439</v>
      </c>
      <c r="P580" s="955">
        <f t="shared" si="181"/>
        <v>787.53000000002794</v>
      </c>
      <c r="Q580" s="955">
        <f t="shared" si="181"/>
        <v>1921.8099999999977</v>
      </c>
      <c r="R580" s="955">
        <f t="shared" si="181"/>
        <v>2404</v>
      </c>
      <c r="S580" s="955">
        <f t="shared" si="181"/>
        <v>3040</v>
      </c>
      <c r="T580" s="955">
        <f t="shared" si="181"/>
        <v>3307</v>
      </c>
      <c r="U580" s="955">
        <f t="shared" si="181"/>
        <v>3694</v>
      </c>
      <c r="V580" s="955">
        <f t="shared" si="181"/>
        <v>3665</v>
      </c>
      <c r="W580" s="955">
        <f t="shared" si="181"/>
        <v>2663</v>
      </c>
      <c r="X580" s="955">
        <f t="shared" si="181"/>
        <v>2205</v>
      </c>
      <c r="Y580" s="955">
        <f t="shared" si="181"/>
        <v>1943</v>
      </c>
      <c r="Z580" s="1103">
        <f t="shared" si="181"/>
        <v>1700</v>
      </c>
      <c r="AA580" s="955">
        <f t="shared" si="181"/>
        <v>1253</v>
      </c>
      <c r="AB580" s="955">
        <f t="shared" ref="AB580:AQ580" si="182">IF(ISNUMBER(AB518),AB518-AA518," ")</f>
        <v>1207</v>
      </c>
      <c r="AC580" s="955">
        <f t="shared" si="182"/>
        <v>2313</v>
      </c>
      <c r="AD580" s="955">
        <f t="shared" si="182"/>
        <v>2691</v>
      </c>
      <c r="AE580" s="955">
        <f t="shared" si="182"/>
        <v>3307</v>
      </c>
      <c r="AF580" s="955">
        <f t="shared" si="182"/>
        <v>3700</v>
      </c>
      <c r="AG580" s="955">
        <f t="shared" si="182"/>
        <v>3141</v>
      </c>
      <c r="AH580" s="955">
        <f t="shared" si="182"/>
        <v>3486</v>
      </c>
      <c r="AI580" s="955">
        <f t="shared" si="182"/>
        <v>1965</v>
      </c>
      <c r="AJ580" s="955" t="str">
        <f t="shared" si="182"/>
        <v xml:space="preserve"> </v>
      </c>
      <c r="AK580" s="955" t="str">
        <f t="shared" si="182"/>
        <v xml:space="preserve"> </v>
      </c>
      <c r="AL580" s="955" t="str">
        <f t="shared" si="182"/>
        <v xml:space="preserve"> </v>
      </c>
      <c r="AM580" s="955" t="str">
        <f t="shared" si="182"/>
        <v xml:space="preserve"> </v>
      </c>
      <c r="AN580" s="955" t="str">
        <f t="shared" si="182"/>
        <v xml:space="preserve"> </v>
      </c>
      <c r="AO580" s="955" t="str">
        <f t="shared" si="182"/>
        <v xml:space="preserve"> </v>
      </c>
      <c r="AP580" s="955" t="str">
        <f t="shared" si="182"/>
        <v xml:space="preserve"> </v>
      </c>
      <c r="AQ580" s="955" t="str">
        <f t="shared" si="182"/>
        <v xml:space="preserve"> </v>
      </c>
    </row>
    <row r="581" spans="2:43">
      <c r="B581" s="951" t="s">
        <v>1286</v>
      </c>
      <c r="C581" s="951">
        <v>940</v>
      </c>
      <c r="D581" s="951">
        <v>969</v>
      </c>
      <c r="E581" s="951">
        <v>1215</v>
      </c>
      <c r="F581" s="955">
        <v>1633</v>
      </c>
      <c r="G581" s="951">
        <v>2028</v>
      </c>
      <c r="H581" s="951">
        <v>3371</v>
      </c>
      <c r="I581" s="951">
        <v>3084</v>
      </c>
      <c r="J581" s="955">
        <v>2676</v>
      </c>
      <c r="K581" s="951">
        <v>2609</v>
      </c>
      <c r="L581" s="955">
        <v>1868</v>
      </c>
      <c r="M581" s="955">
        <v>1273.7999999999884</v>
      </c>
      <c r="N581" s="955">
        <f t="shared" ref="N581:AA581" si="183">IF(ISNUMBER(N519),N519-M519," ")</f>
        <v>1074.2000000000116</v>
      </c>
      <c r="O581" s="962">
        <f t="shared" si="183"/>
        <v>759</v>
      </c>
      <c r="P581" s="955">
        <f t="shared" si="183"/>
        <v>979</v>
      </c>
      <c r="Q581" s="955">
        <f t="shared" si="183"/>
        <v>1811</v>
      </c>
      <c r="R581" s="955">
        <f t="shared" si="183"/>
        <v>2196</v>
      </c>
      <c r="S581" s="955">
        <f t="shared" si="183"/>
        <v>2718</v>
      </c>
      <c r="T581" s="955">
        <f t="shared" si="183"/>
        <v>2490</v>
      </c>
      <c r="U581" s="955">
        <f t="shared" si="183"/>
        <v>2658</v>
      </c>
      <c r="V581" s="955">
        <f t="shared" si="183"/>
        <v>2909</v>
      </c>
      <c r="W581" s="955">
        <f t="shared" si="183"/>
        <v>2298</v>
      </c>
      <c r="X581" s="955">
        <f t="shared" si="183"/>
        <v>1755</v>
      </c>
      <c r="Y581" s="955">
        <f t="shared" si="183"/>
        <v>1286</v>
      </c>
      <c r="Z581" s="1103">
        <f t="shared" si="183"/>
        <v>1000</v>
      </c>
      <c r="AA581" s="955">
        <f t="shared" si="183"/>
        <v>585</v>
      </c>
      <c r="AB581" s="955">
        <f t="shared" ref="AB581:AQ581" si="184">IF(ISNUMBER(AB519),AB519-AA519," ")</f>
        <v>1026</v>
      </c>
      <c r="AC581" s="955">
        <f t="shared" si="184"/>
        <v>1492</v>
      </c>
      <c r="AD581" s="955">
        <f t="shared" si="184"/>
        <v>1837</v>
      </c>
      <c r="AE581" s="955">
        <f t="shared" si="184"/>
        <v>2490</v>
      </c>
      <c r="AF581" s="955">
        <f t="shared" si="184"/>
        <v>2678</v>
      </c>
      <c r="AG581" s="955">
        <f t="shared" si="184"/>
        <v>3000</v>
      </c>
      <c r="AH581" s="955">
        <f t="shared" si="184"/>
        <v>2581</v>
      </c>
      <c r="AI581" s="955">
        <f t="shared" si="184"/>
        <v>2618</v>
      </c>
      <c r="AJ581" s="955" t="str">
        <f t="shared" si="184"/>
        <v xml:space="preserve"> </v>
      </c>
      <c r="AK581" s="955" t="str">
        <f t="shared" si="184"/>
        <v xml:space="preserve"> </v>
      </c>
      <c r="AL581" s="955" t="str">
        <f t="shared" si="184"/>
        <v xml:space="preserve"> </v>
      </c>
      <c r="AM581" s="955" t="str">
        <f t="shared" si="184"/>
        <v xml:space="preserve"> </v>
      </c>
      <c r="AN581" s="955" t="str">
        <f t="shared" si="184"/>
        <v xml:space="preserve"> </v>
      </c>
      <c r="AO581" s="955" t="str">
        <f t="shared" si="184"/>
        <v xml:space="preserve"> </v>
      </c>
      <c r="AP581" s="955" t="str">
        <f t="shared" si="184"/>
        <v xml:space="preserve"> </v>
      </c>
      <c r="AQ581" s="955" t="str">
        <f t="shared" si="184"/>
        <v xml:space="preserve"> </v>
      </c>
    </row>
    <row r="582" spans="2:43" s="473" customFormat="1">
      <c r="B582" s="954" t="s">
        <v>1331</v>
      </c>
      <c r="C582" s="954">
        <f t="shared" ref="C582:AA582" si="185">IF(ISNUMBER(C280),(C280+C281)," ")</f>
        <v>63104</v>
      </c>
      <c r="D582" s="954">
        <f t="shared" si="185"/>
        <v>66592</v>
      </c>
      <c r="E582" s="954">
        <f t="shared" si="185"/>
        <v>81237</v>
      </c>
      <c r="F582" s="958">
        <f t="shared" si="185"/>
        <v>86690</v>
      </c>
      <c r="G582" s="954">
        <f t="shared" si="185"/>
        <v>112716</v>
      </c>
      <c r="H582" s="954">
        <f t="shared" si="185"/>
        <v>124935</v>
      </c>
      <c r="I582" s="954">
        <f t="shared" si="185"/>
        <v>140486</v>
      </c>
      <c r="J582" s="958">
        <f t="shared" si="185"/>
        <v>130684</v>
      </c>
      <c r="K582" s="954">
        <f t="shared" si="185"/>
        <v>118995</v>
      </c>
      <c r="L582" s="958">
        <f t="shared" si="185"/>
        <v>114851.8359375</v>
      </c>
      <c r="M582" s="958">
        <f t="shared" si="185"/>
        <v>82462.720703125</v>
      </c>
      <c r="N582" s="1026">
        <f t="shared" si="185"/>
        <v>77896.7</v>
      </c>
      <c r="O582" s="958">
        <f t="shared" si="185"/>
        <v>63472.639999999999</v>
      </c>
      <c r="P582" s="958">
        <f t="shared" si="185"/>
        <v>64567.299999999996</v>
      </c>
      <c r="Q582" s="958">
        <f t="shared" si="185"/>
        <v>91355.65</v>
      </c>
      <c r="R582" s="958">
        <f t="shared" si="185"/>
        <v>89752.06</v>
      </c>
      <c r="S582" s="958">
        <f t="shared" si="185"/>
        <v>112410.11</v>
      </c>
      <c r="T582" s="958">
        <f t="shared" si="185"/>
        <v>119489.54</v>
      </c>
      <c r="U582" s="958">
        <f t="shared" si="185"/>
        <v>131488.76999999999</v>
      </c>
      <c r="V582" s="958">
        <f t="shared" si="185"/>
        <v>144620.54999999999</v>
      </c>
      <c r="W582" s="958">
        <f t="shared" si="185"/>
        <v>108855.81</v>
      </c>
      <c r="X582" s="958">
        <f t="shared" si="185"/>
        <v>99080.19</v>
      </c>
      <c r="Y582" s="958">
        <f t="shared" si="185"/>
        <v>83717.11</v>
      </c>
      <c r="Z582" s="958">
        <f t="shared" si="185"/>
        <v>71015.94</v>
      </c>
      <c r="AA582" s="958">
        <f t="shared" si="185"/>
        <v>68530.179999999993</v>
      </c>
      <c r="AB582" s="958">
        <f t="shared" ref="AB582:AQ582" si="186">IF(ISNUMBER(AB280),(AB280+AB281)," ")</f>
        <v>71106.05</v>
      </c>
      <c r="AC582" s="958">
        <f t="shared" si="186"/>
        <v>88550.399999999994</v>
      </c>
      <c r="AD582" s="958">
        <f t="shared" si="186"/>
        <v>109679.63</v>
      </c>
      <c r="AE582" s="958">
        <f t="shared" si="186"/>
        <v>161285.13</v>
      </c>
      <c r="AF582" s="958">
        <f t="shared" si="186"/>
        <v>130395.13</v>
      </c>
      <c r="AG582" s="958">
        <f t="shared" si="186"/>
        <v>143803.9</v>
      </c>
      <c r="AH582" s="958">
        <f t="shared" si="186"/>
        <v>143434.75</v>
      </c>
      <c r="AI582" s="958">
        <f t="shared" si="186"/>
        <v>125323.78</v>
      </c>
      <c r="AJ582" s="958">
        <f t="shared" si="186"/>
        <v>84593.67</v>
      </c>
      <c r="AK582" s="958" t="str">
        <f t="shared" si="186"/>
        <v xml:space="preserve"> </v>
      </c>
      <c r="AL582" s="958" t="str">
        <f t="shared" si="186"/>
        <v xml:space="preserve"> </v>
      </c>
      <c r="AM582" s="958" t="str">
        <f t="shared" si="186"/>
        <v xml:space="preserve"> </v>
      </c>
      <c r="AN582" s="958" t="str">
        <f t="shared" si="186"/>
        <v xml:space="preserve"> </v>
      </c>
      <c r="AO582" s="958" t="str">
        <f t="shared" si="186"/>
        <v xml:space="preserve"> </v>
      </c>
      <c r="AP582" s="958" t="str">
        <f t="shared" si="186"/>
        <v xml:space="preserve"> </v>
      </c>
      <c r="AQ582" s="958" t="str">
        <f t="shared" si="186"/>
        <v xml:space="preserve"> </v>
      </c>
    </row>
    <row r="583" spans="2:43" s="473" customFormat="1">
      <c r="B583" s="953" t="s">
        <v>1332</v>
      </c>
      <c r="C583" s="953">
        <f t="shared" ref="C583:AA583" si="187">IF(ISNUMBER(C307),C307-C303," ")</f>
        <v>35700</v>
      </c>
      <c r="D583" s="953">
        <f t="shared" si="187"/>
        <v>38762</v>
      </c>
      <c r="E583" s="953">
        <f t="shared" si="187"/>
        <v>42930</v>
      </c>
      <c r="F583" s="957">
        <f t="shared" si="187"/>
        <v>17469</v>
      </c>
      <c r="G583" s="953">
        <f t="shared" si="187"/>
        <v>21966</v>
      </c>
      <c r="H583" s="953">
        <f t="shared" si="187"/>
        <v>38372</v>
      </c>
      <c r="I583" s="953">
        <f t="shared" si="187"/>
        <v>32663</v>
      </c>
      <c r="J583" s="957">
        <f t="shared" si="187"/>
        <v>43930</v>
      </c>
      <c r="K583" s="953">
        <f t="shared" si="187"/>
        <v>38398</v>
      </c>
      <c r="L583" s="957">
        <f t="shared" si="187"/>
        <v>39156.3515625</v>
      </c>
      <c r="M583" s="957">
        <f t="shared" si="187"/>
        <v>40151.55078125</v>
      </c>
      <c r="N583" s="1027">
        <f t="shared" si="187"/>
        <v>35862.79</v>
      </c>
      <c r="O583" s="957">
        <f t="shared" si="187"/>
        <v>40276.870000000003</v>
      </c>
      <c r="P583" s="957">
        <f t="shared" si="187"/>
        <v>50803.46</v>
      </c>
      <c r="Q583" s="957">
        <f t="shared" si="187"/>
        <v>43942.78</v>
      </c>
      <c r="R583" s="957">
        <f t="shared" si="187"/>
        <v>38830.980000000003</v>
      </c>
      <c r="S583" s="957">
        <f t="shared" si="187"/>
        <v>44099.070000000007</v>
      </c>
      <c r="T583" s="957">
        <f t="shared" si="187"/>
        <v>41773.18</v>
      </c>
      <c r="U583" s="957">
        <f t="shared" si="187"/>
        <v>43542.270000000004</v>
      </c>
      <c r="V583" s="957">
        <f t="shared" si="187"/>
        <v>46036.350000000006</v>
      </c>
      <c r="W583" s="957">
        <f t="shared" si="187"/>
        <v>42122.11</v>
      </c>
      <c r="X583" s="957">
        <f t="shared" si="187"/>
        <v>44819.710000000006</v>
      </c>
      <c r="Y583" s="957">
        <f t="shared" si="187"/>
        <v>39098.369999999995</v>
      </c>
      <c r="Z583" s="957">
        <f t="shared" si="187"/>
        <v>36145.149999999994</v>
      </c>
      <c r="AA583" s="957">
        <f t="shared" si="187"/>
        <v>38490.620000000003</v>
      </c>
      <c r="AB583" s="957">
        <f t="shared" ref="AB583:AQ583" si="188">IF(ISNUMBER(AB307),AB307-AB303," ")</f>
        <v>37572.100000000006</v>
      </c>
      <c r="AC583" s="957">
        <f t="shared" si="188"/>
        <v>41441.410000000003</v>
      </c>
      <c r="AD583" s="957">
        <f t="shared" si="188"/>
        <v>42112.639999999999</v>
      </c>
      <c r="AE583" s="957">
        <f t="shared" si="188"/>
        <v>48687.229999999996</v>
      </c>
      <c r="AF583" s="957">
        <f t="shared" si="188"/>
        <v>42831.1</v>
      </c>
      <c r="AG583" s="957">
        <f t="shared" si="188"/>
        <v>46772.87</v>
      </c>
      <c r="AH583" s="957">
        <f t="shared" si="188"/>
        <v>46779.009999999995</v>
      </c>
      <c r="AI583" s="957">
        <f t="shared" si="188"/>
        <v>43091.200000000004</v>
      </c>
      <c r="AJ583" s="957">
        <f t="shared" si="188"/>
        <v>11397.25</v>
      </c>
      <c r="AK583" s="957" t="str">
        <f t="shared" si="188"/>
        <v xml:space="preserve"> </v>
      </c>
      <c r="AL583" s="957" t="str">
        <f t="shared" si="188"/>
        <v xml:space="preserve"> </v>
      </c>
      <c r="AM583" s="957" t="str">
        <f t="shared" si="188"/>
        <v xml:space="preserve"> </v>
      </c>
      <c r="AN583" s="957" t="str">
        <f t="shared" si="188"/>
        <v xml:space="preserve"> </v>
      </c>
      <c r="AO583" s="957" t="str">
        <f t="shared" si="188"/>
        <v xml:space="preserve"> </v>
      </c>
      <c r="AP583" s="957" t="str">
        <f t="shared" si="188"/>
        <v xml:space="preserve"> </v>
      </c>
      <c r="AQ583" s="957" t="str">
        <f t="shared" si="188"/>
        <v xml:space="preserve"> </v>
      </c>
    </row>
    <row r="584" spans="2:43">
      <c r="B584" s="839" t="s">
        <v>1290</v>
      </c>
      <c r="C584" s="952">
        <v>0</v>
      </c>
      <c r="D584" s="952">
        <v>0</v>
      </c>
      <c r="E584" s="952">
        <v>139</v>
      </c>
      <c r="F584" s="952">
        <v>151</v>
      </c>
      <c r="G584" s="952">
        <v>58</v>
      </c>
      <c r="H584" s="952">
        <v>62</v>
      </c>
      <c r="I584" s="952">
        <v>50</v>
      </c>
      <c r="J584" s="952">
        <v>10</v>
      </c>
      <c r="K584" s="952">
        <f t="shared" ref="K584:Z584" si="189">IF(ISNUMBER(K522),K522-J522," ")</f>
        <v>10</v>
      </c>
      <c r="L584" s="956">
        <f t="shared" si="189"/>
        <v>5</v>
      </c>
      <c r="M584" s="963">
        <f t="shared" si="189"/>
        <v>0</v>
      </c>
      <c r="N584" s="956">
        <f t="shared" si="189"/>
        <v>1</v>
      </c>
      <c r="O584" s="956">
        <f t="shared" si="189"/>
        <v>0</v>
      </c>
      <c r="P584" s="956">
        <f t="shared" si="189"/>
        <v>500</v>
      </c>
      <c r="Q584" s="956">
        <f t="shared" si="189"/>
        <v>1000</v>
      </c>
      <c r="R584" s="956">
        <f t="shared" si="189"/>
        <v>10</v>
      </c>
      <c r="S584" s="956">
        <f t="shared" si="189"/>
        <v>10</v>
      </c>
      <c r="T584" s="956">
        <f t="shared" si="189"/>
        <v>10</v>
      </c>
      <c r="U584" s="956">
        <f t="shared" si="189"/>
        <v>10</v>
      </c>
      <c r="V584" s="956">
        <f t="shared" si="189"/>
        <v>10</v>
      </c>
      <c r="W584" s="956">
        <f t="shared" si="189"/>
        <v>10</v>
      </c>
      <c r="X584" s="956">
        <f t="shared" si="189"/>
        <v>10</v>
      </c>
      <c r="Y584" s="956">
        <f t="shared" si="189"/>
        <v>0</v>
      </c>
      <c r="Z584" s="956">
        <f t="shared" si="189"/>
        <v>0</v>
      </c>
      <c r="AA584" s="956">
        <v>0</v>
      </c>
      <c r="AB584" s="956">
        <f t="shared" ref="AB584" si="190">IF(ISNUMBER(AB522),AB522-AA522," ")</f>
        <v>0</v>
      </c>
      <c r="AC584" s="956">
        <f t="shared" ref="AC584" si="191">IF(ISNUMBER(AC522),AC522-AB522," ")</f>
        <v>94</v>
      </c>
      <c r="AD584" s="956">
        <f t="shared" ref="AD584" si="192">IF(ISNUMBER(AD522),AD522-AC522," ")</f>
        <v>1517</v>
      </c>
      <c r="AE584" s="956">
        <f t="shared" ref="AE584" si="193">IF(ISNUMBER(AE522),AE522-AD522," ")</f>
        <v>10</v>
      </c>
      <c r="AF584" s="956">
        <f t="shared" ref="AF584" si="194">IF(ISNUMBER(AF522),AF522-AE522," ")</f>
        <v>10</v>
      </c>
      <c r="AG584" s="956">
        <f t="shared" ref="AG584" si="195">IF(ISNUMBER(AG522),AG522-AF522," ")</f>
        <v>10</v>
      </c>
      <c r="AH584" s="956">
        <f t="shared" ref="AH584" si="196">IF(ISNUMBER(AH522),AH522-AG522," ")</f>
        <v>10</v>
      </c>
      <c r="AI584" s="956">
        <f t="shared" ref="AI584" si="197">IF(ISNUMBER(AI522),AI522-AH522," ")</f>
        <v>511</v>
      </c>
      <c r="AJ584" s="956" t="str">
        <f t="shared" ref="AJ584" si="198">IF(ISNUMBER(AJ522),AJ522-AI522," ")</f>
        <v xml:space="preserve"> </v>
      </c>
      <c r="AK584" s="956" t="str">
        <f t="shared" ref="AK584" si="199">IF(ISNUMBER(AK522),AK522-AJ522," ")</f>
        <v xml:space="preserve"> </v>
      </c>
      <c r="AL584" s="956" t="str">
        <f t="shared" ref="AL584" si="200">IF(ISNUMBER(AL522),AL522-AK522," ")</f>
        <v xml:space="preserve"> </v>
      </c>
      <c r="AM584" s="956" t="str">
        <f t="shared" ref="AM584" si="201">IF(ISNUMBER(AM522),AM522-AL522," ")</f>
        <v xml:space="preserve"> </v>
      </c>
      <c r="AN584" s="956" t="str">
        <f t="shared" ref="AN584" si="202">IF(ISNUMBER(AN522),AN522-AM522," ")</f>
        <v xml:space="preserve"> </v>
      </c>
      <c r="AO584" s="956" t="str">
        <f t="shared" ref="AO584" si="203">IF(ISNUMBER(AO522),AO522-AN522," ")</f>
        <v xml:space="preserve"> </v>
      </c>
      <c r="AP584" s="956" t="str">
        <f t="shared" ref="AP584" si="204">IF(ISNUMBER(AP522),AP522-AO522," ")</f>
        <v xml:space="preserve"> </v>
      </c>
      <c r="AQ584" s="956" t="str">
        <f t="shared" ref="AQ584" si="205">IF(ISNUMBER(AQ522),AQ522-AP522," ")</f>
        <v xml:space="preserve"> </v>
      </c>
    </row>
    <row r="585" spans="2:43" s="473" customFormat="1">
      <c r="B585" s="841" t="s">
        <v>1287</v>
      </c>
      <c r="C585" s="953">
        <v>63</v>
      </c>
      <c r="D585" s="953">
        <v>76</v>
      </c>
      <c r="E585" s="953">
        <v>78</v>
      </c>
      <c r="F585" s="953">
        <v>108</v>
      </c>
      <c r="G585" s="953">
        <v>360</v>
      </c>
      <c r="H585" s="953">
        <v>428</v>
      </c>
      <c r="I585" s="953">
        <v>497</v>
      </c>
      <c r="J585" s="953">
        <v>443</v>
      </c>
      <c r="K585" s="953">
        <v>143</v>
      </c>
      <c r="L585" s="957">
        <v>214</v>
      </c>
      <c r="M585" s="957">
        <v>121</v>
      </c>
      <c r="N585" s="957">
        <f t="shared" ref="N585:AA585" si="206">IF(ISNUMBER(N520),N520-M520," ")</f>
        <v>73</v>
      </c>
      <c r="O585" s="1027">
        <f t="shared" si="206"/>
        <v>29</v>
      </c>
      <c r="P585" s="1027">
        <f t="shared" si="206"/>
        <v>201</v>
      </c>
      <c r="Q585" s="957">
        <f t="shared" si="206"/>
        <v>165.79999999999927</v>
      </c>
      <c r="R585" s="957">
        <f t="shared" si="206"/>
        <v>118.20000000000073</v>
      </c>
      <c r="S585" s="957">
        <f t="shared" si="206"/>
        <v>300</v>
      </c>
      <c r="T585" s="957">
        <f t="shared" si="206"/>
        <v>415</v>
      </c>
      <c r="U585" s="957">
        <f t="shared" si="206"/>
        <v>604</v>
      </c>
      <c r="V585" s="957">
        <f t="shared" si="206"/>
        <v>647</v>
      </c>
      <c r="W585" s="957">
        <f t="shared" si="206"/>
        <v>690</v>
      </c>
      <c r="X585" s="957">
        <f t="shared" si="206"/>
        <v>527</v>
      </c>
      <c r="Y585" s="957">
        <f t="shared" si="206"/>
        <v>267</v>
      </c>
      <c r="Z585" s="957">
        <f t="shared" si="206"/>
        <v>143</v>
      </c>
      <c r="AA585" s="957">
        <f t="shared" si="206"/>
        <v>92.700000000000728</v>
      </c>
      <c r="AB585" s="957">
        <f t="shared" ref="AB585:AQ585" si="207">IF(ISNUMBER(AB520),AB520-AA520," ")</f>
        <v>181.79999999999927</v>
      </c>
      <c r="AC585" s="957">
        <f t="shared" si="207"/>
        <v>182.5</v>
      </c>
      <c r="AD585" s="957">
        <f t="shared" si="207"/>
        <v>319</v>
      </c>
      <c r="AE585" s="957">
        <f t="shared" si="207"/>
        <v>1842</v>
      </c>
      <c r="AF585" s="957">
        <f t="shared" si="207"/>
        <v>0</v>
      </c>
      <c r="AG585" s="957">
        <f t="shared" si="207"/>
        <v>140.5</v>
      </c>
      <c r="AH585" s="957">
        <f t="shared" si="207"/>
        <v>363.5</v>
      </c>
      <c r="AI585" s="957">
        <f t="shared" si="207"/>
        <v>700</v>
      </c>
      <c r="AJ585" s="957">
        <f t="shared" si="207"/>
        <v>259</v>
      </c>
      <c r="AK585" s="957" t="str">
        <f t="shared" si="207"/>
        <v xml:space="preserve"> </v>
      </c>
      <c r="AL585" s="957" t="str">
        <f t="shared" si="207"/>
        <v xml:space="preserve"> </v>
      </c>
      <c r="AM585" s="957" t="str">
        <f t="shared" si="207"/>
        <v xml:space="preserve"> </v>
      </c>
      <c r="AN585" s="957" t="str">
        <f t="shared" si="207"/>
        <v xml:space="preserve"> </v>
      </c>
      <c r="AO585" s="957" t="str">
        <f t="shared" si="207"/>
        <v xml:space="preserve"> </v>
      </c>
      <c r="AP585" s="957" t="str">
        <f t="shared" si="207"/>
        <v xml:space="preserve"> </v>
      </c>
      <c r="AQ585" s="957" t="str">
        <f t="shared" si="207"/>
        <v xml:space="preserve"> </v>
      </c>
    </row>
    <row r="586" spans="2:43" s="473" customFormat="1">
      <c r="B586" s="843" t="s">
        <v>1288</v>
      </c>
      <c r="C586" s="954">
        <v>134</v>
      </c>
      <c r="D586" s="954">
        <v>186</v>
      </c>
      <c r="E586" s="954">
        <v>197</v>
      </c>
      <c r="F586" s="954">
        <v>132</v>
      </c>
      <c r="G586" s="954">
        <v>247</v>
      </c>
      <c r="H586" s="954">
        <v>435</v>
      </c>
      <c r="I586" s="954">
        <v>472</v>
      </c>
      <c r="J586" s="954">
        <v>287</v>
      </c>
      <c r="K586" s="954">
        <v>230</v>
      </c>
      <c r="L586" s="958">
        <v>258</v>
      </c>
      <c r="M586" s="958">
        <v>219</v>
      </c>
      <c r="N586" s="1026">
        <f t="shared" ref="N586:AA586" si="208">IF(ISNUMBER(N521),N521-M521," ")</f>
        <v>133</v>
      </c>
      <c r="O586" s="958">
        <f t="shared" si="208"/>
        <v>162</v>
      </c>
      <c r="P586" s="958">
        <f t="shared" si="208"/>
        <v>146</v>
      </c>
      <c r="Q586" s="958">
        <f t="shared" si="208"/>
        <v>210.60000000000036</v>
      </c>
      <c r="R586" s="958">
        <f t="shared" si="208"/>
        <v>134.19999999999891</v>
      </c>
      <c r="S586" s="958">
        <f t="shared" si="208"/>
        <v>282.20000000000073</v>
      </c>
      <c r="T586" s="958">
        <f t="shared" si="208"/>
        <v>329</v>
      </c>
      <c r="U586" s="958">
        <f t="shared" si="208"/>
        <v>430</v>
      </c>
      <c r="V586" s="958">
        <f t="shared" si="208"/>
        <v>440</v>
      </c>
      <c r="W586" s="958">
        <f t="shared" si="208"/>
        <v>269</v>
      </c>
      <c r="X586" s="958">
        <f t="shared" si="208"/>
        <v>202</v>
      </c>
      <c r="Y586" s="958">
        <f t="shared" si="208"/>
        <v>164</v>
      </c>
      <c r="Z586" s="958">
        <f t="shared" si="208"/>
        <v>163</v>
      </c>
      <c r="AA586" s="958">
        <f t="shared" si="208"/>
        <v>135.60000000000036</v>
      </c>
      <c r="AB586" s="958">
        <f t="shared" ref="AB586:AQ586" si="209">IF(ISNUMBER(AB521),AB521-AA521," ")</f>
        <v>158</v>
      </c>
      <c r="AC586" s="958">
        <f t="shared" si="209"/>
        <v>160.39999999999964</v>
      </c>
      <c r="AD586" s="958">
        <f t="shared" si="209"/>
        <v>175.89999999999964</v>
      </c>
      <c r="AE586" s="958">
        <f t="shared" si="209"/>
        <v>513.10000000000036</v>
      </c>
      <c r="AF586" s="958">
        <f t="shared" si="209"/>
        <v>694.79999999999927</v>
      </c>
      <c r="AG586" s="958">
        <f t="shared" si="209"/>
        <v>795.5</v>
      </c>
      <c r="AH586" s="958">
        <f t="shared" si="209"/>
        <v>704.60000000000218</v>
      </c>
      <c r="AI586" s="958">
        <f t="shared" si="209"/>
        <v>577.09999999999854</v>
      </c>
      <c r="AJ586" s="958">
        <f t="shared" si="209"/>
        <v>389</v>
      </c>
      <c r="AK586" s="958" t="str">
        <f t="shared" si="209"/>
        <v xml:space="preserve"> </v>
      </c>
      <c r="AL586" s="958" t="str">
        <f t="shared" si="209"/>
        <v xml:space="preserve"> </v>
      </c>
      <c r="AM586" s="958" t="str">
        <f t="shared" si="209"/>
        <v xml:space="preserve"> </v>
      </c>
      <c r="AN586" s="958" t="str">
        <f t="shared" si="209"/>
        <v xml:space="preserve"> </v>
      </c>
      <c r="AO586" s="958" t="str">
        <f t="shared" si="209"/>
        <v xml:space="preserve"> </v>
      </c>
      <c r="AP586" s="958" t="str">
        <f t="shared" si="209"/>
        <v xml:space="preserve"> </v>
      </c>
      <c r="AQ586" s="958" t="str">
        <f t="shared" si="209"/>
        <v xml:space="preserve"> </v>
      </c>
    </row>
    <row r="587" spans="2:43">
      <c r="B587" s="837" t="s">
        <v>1333</v>
      </c>
      <c r="C587" s="951">
        <f t="shared" ref="C587:AQ587" si="210">IF(ISNUMBER(C590),C340+(C340/(C591+C589+C340)*C590)," ")</f>
        <v>11230.505719459412</v>
      </c>
      <c r="D587" s="951">
        <f t="shared" si="210"/>
        <v>11222.021645875451</v>
      </c>
      <c r="E587" s="951">
        <f t="shared" si="210"/>
        <v>11149.672661638626</v>
      </c>
      <c r="F587" s="951">
        <f t="shared" si="210"/>
        <v>9505.2529995907207</v>
      </c>
      <c r="G587" s="951">
        <f t="shared" si="210"/>
        <v>10076.814756258234</v>
      </c>
      <c r="H587" s="951">
        <f t="shared" si="210"/>
        <v>9178.8190430120521</v>
      </c>
      <c r="I587" s="951">
        <f t="shared" si="210"/>
        <v>8094.1941314250935</v>
      </c>
      <c r="J587" s="951">
        <f t="shared" si="210"/>
        <v>9497.7883051590907</v>
      </c>
      <c r="K587" s="951">
        <f t="shared" si="210"/>
        <v>8411.6809169652988</v>
      </c>
      <c r="L587" s="955">
        <f t="shared" si="210"/>
        <v>7069.2322301626618</v>
      </c>
      <c r="M587" s="955">
        <f t="shared" si="210"/>
        <v>611.22786892091074</v>
      </c>
      <c r="N587" s="962">
        <f t="shared" si="210"/>
        <v>640.33552952582829</v>
      </c>
      <c r="O587" s="955">
        <f t="shared" si="210"/>
        <v>749.39912744736512</v>
      </c>
      <c r="P587" s="962">
        <f t="shared" si="210"/>
        <v>318.69423779176998</v>
      </c>
      <c r="Q587" s="955">
        <f t="shared" si="210"/>
        <v>204.50850492320114</v>
      </c>
      <c r="R587" s="955">
        <f t="shared" si="210"/>
        <v>397.1052782019899</v>
      </c>
      <c r="S587" s="955">
        <f t="shared" si="210"/>
        <v>316.22641057930446</v>
      </c>
      <c r="T587" s="955">
        <f t="shared" si="210"/>
        <v>0.25234716715561722</v>
      </c>
      <c r="U587" s="955">
        <f t="shared" si="210"/>
        <v>0.3650033242645323</v>
      </c>
      <c r="V587" s="955">
        <f t="shared" si="210"/>
        <v>174.76129655051051</v>
      </c>
      <c r="W587" s="955">
        <f t="shared" si="210"/>
        <v>240.14522841482807</v>
      </c>
      <c r="X587" s="955">
        <f t="shared" si="210"/>
        <v>164.96383735794666</v>
      </c>
      <c r="Y587" s="955">
        <f t="shared" si="210"/>
        <v>964.08043770118354</v>
      </c>
      <c r="Z587" s="955">
        <f t="shared" si="210"/>
        <v>948.00953497153307</v>
      </c>
      <c r="AA587" s="955">
        <f t="shared" si="210"/>
        <v>884.50418968044301</v>
      </c>
      <c r="AB587" s="955">
        <f t="shared" si="210"/>
        <v>584.54123068081321</v>
      </c>
      <c r="AC587" s="955">
        <f t="shared" si="210"/>
        <v>106.45776564237462</v>
      </c>
      <c r="AD587" s="955">
        <f t="shared" si="210"/>
        <v>9.0486709881070695</v>
      </c>
      <c r="AE587" s="955">
        <f t="shared" si="210"/>
        <v>60.328641763969074</v>
      </c>
      <c r="AF587" s="955">
        <f t="shared" si="210"/>
        <v>1854.9819019692213</v>
      </c>
      <c r="AG587" s="955">
        <f t="shared" si="210"/>
        <v>2096.1293104461556</v>
      </c>
      <c r="AH587" s="955">
        <f t="shared" si="210"/>
        <v>10125.741747560158</v>
      </c>
      <c r="AI587" s="955">
        <f t="shared" si="210"/>
        <v>8680.8544614488601</v>
      </c>
      <c r="AJ587" s="955">
        <f t="shared" si="210"/>
        <v>9555.3366507232113</v>
      </c>
      <c r="AK587" s="955" t="str">
        <f t="shared" si="210"/>
        <v xml:space="preserve"> </v>
      </c>
      <c r="AL587" s="955" t="str">
        <f t="shared" si="210"/>
        <v xml:space="preserve"> </v>
      </c>
      <c r="AM587" s="955" t="str">
        <f t="shared" si="210"/>
        <v xml:space="preserve"> </v>
      </c>
      <c r="AN587" s="955" t="str">
        <f t="shared" si="210"/>
        <v xml:space="preserve"> </v>
      </c>
      <c r="AO587" s="955" t="str">
        <f t="shared" si="210"/>
        <v xml:space="preserve"> </v>
      </c>
      <c r="AP587" s="955" t="str">
        <f t="shared" si="210"/>
        <v xml:space="preserve"> </v>
      </c>
      <c r="AQ587" s="955" t="str">
        <f t="shared" si="210"/>
        <v xml:space="preserve"> </v>
      </c>
    </row>
    <row r="588" spans="2:43">
      <c r="B588" s="839" t="s">
        <v>1334</v>
      </c>
      <c r="C588" s="952">
        <f t="shared" ref="C588:AQ588" si="211">IF(ISNUMBER(C590),C589+(C589/(C591+C589+C340)*C590)," ")</f>
        <v>37857.056554191324</v>
      </c>
      <c r="D588" s="952">
        <f t="shared" si="211"/>
        <v>36356.946994724123</v>
      </c>
      <c r="E588" s="952">
        <f t="shared" si="211"/>
        <v>40319.264616773027</v>
      </c>
      <c r="F588" s="952">
        <f t="shared" si="211"/>
        <v>35648.724123817934</v>
      </c>
      <c r="G588" s="952">
        <f t="shared" si="211"/>
        <v>42658.862262375304</v>
      </c>
      <c r="H588" s="952">
        <f t="shared" si="211"/>
        <v>39290.126657798202</v>
      </c>
      <c r="I588" s="952">
        <f t="shared" si="211"/>
        <v>37577.475516866165</v>
      </c>
      <c r="J588" s="952">
        <f t="shared" si="211"/>
        <v>46861.819414920537</v>
      </c>
      <c r="K588" s="952">
        <f t="shared" si="211"/>
        <v>41084.565197817436</v>
      </c>
      <c r="L588" s="956">
        <f t="shared" si="211"/>
        <v>39385.193139438081</v>
      </c>
      <c r="M588" s="956">
        <f t="shared" si="211"/>
        <v>40649.635612810336</v>
      </c>
      <c r="N588" s="956">
        <f t="shared" si="211"/>
        <v>38971.644469077764</v>
      </c>
      <c r="O588" s="956">
        <f t="shared" si="211"/>
        <v>38589.15895557047</v>
      </c>
      <c r="P588" s="956">
        <f t="shared" si="211"/>
        <v>38910.878593773188</v>
      </c>
      <c r="Q588" s="956">
        <f t="shared" si="211"/>
        <v>44927.300537898009</v>
      </c>
      <c r="R588" s="956">
        <f t="shared" si="211"/>
        <v>40066.424337784061</v>
      </c>
      <c r="S588" s="956">
        <f t="shared" si="211"/>
        <v>44839.869626713727</v>
      </c>
      <c r="T588" s="956">
        <f t="shared" si="211"/>
        <v>38046.079575451819</v>
      </c>
      <c r="U588" s="956">
        <f t="shared" si="211"/>
        <v>39507.435126114346</v>
      </c>
      <c r="V588" s="956">
        <f t="shared" si="211"/>
        <v>44327.476245294994</v>
      </c>
      <c r="W588" s="956">
        <f t="shared" si="211"/>
        <v>41996.846757276217</v>
      </c>
      <c r="X588" s="956">
        <f t="shared" si="211"/>
        <v>38715.906667346339</v>
      </c>
      <c r="Y588" s="956">
        <f t="shared" si="211"/>
        <v>42414.226743196428</v>
      </c>
      <c r="Z588" s="956">
        <f t="shared" si="211"/>
        <v>37487.200846810825</v>
      </c>
      <c r="AA588" s="956">
        <f t="shared" si="211"/>
        <v>37066.861489570467</v>
      </c>
      <c r="AB588" s="956">
        <f t="shared" si="211"/>
        <v>34783.817081648602</v>
      </c>
      <c r="AC588" s="956">
        <f t="shared" si="211"/>
        <v>39981.656358307649</v>
      </c>
      <c r="AD588" s="956">
        <f t="shared" si="211"/>
        <v>31598.071148314946</v>
      </c>
      <c r="AE588" s="956">
        <f t="shared" si="211"/>
        <v>28408.169134707641</v>
      </c>
      <c r="AF588" s="956">
        <f t="shared" si="211"/>
        <v>24596.4991949088</v>
      </c>
      <c r="AG588" s="956">
        <f t="shared" si="211"/>
        <v>29619.82789403433</v>
      </c>
      <c r="AH588" s="956">
        <f t="shared" si="211"/>
        <v>44196.78001880362</v>
      </c>
      <c r="AI588" s="956">
        <f t="shared" si="211"/>
        <v>40627.631302071139</v>
      </c>
      <c r="AJ588" s="956">
        <f t="shared" si="211"/>
        <v>45295.322358886682</v>
      </c>
      <c r="AK588" s="956" t="str">
        <f t="shared" si="211"/>
        <v xml:space="preserve"> </v>
      </c>
      <c r="AL588" s="956" t="str">
        <f t="shared" si="211"/>
        <v xml:space="preserve"> </v>
      </c>
      <c r="AM588" s="956" t="str">
        <f t="shared" si="211"/>
        <v xml:space="preserve"> </v>
      </c>
      <c r="AN588" s="956" t="str">
        <f t="shared" si="211"/>
        <v xml:space="preserve"> </v>
      </c>
      <c r="AO588" s="956" t="str">
        <f t="shared" si="211"/>
        <v xml:space="preserve"> </v>
      </c>
      <c r="AP588" s="956" t="str">
        <f t="shared" si="211"/>
        <v xml:space="preserve"> </v>
      </c>
      <c r="AQ588" s="956" t="str">
        <f t="shared" si="211"/>
        <v xml:space="preserve"> </v>
      </c>
    </row>
    <row r="589" spans="2:43">
      <c r="B589" s="837" t="s">
        <v>1335</v>
      </c>
      <c r="C589" s="951">
        <f t="shared" ref="C589:AA589" si="212">IF(ISNUMBER(C339),SUM(C341:C344)," ")</f>
        <v>12887</v>
      </c>
      <c r="D589" s="951">
        <f t="shared" si="212"/>
        <v>11498</v>
      </c>
      <c r="E589" s="951">
        <f t="shared" si="212"/>
        <v>13228</v>
      </c>
      <c r="F589" s="951">
        <f t="shared" si="212"/>
        <v>13284</v>
      </c>
      <c r="G589" s="951">
        <f t="shared" si="212"/>
        <v>16417</v>
      </c>
      <c r="H589" s="951">
        <f t="shared" si="212"/>
        <v>15778</v>
      </c>
      <c r="I589" s="951">
        <f t="shared" si="212"/>
        <v>17818</v>
      </c>
      <c r="J589" s="951">
        <f t="shared" si="212"/>
        <v>19578</v>
      </c>
      <c r="K589" s="951">
        <f t="shared" si="212"/>
        <v>17930</v>
      </c>
      <c r="L589" s="955">
        <f t="shared" si="212"/>
        <v>14050.8642578125</v>
      </c>
      <c r="M589" s="955">
        <f t="shared" si="212"/>
        <v>14392.719970703125</v>
      </c>
      <c r="N589" s="955">
        <f t="shared" si="212"/>
        <v>12587.94</v>
      </c>
      <c r="O589" s="955">
        <f t="shared" si="212"/>
        <v>13753.39</v>
      </c>
      <c r="P589" s="955">
        <f t="shared" si="212"/>
        <v>14039.67</v>
      </c>
      <c r="Q589" s="955">
        <f t="shared" si="212"/>
        <v>17060.68</v>
      </c>
      <c r="R589" s="955">
        <f t="shared" si="212"/>
        <v>13611.909999999998</v>
      </c>
      <c r="S589" s="955">
        <f t="shared" si="212"/>
        <v>17669.289999999997</v>
      </c>
      <c r="T589" s="955">
        <f t="shared" si="212"/>
        <v>15076.88</v>
      </c>
      <c r="U589" s="955">
        <f t="shared" si="212"/>
        <v>17318.170000000002</v>
      </c>
      <c r="V589" s="955">
        <f t="shared" si="212"/>
        <v>17904.86</v>
      </c>
      <c r="W589" s="955">
        <f t="shared" si="212"/>
        <v>16582.22</v>
      </c>
      <c r="X589" s="955">
        <f t="shared" si="212"/>
        <v>14982.82</v>
      </c>
      <c r="Y589" s="955">
        <f t="shared" si="212"/>
        <v>16526.53</v>
      </c>
      <c r="Z589" s="955">
        <f t="shared" si="212"/>
        <v>12837.260000000002</v>
      </c>
      <c r="AA589" s="955">
        <f t="shared" si="212"/>
        <v>14770.1</v>
      </c>
      <c r="AB589" s="955">
        <f t="shared" ref="AB589:AQ589" si="213">IF(ISNUMBER(AB339),SUM(AB341:AB344)," ")</f>
        <v>14630.19</v>
      </c>
      <c r="AC589" s="955">
        <f t="shared" si="213"/>
        <v>16547.330000000002</v>
      </c>
      <c r="AD589" s="955">
        <f t="shared" si="213"/>
        <v>11279.2</v>
      </c>
      <c r="AE589" s="955">
        <f t="shared" si="213"/>
        <v>11541.519999999999</v>
      </c>
      <c r="AF589" s="955">
        <f t="shared" si="213"/>
        <v>8894.34</v>
      </c>
      <c r="AG589" s="955">
        <f t="shared" si="213"/>
        <v>11855.820000000002</v>
      </c>
      <c r="AH589" s="955">
        <f t="shared" si="213"/>
        <v>18476.96</v>
      </c>
      <c r="AI589" s="955">
        <f t="shared" si="213"/>
        <v>18935.480000000003</v>
      </c>
      <c r="AJ589" s="955">
        <f t="shared" si="213"/>
        <v>20410.05</v>
      </c>
      <c r="AK589" s="955" t="str">
        <f t="shared" si="213"/>
        <v xml:space="preserve"> </v>
      </c>
      <c r="AL589" s="955" t="str">
        <f t="shared" si="213"/>
        <v xml:space="preserve"> </v>
      </c>
      <c r="AM589" s="955" t="str">
        <f t="shared" si="213"/>
        <v xml:space="preserve"> </v>
      </c>
      <c r="AN589" s="955" t="str">
        <f t="shared" si="213"/>
        <v xml:space="preserve"> </v>
      </c>
      <c r="AO589" s="955" t="str">
        <f t="shared" si="213"/>
        <v xml:space="preserve"> </v>
      </c>
      <c r="AP589" s="955" t="str">
        <f t="shared" si="213"/>
        <v xml:space="preserve"> </v>
      </c>
      <c r="AQ589" s="955" t="str">
        <f t="shared" si="213"/>
        <v xml:space="preserve"> </v>
      </c>
    </row>
    <row r="590" spans="2:43">
      <c r="B590" s="839" t="s">
        <v>1336</v>
      </c>
      <c r="C590" s="952">
        <f t="shared" ref="C590:AQ590" si="214">IF(ISNUMBER(C339),C339-C340-C589-C591," ")</f>
        <v>87743</v>
      </c>
      <c r="D590" s="952">
        <f t="shared" si="214"/>
        <v>87696</v>
      </c>
      <c r="E590" s="952">
        <f t="shared" si="214"/>
        <v>95313</v>
      </c>
      <c r="F590" s="952">
        <f t="shared" si="214"/>
        <v>78157</v>
      </c>
      <c r="G590" s="952">
        <f t="shared" si="214"/>
        <v>84926</v>
      </c>
      <c r="H590" s="952">
        <f t="shared" si="214"/>
        <v>73934</v>
      </c>
      <c r="I590" s="952">
        <f t="shared" si="214"/>
        <v>60129</v>
      </c>
      <c r="J590" s="952">
        <f t="shared" si="214"/>
        <v>82604</v>
      </c>
      <c r="K590" s="952">
        <f t="shared" si="214"/>
        <v>71712</v>
      </c>
      <c r="L590" s="956">
        <f t="shared" si="214"/>
        <v>83503.5341796875</v>
      </c>
      <c r="M590" s="956">
        <f t="shared" si="214"/>
        <v>79902.642105102539</v>
      </c>
      <c r="N590" s="956">
        <f t="shared" si="214"/>
        <v>73847.100000000006</v>
      </c>
      <c r="O590" s="956">
        <f t="shared" si="214"/>
        <v>73750.12</v>
      </c>
      <c r="P590" s="956">
        <f t="shared" si="214"/>
        <v>74247.44</v>
      </c>
      <c r="Q590" s="956">
        <f t="shared" si="214"/>
        <v>83722.789999999994</v>
      </c>
      <c r="R590" s="956">
        <f t="shared" si="214"/>
        <v>83928.59</v>
      </c>
      <c r="S590" s="956">
        <f t="shared" si="214"/>
        <v>80752.070000000036</v>
      </c>
      <c r="T590" s="956">
        <f t="shared" si="214"/>
        <v>70744.22</v>
      </c>
      <c r="U590" s="956">
        <f t="shared" si="214"/>
        <v>65079.83</v>
      </c>
      <c r="V590" s="956">
        <f t="shared" si="214"/>
        <v>76981.260000000009</v>
      </c>
      <c r="W590" s="956">
        <f t="shared" si="214"/>
        <v>75594.529999999984</v>
      </c>
      <c r="X590" s="956">
        <f t="shared" si="214"/>
        <v>73802.090000000011</v>
      </c>
      <c r="Y590" s="956">
        <f t="shared" si="214"/>
        <v>76084.69</v>
      </c>
      <c r="Z590" s="956">
        <f t="shared" si="214"/>
        <v>67736.75</v>
      </c>
      <c r="AA590" s="956">
        <f t="shared" si="214"/>
        <v>63372.93</v>
      </c>
      <c r="AB590" s="956">
        <f t="shared" si="214"/>
        <v>61600.489999999991</v>
      </c>
      <c r="AC590" s="956">
        <f t="shared" si="214"/>
        <v>69703.53</v>
      </c>
      <c r="AD590" s="956">
        <f t="shared" si="214"/>
        <v>71964.350000000006</v>
      </c>
      <c r="AE590" s="956">
        <f t="shared" si="214"/>
        <v>60330.240000000005</v>
      </c>
      <c r="AF590" s="956">
        <f t="shared" si="214"/>
        <v>61090.31</v>
      </c>
      <c r="AG590" s="956">
        <f t="shared" si="214"/>
        <v>63176.19</v>
      </c>
      <c r="AH590" s="956">
        <f t="shared" si="214"/>
        <v>79224.72</v>
      </c>
      <c r="AI590" s="956">
        <f t="shared" si="214"/>
        <v>64319.35</v>
      </c>
      <c r="AJ590" s="956">
        <f t="shared" si="214"/>
        <v>72326.909999999989</v>
      </c>
      <c r="AK590" s="956" t="str">
        <f t="shared" si="214"/>
        <v xml:space="preserve"> </v>
      </c>
      <c r="AL590" s="956" t="str">
        <f t="shared" si="214"/>
        <v xml:space="preserve"> </v>
      </c>
      <c r="AM590" s="956" t="str">
        <f t="shared" si="214"/>
        <v xml:space="preserve"> </v>
      </c>
      <c r="AN590" s="956" t="str">
        <f t="shared" si="214"/>
        <v xml:space="preserve"> </v>
      </c>
      <c r="AO590" s="956" t="str">
        <f t="shared" si="214"/>
        <v xml:space="preserve"> </v>
      </c>
      <c r="AP590" s="956" t="str">
        <f t="shared" si="214"/>
        <v xml:space="preserve"> </v>
      </c>
      <c r="AQ590" s="956" t="str">
        <f t="shared" si="214"/>
        <v xml:space="preserve"> </v>
      </c>
    </row>
    <row r="591" spans="2:43">
      <c r="B591" s="837" t="s">
        <v>1337</v>
      </c>
      <c r="C591" s="951">
        <f>IF(ISNUMBER(C339),C350+C351+C352+C346+C347+C348+C349," ")</f>
        <v>28574</v>
      </c>
      <c r="D591" s="951">
        <f t="shared" ref="D591:AA591" si="215">IF(ISNUMBER(D336),D342+D343+D344+D346+D347+D348+D349," ")</f>
        <v>25515</v>
      </c>
      <c r="E591" s="951">
        <f t="shared" si="215"/>
        <v>29653</v>
      </c>
      <c r="F591" s="951">
        <f t="shared" si="215"/>
        <v>29597</v>
      </c>
      <c r="G591" s="951">
        <f t="shared" si="215"/>
        <v>32835</v>
      </c>
      <c r="H591" s="951">
        <f t="shared" si="215"/>
        <v>30150</v>
      </c>
      <c r="I591" s="951">
        <f t="shared" si="215"/>
        <v>32565</v>
      </c>
      <c r="J591" s="951">
        <f t="shared" si="215"/>
        <v>35728</v>
      </c>
      <c r="K591" s="951">
        <f t="shared" si="215"/>
        <v>33930</v>
      </c>
      <c r="L591" s="955">
        <f t="shared" si="215"/>
        <v>29739.68017578125</v>
      </c>
      <c r="M591" s="955">
        <f t="shared" si="215"/>
        <v>29189.471923828125</v>
      </c>
      <c r="N591" s="955">
        <f t="shared" si="215"/>
        <v>22438.449999999997</v>
      </c>
      <c r="O591" s="955">
        <f t="shared" si="215"/>
        <v>26820.38</v>
      </c>
      <c r="P591" s="955">
        <f t="shared" si="215"/>
        <v>27757.64</v>
      </c>
      <c r="Q591" s="955">
        <f t="shared" si="215"/>
        <v>34118.960000000006</v>
      </c>
      <c r="R591" s="955">
        <f t="shared" si="215"/>
        <v>29437.809999999998</v>
      </c>
      <c r="S591" s="955">
        <f t="shared" si="215"/>
        <v>34719.949999999997</v>
      </c>
      <c r="T591" s="955">
        <f t="shared" si="215"/>
        <v>31359.21</v>
      </c>
      <c r="U591" s="955">
        <f t="shared" si="215"/>
        <v>33474.86</v>
      </c>
      <c r="V591" s="955">
        <f t="shared" si="215"/>
        <v>34189.659999999996</v>
      </c>
      <c r="W591" s="955">
        <f t="shared" si="215"/>
        <v>32645.94</v>
      </c>
      <c r="X591" s="955">
        <f t="shared" si="215"/>
        <v>31544.98</v>
      </c>
      <c r="Y591" s="955">
        <f t="shared" si="215"/>
        <v>31669.769999999997</v>
      </c>
      <c r="Z591" s="955">
        <f t="shared" si="215"/>
        <v>22114.22</v>
      </c>
      <c r="AA591" s="955">
        <f t="shared" si="215"/>
        <v>26857.739999999998</v>
      </c>
      <c r="AB591" s="955">
        <f t="shared" ref="AB591:AQ591" si="216">IF(ISNUMBER(AB336),AB342+AB343+AB344+AB346+AB347+AB348+AB349," ")</f>
        <v>29841.8</v>
      </c>
      <c r="AC591" s="955">
        <f t="shared" si="216"/>
        <v>32627.32</v>
      </c>
      <c r="AD591" s="955">
        <f t="shared" si="216"/>
        <v>28665.67</v>
      </c>
      <c r="AE591" s="955">
        <f t="shared" si="216"/>
        <v>29716.780000000002</v>
      </c>
      <c r="AF591" s="955">
        <f t="shared" si="216"/>
        <v>25038.91</v>
      </c>
      <c r="AG591" s="955">
        <f t="shared" si="216"/>
        <v>29469.39</v>
      </c>
      <c r="AH591" s="955">
        <f t="shared" si="216"/>
        <v>34204.410000000003</v>
      </c>
      <c r="AI591" s="955">
        <f t="shared" si="216"/>
        <v>33164.15</v>
      </c>
      <c r="AJ591" s="955">
        <f t="shared" si="216"/>
        <v>34604.380000000005</v>
      </c>
      <c r="AK591" s="955" t="str">
        <f t="shared" si="216"/>
        <v xml:space="preserve"> </v>
      </c>
      <c r="AL591" s="955" t="str">
        <f t="shared" si="216"/>
        <v xml:space="preserve"> </v>
      </c>
      <c r="AM591" s="955" t="str">
        <f t="shared" si="216"/>
        <v xml:space="preserve"> </v>
      </c>
      <c r="AN591" s="955" t="str">
        <f t="shared" si="216"/>
        <v xml:space="preserve"> </v>
      </c>
      <c r="AO591" s="955" t="str">
        <f t="shared" si="216"/>
        <v xml:space="preserve"> </v>
      </c>
      <c r="AP591" s="955" t="str">
        <f t="shared" si="216"/>
        <v xml:space="preserve"> </v>
      </c>
      <c r="AQ591" s="955" t="str">
        <f t="shared" si="216"/>
        <v xml:space="preserve"> </v>
      </c>
    </row>
    <row r="592" spans="2:43" s="473" customFormat="1">
      <c r="B592" s="953" t="s">
        <v>1338</v>
      </c>
      <c r="C592" s="953">
        <f t="shared" ref="C592:AQ592" si="217">IF(ISNUMBER(C591),C590+(C590/(C590+C589+C336)*C591)," ")</f>
        <v>112657.72207095299</v>
      </c>
      <c r="D592" s="953">
        <f t="shared" si="217"/>
        <v>110253.22002117042</v>
      </c>
      <c r="E592" s="953">
        <f t="shared" si="217"/>
        <v>121339.45071550914</v>
      </c>
      <c r="F592" s="957">
        <f t="shared" si="217"/>
        <v>103004.07221422587</v>
      </c>
      <c r="G592" s="953">
        <f t="shared" si="217"/>
        <v>111369.73942646892</v>
      </c>
      <c r="H592" s="953">
        <f t="shared" si="217"/>
        <v>97729.703320985951</v>
      </c>
      <c r="I592" s="953">
        <f t="shared" si="217"/>
        <v>84075.153098286683</v>
      </c>
      <c r="J592" s="957">
        <f t="shared" si="217"/>
        <v>110185.24269413007</v>
      </c>
      <c r="K592" s="953">
        <f t="shared" si="217"/>
        <v>97557.387491502377</v>
      </c>
      <c r="L592" s="957">
        <f t="shared" si="217"/>
        <v>108074.49794911253</v>
      </c>
      <c r="M592" s="957">
        <f t="shared" si="217"/>
        <v>103927.68582276211</v>
      </c>
      <c r="N592" s="957">
        <f t="shared" si="217"/>
        <v>93017.733356506811</v>
      </c>
      <c r="O592" s="1027">
        <f t="shared" si="217"/>
        <v>96354.998860809123</v>
      </c>
      <c r="P592" s="957">
        <f t="shared" si="217"/>
        <v>97590.562549916649</v>
      </c>
      <c r="Q592" s="957">
        <f t="shared" si="217"/>
        <v>111872.07195413274</v>
      </c>
      <c r="R592" s="957">
        <f t="shared" si="217"/>
        <v>108578.5575196844</v>
      </c>
      <c r="S592" s="957">
        <f t="shared" si="217"/>
        <v>107941.182445741</v>
      </c>
      <c r="T592" s="957">
        <f t="shared" si="217"/>
        <v>95560.330486923034</v>
      </c>
      <c r="U592" s="957">
        <f t="shared" si="217"/>
        <v>90233.946901882315</v>
      </c>
      <c r="V592" s="957">
        <f t="shared" si="217"/>
        <v>103398.35693686457</v>
      </c>
      <c r="W592" s="957">
        <f t="shared" si="217"/>
        <v>101268.59712966146</v>
      </c>
      <c r="X592" s="957">
        <f t="shared" si="217"/>
        <v>98928.420759038825</v>
      </c>
      <c r="Y592" s="957">
        <f t="shared" si="217"/>
        <v>101350.19796641667</v>
      </c>
      <c r="Z592" s="957">
        <f t="shared" si="217"/>
        <v>86322.390637198041</v>
      </c>
      <c r="AA592" s="957">
        <f t="shared" si="217"/>
        <v>85154.19029894413</v>
      </c>
      <c r="AB592" s="957">
        <f t="shared" si="217"/>
        <v>85714.056148808202</v>
      </c>
      <c r="AC592" s="957">
        <f t="shared" si="217"/>
        <v>95737.935280508362</v>
      </c>
      <c r="AD592" s="957">
        <f t="shared" si="217"/>
        <v>95705.459441064246</v>
      </c>
      <c r="AE592" s="957">
        <f t="shared" si="217"/>
        <v>83695.059736989788</v>
      </c>
      <c r="AF592" s="957">
        <f t="shared" si="217"/>
        <v>82242.891707693343</v>
      </c>
      <c r="AG592" s="957">
        <f t="shared" si="217"/>
        <v>87674.84190083525</v>
      </c>
      <c r="AH592" s="957">
        <f t="shared" si="217"/>
        <v>105547.04894169045</v>
      </c>
      <c r="AI592" s="957">
        <f t="shared" si="217"/>
        <v>88693.220374844692</v>
      </c>
      <c r="AJ592" s="957">
        <f t="shared" si="217"/>
        <v>98990.572523118433</v>
      </c>
      <c r="AK592" s="957" t="str">
        <f t="shared" si="217"/>
        <v xml:space="preserve"> </v>
      </c>
      <c r="AL592" s="957" t="str">
        <f t="shared" si="217"/>
        <v xml:space="preserve"> </v>
      </c>
      <c r="AM592" s="957" t="str">
        <f t="shared" si="217"/>
        <v xml:space="preserve"> </v>
      </c>
      <c r="AN592" s="957" t="str">
        <f t="shared" si="217"/>
        <v xml:space="preserve"> </v>
      </c>
      <c r="AO592" s="957" t="str">
        <f t="shared" si="217"/>
        <v xml:space="preserve"> </v>
      </c>
      <c r="AP592" s="957" t="str">
        <f t="shared" si="217"/>
        <v xml:space="preserve"> </v>
      </c>
      <c r="AQ592" s="957" t="str">
        <f t="shared" si="217"/>
        <v xml:space="preserve"> </v>
      </c>
    </row>
    <row r="593" spans="2:43">
      <c r="B593" s="952" t="s">
        <v>1339</v>
      </c>
      <c r="C593" s="952">
        <f t="shared" ref="C593:AA593" si="218">IF(ISNUMBER(C378),C378+C379+C380+C381," ")</f>
        <v>2438</v>
      </c>
      <c r="D593" s="952">
        <f t="shared" si="218"/>
        <v>1999</v>
      </c>
      <c r="E593" s="952">
        <f t="shared" si="218"/>
        <v>2191</v>
      </c>
      <c r="F593" s="956">
        <f t="shared" si="218"/>
        <v>1804</v>
      </c>
      <c r="G593" s="952">
        <f t="shared" si="218"/>
        <v>1278</v>
      </c>
      <c r="H593" s="952">
        <f t="shared" si="218"/>
        <v>801</v>
      </c>
      <c r="I593" s="952">
        <f t="shared" si="218"/>
        <v>889</v>
      </c>
      <c r="J593" s="956">
        <f t="shared" si="218"/>
        <v>1524</v>
      </c>
      <c r="K593" s="952">
        <f t="shared" si="218"/>
        <v>1715</v>
      </c>
      <c r="L593" s="956">
        <f t="shared" si="218"/>
        <v>2300.7300109863281</v>
      </c>
      <c r="M593" s="956">
        <f t="shared" si="218"/>
        <v>2252.8479919433594</v>
      </c>
      <c r="N593" s="1026">
        <f t="shared" si="218"/>
        <v>2192.2199999999998</v>
      </c>
      <c r="O593" s="956">
        <f t="shared" si="218"/>
        <v>2409.46</v>
      </c>
      <c r="P593" s="956">
        <f t="shared" si="218"/>
        <v>2301.85</v>
      </c>
      <c r="Q593" s="956">
        <f t="shared" si="218"/>
        <v>1971.62</v>
      </c>
      <c r="R593" s="956">
        <f t="shared" si="218"/>
        <v>1659.54</v>
      </c>
      <c r="S593" s="956">
        <f t="shared" si="218"/>
        <v>1142.3399999999999</v>
      </c>
      <c r="T593" s="956">
        <f t="shared" si="218"/>
        <v>975.08999999999992</v>
      </c>
      <c r="U593" s="956">
        <f t="shared" si="218"/>
        <v>971.15000000000009</v>
      </c>
      <c r="V593" s="956">
        <f t="shared" si="218"/>
        <v>1444.95</v>
      </c>
      <c r="W593" s="956">
        <f t="shared" si="218"/>
        <v>1649.89</v>
      </c>
      <c r="X593" s="956">
        <f t="shared" si="218"/>
        <v>2418.62</v>
      </c>
      <c r="Y593" s="956">
        <f t="shared" si="218"/>
        <v>2138.7600000000002</v>
      </c>
      <c r="Z593" s="956">
        <f t="shared" si="218"/>
        <v>2145.75</v>
      </c>
      <c r="AA593" s="956">
        <f t="shared" si="218"/>
        <v>2306.71</v>
      </c>
      <c r="AB593" s="956">
        <f t="shared" ref="AB593:AQ593" si="219">IF(ISNUMBER(AB378),AB378+AB379+AB380+AB381," ")</f>
        <v>2042.54</v>
      </c>
      <c r="AC593" s="956">
        <f t="shared" si="219"/>
        <v>2095.9300000000003</v>
      </c>
      <c r="AD593" s="956">
        <f t="shared" si="219"/>
        <v>1328.45</v>
      </c>
      <c r="AE593" s="956">
        <f t="shared" si="219"/>
        <v>1107.4000000000001</v>
      </c>
      <c r="AF593" s="956">
        <f t="shared" si="219"/>
        <v>819.62</v>
      </c>
      <c r="AG593" s="956">
        <f t="shared" si="219"/>
        <v>1004.38</v>
      </c>
      <c r="AH593" s="956">
        <f t="shared" si="219"/>
        <v>1595.2200000000003</v>
      </c>
      <c r="AI593" s="956">
        <f t="shared" si="219"/>
        <v>1832.4300000000003</v>
      </c>
      <c r="AJ593" s="956">
        <f t="shared" si="219"/>
        <v>631.36</v>
      </c>
      <c r="AK593" s="956" t="str">
        <f t="shared" si="219"/>
        <v xml:space="preserve"> </v>
      </c>
      <c r="AL593" s="956" t="str">
        <f t="shared" si="219"/>
        <v xml:space="preserve"> </v>
      </c>
      <c r="AM593" s="956" t="str">
        <f t="shared" si="219"/>
        <v xml:space="preserve"> </v>
      </c>
      <c r="AN593" s="956" t="str">
        <f t="shared" si="219"/>
        <v xml:space="preserve"> </v>
      </c>
      <c r="AO593" s="956" t="str">
        <f t="shared" si="219"/>
        <v xml:space="preserve"> </v>
      </c>
      <c r="AP593" s="956" t="str">
        <f t="shared" si="219"/>
        <v xml:space="preserve"> </v>
      </c>
      <c r="AQ593" s="956" t="str">
        <f t="shared" si="219"/>
        <v xml:space="preserve"> </v>
      </c>
    </row>
    <row r="594" spans="2:43">
      <c r="B594" s="951" t="s">
        <v>1340</v>
      </c>
      <c r="C594" s="951">
        <f t="shared" ref="C594:AA594" si="220">IF(ISNUMBER(C377),C377-C383," ")</f>
        <v>84901</v>
      </c>
      <c r="D594" s="951">
        <f t="shared" si="220"/>
        <v>82474</v>
      </c>
      <c r="E594" s="951">
        <f t="shared" si="220"/>
        <v>92341</v>
      </c>
      <c r="F594" s="955">
        <f t="shared" si="220"/>
        <v>82833</v>
      </c>
      <c r="G594" s="951">
        <f t="shared" si="220"/>
        <v>89533</v>
      </c>
      <c r="H594" s="951">
        <f t="shared" si="220"/>
        <v>92233</v>
      </c>
      <c r="I594" s="951">
        <f t="shared" si="220"/>
        <v>97379</v>
      </c>
      <c r="J594" s="955">
        <f t="shared" si="220"/>
        <v>95927</v>
      </c>
      <c r="K594" s="951">
        <f t="shared" si="220"/>
        <v>94486</v>
      </c>
      <c r="L594" s="955">
        <f t="shared" si="220"/>
        <v>95380.990539550781</v>
      </c>
      <c r="M594" s="955">
        <f t="shared" si="220"/>
        <v>95714.561401367188</v>
      </c>
      <c r="N594" s="962">
        <f t="shared" si="220"/>
        <v>91228.93</v>
      </c>
      <c r="O594" s="955">
        <f t="shared" si="220"/>
        <v>85665.03</v>
      </c>
      <c r="P594" s="955">
        <f t="shared" si="220"/>
        <v>95443.97</v>
      </c>
      <c r="Q594" s="955">
        <f t="shared" si="220"/>
        <v>107735.93</v>
      </c>
      <c r="R594" s="955">
        <f t="shared" si="220"/>
        <v>92261.62999999999</v>
      </c>
      <c r="S594" s="955">
        <f t="shared" si="220"/>
        <v>106396.42</v>
      </c>
      <c r="T594" s="955">
        <f t="shared" si="220"/>
        <v>98969.599999999991</v>
      </c>
      <c r="U594" s="955">
        <f t="shared" si="220"/>
        <v>102838.53</v>
      </c>
      <c r="V594" s="955">
        <f t="shared" si="220"/>
        <v>98419.72</v>
      </c>
      <c r="W594" s="955">
        <f t="shared" si="220"/>
        <v>101756.28</v>
      </c>
      <c r="X594" s="955">
        <f t="shared" si="220"/>
        <v>97975.680000000008</v>
      </c>
      <c r="Y594" s="955">
        <f t="shared" si="220"/>
        <v>86062.720000000001</v>
      </c>
      <c r="Z594" s="955">
        <f t="shared" si="220"/>
        <v>87345.16</v>
      </c>
      <c r="AA594" s="955">
        <f t="shared" si="220"/>
        <v>73068.930000000008</v>
      </c>
      <c r="AB594" s="955">
        <f t="shared" ref="AB594:AQ594" si="221">IF(ISNUMBER(AB377),AB377-AB383," ")</f>
        <v>81381.11</v>
      </c>
      <c r="AC594" s="955">
        <f t="shared" si="221"/>
        <v>99431.17</v>
      </c>
      <c r="AD594" s="955">
        <f t="shared" si="221"/>
        <v>87911.94</v>
      </c>
      <c r="AE594" s="955">
        <f t="shared" si="221"/>
        <v>102650.37</v>
      </c>
      <c r="AF594" s="955">
        <f t="shared" si="221"/>
        <v>103097.20999999999</v>
      </c>
      <c r="AG594" s="955">
        <f t="shared" si="221"/>
        <v>96348.800000000003</v>
      </c>
      <c r="AH594" s="955">
        <f t="shared" si="221"/>
        <v>102203.65</v>
      </c>
      <c r="AI594" s="955">
        <f t="shared" si="221"/>
        <v>92237.440000000002</v>
      </c>
      <c r="AJ594" s="955">
        <f t="shared" si="221"/>
        <v>97812.61</v>
      </c>
      <c r="AK594" s="955" t="str">
        <f t="shared" si="221"/>
        <v xml:space="preserve"> </v>
      </c>
      <c r="AL594" s="955" t="str">
        <f t="shared" si="221"/>
        <v xml:space="preserve"> </v>
      </c>
      <c r="AM594" s="955" t="str">
        <f t="shared" si="221"/>
        <v xml:space="preserve"> </v>
      </c>
      <c r="AN594" s="955" t="str">
        <f t="shared" si="221"/>
        <v xml:space="preserve"> </v>
      </c>
      <c r="AO594" s="955" t="str">
        <f t="shared" si="221"/>
        <v xml:space="preserve"> </v>
      </c>
      <c r="AP594" s="955" t="str">
        <f t="shared" si="221"/>
        <v xml:space="preserve"> </v>
      </c>
      <c r="AQ594" s="955" t="str">
        <f t="shared" si="221"/>
        <v xml:space="preserve"> </v>
      </c>
    </row>
    <row r="595" spans="2:43" s="473" customFormat="1">
      <c r="B595" s="843" t="s">
        <v>1341</v>
      </c>
      <c r="C595" s="954">
        <f t="shared" ref="C595:AA595" si="222">IF(ISNUMBER(C385),C385-C392-C391," ")</f>
        <v>94060</v>
      </c>
      <c r="D595" s="954">
        <f t="shared" si="222"/>
        <v>89321</v>
      </c>
      <c r="E595" s="954">
        <f t="shared" si="222"/>
        <v>100710</v>
      </c>
      <c r="F595" s="954">
        <f t="shared" si="222"/>
        <v>98267</v>
      </c>
      <c r="G595" s="954">
        <f t="shared" si="222"/>
        <v>108243</v>
      </c>
      <c r="H595" s="954">
        <f t="shared" si="222"/>
        <v>122504</v>
      </c>
      <c r="I595" s="954">
        <f t="shared" si="222"/>
        <v>123791</v>
      </c>
      <c r="J595" s="954">
        <f t="shared" si="222"/>
        <v>126582</v>
      </c>
      <c r="K595" s="954">
        <f t="shared" si="222"/>
        <v>103741</v>
      </c>
      <c r="L595" s="958">
        <f t="shared" si="222"/>
        <v>105044.541015625</v>
      </c>
      <c r="M595" s="1026">
        <f t="shared" si="222"/>
        <v>94395.45361328125</v>
      </c>
      <c r="N595" s="958">
        <f t="shared" si="222"/>
        <v>82378.62</v>
      </c>
      <c r="O595" s="958">
        <f t="shared" si="222"/>
        <v>84995.32</v>
      </c>
      <c r="P595" s="958">
        <f t="shared" si="222"/>
        <v>81219.649999999994</v>
      </c>
      <c r="Q595" s="958">
        <f t="shared" si="222"/>
        <v>93621.7</v>
      </c>
      <c r="R595" s="958">
        <f t="shared" si="222"/>
        <v>87008.450000000012</v>
      </c>
      <c r="S595" s="958">
        <f t="shared" si="222"/>
        <v>88837.69</v>
      </c>
      <c r="T595" s="958">
        <f t="shared" si="222"/>
        <v>93544.7</v>
      </c>
      <c r="U595" s="958">
        <f t="shared" si="222"/>
        <v>97518.400000000009</v>
      </c>
      <c r="V595" s="958">
        <f t="shared" si="222"/>
        <v>104646.65000000001</v>
      </c>
      <c r="W595" s="958">
        <f t="shared" si="222"/>
        <v>95825.79</v>
      </c>
      <c r="X595" s="958">
        <f t="shared" si="222"/>
        <v>98596.03</v>
      </c>
      <c r="Y595" s="958">
        <f t="shared" si="222"/>
        <v>84772.159999999989</v>
      </c>
      <c r="Z595" s="958">
        <f t="shared" si="222"/>
        <v>79725.63</v>
      </c>
      <c r="AA595" s="958">
        <f t="shared" si="222"/>
        <v>85110.14</v>
      </c>
      <c r="AB595" s="958">
        <f t="shared" ref="AB595:AQ595" si="223">IF(ISNUMBER(AB385),AB385-AB392-AB391," ")</f>
        <v>85531.209999999992</v>
      </c>
      <c r="AC595" s="958">
        <f t="shared" si="223"/>
        <v>94107.7</v>
      </c>
      <c r="AD595" s="958">
        <f t="shared" si="223"/>
        <v>84648.25</v>
      </c>
      <c r="AE595" s="958">
        <f t="shared" si="223"/>
        <v>98085.440000000002</v>
      </c>
      <c r="AF595" s="958">
        <f t="shared" si="223"/>
        <v>93342.329999999987</v>
      </c>
      <c r="AG595" s="958">
        <f t="shared" si="223"/>
        <v>94507.079999999987</v>
      </c>
      <c r="AH595" s="958">
        <f t="shared" si="223"/>
        <v>95048.33</v>
      </c>
      <c r="AI595" s="958">
        <f t="shared" si="223"/>
        <v>93451.139999999985</v>
      </c>
      <c r="AJ595" s="958">
        <f t="shared" si="223"/>
        <v>103216</v>
      </c>
      <c r="AK595" s="958" t="str">
        <f t="shared" si="223"/>
        <v xml:space="preserve"> </v>
      </c>
      <c r="AL595" s="958" t="str">
        <f t="shared" si="223"/>
        <v xml:space="preserve"> </v>
      </c>
      <c r="AM595" s="958" t="str">
        <f t="shared" si="223"/>
        <v xml:space="preserve"> </v>
      </c>
      <c r="AN595" s="958" t="str">
        <f t="shared" si="223"/>
        <v xml:space="preserve"> </v>
      </c>
      <c r="AO595" s="958" t="str">
        <f t="shared" si="223"/>
        <v xml:space="preserve"> </v>
      </c>
      <c r="AP595" s="958" t="str">
        <f t="shared" si="223"/>
        <v xml:space="preserve"> </v>
      </c>
      <c r="AQ595" s="958" t="str">
        <f t="shared" si="223"/>
        <v xml:space="preserve"> </v>
      </c>
    </row>
    <row r="596" spans="2:43" s="473" customFormat="1">
      <c r="B596" s="841" t="s">
        <v>1342</v>
      </c>
      <c r="C596" s="953">
        <f t="shared" ref="C596:AA596" si="224">IF(ISNUMBER(C394),C394+C395+C396," ")</f>
        <v>26271</v>
      </c>
      <c r="D596" s="953">
        <f t="shared" si="224"/>
        <v>26175</v>
      </c>
      <c r="E596" s="953">
        <f t="shared" si="224"/>
        <v>29213</v>
      </c>
      <c r="F596" s="953">
        <f t="shared" si="224"/>
        <v>33531</v>
      </c>
      <c r="G596" s="953">
        <f t="shared" si="224"/>
        <v>50880</v>
      </c>
      <c r="H596" s="953">
        <f t="shared" si="224"/>
        <v>67568</v>
      </c>
      <c r="I596" s="953">
        <f t="shared" si="224"/>
        <v>72173</v>
      </c>
      <c r="J596" s="953">
        <f t="shared" si="224"/>
        <v>66167</v>
      </c>
      <c r="K596" s="953">
        <f t="shared" si="224"/>
        <v>57451</v>
      </c>
      <c r="L596" s="957">
        <f t="shared" si="224"/>
        <v>51657.7265625</v>
      </c>
      <c r="M596" s="957">
        <f t="shared" si="224"/>
        <v>34892.1591796875</v>
      </c>
      <c r="N596" s="957">
        <f t="shared" si="224"/>
        <v>31482.880000000001</v>
      </c>
      <c r="O596" s="1027">
        <f t="shared" si="224"/>
        <v>26571.91</v>
      </c>
      <c r="P596" s="1027">
        <f t="shared" si="224"/>
        <v>25906.43</v>
      </c>
      <c r="Q596" s="957">
        <f t="shared" si="224"/>
        <v>36382.979999999996</v>
      </c>
      <c r="R596" s="957">
        <f t="shared" si="224"/>
        <v>38860.42</v>
      </c>
      <c r="S596" s="957">
        <f t="shared" si="224"/>
        <v>56906.369999999995</v>
      </c>
      <c r="T596" s="957">
        <f t="shared" si="224"/>
        <v>66089.47</v>
      </c>
      <c r="U596" s="957">
        <f t="shared" si="224"/>
        <v>71480.31</v>
      </c>
      <c r="V596" s="957">
        <f t="shared" si="224"/>
        <v>77255.420000000013</v>
      </c>
      <c r="W596" s="957">
        <f t="shared" si="224"/>
        <v>53795.46</v>
      </c>
      <c r="X596" s="957">
        <f t="shared" si="224"/>
        <v>47021.69</v>
      </c>
      <c r="Y596" s="957">
        <f t="shared" si="224"/>
        <v>40597.619999999995</v>
      </c>
      <c r="Z596" s="957">
        <f t="shared" si="224"/>
        <v>29910.53</v>
      </c>
      <c r="AA596" s="957">
        <f t="shared" si="224"/>
        <v>27982.97</v>
      </c>
      <c r="AB596" s="957">
        <f t="shared" ref="AB596:AQ596" si="225">IF(ISNUMBER(AB394),AB394+AB395+AB396," ")</f>
        <v>28567.68</v>
      </c>
      <c r="AC596" s="957">
        <f t="shared" si="225"/>
        <v>38603.269999999997</v>
      </c>
      <c r="AD596" s="957">
        <f t="shared" si="225"/>
        <v>43576.58</v>
      </c>
      <c r="AE596" s="957">
        <f t="shared" si="225"/>
        <v>63397.760000000002</v>
      </c>
      <c r="AF596" s="957">
        <f t="shared" si="225"/>
        <v>56589.440000000002</v>
      </c>
      <c r="AG596" s="957">
        <f t="shared" si="225"/>
        <v>68226.44</v>
      </c>
      <c r="AH596" s="957">
        <f t="shared" si="225"/>
        <v>65053.83</v>
      </c>
      <c r="AI596" s="957">
        <f t="shared" si="225"/>
        <v>52160.770000000004</v>
      </c>
      <c r="AJ596" s="957">
        <f t="shared" si="225"/>
        <v>25628.410000000003</v>
      </c>
      <c r="AK596" s="957" t="str">
        <f t="shared" si="225"/>
        <v xml:space="preserve"> </v>
      </c>
      <c r="AL596" s="957" t="str">
        <f t="shared" si="225"/>
        <v xml:space="preserve"> </v>
      </c>
      <c r="AM596" s="957" t="str">
        <f t="shared" si="225"/>
        <v xml:space="preserve"> </v>
      </c>
      <c r="AN596" s="957" t="str">
        <f t="shared" si="225"/>
        <v xml:space="preserve"> </v>
      </c>
      <c r="AO596" s="957" t="str">
        <f t="shared" si="225"/>
        <v xml:space="preserve"> </v>
      </c>
      <c r="AP596" s="957" t="str">
        <f t="shared" si="225"/>
        <v xml:space="preserve"> </v>
      </c>
      <c r="AQ596" s="957" t="str">
        <f t="shared" si="225"/>
        <v xml:space="preserve"> </v>
      </c>
    </row>
    <row r="597" spans="2:43" s="473" customFormat="1">
      <c r="B597" s="843" t="s">
        <v>1343</v>
      </c>
      <c r="C597" s="954">
        <v>28621</v>
      </c>
      <c r="D597" s="954">
        <v>28892</v>
      </c>
      <c r="E597" s="954">
        <v>33641</v>
      </c>
      <c r="F597" s="954">
        <v>39807</v>
      </c>
      <c r="G597" s="954">
        <v>55957</v>
      </c>
      <c r="H597" s="954">
        <v>66618</v>
      </c>
      <c r="I597" s="954">
        <v>73871</v>
      </c>
      <c r="J597" s="954">
        <v>67998</v>
      </c>
      <c r="K597" s="954">
        <v>63199</v>
      </c>
      <c r="L597" s="958">
        <v>56015.4892578125</v>
      </c>
      <c r="M597" s="958">
        <v>35531.77685546875</v>
      </c>
      <c r="N597" s="1026">
        <f t="shared" ref="N597:AA597" si="226">IF(ISNUMBER(N400),N400+N401," ")</f>
        <v>29163.9</v>
      </c>
      <c r="O597" s="958">
        <f t="shared" si="226"/>
        <v>23766.530000000002</v>
      </c>
      <c r="P597" s="958">
        <f t="shared" si="226"/>
        <v>25188.35</v>
      </c>
      <c r="Q597" s="958">
        <f t="shared" si="226"/>
        <v>36283.39</v>
      </c>
      <c r="R597" s="958">
        <f t="shared" si="226"/>
        <v>41475.33</v>
      </c>
      <c r="S597" s="958">
        <f t="shared" si="226"/>
        <v>50883.96</v>
      </c>
      <c r="T597" s="958">
        <f t="shared" si="226"/>
        <v>62458.240000000005</v>
      </c>
      <c r="U597" s="958">
        <f t="shared" si="226"/>
        <v>68721.540000000008</v>
      </c>
      <c r="V597" s="958">
        <f t="shared" si="226"/>
        <v>71842.049999999988</v>
      </c>
      <c r="W597" s="958">
        <f t="shared" si="226"/>
        <v>55145.86</v>
      </c>
      <c r="X597" s="958">
        <f t="shared" si="226"/>
        <v>47681.53</v>
      </c>
      <c r="Y597" s="958">
        <f t="shared" si="226"/>
        <v>37907.839999999997</v>
      </c>
      <c r="Z597" s="958">
        <f t="shared" si="226"/>
        <v>28555.39</v>
      </c>
      <c r="AA597" s="958">
        <f t="shared" si="226"/>
        <v>24623.75</v>
      </c>
      <c r="AB597" s="958">
        <f t="shared" ref="AB597:AQ597" si="227">IF(ISNUMBER(AB400),AB400+AB401," ")</f>
        <v>26902.910000000003</v>
      </c>
      <c r="AC597" s="958">
        <f t="shared" si="227"/>
        <v>38980.74</v>
      </c>
      <c r="AD597" s="958">
        <f t="shared" si="227"/>
        <v>44925.700000000004</v>
      </c>
      <c r="AE597" s="958">
        <f t="shared" si="227"/>
        <v>63772.800000000003</v>
      </c>
      <c r="AF597" s="958">
        <f t="shared" si="227"/>
        <v>59797.380000000005</v>
      </c>
      <c r="AG597" s="958">
        <f t="shared" si="227"/>
        <v>63965.440000000002</v>
      </c>
      <c r="AH597" s="958">
        <f t="shared" si="227"/>
        <v>64561.919999999998</v>
      </c>
      <c r="AI597" s="958">
        <f t="shared" si="227"/>
        <v>52679.040000000001</v>
      </c>
      <c r="AJ597" s="958">
        <f t="shared" si="227"/>
        <v>13483.77</v>
      </c>
      <c r="AK597" s="958" t="str">
        <f t="shared" si="227"/>
        <v xml:space="preserve"> </v>
      </c>
      <c r="AL597" s="958" t="str">
        <f t="shared" si="227"/>
        <v xml:space="preserve"> </v>
      </c>
      <c r="AM597" s="958" t="str">
        <f t="shared" si="227"/>
        <v xml:space="preserve"> </v>
      </c>
      <c r="AN597" s="958" t="str">
        <f t="shared" si="227"/>
        <v xml:space="preserve"> </v>
      </c>
      <c r="AO597" s="958" t="str">
        <f t="shared" si="227"/>
        <v xml:space="preserve"> </v>
      </c>
      <c r="AP597" s="958" t="str">
        <f t="shared" si="227"/>
        <v xml:space="preserve"> </v>
      </c>
      <c r="AQ597" s="958" t="str">
        <f t="shared" si="227"/>
        <v xml:space="preserve"> </v>
      </c>
    </row>
    <row r="598" spans="2:43" s="473" customFormat="1">
      <c r="B598" s="837" t="s">
        <v>1344</v>
      </c>
      <c r="C598" s="951">
        <v>1170.0000000000728</v>
      </c>
      <c r="D598" s="951">
        <v>1949.9999999999318</v>
      </c>
      <c r="E598" s="951">
        <v>2420.0000000000728</v>
      </c>
      <c r="F598" s="951">
        <v>5039.9999999999636</v>
      </c>
      <c r="G598" s="951">
        <v>6029.9999999999727</v>
      </c>
      <c r="H598" s="951">
        <v>8280.0000000000873</v>
      </c>
      <c r="I598" s="951">
        <v>8939.9999999999418</v>
      </c>
      <c r="J598" s="951">
        <v>7679.99999999995</v>
      </c>
      <c r="K598" s="951">
        <v>6580.0000000000409</v>
      </c>
      <c r="L598" s="955">
        <v>4600.0000000000227</v>
      </c>
      <c r="M598" s="955">
        <f t="shared" ref="M598:AA598" si="228">IF(ISNUMBER(M523),(M523-L523)*1000," ")</f>
        <v>1480.0000000000182</v>
      </c>
      <c r="N598" s="962">
        <f t="shared" si="228"/>
        <v>1870.0000000000045</v>
      </c>
      <c r="O598" s="955">
        <f t="shared" si="228"/>
        <v>559.99999999994543</v>
      </c>
      <c r="P598" s="962">
        <f t="shared" si="228"/>
        <v>700.00000000004547</v>
      </c>
      <c r="Q598" s="955">
        <f t="shared" si="228"/>
        <v>2269.9999999999818</v>
      </c>
      <c r="R598" s="955">
        <f t="shared" si="228"/>
        <v>3460.0000000000364</v>
      </c>
      <c r="S598" s="955">
        <f t="shared" si="228"/>
        <v>6339.9999999999181</v>
      </c>
      <c r="T598" s="955">
        <f t="shared" si="228"/>
        <v>7340.0000000000318</v>
      </c>
      <c r="U598" s="955">
        <f t="shared" si="228"/>
        <v>6789.9999999999636</v>
      </c>
      <c r="V598" s="955">
        <f t="shared" si="228"/>
        <v>8820.0000000000509</v>
      </c>
      <c r="W598" s="955">
        <f t="shared" si="228"/>
        <v>6960.0000000000364</v>
      </c>
      <c r="X598" s="955">
        <f t="shared" si="228"/>
        <v>3799.9999999999545</v>
      </c>
      <c r="Y598" s="955">
        <f t="shared" si="228"/>
        <v>879.99999999999545</v>
      </c>
      <c r="Z598" s="1103">
        <f t="shared" si="228"/>
        <v>600.00000000002274</v>
      </c>
      <c r="AA598" s="955">
        <f t="shared" si="228"/>
        <v>850.00000000002274</v>
      </c>
      <c r="AB598" s="955">
        <f t="shared" ref="AB598:AB599" si="229">IF(ISNUMBER(AB523),(AB523-AA523)*1000," ")</f>
        <v>1339.9999999999181</v>
      </c>
      <c r="AC598" s="955">
        <f t="shared" ref="AC598:AC599" si="230">IF(ISNUMBER(AC523),(AC523-AB523)*1000," ")</f>
        <v>3640.0000000001</v>
      </c>
      <c r="AD598" s="955">
        <f t="shared" ref="AD598:AD599" si="231">IF(ISNUMBER(AD523),(AD523-AC523)*1000," ")</f>
        <v>5809.9999999999454</v>
      </c>
      <c r="AE598" s="955">
        <f t="shared" ref="AE598:AE599" si="232">IF(ISNUMBER(AE523),(AE523-AD523)*1000," ")</f>
        <v>8000</v>
      </c>
      <c r="AF598" s="955">
        <f t="shared" ref="AF598:AF599" si="233">IF(ISNUMBER(AF523),(AF523-AE523)*1000," ")</f>
        <v>6000</v>
      </c>
      <c r="AG598" s="955">
        <f t="shared" ref="AG598:AG599" si="234">IF(ISNUMBER(AG523),(AG523-AF523)*1000," ")</f>
        <v>10450.000000000045</v>
      </c>
      <c r="AH598" s="955">
        <f t="shared" ref="AH598:AH599" si="235">IF(ISNUMBER(AH523),(AH523-AG523)*1000," ")</f>
        <v>8429.9999999999491</v>
      </c>
      <c r="AI598" s="955">
        <f t="shared" ref="AI598:AI599" si="236">IF(ISNUMBER(AI523),(AI523-AH523)*1000," ")</f>
        <v>7120.0000000000045</v>
      </c>
      <c r="AJ598" s="955">
        <f t="shared" ref="AJ598:AJ599" si="237">IF(ISNUMBER(AJ523),(AJ523-AI523)*1000," ")</f>
        <v>7429.99999999995</v>
      </c>
      <c r="AK598" s="955" t="str">
        <f t="shared" ref="AK598:AK599" si="238">IF(ISNUMBER(AK523),(AK523-AJ523)*1000," ")</f>
        <v xml:space="preserve"> </v>
      </c>
      <c r="AL598" s="955" t="str">
        <f t="shared" ref="AL598:AL599" si="239">IF(ISNUMBER(AL523),(AL523-AK523)*1000," ")</f>
        <v xml:space="preserve"> </v>
      </c>
      <c r="AM598" s="955" t="str">
        <f t="shared" ref="AM598:AM599" si="240">IF(ISNUMBER(AM523),(AM523-AL523)*1000," ")</f>
        <v xml:space="preserve"> </v>
      </c>
      <c r="AN598" s="955" t="str">
        <f t="shared" ref="AN598:AN599" si="241">IF(ISNUMBER(AN523),(AN523-AM523)*1000," ")</f>
        <v xml:space="preserve"> </v>
      </c>
      <c r="AO598" s="955" t="str">
        <f t="shared" ref="AO598:AO599" si="242">IF(ISNUMBER(AO523),(AO523-AN523)*1000," ")</f>
        <v xml:space="preserve"> </v>
      </c>
      <c r="AP598" s="955" t="str">
        <f t="shared" ref="AP598:AP599" si="243">IF(ISNUMBER(AP523),(AP523-AO523)*1000," ")</f>
        <v xml:space="preserve"> </v>
      </c>
      <c r="AQ598" s="955" t="str">
        <f t="shared" ref="AQ598:AQ599" si="244">IF(ISNUMBER(AQ523),(AQ523-AP523)*1000," ")</f>
        <v xml:space="preserve"> </v>
      </c>
    </row>
    <row r="599" spans="2:43" s="473" customFormat="1">
      <c r="B599" s="839" t="s">
        <v>1292</v>
      </c>
      <c r="C599" s="952">
        <v>1619.9999999999477</v>
      </c>
      <c r="D599" s="952">
        <v>2100.0000000000227</v>
      </c>
      <c r="E599" s="952">
        <v>2649.9999999999773</v>
      </c>
      <c r="F599" s="952">
        <v>4110.0000000000136</v>
      </c>
      <c r="G599" s="952">
        <v>4569.9999999999927</v>
      </c>
      <c r="H599" s="952">
        <v>6500</v>
      </c>
      <c r="I599" s="952">
        <v>7610.0000000000136</v>
      </c>
      <c r="J599" s="952">
        <v>6300.0000000000109</v>
      </c>
      <c r="K599" s="952">
        <v>5710.0000000000364</v>
      </c>
      <c r="L599" s="956">
        <f>IF(ISNUMBER(L524),(L524-K524)*1000," ")</f>
        <v>5049.9999999999545</v>
      </c>
      <c r="M599" s="956">
        <f t="shared" ref="M599:AA599" si="245">IF(ISNUMBER(M524),(M524-L524)*1000," ")</f>
        <v>2679.99999999995</v>
      </c>
      <c r="N599" s="956">
        <f t="shared" si="245"/>
        <v>2740.0000000000091</v>
      </c>
      <c r="O599" s="956">
        <f t="shared" si="245"/>
        <v>1780.0000000000864</v>
      </c>
      <c r="P599" s="956">
        <f t="shared" si="245"/>
        <v>1779.9999999999727</v>
      </c>
      <c r="Q599" s="956">
        <f t="shared" si="245"/>
        <v>2549.9999999999545</v>
      </c>
      <c r="R599" s="956">
        <f t="shared" si="245"/>
        <v>4070.00000000005</v>
      </c>
      <c r="S599" s="956">
        <f t="shared" si="245"/>
        <v>5000</v>
      </c>
      <c r="T599" s="956">
        <f t="shared" si="245"/>
        <v>4649.9999999999773</v>
      </c>
      <c r="U599" s="956">
        <f t="shared" si="245"/>
        <v>5629.9999999999955</v>
      </c>
      <c r="V599" s="956">
        <f t="shared" si="245"/>
        <v>6200.0000000000455</v>
      </c>
      <c r="W599" s="956">
        <f t="shared" si="245"/>
        <v>5319.9999999999363</v>
      </c>
      <c r="X599" s="956">
        <f t="shared" si="245"/>
        <v>4350.0000000000227</v>
      </c>
      <c r="Y599" s="956">
        <f t="shared" si="245"/>
        <v>3519.9999999999818</v>
      </c>
      <c r="Z599" s="1066">
        <f t="shared" si="245"/>
        <v>1600.0000000000227</v>
      </c>
      <c r="AA599" s="956">
        <f t="shared" si="245"/>
        <v>2899.9999999999773</v>
      </c>
      <c r="AB599" s="956">
        <f t="shared" si="229"/>
        <v>2200.0000000000455</v>
      </c>
      <c r="AC599" s="956">
        <f t="shared" si="230"/>
        <v>3159.9999999999682</v>
      </c>
      <c r="AD599" s="956">
        <f t="shared" si="231"/>
        <v>3490.0000000000091</v>
      </c>
      <c r="AE599" s="956">
        <f t="shared" si="232"/>
        <v>5000</v>
      </c>
      <c r="AF599" s="956">
        <f t="shared" si="233"/>
        <v>5000</v>
      </c>
      <c r="AG599" s="956">
        <f t="shared" si="234"/>
        <v>4960.0000000000364</v>
      </c>
      <c r="AH599" s="956">
        <f t="shared" si="235"/>
        <v>5409.9999999999682</v>
      </c>
      <c r="AI599" s="956">
        <f t="shared" si="236"/>
        <v>4629.9999999999955</v>
      </c>
      <c r="AJ599" s="956">
        <f t="shared" si="237"/>
        <v>5059.9999999999454</v>
      </c>
      <c r="AK599" s="956" t="str">
        <f t="shared" si="238"/>
        <v xml:space="preserve"> </v>
      </c>
      <c r="AL599" s="956" t="str">
        <f t="shared" si="239"/>
        <v xml:space="preserve"> </v>
      </c>
      <c r="AM599" s="956" t="str">
        <f t="shared" si="240"/>
        <v xml:space="preserve"> </v>
      </c>
      <c r="AN599" s="956" t="str">
        <f t="shared" si="241"/>
        <v xml:space="preserve"> </v>
      </c>
      <c r="AO599" s="956" t="str">
        <f t="shared" si="242"/>
        <v xml:space="preserve"> </v>
      </c>
      <c r="AP599" s="956" t="str">
        <f t="shared" si="243"/>
        <v xml:space="preserve"> </v>
      </c>
      <c r="AQ599" s="956" t="str">
        <f t="shared" si="244"/>
        <v xml:space="preserve"> </v>
      </c>
    </row>
    <row r="600" spans="2:43" s="473" customFormat="1">
      <c r="B600" s="1091" t="s">
        <v>1345</v>
      </c>
      <c r="C600" s="953">
        <f>IF(ISNUMBER(C465),C465-C469 +(C469-C466-C467-C468)*'LTHW Data'!G97," ")</f>
        <v>5176.0089181853427</v>
      </c>
      <c r="D600" s="953">
        <f>IF(ISNUMBER(D465),D465-D469 +(D469-D466-D467-D468)*'LTHW Data'!H97," ")</f>
        <v>6709.9569892473119</v>
      </c>
      <c r="E600" s="953">
        <f>IF(ISNUMBER(E465),E465-E469 +(E469-E466-E467-E468)*'LTHW Data'!I97," ")</f>
        <v>6843.9110059171599</v>
      </c>
      <c r="F600" s="953">
        <f>IF(ISNUMBER(F465),F465-F469 +(F469-F466-F467-F468)*'LTHW Data'!J97," ")</f>
        <v>5352.2304841324994</v>
      </c>
      <c r="G600" s="953">
        <f>IF(ISNUMBER(G465),G465-G469 +(G469-G466-G467-G468)*'LTHW Data'!K97," ")</f>
        <v>6422.1796610169495</v>
      </c>
      <c r="H600" s="953">
        <f>IF(ISNUMBER(H465),H465-H469 +(H469-H466-H467-H468)*'LTHW Data'!L97," ")</f>
        <v>6110.0482230149291</v>
      </c>
      <c r="I600" s="953">
        <f>IF(ISNUMBER(I465),I465-I469 +(I469-I466-I467-I468)*'LTHW Data'!M97," ")</f>
        <v>8576.164636443551</v>
      </c>
      <c r="J600" s="953">
        <f>IF(ISNUMBER(J465),J465-J469 +(J469-J466-J467-J468)*'LTHW Data'!N97," ")</f>
        <v>8646.128099173553</v>
      </c>
      <c r="K600" s="953">
        <f>IF(ISNUMBER(K465),K465-K469 +(K469-K466-K467-K468)*'LTHW Data'!O97," ")</f>
        <v>8037.593176307586</v>
      </c>
      <c r="L600" s="953">
        <f>IF(ISNUMBER(L465),L465-L469 +(L469-L466-L467-L468)*'LTHW Data'!P97," ")</f>
        <v>7536.7583693869465</v>
      </c>
      <c r="M600" s="953">
        <f>IF(ISNUMBER(M465),M465-M469 +(M469-M466-M467-M468)*'LTHW Data'!Q97," ")</f>
        <v>7020.4601407013988</v>
      </c>
      <c r="N600" s="953">
        <f>IF(ISNUMBER(N465),N465-N469 +(N469-N466-N467-N468)*'LTHW Data'!R97," ")</f>
        <v>6611.2301042502004</v>
      </c>
      <c r="O600" s="953">
        <f>IF(ISNUMBER(O465),O465-O469 +(O469-O466-O467-O468)*'LTHW Data'!S97," ")</f>
        <v>5650.7932398753892</v>
      </c>
      <c r="P600" s="953">
        <f>IF(ISNUMBER(P465),P465-P469 +(P469-P466-P467-P468)*'LTHW Data'!T97," ")</f>
        <v>5733.4036686959307</v>
      </c>
      <c r="Q600" s="953">
        <f>IF(ISNUMBER(Q465),Q465-Q469 +(Q469-Q466-Q467-Q468)*'LTHW Data'!U97," ")</f>
        <v>7647.7665941761888</v>
      </c>
      <c r="R600" s="953">
        <f>IF(ISNUMBER(R465),R465-R469 +(R469-R466-R467-R468)*'LTHW Data'!V97," ")</f>
        <v>7004.7817044120111</v>
      </c>
      <c r="S600" s="953">
        <f>IF(ISNUMBER(S465),S465-S469 +(S469-S466-S467-S468)*'LTHW Data'!W97," ")</f>
        <v>8329.2573094170402</v>
      </c>
      <c r="T600" s="953">
        <f>IF(ISNUMBER(T465),T465-T469 +(T469-T466-T467-T468)*'LTHW Data'!X97," ")</f>
        <v>8198.2815556411242</v>
      </c>
      <c r="U600" s="953">
        <f>IF(ISNUMBER(U465),U465-U469 +(U469-U466-U467-U468)*'LTHW Data'!Y97," ")</f>
        <v>8583.735846689895</v>
      </c>
      <c r="V600" s="953">
        <f>IF(ISNUMBER(V465),V465-V469 +(V469-V466-V467-V468)*'LTHW Data'!Z97," ")</f>
        <v>8960.6164281850142</v>
      </c>
      <c r="W600" s="953">
        <f>IF(ISNUMBER(W465),W465-W469 +(W469-W466-W467-W468)*'LTHW Data'!AA97," ")</f>
        <v>7893.4503507751933</v>
      </c>
      <c r="X600" s="953">
        <f>IF(ISNUMBER(X465),X465-X469 +(X469-X466-X467-X468)*'LTHW Data'!AB97," ")</f>
        <v>7860.8590349983006</v>
      </c>
      <c r="Y600" s="953">
        <f>IF(ISNUMBER(Y465),Y465-Y469 +(Y469-Y466-Y467-Y468)*'LTHW Data'!AC97," ")</f>
        <v>7458.8672975277068</v>
      </c>
      <c r="Z600" s="953">
        <f>IF(ISNUMBER(Z465),Z465-Z469 +(Z469-Z466-Z467-Z468)*'LTHW Data'!AD97," ")</f>
        <v>6506.1961960385979</v>
      </c>
      <c r="AA600" s="953">
        <f>IF(ISNUMBER(AA465),AA465-AA469 +(AA469-AA466-AA467-AA468)*'LTHW Data'!AE97," ")</f>
        <v>6467.769628993472</v>
      </c>
      <c r="AB600" s="953">
        <f>IF(ISNUMBER(AB465),AB465-AB469 +(AB469-AB466-AB467-AB468)*'LTHW Data'!AF97," ")</f>
        <v>6614.8101656196468</v>
      </c>
      <c r="AC600" s="953">
        <f>IF(ISNUMBER(AC465),AC465-AC469 +(AC469-AC466-AC467-AC468)*'LTHW Data'!AG97," ")</f>
        <v>7642.7068910705948</v>
      </c>
      <c r="AD600" s="953">
        <f>IF(ISNUMBER(AD465),AD465-AD469 +(AD469-AD466-AD467-AD468)*'LTHW Data'!AH97," ")</f>
        <v>8389.2028653344914</v>
      </c>
      <c r="AE600" s="953">
        <f>IF(ISNUMBER(AE465),AE465-AE469 +(AE469-AE466-AE467-AE468)*'LTHW Data'!AI97," ")</f>
        <v>9307.7117630687317</v>
      </c>
      <c r="AF600" s="953">
        <f>IF(ISNUMBER(AF465),AF465-AF469 +(AF469-AF466-AF467-AF468)*'LTHW Data'!AJ97," ")</f>
        <v>7930.2281998413964</v>
      </c>
      <c r="AG600" s="953">
        <f>IF(ISNUMBER(AG465),AG465-AG469 +(AG469-AG466-AG467-AG468)*'LTHW Data'!AK97," ")</f>
        <v>6090.2286425352104</v>
      </c>
      <c r="AH600" s="953">
        <f>IF(ISNUMBER(AH465),AH465-AH469 +(AH469-AH466-AH467-AH468)*'LTHW Data'!AL97," ")</f>
        <v>8698.6244955300135</v>
      </c>
      <c r="AI600" s="953">
        <f>IF(ISNUMBER(AI465),AI465-AI469 +(AI469-AI466-AI467-AI468)*'LTHW Data'!AM97," ")</f>
        <v>7641.6659021276591</v>
      </c>
      <c r="AJ600" s="953">
        <f>IF(ISNUMBER(AJ465),AJ465-AJ469 +(AJ469-AJ466-AJ467-AJ468)*'LTHW Data'!AN97," ")</f>
        <v>3998.5214904458599</v>
      </c>
      <c r="AK600" s="953" t="str">
        <f>IF(ISNUMBER(AK465),AK465-AK469 +(AK469-AK466-AK467-AK468)*'LTHW Data'!AO97," ")</f>
        <v xml:space="preserve"> </v>
      </c>
      <c r="AL600" s="953" t="str">
        <f>IF(ISNUMBER(AL465),AL465-AL469 +(AL469-AL466-AL467-AL468)*'LTHW Data'!AP97," ")</f>
        <v xml:space="preserve"> </v>
      </c>
      <c r="AM600" s="953" t="str">
        <f>IF(ISNUMBER(AM465),AM465-AM469 +(AM469-AM466-AM467-AM468)*'LTHW Data'!AQ97," ")</f>
        <v xml:space="preserve"> </v>
      </c>
      <c r="AN600" s="953" t="str">
        <f>IF(ISNUMBER(AN465),AN465-AN469 +(AN469-AN466-AN467-AN468)*'LTHW Data'!AR97," ")</f>
        <v xml:space="preserve"> </v>
      </c>
      <c r="AO600" s="953" t="str">
        <f>IF(ISNUMBER(AO465),AO465-AO469 +(AO469-AO466-AO467-AO468)*'LTHW Data'!AS97," ")</f>
        <v xml:space="preserve"> </v>
      </c>
      <c r="AP600" s="953" t="str">
        <f>IF(ISNUMBER(AP465),AP465-AP469 +(AP469-AP466-AP467-AP468)*'LTHW Data'!AT97," ")</f>
        <v xml:space="preserve"> </v>
      </c>
      <c r="AQ600" s="953" t="str">
        <f>IF(ISNUMBER(AQ465),AQ465-AQ469 +(AQ469-AQ466-AQ467-AQ468)*'LTHW Data'!AU97," ")</f>
        <v xml:space="preserve"> </v>
      </c>
    </row>
    <row r="601" spans="2:43">
      <c r="B601" s="843" t="s">
        <v>1346</v>
      </c>
      <c r="C601" s="954">
        <f t="shared" ref="C601:AA601" si="246">IF(ISNUMBER(C500),C500+C501," ")</f>
        <v>99740</v>
      </c>
      <c r="D601" s="954">
        <f t="shared" si="246"/>
        <v>87429</v>
      </c>
      <c r="E601" s="954">
        <f t="shared" si="246"/>
        <v>91850</v>
      </c>
      <c r="F601" s="954">
        <f t="shared" si="246"/>
        <v>76575</v>
      </c>
      <c r="G601" s="954">
        <f t="shared" si="246"/>
        <v>69086</v>
      </c>
      <c r="H601" s="954">
        <f t="shared" si="246"/>
        <v>61839</v>
      </c>
      <c r="I601" s="954">
        <f t="shared" si="246"/>
        <v>58987</v>
      </c>
      <c r="J601" s="954">
        <f t="shared" si="246"/>
        <v>54455</v>
      </c>
      <c r="K601" s="954">
        <f t="shared" si="246"/>
        <v>52641</v>
      </c>
      <c r="L601" s="954">
        <f t="shared" si="246"/>
        <v>55629.0546875</v>
      </c>
      <c r="M601" s="954">
        <f t="shared" si="246"/>
        <v>56580.607421875</v>
      </c>
      <c r="N601" s="954">
        <f t="shared" si="246"/>
        <v>53860.61</v>
      </c>
      <c r="O601" s="954">
        <f t="shared" si="246"/>
        <v>53637.64</v>
      </c>
      <c r="P601" s="954">
        <f t="shared" si="246"/>
        <v>53036.54</v>
      </c>
      <c r="Q601" s="954">
        <f t="shared" si="246"/>
        <v>52067.33</v>
      </c>
      <c r="R601" s="954">
        <f t="shared" si="246"/>
        <v>50571.259999999995</v>
      </c>
      <c r="S601" s="954">
        <f t="shared" si="246"/>
        <v>55275.26</v>
      </c>
      <c r="T601" s="954">
        <f t="shared" si="246"/>
        <v>66306.05</v>
      </c>
      <c r="U601" s="954">
        <f t="shared" si="246"/>
        <v>56815.619999999995</v>
      </c>
      <c r="V601" s="954">
        <f t="shared" si="246"/>
        <v>68331.78</v>
      </c>
      <c r="W601" s="954">
        <f t="shared" si="246"/>
        <v>66684.42</v>
      </c>
      <c r="X601" s="954">
        <f t="shared" si="246"/>
        <v>9236.74</v>
      </c>
      <c r="Y601" s="954">
        <f t="shared" si="246"/>
        <v>57678.85</v>
      </c>
      <c r="Z601" s="954">
        <f t="shared" si="246"/>
        <v>369739.01</v>
      </c>
      <c r="AA601" s="954">
        <f t="shared" si="246"/>
        <v>85172.73</v>
      </c>
      <c r="AB601" s="954">
        <f t="shared" ref="AB601:AQ601" si="247">IF(ISNUMBER(AB500),AB500+AB501," ")</f>
        <v>83985.919999999998</v>
      </c>
      <c r="AC601" s="954">
        <f t="shared" si="247"/>
        <v>69996.03</v>
      </c>
      <c r="AD601" s="954">
        <f t="shared" si="247"/>
        <v>64796.41</v>
      </c>
      <c r="AE601" s="954">
        <f t="shared" si="247"/>
        <v>71891.710000000006</v>
      </c>
      <c r="AF601" s="954">
        <f t="shared" si="247"/>
        <v>65693.95</v>
      </c>
      <c r="AG601" s="954">
        <f t="shared" si="247"/>
        <v>68380.41</v>
      </c>
      <c r="AH601" s="954">
        <f t="shared" si="247"/>
        <v>64479.74</v>
      </c>
      <c r="AI601" s="954">
        <f t="shared" si="247"/>
        <v>58550.53</v>
      </c>
      <c r="AJ601" s="954">
        <f t="shared" si="247"/>
        <v>75774.210000000006</v>
      </c>
      <c r="AK601" s="954" t="str">
        <f t="shared" si="247"/>
        <v xml:space="preserve"> </v>
      </c>
      <c r="AL601" s="954" t="str">
        <f t="shared" si="247"/>
        <v xml:space="preserve"> </v>
      </c>
      <c r="AM601" s="954" t="str">
        <f t="shared" si="247"/>
        <v xml:space="preserve"> </v>
      </c>
      <c r="AN601" s="954" t="str">
        <f t="shared" si="247"/>
        <v xml:space="preserve"> </v>
      </c>
      <c r="AO601" s="954" t="str">
        <f t="shared" si="247"/>
        <v xml:space="preserve"> </v>
      </c>
      <c r="AP601" s="954" t="str">
        <f t="shared" si="247"/>
        <v xml:space="preserve"> </v>
      </c>
      <c r="AQ601" s="954" t="str">
        <f t="shared" si="247"/>
        <v xml:space="preserve"> </v>
      </c>
    </row>
    <row r="602" spans="2:43">
      <c r="B602" s="837"/>
      <c r="C602" s="951"/>
      <c r="D602" s="951"/>
      <c r="E602" s="951"/>
      <c r="F602" s="951"/>
      <c r="G602" s="951"/>
      <c r="H602" s="951"/>
      <c r="I602" s="951"/>
      <c r="J602" s="951"/>
      <c r="K602" s="951"/>
      <c r="L602" s="955"/>
      <c r="M602" s="955"/>
      <c r="N602" s="955"/>
      <c r="O602" s="955"/>
      <c r="P602" s="955"/>
      <c r="Q602" s="955"/>
      <c r="R602" s="955"/>
      <c r="S602" s="955"/>
      <c r="T602" s="955"/>
      <c r="U602" s="955"/>
      <c r="V602" s="955"/>
      <c r="W602" s="955"/>
      <c r="X602" s="955"/>
      <c r="Y602" s="955"/>
      <c r="Z602" s="955"/>
      <c r="AA602" s="955"/>
      <c r="AB602" s="955"/>
      <c r="AC602" s="955"/>
      <c r="AD602" s="955"/>
      <c r="AE602" s="955"/>
      <c r="AF602" s="955"/>
      <c r="AG602" s="955"/>
      <c r="AH602" s="955"/>
      <c r="AI602" s="955"/>
      <c r="AJ602" s="955"/>
      <c r="AK602" s="955"/>
      <c r="AL602" s="955"/>
      <c r="AM602" s="955"/>
      <c r="AN602" s="955"/>
      <c r="AO602" s="955"/>
      <c r="AP602" s="955"/>
      <c r="AQ602" s="955"/>
    </row>
  </sheetData>
  <protectedRanges>
    <protectedRange sqref="C551:AQ551 C560:AQ560 C553:AQ553" name="Range1"/>
    <protectedRange sqref="C552:AQ552 C561:AQ561 C558:AQ559 C554:AQ554" name="Range1_2"/>
  </protectedRanges>
  <sortState ref="B556:AA602">
    <sortCondition ref="B556"/>
  </sortState>
  <phoneticPr fontId="10" type="noConversion"/>
  <conditionalFormatting sqref="C556:L55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M2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M3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M12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M21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:M22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M27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4:M4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:M4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7:M57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6:M22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7:M227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1:M241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4:M254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0:M260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9:M299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:M314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9:M339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3:M353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3:M363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9:M370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1:M371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7:M377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5:M385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3:M393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7:M407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6:M416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8:M438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9:M43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5:M465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1:M55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4:M554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0:M560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1:AQ56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7:AQ56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1:AQ60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7:AQ5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56:AQ5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AN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AN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:AN1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:AN2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2:AN2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:AN2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4:AN4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9:AN4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:AN5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26:AQ22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27:AQ22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41:AQ241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54:AQ25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0:AQ260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99:AQ29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4:AQ31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9:AQ339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53:AQ35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63:AQ36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69:AQ37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71:AQ37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77:AQ37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85:AQ38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93:AQ39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07:AQ40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16:AQ41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38:AQ43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39:AQ43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65:AQ46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51:AQ5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54:AQ5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60:AQ56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76"/>
  <sheetViews>
    <sheetView zoomScale="82" zoomScaleNormal="82" workbookViewId="0" xr3:uid="{274F5AE0-5452-572F-8038-C13FFDA59D49}">
      <pane xSplit="1" topLeftCell="U19" activePane="topRight" state="frozen"/>
      <selection pane="topRight" activeCell="BJ12" sqref="BJ12"/>
    </sheetView>
  </sheetViews>
  <sheetFormatPr defaultRowHeight="13.15"/>
  <cols>
    <col min="3" max="3" width="33.28515625" customWidth="1"/>
    <col min="4" max="4" width="31.42578125" customWidth="1"/>
    <col min="5" max="5" width="26.140625" customWidth="1"/>
    <col min="6" max="6" width="24.28515625" customWidth="1"/>
    <col min="7" max="7" width="26.140625" customWidth="1"/>
    <col min="8" max="8" width="24.28515625" customWidth="1"/>
    <col min="9" max="9" width="24.85546875" customWidth="1"/>
    <col min="10" max="10" width="23" customWidth="1"/>
    <col min="11" max="11" width="35.5703125" customWidth="1"/>
    <col min="12" max="12" width="33.5703125" customWidth="1"/>
    <col min="13" max="13" width="34.42578125" customWidth="1"/>
    <col min="14" max="14" width="32.5703125" customWidth="1"/>
    <col min="15" max="15" width="30" customWidth="1"/>
    <col min="16" max="16" width="28" customWidth="1"/>
    <col min="17" max="17" width="29.5703125" customWidth="1"/>
    <col min="18" max="18" width="27.7109375" customWidth="1"/>
    <col min="19" max="19" width="33.85546875" customWidth="1"/>
    <col min="20" max="21" width="31.85546875" customWidth="1"/>
    <col min="22" max="22" width="30" customWidth="1"/>
    <col min="23" max="23" width="30.85546875" customWidth="1"/>
    <col min="24" max="24" width="28.85546875" customWidth="1"/>
    <col min="25" max="25" width="32.7109375" customWidth="1"/>
    <col min="26" max="26" width="30.85546875" customWidth="1"/>
    <col min="27" max="27" width="27.28515625" customWidth="1"/>
    <col min="28" max="28" width="25.42578125" customWidth="1"/>
    <col min="29" max="29" width="27.5703125" customWidth="1"/>
    <col min="30" max="30" width="25.5703125" customWidth="1"/>
    <col min="31" max="31" width="27.7109375" customWidth="1"/>
    <col min="32" max="32" width="25.7109375" customWidth="1"/>
    <col min="33" max="33" width="38" customWidth="1"/>
    <col min="34" max="34" width="36" customWidth="1"/>
    <col min="35" max="35" width="28.28515625" customWidth="1"/>
    <col min="36" max="36" width="26.28515625" customWidth="1"/>
    <col min="37" max="37" width="33.85546875" customWidth="1"/>
    <col min="38" max="38" width="31.85546875" customWidth="1"/>
    <col min="39" max="39" width="27.28515625" customWidth="1"/>
    <col min="40" max="40" width="25.42578125" customWidth="1"/>
    <col min="41" max="41" width="31.42578125" customWidth="1"/>
    <col min="42" max="42" width="29.42578125" customWidth="1"/>
    <col min="43" max="43" width="33.42578125" customWidth="1"/>
    <col min="44" max="44" width="31.5703125" customWidth="1"/>
    <col min="45" max="45" width="35.7109375" customWidth="1"/>
    <col min="46" max="46" width="33.85546875" customWidth="1"/>
    <col min="47" max="47" width="38.140625" customWidth="1"/>
    <col min="48" max="48" width="36.28515625" customWidth="1"/>
    <col min="49" max="49" width="26.85546875" customWidth="1"/>
    <col min="50" max="50" width="24.85546875" customWidth="1"/>
    <col min="51" max="51" width="52.140625" customWidth="1"/>
    <col min="52" max="52" width="50.140625" customWidth="1"/>
    <col min="53" max="53" width="33.140625" customWidth="1"/>
    <col min="54" max="54" width="31.140625" customWidth="1"/>
    <col min="55" max="55" width="26.85546875" customWidth="1"/>
    <col min="56" max="56" width="24.85546875" customWidth="1"/>
    <col min="57" max="57" width="26.42578125" customWidth="1"/>
    <col min="58" max="58" width="24.5703125" customWidth="1"/>
    <col min="59" max="59" width="23.140625" customWidth="1"/>
    <col min="60" max="60" width="21.28515625" customWidth="1"/>
    <col min="61" max="61" width="33.85546875" style="1267" bestFit="1" customWidth="1"/>
    <col min="62" max="62" width="32.42578125" customWidth="1"/>
    <col min="63" max="63" width="21.28515625" customWidth="1"/>
    <col min="64" max="64" width="19.28515625" customWidth="1"/>
    <col min="65" max="65" width="31.5703125" customWidth="1"/>
    <col min="66" max="66" width="27" customWidth="1"/>
    <col min="67" max="67" width="32.5703125" customWidth="1"/>
    <col min="68" max="68" width="30.7109375" customWidth="1"/>
    <col min="69" max="69" width="33.85546875" customWidth="1"/>
    <col min="70" max="70" width="29.28515625" customWidth="1"/>
    <col min="71" max="71" width="47.42578125" customWidth="1"/>
    <col min="72" max="72" width="45.42578125" customWidth="1"/>
    <col min="73" max="73" width="29.5703125" customWidth="1"/>
    <col min="74" max="74" width="27.7109375" customWidth="1"/>
    <col min="75" max="75" width="38.7109375" customWidth="1"/>
    <col min="76" max="76" width="36.7109375" customWidth="1"/>
    <col min="77" max="77" width="34.85546875" customWidth="1"/>
    <col min="78" max="78" width="32.85546875" customWidth="1"/>
    <col min="79" max="79" width="27.85546875" customWidth="1"/>
    <col min="80" max="80" width="26" customWidth="1"/>
    <col min="81" max="81" width="42.5703125" customWidth="1"/>
    <col min="82" max="82" width="40.5703125" customWidth="1"/>
    <col min="83" max="83" width="25.28515625" style="441" bestFit="1" customWidth="1"/>
    <col min="84" max="84" width="20.28515625" bestFit="1" customWidth="1"/>
    <col min="85" max="85" width="32.85546875" customWidth="1"/>
    <col min="86" max="86" width="32.140625" bestFit="1" customWidth="1"/>
    <col min="87" max="88" width="30.28515625" customWidth="1"/>
    <col min="89" max="89" width="23.7109375" customWidth="1"/>
    <col min="90" max="90" width="26.140625" customWidth="1"/>
    <col min="91" max="91" width="27.85546875" style="417" bestFit="1" customWidth="1"/>
  </cols>
  <sheetData>
    <row r="1" spans="1:91">
      <c r="A1" t="s">
        <v>1347</v>
      </c>
      <c r="B1" t="s">
        <v>1348</v>
      </c>
      <c r="C1" t="s">
        <v>1349</v>
      </c>
      <c r="D1" t="s">
        <v>1350</v>
      </c>
      <c r="E1" t="s">
        <v>1351</v>
      </c>
      <c r="F1" t="s">
        <v>1352</v>
      </c>
      <c r="G1" t="s">
        <v>1353</v>
      </c>
      <c r="H1" t="s">
        <v>1354</v>
      </c>
      <c r="I1" t="s">
        <v>1355</v>
      </c>
      <c r="J1" t="s">
        <v>1356</v>
      </c>
      <c r="K1" s="35" t="s">
        <v>1357</v>
      </c>
      <c r="L1" s="35" t="s">
        <v>1358</v>
      </c>
      <c r="M1" t="s">
        <v>1359</v>
      </c>
      <c r="N1" t="s">
        <v>1360</v>
      </c>
      <c r="O1" t="s">
        <v>1361</v>
      </c>
      <c r="P1" t="s">
        <v>1362</v>
      </c>
      <c r="Q1" t="s">
        <v>1363</v>
      </c>
      <c r="R1" t="s">
        <v>1364</v>
      </c>
      <c r="S1" t="s">
        <v>1365</v>
      </c>
      <c r="T1" t="s">
        <v>1366</v>
      </c>
      <c r="U1" t="s">
        <v>1367</v>
      </c>
      <c r="V1" t="s">
        <v>1368</v>
      </c>
      <c r="W1" t="s">
        <v>1369</v>
      </c>
      <c r="X1" t="s">
        <v>1370</v>
      </c>
      <c r="Y1" t="s">
        <v>1371</v>
      </c>
      <c r="Z1" t="s">
        <v>1372</v>
      </c>
      <c r="AA1" t="s">
        <v>1373</v>
      </c>
      <c r="AB1" t="s">
        <v>1374</v>
      </c>
      <c r="AC1" t="s">
        <v>1375</v>
      </c>
      <c r="AD1" t="s">
        <v>1376</v>
      </c>
      <c r="AE1" t="s">
        <v>1377</v>
      </c>
      <c r="AF1" t="s">
        <v>1378</v>
      </c>
      <c r="AG1" t="s">
        <v>1379</v>
      </c>
      <c r="AH1" t="s">
        <v>1380</v>
      </c>
      <c r="AI1" t="s">
        <v>1381</v>
      </c>
      <c r="AJ1" t="s">
        <v>1382</v>
      </c>
      <c r="AK1" t="s">
        <v>1383</v>
      </c>
      <c r="AL1" t="s">
        <v>1384</v>
      </c>
      <c r="AM1" t="s">
        <v>1385</v>
      </c>
      <c r="AN1" t="s">
        <v>1386</v>
      </c>
      <c r="AO1" t="s">
        <v>1387</v>
      </c>
      <c r="AP1" t="s">
        <v>1388</v>
      </c>
      <c r="AQ1" t="s">
        <v>1389</v>
      </c>
      <c r="AR1" t="s">
        <v>1390</v>
      </c>
      <c r="AS1" t="s">
        <v>1391</v>
      </c>
      <c r="AT1" t="s">
        <v>1392</v>
      </c>
      <c r="AU1" t="s">
        <v>1393</v>
      </c>
      <c r="AV1" t="s">
        <v>1394</v>
      </c>
      <c r="AW1" t="s">
        <v>1395</v>
      </c>
      <c r="AX1" t="s">
        <v>1396</v>
      </c>
      <c r="AY1" t="s">
        <v>1397</v>
      </c>
      <c r="AZ1" t="s">
        <v>1398</v>
      </c>
      <c r="BA1" t="s">
        <v>1399</v>
      </c>
      <c r="BB1" t="s">
        <v>1400</v>
      </c>
      <c r="BC1" t="s">
        <v>1401</v>
      </c>
      <c r="BD1" t="s">
        <v>1402</v>
      </c>
      <c r="BE1" t="s">
        <v>1403</v>
      </c>
      <c r="BF1" t="s">
        <v>1404</v>
      </c>
      <c r="BG1" t="s">
        <v>1405</v>
      </c>
      <c r="BH1" t="s">
        <v>1406</v>
      </c>
      <c r="BI1" s="1310" t="s">
        <v>1407</v>
      </c>
      <c r="BJ1" t="s">
        <v>1408</v>
      </c>
      <c r="BK1" t="s">
        <v>1409</v>
      </c>
      <c r="BL1" t="s">
        <v>1410</v>
      </c>
      <c r="BM1" t="s">
        <v>1411</v>
      </c>
      <c r="BN1" t="s">
        <v>1412</v>
      </c>
      <c r="BO1" t="s">
        <v>1413</v>
      </c>
      <c r="BP1" t="s">
        <v>1414</v>
      </c>
      <c r="BQ1" t="s">
        <v>1415</v>
      </c>
      <c r="BR1" t="s">
        <v>1416</v>
      </c>
      <c r="BS1" t="s">
        <v>1417</v>
      </c>
      <c r="BT1" t="s">
        <v>1418</v>
      </c>
      <c r="BU1" t="s">
        <v>1419</v>
      </c>
      <c r="BV1" t="s">
        <v>1420</v>
      </c>
      <c r="BW1" t="s">
        <v>1421</v>
      </c>
      <c r="BX1" t="s">
        <v>1422</v>
      </c>
      <c r="BY1" t="s">
        <v>1423</v>
      </c>
      <c r="BZ1" t="s">
        <v>1424</v>
      </c>
      <c r="CA1" t="s">
        <v>1425</v>
      </c>
      <c r="CB1" t="s">
        <v>1426</v>
      </c>
      <c r="CC1" t="s">
        <v>1427</v>
      </c>
      <c r="CD1" t="s">
        <v>1428</v>
      </c>
      <c r="CE1" s="845" t="s">
        <v>1429</v>
      </c>
      <c r="CF1" s="846" t="s">
        <v>1430</v>
      </c>
      <c r="CG1" s="846" t="s">
        <v>1431</v>
      </c>
      <c r="CH1" s="846" t="s">
        <v>1432</v>
      </c>
      <c r="CI1" s="846" t="s">
        <v>1433</v>
      </c>
      <c r="CJ1" s="846" t="s">
        <v>1434</v>
      </c>
      <c r="CK1" s="846" t="s">
        <v>1435</v>
      </c>
      <c r="CL1" s="845" t="s">
        <v>16</v>
      </c>
      <c r="CM1" s="847" t="s">
        <v>1436</v>
      </c>
    </row>
    <row r="2" spans="1:91">
      <c r="A2" s="292">
        <v>44562</v>
      </c>
      <c r="C2">
        <v>251350.978</v>
      </c>
      <c r="D2">
        <v>0.99</v>
      </c>
      <c r="E2">
        <v>0</v>
      </c>
      <c r="G2">
        <v>440424.38199999998</v>
      </c>
      <c r="H2">
        <v>1</v>
      </c>
      <c r="I2">
        <v>5108.3599999999997</v>
      </c>
      <c r="J2">
        <v>0.97</v>
      </c>
      <c r="K2">
        <v>11006.16</v>
      </c>
      <c r="L2">
        <v>0.96</v>
      </c>
      <c r="M2">
        <v>327840.03000000003</v>
      </c>
      <c r="N2">
        <v>0.96</v>
      </c>
      <c r="O2">
        <v>9460.99</v>
      </c>
      <c r="P2">
        <v>1</v>
      </c>
      <c r="Q2">
        <v>9963.7279999999992</v>
      </c>
      <c r="R2">
        <v>1</v>
      </c>
      <c r="S2">
        <v>18225.27</v>
      </c>
      <c r="T2">
        <v>0.99</v>
      </c>
      <c r="W2">
        <v>69033.088000000003</v>
      </c>
      <c r="X2">
        <v>0.94</v>
      </c>
      <c r="Y2">
        <v>163820.864</v>
      </c>
      <c r="Z2">
        <v>1</v>
      </c>
      <c r="AA2">
        <v>14940.712</v>
      </c>
      <c r="AB2">
        <v>0.98</v>
      </c>
      <c r="AC2">
        <v>142957.36799999999</v>
      </c>
      <c r="AD2">
        <v>0.99</v>
      </c>
      <c r="AE2">
        <v>9905.0499999999993</v>
      </c>
      <c r="AF2">
        <v>1</v>
      </c>
      <c r="AG2">
        <v>103243.08</v>
      </c>
      <c r="AH2">
        <v>0.99</v>
      </c>
      <c r="AI2">
        <v>68096.399999999994</v>
      </c>
      <c r="AJ2">
        <v>0.96</v>
      </c>
      <c r="AK2">
        <v>109335.43</v>
      </c>
      <c r="AL2">
        <v>1</v>
      </c>
      <c r="AM2">
        <v>21619.552</v>
      </c>
      <c r="AN2">
        <v>0.97</v>
      </c>
      <c r="AO2">
        <v>14269.856</v>
      </c>
      <c r="AP2">
        <v>1</v>
      </c>
      <c r="AQ2">
        <v>3184.326</v>
      </c>
      <c r="AR2">
        <v>0.95</v>
      </c>
      <c r="AS2">
        <v>29788.49</v>
      </c>
      <c r="AT2">
        <v>0.97</v>
      </c>
      <c r="AU2">
        <v>33022.120000000003</v>
      </c>
      <c r="AV2">
        <v>1</v>
      </c>
      <c r="AW2">
        <v>132734.40700000001</v>
      </c>
      <c r="AX2">
        <v>1</v>
      </c>
      <c r="AY2">
        <v>41395.887999999999</v>
      </c>
      <c r="AZ2">
        <v>1</v>
      </c>
      <c r="BA2">
        <v>105178.75199999999</v>
      </c>
      <c r="BB2">
        <v>1</v>
      </c>
      <c r="BC2">
        <v>142364.04</v>
      </c>
      <c r="BD2">
        <v>0.95</v>
      </c>
      <c r="BE2">
        <v>98978.64</v>
      </c>
      <c r="BF2">
        <v>0.97</v>
      </c>
      <c r="BG2">
        <v>117647.736</v>
      </c>
      <c r="BH2">
        <v>0.99</v>
      </c>
      <c r="BI2" s="1308">
        <v>15498.575999999999</v>
      </c>
      <c r="BJ2">
        <v>1</v>
      </c>
      <c r="BK2">
        <v>31056.272000000001</v>
      </c>
      <c r="BL2">
        <v>1</v>
      </c>
      <c r="BM2">
        <v>9109.0679999999993</v>
      </c>
      <c r="BN2">
        <v>1</v>
      </c>
      <c r="BO2">
        <v>27736.592000000001</v>
      </c>
      <c r="BP2">
        <v>0.99</v>
      </c>
      <c r="BQ2">
        <v>9162.4599999999991</v>
      </c>
      <c r="BR2">
        <v>1</v>
      </c>
      <c r="BS2">
        <v>7481.59</v>
      </c>
      <c r="BT2">
        <v>1</v>
      </c>
      <c r="BU2">
        <v>8067.39</v>
      </c>
      <c r="BV2">
        <v>1</v>
      </c>
      <c r="BW2">
        <v>28866.51</v>
      </c>
      <c r="BX2">
        <v>0.99</v>
      </c>
      <c r="BY2">
        <v>24710.26</v>
      </c>
      <c r="BZ2">
        <v>0.97</v>
      </c>
      <c r="CA2">
        <v>9438.3700000000008</v>
      </c>
      <c r="CB2">
        <v>1</v>
      </c>
      <c r="CC2">
        <v>195889.51199999999</v>
      </c>
      <c r="CD2">
        <v>0.93</v>
      </c>
      <c r="CE2" s="441">
        <f t="shared" ref="CE2:CE53" si="0">IF(ISNUMBER(C2),(C2+E2+G2)," ")</f>
        <v>691775.36</v>
      </c>
      <c r="CF2">
        <f>IF(ISNUMBER(AI2),(AI2+AU2+'Janitza data '!C$310+'Janitza data '!C$11+'Janitza data '!C$574+'Janitza data '!C$258)," ")</f>
        <v>207424.52</v>
      </c>
      <c r="CG2">
        <f>IF(ISNUMBER(K2),(K2+O2+S2+AQ2+AS2+BI2+BM2+BO2+BQ2+BS2+BU2+BW2+CA2)," ")</f>
        <v>187025.79200000002</v>
      </c>
      <c r="CH2">
        <f>IF(ISNUMBER(Q2),(Q2+W2+AM2+AO2+AS2+BA2+BE2+BG2+BY2+'Janitza data '!C$400+'Janitza data '!C$401)," ")</f>
        <v>519811.10200000007</v>
      </c>
      <c r="CI2">
        <f t="shared" ref="CI2:CI53" si="1">IF(ISNUMBER(I2),(I2+M2+Y2+AA2+AC2+AG2)," ")</f>
        <v>757910.41399999999</v>
      </c>
      <c r="CJ2">
        <f>IF(ISNUMBER(AY2),(AY2+'Janitza data '!C$254+'Janitza data '!C$270+'Janitza data '!C$269+'Janitza data '!C$403)," ")</f>
        <v>110716.88800000001</v>
      </c>
      <c r="CK2">
        <f>IF(ISNUMBER('Janitza data '!C$280),('Janitza data '!C$280+'Janitza data '!C$281+'Janitza data '!C$299)," ")</f>
        <v>120681</v>
      </c>
      <c r="CL2" s="441">
        <f t="shared" ref="CL2:CL53" si="2">IF(ISNUMBER(C2),(C2+E2+G2+I2+K2+M2+O2+Q2+S2+U2+W2+Y2+AA2+AC2+AE2+AG2+AI2+AK2+AM2+AO2+AQ2+AS2+AU2+AW2+AY2+BA2+BC2+BE2+BG2+BI2+BK2+BM2+BO2+BQ2+BS2+BU2+BW2+BY2+CA2)," ")</f>
        <v>2666022.7849999997</v>
      </c>
      <c r="CM2" s="417">
        <f>IF(ISNUMBER(AK2),(AK2+'Janitza data '!C$49-'Janitza data '!C$50)," ")</f>
        <v>237083.43</v>
      </c>
    </row>
    <row r="3" spans="1:91">
      <c r="A3" s="292">
        <v>44593</v>
      </c>
      <c r="C3">
        <v>258506.22399999999</v>
      </c>
      <c r="D3">
        <v>0.99</v>
      </c>
      <c r="E3">
        <v>0</v>
      </c>
      <c r="G3">
        <v>444172.076</v>
      </c>
      <c r="H3">
        <v>1</v>
      </c>
      <c r="I3">
        <v>4832.68</v>
      </c>
      <c r="J3">
        <v>0.97</v>
      </c>
      <c r="K3">
        <v>14045.023999999999</v>
      </c>
      <c r="L3">
        <v>0.98</v>
      </c>
      <c r="M3">
        <v>334840.34999999998</v>
      </c>
      <c r="N3">
        <v>0.96</v>
      </c>
      <c r="O3">
        <v>15397.23</v>
      </c>
      <c r="P3">
        <v>1</v>
      </c>
      <c r="Q3">
        <v>10737.415999999999</v>
      </c>
      <c r="R3">
        <v>1</v>
      </c>
      <c r="S3">
        <v>25812.61</v>
      </c>
      <c r="T3">
        <v>0.99</v>
      </c>
      <c r="W3">
        <v>61635.856</v>
      </c>
      <c r="X3">
        <v>0.95</v>
      </c>
      <c r="Y3">
        <v>149261.728</v>
      </c>
      <c r="Z3">
        <v>1</v>
      </c>
      <c r="AA3">
        <v>14445.744000000001</v>
      </c>
      <c r="AB3">
        <v>0.98</v>
      </c>
      <c r="AC3">
        <v>133487.16</v>
      </c>
      <c r="AD3">
        <v>0.99</v>
      </c>
      <c r="AE3">
        <v>10439.52</v>
      </c>
      <c r="AF3">
        <v>1</v>
      </c>
      <c r="AG3">
        <v>94709.8</v>
      </c>
      <c r="AH3">
        <v>0.99</v>
      </c>
      <c r="AI3">
        <v>60933.328000000001</v>
      </c>
      <c r="AJ3">
        <v>0.96</v>
      </c>
      <c r="AK3">
        <v>98047.92</v>
      </c>
      <c r="AL3">
        <v>1</v>
      </c>
      <c r="AM3">
        <v>21814.452000000001</v>
      </c>
      <c r="AN3">
        <v>0.98</v>
      </c>
      <c r="AO3">
        <v>14967.44</v>
      </c>
      <c r="AP3">
        <v>1</v>
      </c>
      <c r="AQ3">
        <v>3481.7939999999999</v>
      </c>
      <c r="AR3">
        <v>0.96</v>
      </c>
      <c r="AS3">
        <v>27845.59</v>
      </c>
      <c r="AT3">
        <v>0.97</v>
      </c>
      <c r="AU3">
        <v>38208.57</v>
      </c>
      <c r="AV3">
        <v>1</v>
      </c>
      <c r="AW3">
        <v>127971.067</v>
      </c>
      <c r="AX3">
        <v>1</v>
      </c>
      <c r="AY3">
        <v>42710.063999999998</v>
      </c>
      <c r="AZ3">
        <v>1</v>
      </c>
      <c r="BA3">
        <v>97322.72</v>
      </c>
      <c r="BB3">
        <v>1</v>
      </c>
      <c r="BC3">
        <v>132295.60800000001</v>
      </c>
      <c r="BD3">
        <v>0.95</v>
      </c>
      <c r="BE3">
        <v>94068.384000000005</v>
      </c>
      <c r="BF3">
        <v>0.97</v>
      </c>
      <c r="BG3">
        <v>110835.864</v>
      </c>
      <c r="BH3">
        <v>0.99</v>
      </c>
      <c r="BI3" s="1308">
        <v>22857.39</v>
      </c>
      <c r="BJ3">
        <v>1</v>
      </c>
      <c r="BK3">
        <v>46680.72</v>
      </c>
      <c r="BL3">
        <v>1</v>
      </c>
      <c r="BM3">
        <v>19710.936000000002</v>
      </c>
      <c r="BN3">
        <v>1</v>
      </c>
      <c r="BO3">
        <v>35153.951999999997</v>
      </c>
      <c r="BP3">
        <v>1</v>
      </c>
      <c r="BQ3">
        <v>16661.09</v>
      </c>
      <c r="BR3">
        <v>1</v>
      </c>
      <c r="BS3">
        <v>18554.490000000002</v>
      </c>
      <c r="BT3">
        <v>1</v>
      </c>
      <c r="BU3">
        <v>14094.49</v>
      </c>
      <c r="BV3">
        <v>1</v>
      </c>
      <c r="BW3">
        <v>47815.56</v>
      </c>
      <c r="BX3">
        <v>1</v>
      </c>
      <c r="BY3">
        <v>25267.87</v>
      </c>
      <c r="BZ3">
        <v>0.97</v>
      </c>
      <c r="CA3">
        <v>12601.91</v>
      </c>
      <c r="CB3">
        <v>1</v>
      </c>
      <c r="CC3">
        <v>181817.20800000001</v>
      </c>
      <c r="CD3">
        <v>0.93</v>
      </c>
      <c r="CE3" s="441">
        <f t="shared" si="0"/>
        <v>702678.3</v>
      </c>
      <c r="CF3">
        <f>IF(ISNUMBER(AI3),(AI3+AU3+'Janitza data '!D$310+'Janitza data '!D$11+'Janitza data '!D$574+'Janitza data '!D$258)," ")</f>
        <v>229916.89799999999</v>
      </c>
      <c r="CG3">
        <f t="shared" ref="CG3:CG53" si="3">IF(ISNUMBER(K3),(K3+O3+S3+AQ3+AS3+BI3+BM3+BO3+BQ3+BS3+BU3+BW3+CA3)," ")</f>
        <v>274032.06599999999</v>
      </c>
      <c r="CH3">
        <f>IF(ISNUMBER(Q3),(Q3+W3+AM3+AO3+AS3+BA3+BE3+BG3+BY3+'Janitza data '!D$400+'Janitza data '!D$401)," ")</f>
        <v>493387.592</v>
      </c>
      <c r="CI3">
        <f t="shared" si="1"/>
        <v>731577.46200000006</v>
      </c>
      <c r="CJ3">
        <f>IF(ISNUMBER(AY3),(AY3+'Janitza data '!D$254+'Janitza data '!D$270+'Janitza data '!D$269+'Janitza data '!D$403)," ")</f>
        <v>115342.064</v>
      </c>
      <c r="CK3">
        <f>IF(ISNUMBER('Janitza data '!D$280),('Janitza data '!D$280+'Janitza data '!D$281+'Janitza data '!D$299)," ")</f>
        <v>132638</v>
      </c>
      <c r="CL3" s="441">
        <f t="shared" si="2"/>
        <v>2702224.6270000017</v>
      </c>
      <c r="CM3" s="417">
        <f>IF(ISNUMBER(AK3),(AK3+'Janitza data '!D$49-'Janitza data '!D$50)," ")</f>
        <v>215193.91999999998</v>
      </c>
    </row>
    <row r="4" spans="1:91">
      <c r="A4" s="292">
        <v>44621</v>
      </c>
      <c r="C4">
        <v>305807.13199999998</v>
      </c>
      <c r="D4">
        <v>0.99</v>
      </c>
      <c r="E4">
        <v>0</v>
      </c>
      <c r="G4">
        <v>519503.25900000002</v>
      </c>
      <c r="H4">
        <v>1</v>
      </c>
      <c r="I4">
        <v>5474.11</v>
      </c>
      <c r="J4">
        <v>0.97</v>
      </c>
      <c r="K4">
        <v>23767.871999999999</v>
      </c>
      <c r="L4">
        <v>0.99</v>
      </c>
      <c r="M4">
        <v>374717.28</v>
      </c>
      <c r="N4">
        <v>0.96</v>
      </c>
      <c r="O4">
        <v>25299.55</v>
      </c>
      <c r="P4">
        <v>1</v>
      </c>
      <c r="Q4">
        <v>13596.736000000001</v>
      </c>
      <c r="R4">
        <v>1</v>
      </c>
      <c r="S4">
        <v>43444.23</v>
      </c>
      <c r="T4">
        <v>1</v>
      </c>
      <c r="W4">
        <v>71100.032000000007</v>
      </c>
      <c r="X4">
        <v>0.95</v>
      </c>
      <c r="Y4">
        <v>177405.44</v>
      </c>
      <c r="Z4">
        <v>1</v>
      </c>
      <c r="AA4">
        <v>14334.04</v>
      </c>
      <c r="AB4">
        <v>0.97</v>
      </c>
      <c r="AC4">
        <v>154091.88</v>
      </c>
      <c r="AD4">
        <v>0.99</v>
      </c>
      <c r="AE4">
        <v>12529.18</v>
      </c>
      <c r="AF4">
        <v>1</v>
      </c>
      <c r="AG4">
        <v>105043.72</v>
      </c>
      <c r="AH4">
        <v>0.99</v>
      </c>
      <c r="AI4">
        <v>68675.728000000003</v>
      </c>
      <c r="AJ4">
        <v>0.95</v>
      </c>
      <c r="AK4">
        <v>110226.2</v>
      </c>
      <c r="AL4">
        <v>1</v>
      </c>
      <c r="AM4">
        <v>28049.387999999999</v>
      </c>
      <c r="AN4">
        <v>0.97</v>
      </c>
      <c r="AO4">
        <v>21471.824000000001</v>
      </c>
      <c r="AP4">
        <v>1</v>
      </c>
      <c r="AQ4">
        <v>4247.0039999999999</v>
      </c>
      <c r="AR4">
        <v>0.97</v>
      </c>
      <c r="AS4">
        <v>31621</v>
      </c>
      <c r="AT4">
        <v>0.98</v>
      </c>
      <c r="AU4">
        <v>45788.83</v>
      </c>
      <c r="AV4">
        <v>1</v>
      </c>
      <c r="AW4">
        <v>141535.57399999999</v>
      </c>
      <c r="AX4">
        <v>1</v>
      </c>
      <c r="AY4">
        <v>52238.080000000002</v>
      </c>
      <c r="AZ4">
        <v>1</v>
      </c>
      <c r="BA4">
        <v>113705.088</v>
      </c>
      <c r="BB4">
        <v>1</v>
      </c>
      <c r="BC4">
        <v>149336.68799999999</v>
      </c>
      <c r="BD4">
        <v>0.95</v>
      </c>
      <c r="BE4">
        <v>108025.08</v>
      </c>
      <c r="BF4">
        <v>0.98</v>
      </c>
      <c r="BG4">
        <v>124466.61599999999</v>
      </c>
      <c r="BH4">
        <v>0.99</v>
      </c>
      <c r="BI4" s="1308">
        <v>34832.603999999999</v>
      </c>
      <c r="BJ4">
        <v>1</v>
      </c>
      <c r="BK4">
        <v>72225.952000000005</v>
      </c>
      <c r="BL4">
        <v>1</v>
      </c>
      <c r="BM4">
        <v>32905.523999999998</v>
      </c>
      <c r="BN4">
        <v>1</v>
      </c>
      <c r="BO4">
        <v>50402.48</v>
      </c>
      <c r="BP4">
        <v>1</v>
      </c>
      <c r="BQ4">
        <v>32275.52</v>
      </c>
      <c r="BR4">
        <v>1</v>
      </c>
      <c r="BS4">
        <v>32457.24</v>
      </c>
      <c r="BT4">
        <v>1</v>
      </c>
      <c r="BU4">
        <v>28857.55</v>
      </c>
      <c r="BV4">
        <v>1</v>
      </c>
      <c r="BW4">
        <v>73572.149999999994</v>
      </c>
      <c r="BX4">
        <v>1</v>
      </c>
      <c r="BY4">
        <v>28900.57</v>
      </c>
      <c r="BZ4">
        <v>0.97</v>
      </c>
      <c r="CA4">
        <v>22626.68</v>
      </c>
      <c r="CB4">
        <v>1</v>
      </c>
      <c r="CC4">
        <v>196294.96799999999</v>
      </c>
      <c r="CD4">
        <v>0.94</v>
      </c>
      <c r="CE4" s="441">
        <f t="shared" si="0"/>
        <v>825310.39100000006</v>
      </c>
      <c r="CF4">
        <f>IF(ISNUMBER(AI4),(AI4+AU4+'Janitza data '!E$310+'Janitza data '!E$11+'Janitza data '!E$574+'Janitza data '!E$258)," ")</f>
        <v>270178.38800000009</v>
      </c>
      <c r="CG4">
        <f t="shared" si="3"/>
        <v>436309.40400000004</v>
      </c>
      <c r="CH4">
        <f>IF(ISNUMBER(Q4),(Q4+W4+AM4+AO4+AS4+BA4+BE4+BG4+BY4+'Janitza data '!E$400+'Janitza data '!E$401)," ")</f>
        <v>574577.33400000003</v>
      </c>
      <c r="CI4">
        <f t="shared" si="1"/>
        <v>831066.47000000009</v>
      </c>
      <c r="CJ4">
        <f>IF(ISNUMBER(AY4),(AY4+'Janitza data '!E$254+'Janitza data '!E$270+'Janitza data '!E$269+'Janitza data '!E$403)," ")</f>
        <v>148488.08000000002</v>
      </c>
      <c r="CK4">
        <f>IF(ISNUMBER('Janitza data '!E$280),('Janitza data '!E$280+'Janitza data '!E$281+'Janitza data '!E$299)," ")</f>
        <v>156541</v>
      </c>
      <c r="CL4" s="441">
        <f t="shared" si="2"/>
        <v>3254557.8309999998</v>
      </c>
      <c r="CM4" s="417">
        <f>IF(ISNUMBER(AK4),(AK4+'Janitza data '!E$49-'Janitza data '!E$50)," ")</f>
        <v>245081.2</v>
      </c>
    </row>
    <row r="5" spans="1:91">
      <c r="A5" s="292">
        <v>44652</v>
      </c>
      <c r="C5">
        <v>301477.28100000002</v>
      </c>
      <c r="D5">
        <v>1</v>
      </c>
      <c r="E5">
        <v>0</v>
      </c>
      <c r="G5">
        <v>487604.94</v>
      </c>
      <c r="H5">
        <v>1</v>
      </c>
      <c r="I5">
        <v>6012.11</v>
      </c>
      <c r="J5">
        <v>0.97</v>
      </c>
      <c r="K5">
        <v>20786.655999999999</v>
      </c>
      <c r="L5">
        <v>0.99</v>
      </c>
      <c r="M5">
        <v>363227.76</v>
      </c>
      <c r="N5">
        <v>0.96</v>
      </c>
      <c r="O5">
        <v>22042.35</v>
      </c>
      <c r="P5">
        <v>1</v>
      </c>
      <c r="Q5">
        <v>13572.791999999999</v>
      </c>
      <c r="R5">
        <v>1</v>
      </c>
      <c r="S5">
        <v>38529.47</v>
      </c>
      <c r="T5">
        <v>1</v>
      </c>
      <c r="W5">
        <v>65889.856</v>
      </c>
      <c r="X5">
        <v>0.97</v>
      </c>
      <c r="Y5">
        <v>155201.05600000001</v>
      </c>
      <c r="Z5">
        <v>1</v>
      </c>
      <c r="AA5">
        <v>13544.56</v>
      </c>
      <c r="AB5">
        <v>0.97</v>
      </c>
      <c r="AC5">
        <v>147724.152</v>
      </c>
      <c r="AD5">
        <v>0.99</v>
      </c>
      <c r="AE5">
        <v>17841.91</v>
      </c>
      <c r="AF5">
        <v>1</v>
      </c>
      <c r="AG5">
        <v>91983.039999999994</v>
      </c>
      <c r="AH5">
        <v>1</v>
      </c>
      <c r="AI5">
        <v>63277.951999999997</v>
      </c>
      <c r="AJ5">
        <v>0.98</v>
      </c>
      <c r="AK5">
        <v>106434.71</v>
      </c>
      <c r="AL5">
        <v>1</v>
      </c>
      <c r="AM5">
        <v>36248.660000000003</v>
      </c>
      <c r="AN5">
        <v>0.98</v>
      </c>
      <c r="AO5">
        <v>26929.583999999999</v>
      </c>
      <c r="AP5">
        <v>0.99</v>
      </c>
      <c r="AQ5">
        <v>6150.8639999999996</v>
      </c>
      <c r="AR5">
        <v>0.99</v>
      </c>
      <c r="AS5">
        <v>29930.47</v>
      </c>
      <c r="AT5">
        <v>0.98</v>
      </c>
      <c r="AU5">
        <v>44075.01</v>
      </c>
      <c r="AV5">
        <v>1</v>
      </c>
      <c r="AW5">
        <v>124295.826</v>
      </c>
      <c r="AX5">
        <v>1</v>
      </c>
      <c r="AY5">
        <v>50871.6</v>
      </c>
      <c r="AZ5">
        <v>1</v>
      </c>
      <c r="BA5">
        <v>105821.12</v>
      </c>
      <c r="BB5">
        <v>1</v>
      </c>
      <c r="BC5">
        <v>142409.32800000001</v>
      </c>
      <c r="BD5">
        <v>0.96</v>
      </c>
      <c r="BE5">
        <v>96618.6</v>
      </c>
      <c r="BF5">
        <v>0.98</v>
      </c>
      <c r="BG5">
        <v>120885.36</v>
      </c>
      <c r="BH5">
        <v>0.99</v>
      </c>
      <c r="BI5" s="1308">
        <v>33771.756000000001</v>
      </c>
      <c r="BJ5">
        <v>1</v>
      </c>
      <c r="BK5">
        <v>66279.936000000002</v>
      </c>
      <c r="BL5">
        <v>1</v>
      </c>
      <c r="BM5">
        <v>34081.019999999997</v>
      </c>
      <c r="BN5">
        <v>1</v>
      </c>
      <c r="BO5">
        <v>45199.631999999998</v>
      </c>
      <c r="BP5">
        <v>1</v>
      </c>
      <c r="BQ5">
        <v>30739.11</v>
      </c>
      <c r="BR5">
        <v>1</v>
      </c>
      <c r="BS5">
        <v>32580.19</v>
      </c>
      <c r="BT5">
        <v>1</v>
      </c>
      <c r="BU5">
        <v>33565.97</v>
      </c>
      <c r="BV5">
        <v>1</v>
      </c>
      <c r="BW5">
        <v>93146.31</v>
      </c>
      <c r="BX5">
        <v>1</v>
      </c>
      <c r="BY5">
        <v>30259.42</v>
      </c>
      <c r="BZ5">
        <v>0.98</v>
      </c>
      <c r="CA5">
        <v>25989.81</v>
      </c>
      <c r="CB5">
        <v>1</v>
      </c>
      <c r="CC5">
        <v>185577.696</v>
      </c>
      <c r="CD5">
        <v>0.94</v>
      </c>
      <c r="CE5" s="441">
        <f t="shared" si="0"/>
        <v>789082.22100000002</v>
      </c>
      <c r="CF5">
        <f>IF(ISNUMBER(AI5),(AI5+AU5+'Janitza data '!F$310+'Janitza data '!F$11+'Janitza data '!F$574+'Janitza data '!F$258)," ")</f>
        <v>263960.13199999993</v>
      </c>
      <c r="CG5">
        <f t="shared" si="3"/>
        <v>446513.60800000001</v>
      </c>
      <c r="CH5">
        <f>IF(ISNUMBER(Q5),(Q5+W5+AM5+AO5+AS5+BA5+BE5+BG5+BY5+'Janitza data '!F$400+'Janitza data '!F$401)," ")</f>
        <v>565962.86199999996</v>
      </c>
      <c r="CI5">
        <f t="shared" si="1"/>
        <v>777692.67800000007</v>
      </c>
      <c r="CJ5">
        <f>IF(ISNUMBER(AY5),(AY5+'Janitza data '!F$254+'Janitza data '!F$270+'Janitza data '!F$269+'Janitza data '!F$403)," ")</f>
        <v>148583.6</v>
      </c>
      <c r="CK5">
        <f>IF(ISNUMBER('Janitza data '!F$280),('Janitza data '!F$280+'Janitza data '!F$281+'Janitza data '!F$299)," ")</f>
        <v>131581</v>
      </c>
      <c r="CL5" s="441">
        <f t="shared" si="2"/>
        <v>3125000.171000001</v>
      </c>
      <c r="CM5" s="417">
        <f>IF(ISNUMBER(AK5),(AK5+'Janitza data '!F$49-'Janitza data '!F$50)," ")</f>
        <v>235901.71000000002</v>
      </c>
    </row>
    <row r="6" spans="1:91">
      <c r="A6" s="292">
        <v>44682</v>
      </c>
      <c r="C6">
        <v>368266.87</v>
      </c>
      <c r="D6">
        <v>1</v>
      </c>
      <c r="E6">
        <v>0</v>
      </c>
      <c r="G6">
        <v>606794.98100000003</v>
      </c>
      <c r="H6">
        <v>1</v>
      </c>
      <c r="I6">
        <v>3417.19</v>
      </c>
      <c r="J6">
        <v>0.96</v>
      </c>
      <c r="K6">
        <v>24610.720000000001</v>
      </c>
      <c r="L6">
        <v>0.99</v>
      </c>
      <c r="M6">
        <v>409979.49</v>
      </c>
      <c r="N6">
        <v>0.97</v>
      </c>
      <c r="O6">
        <v>26364.83</v>
      </c>
      <c r="P6">
        <v>1</v>
      </c>
      <c r="Q6">
        <v>17680.423999999999</v>
      </c>
      <c r="R6">
        <v>1</v>
      </c>
      <c r="S6">
        <v>48061.39</v>
      </c>
      <c r="T6">
        <v>0.99</v>
      </c>
      <c r="W6">
        <v>71397.84</v>
      </c>
      <c r="X6">
        <v>0.97</v>
      </c>
      <c r="Y6">
        <v>167116.67199999999</v>
      </c>
      <c r="Z6">
        <v>1</v>
      </c>
      <c r="AA6">
        <v>17434.52</v>
      </c>
      <c r="AB6">
        <v>0.98</v>
      </c>
      <c r="AC6">
        <v>160646.51999999999</v>
      </c>
      <c r="AD6">
        <v>0.99</v>
      </c>
      <c r="AE6">
        <v>23271.25</v>
      </c>
      <c r="AF6">
        <v>1</v>
      </c>
      <c r="AG6">
        <v>94787.36</v>
      </c>
      <c r="AH6">
        <v>1</v>
      </c>
      <c r="AI6">
        <v>67776.767999999996</v>
      </c>
      <c r="AJ6">
        <v>0.98</v>
      </c>
      <c r="AK6">
        <v>109583.64</v>
      </c>
      <c r="AL6">
        <v>1</v>
      </c>
      <c r="AM6">
        <v>44558.124000000003</v>
      </c>
      <c r="AN6">
        <v>0.98</v>
      </c>
      <c r="AO6">
        <v>38658.480000000003</v>
      </c>
      <c r="AP6">
        <v>0.99</v>
      </c>
      <c r="AQ6">
        <v>6653.3639999999996</v>
      </c>
      <c r="AR6">
        <v>0.99</v>
      </c>
      <c r="AS6">
        <v>34572.550000000003</v>
      </c>
      <c r="AT6">
        <v>0.98</v>
      </c>
      <c r="AU6">
        <v>46953.25</v>
      </c>
      <c r="AV6">
        <v>1</v>
      </c>
      <c r="AW6">
        <v>137722.26300000001</v>
      </c>
      <c r="AX6">
        <v>1</v>
      </c>
      <c r="AY6">
        <v>66122.944000000003</v>
      </c>
      <c r="AZ6">
        <v>1</v>
      </c>
      <c r="BA6">
        <v>115579.872</v>
      </c>
      <c r="BB6">
        <v>1</v>
      </c>
      <c r="BC6">
        <v>152989.77600000001</v>
      </c>
      <c r="BD6">
        <v>0.96</v>
      </c>
      <c r="BE6">
        <v>101740.08</v>
      </c>
      <c r="BF6">
        <v>0.98</v>
      </c>
      <c r="BG6">
        <v>133904.49600000001</v>
      </c>
      <c r="BH6">
        <v>1</v>
      </c>
      <c r="BI6" s="1308">
        <v>38951.093999999997</v>
      </c>
      <c r="BJ6">
        <v>1</v>
      </c>
      <c r="BK6">
        <v>81338.080000000002</v>
      </c>
      <c r="BL6">
        <v>1</v>
      </c>
      <c r="BM6">
        <v>53866.553999999996</v>
      </c>
      <c r="BN6">
        <v>1</v>
      </c>
      <c r="BO6">
        <v>54997.152000000002</v>
      </c>
      <c r="BP6">
        <v>1</v>
      </c>
      <c r="BQ6">
        <v>50320.7</v>
      </c>
      <c r="BR6">
        <v>1</v>
      </c>
      <c r="BS6">
        <v>41436.959999999999</v>
      </c>
      <c r="BT6">
        <v>1</v>
      </c>
      <c r="BU6">
        <v>50143.51</v>
      </c>
      <c r="BV6">
        <v>1</v>
      </c>
      <c r="BW6">
        <v>142035.42000000001</v>
      </c>
      <c r="BX6">
        <v>1</v>
      </c>
      <c r="BY6">
        <v>34664.49</v>
      </c>
      <c r="BZ6">
        <v>0.98</v>
      </c>
      <c r="CA6">
        <v>38855.75</v>
      </c>
      <c r="CB6">
        <v>1</v>
      </c>
      <c r="CC6">
        <v>202580.47200000001</v>
      </c>
      <c r="CD6">
        <v>0.94</v>
      </c>
      <c r="CE6" s="441">
        <f t="shared" si="0"/>
        <v>975061.85100000002</v>
      </c>
      <c r="CF6">
        <f>IF(ISNUMBER(AI6),(AI6+AU6+'Janitza data '!G$310+'Janitza data '!G$11+'Janitza data '!G$574+'Janitza data '!G$258)," ")</f>
        <v>272543.01799999998</v>
      </c>
      <c r="CG6">
        <f t="shared" si="3"/>
        <v>610869.99400000006</v>
      </c>
      <c r="CH6">
        <f>IF(ISNUMBER(Q6),(Q6+W6+AM6+AO6+AS6+BA6+BE6+BG6+BY6+'Janitza data '!G$400+'Janitza data '!G$401)," ")</f>
        <v>648713.35600000003</v>
      </c>
      <c r="CI6">
        <f t="shared" si="1"/>
        <v>853381.75199999998</v>
      </c>
      <c r="CJ6">
        <f>IF(ISNUMBER(AY6),(AY6+'Janitza data '!G$254+'Janitza data '!G$270+'Janitza data '!G$269+'Janitza data '!G$403)," ")</f>
        <v>193396.94400000002</v>
      </c>
      <c r="CK6">
        <f>IF(ISNUMBER('Janitza data '!G$280),('Janitza data '!G$280+'Janitza data '!G$281+'Janitza data '!G$299)," ")</f>
        <v>166315</v>
      </c>
      <c r="CL6" s="441">
        <f t="shared" si="2"/>
        <v>3683255.3739999998</v>
      </c>
      <c r="CM6" s="417">
        <f>IF(ISNUMBER(AK6),(AK6+'Janitza data '!G$49-'Janitza data '!G$50)," ")</f>
        <v>246812.64</v>
      </c>
    </row>
    <row r="7" spans="1:91">
      <c r="A7" s="292">
        <v>44713</v>
      </c>
      <c r="C7">
        <v>349975.30099999998</v>
      </c>
      <c r="D7">
        <v>1</v>
      </c>
      <c r="E7">
        <v>0</v>
      </c>
      <c r="G7">
        <v>705035.50600000005</v>
      </c>
      <c r="H7">
        <v>1</v>
      </c>
      <c r="I7">
        <v>3067.72</v>
      </c>
      <c r="J7">
        <v>0.96</v>
      </c>
      <c r="K7">
        <v>22214.272000000001</v>
      </c>
      <c r="L7">
        <v>0.99</v>
      </c>
      <c r="M7">
        <v>377286.63</v>
      </c>
      <c r="N7">
        <v>0.97</v>
      </c>
      <c r="O7">
        <v>23444.1</v>
      </c>
      <c r="P7">
        <v>1</v>
      </c>
      <c r="Q7">
        <v>15654.924000000001</v>
      </c>
      <c r="R7">
        <v>1</v>
      </c>
      <c r="S7">
        <v>42054.53</v>
      </c>
      <c r="T7">
        <v>0.99</v>
      </c>
      <c r="W7">
        <v>72474.032000000007</v>
      </c>
      <c r="X7">
        <v>0.98</v>
      </c>
      <c r="Y7">
        <v>145395.872</v>
      </c>
      <c r="Z7">
        <v>1</v>
      </c>
      <c r="AA7">
        <v>15497.388000000001</v>
      </c>
      <c r="AB7">
        <v>0.98</v>
      </c>
      <c r="AC7">
        <v>161043</v>
      </c>
      <c r="AD7">
        <v>0.99</v>
      </c>
      <c r="AE7">
        <v>29529.54</v>
      </c>
      <c r="AF7">
        <v>1</v>
      </c>
      <c r="AG7">
        <v>94090.04</v>
      </c>
      <c r="AH7">
        <v>1</v>
      </c>
      <c r="AI7">
        <v>62069.264000000003</v>
      </c>
      <c r="AJ7">
        <v>0.99</v>
      </c>
      <c r="AK7">
        <v>105134.11</v>
      </c>
      <c r="AL7">
        <v>1</v>
      </c>
      <c r="AM7">
        <v>49167.004000000001</v>
      </c>
      <c r="AN7">
        <v>0.98</v>
      </c>
      <c r="AO7">
        <v>52347.807999999997</v>
      </c>
      <c r="AP7">
        <v>1</v>
      </c>
      <c r="AQ7">
        <v>24373.986000000001</v>
      </c>
      <c r="AR7">
        <v>1</v>
      </c>
      <c r="AS7">
        <v>32869.58</v>
      </c>
      <c r="AT7">
        <v>0.99</v>
      </c>
      <c r="AU7">
        <v>42061.74</v>
      </c>
      <c r="AV7">
        <v>1</v>
      </c>
      <c r="AW7">
        <v>123264.818</v>
      </c>
      <c r="AX7">
        <v>1</v>
      </c>
      <c r="AY7">
        <v>68435.615999999995</v>
      </c>
      <c r="AZ7">
        <v>1</v>
      </c>
      <c r="BA7">
        <v>108671.36</v>
      </c>
      <c r="BB7">
        <v>1</v>
      </c>
      <c r="BC7">
        <v>151741.94399999999</v>
      </c>
      <c r="BD7">
        <v>0.97</v>
      </c>
      <c r="BE7">
        <v>96235.368000000002</v>
      </c>
      <c r="BF7">
        <v>0.98</v>
      </c>
      <c r="BG7">
        <v>145255.60800000001</v>
      </c>
      <c r="BH7">
        <v>1</v>
      </c>
      <c r="BI7" s="1308">
        <v>35980.127999999997</v>
      </c>
      <c r="BJ7">
        <v>1</v>
      </c>
      <c r="BK7">
        <v>76659.392000000007</v>
      </c>
      <c r="BL7">
        <v>1</v>
      </c>
      <c r="BM7">
        <v>58802.862000000001</v>
      </c>
      <c r="BN7">
        <v>1</v>
      </c>
      <c r="BO7">
        <v>49162.8</v>
      </c>
      <c r="BP7">
        <v>1</v>
      </c>
      <c r="BQ7">
        <v>52206.45</v>
      </c>
      <c r="BR7">
        <v>1</v>
      </c>
      <c r="BS7">
        <v>43434.95</v>
      </c>
      <c r="BT7">
        <v>1</v>
      </c>
      <c r="BU7">
        <v>58936.82</v>
      </c>
      <c r="BV7">
        <v>1</v>
      </c>
      <c r="BW7">
        <v>154049.13</v>
      </c>
      <c r="BX7">
        <v>1</v>
      </c>
      <c r="BY7">
        <v>37133.83</v>
      </c>
      <c r="BZ7">
        <v>0.99</v>
      </c>
      <c r="CA7">
        <v>43567.59</v>
      </c>
      <c r="CB7">
        <v>1</v>
      </c>
      <c r="CC7">
        <v>195604.8</v>
      </c>
      <c r="CD7">
        <v>0.94</v>
      </c>
      <c r="CE7" s="441">
        <f t="shared" si="0"/>
        <v>1055010.807</v>
      </c>
      <c r="CF7">
        <f>IF(ISNUMBER(AI7),(AI7+AU7+'Janitza data '!H$310+'Janitza data '!H$11+'Janitza data '!H$574+'Janitza data '!H$258)," ")</f>
        <v>246018.00400000002</v>
      </c>
      <c r="CG7">
        <f t="shared" si="3"/>
        <v>641097.19799999997</v>
      </c>
      <c r="CH7">
        <f>IF(ISNUMBER(Q7),(Q7+W7+AM7+AO7+AS7+BA7+BE7+BG7+BY7+'Janitza data '!H$400+'Janitza data '!H$401)," ")</f>
        <v>676427.51399999997</v>
      </c>
      <c r="CI7">
        <f t="shared" si="1"/>
        <v>796380.65</v>
      </c>
      <c r="CJ7">
        <f>IF(ISNUMBER(AY7),(AY7+'Janitza data '!H$254+'Janitza data '!H$270+'Janitza data '!H$269+'Janitza data '!H$403)," ")</f>
        <v>196916.61599999998</v>
      </c>
      <c r="CK7">
        <f>IF(ISNUMBER('Janitza data '!H$280),('Janitza data '!H$280+'Janitza data '!H$281+'Janitza data '!H$299)," ")</f>
        <v>215795</v>
      </c>
      <c r="CL7" s="441">
        <f t="shared" si="2"/>
        <v>3728325.0130000007</v>
      </c>
      <c r="CM7" s="417">
        <f>IF(ISNUMBER(AK7),(AK7+'Janitza data '!H$49-'Janitza data '!H$50)," ")</f>
        <v>239084.11</v>
      </c>
    </row>
    <row r="8" spans="1:91">
      <c r="A8" s="292">
        <v>44743</v>
      </c>
      <c r="C8">
        <v>293299.36900000001</v>
      </c>
      <c r="D8">
        <v>1</v>
      </c>
      <c r="E8">
        <v>0</v>
      </c>
      <c r="G8">
        <v>757101.76500000001</v>
      </c>
      <c r="H8">
        <v>1</v>
      </c>
      <c r="I8">
        <v>3370.79</v>
      </c>
      <c r="J8">
        <v>0.96</v>
      </c>
      <c r="K8">
        <v>23154.928</v>
      </c>
      <c r="L8">
        <v>0.99</v>
      </c>
      <c r="M8">
        <v>410549.73</v>
      </c>
      <c r="N8">
        <v>0.97</v>
      </c>
      <c r="O8">
        <v>24267</v>
      </c>
      <c r="P8">
        <v>1</v>
      </c>
      <c r="Q8">
        <v>16693.732</v>
      </c>
      <c r="R8">
        <v>1</v>
      </c>
      <c r="S8">
        <v>44898.77</v>
      </c>
      <c r="T8">
        <v>0.99</v>
      </c>
      <c r="W8">
        <v>78764.88</v>
      </c>
      <c r="X8">
        <v>0.98</v>
      </c>
      <c r="Y8">
        <v>169241.856</v>
      </c>
      <c r="Z8">
        <v>1</v>
      </c>
      <c r="AA8">
        <v>15442.263999999999</v>
      </c>
      <c r="AB8">
        <v>0.98</v>
      </c>
      <c r="AC8">
        <v>165533.424</v>
      </c>
      <c r="AD8">
        <v>1</v>
      </c>
      <c r="AE8">
        <v>32356.33</v>
      </c>
      <c r="AF8">
        <v>1</v>
      </c>
      <c r="AG8">
        <v>95697.64</v>
      </c>
      <c r="AH8">
        <v>1</v>
      </c>
      <c r="AI8">
        <v>70941.119999999995</v>
      </c>
      <c r="AJ8">
        <v>0.99</v>
      </c>
      <c r="AK8">
        <v>109309.85</v>
      </c>
      <c r="AL8">
        <v>1</v>
      </c>
      <c r="AM8">
        <v>53740.892</v>
      </c>
      <c r="AN8">
        <v>0.99</v>
      </c>
      <c r="AO8">
        <v>56881.52</v>
      </c>
      <c r="AP8">
        <v>1</v>
      </c>
      <c r="AQ8">
        <v>20747.556</v>
      </c>
      <c r="AR8">
        <v>1</v>
      </c>
      <c r="AS8">
        <v>34543.1</v>
      </c>
      <c r="AT8">
        <v>1</v>
      </c>
      <c r="AU8">
        <v>33123.86</v>
      </c>
      <c r="AV8">
        <v>1</v>
      </c>
      <c r="AW8">
        <v>114116.935</v>
      </c>
      <c r="AX8">
        <v>1</v>
      </c>
      <c r="AY8">
        <v>78874.864000000001</v>
      </c>
      <c r="AZ8">
        <v>1</v>
      </c>
      <c r="BA8">
        <v>113879.36</v>
      </c>
      <c r="BB8">
        <v>1</v>
      </c>
      <c r="BC8">
        <v>161403.52799999999</v>
      </c>
      <c r="BD8">
        <v>0.97</v>
      </c>
      <c r="BE8">
        <v>100340.4</v>
      </c>
      <c r="BF8">
        <v>0.98</v>
      </c>
      <c r="BG8">
        <v>147425.95199999999</v>
      </c>
      <c r="BH8">
        <v>1</v>
      </c>
      <c r="BI8" s="1308">
        <v>38702.508000000002</v>
      </c>
      <c r="BJ8">
        <v>1</v>
      </c>
      <c r="BK8">
        <v>81596.191999999995</v>
      </c>
      <c r="BL8">
        <v>1</v>
      </c>
      <c r="BM8">
        <v>66641.759999999995</v>
      </c>
      <c r="BN8">
        <v>1</v>
      </c>
      <c r="BO8">
        <v>51920.735999999997</v>
      </c>
      <c r="BP8">
        <v>1</v>
      </c>
      <c r="BQ8">
        <v>60932.97</v>
      </c>
      <c r="BR8">
        <v>1</v>
      </c>
      <c r="BS8">
        <v>46195.99</v>
      </c>
      <c r="BT8">
        <v>1</v>
      </c>
      <c r="BU8">
        <v>71220.210000000006</v>
      </c>
      <c r="BV8">
        <v>1</v>
      </c>
      <c r="BW8">
        <v>173416.53</v>
      </c>
      <c r="BX8">
        <v>1</v>
      </c>
      <c r="BY8">
        <v>35910.400000000001</v>
      </c>
      <c r="BZ8">
        <v>0.99</v>
      </c>
      <c r="CA8">
        <v>49330.15</v>
      </c>
      <c r="CB8">
        <v>1</v>
      </c>
      <c r="CC8">
        <v>202355.976</v>
      </c>
      <c r="CD8">
        <v>0.94</v>
      </c>
      <c r="CE8" s="441">
        <f t="shared" si="0"/>
        <v>1050401.1340000001</v>
      </c>
      <c r="CF8">
        <f>IF(ISNUMBER(AI8),(AI8+AU8+'Janitza data '!I$310+'Janitza data '!I$11+'Janitza data '!I$574+'Janitza data '!I$258)," ")</f>
        <v>236288.97999999998</v>
      </c>
      <c r="CG8">
        <f t="shared" si="3"/>
        <v>705972.20799999998</v>
      </c>
      <c r="CH8">
        <f>IF(ISNUMBER(Q8),(Q8+W8+AM8+AO8+AS8+BA8+BE8+BG8+BY8+'Janitza data '!I$400+'Janitza data '!I$401)," ")</f>
        <v>712051.23599999992</v>
      </c>
      <c r="CI8">
        <f t="shared" si="1"/>
        <v>859835.70399999991</v>
      </c>
      <c r="CJ8">
        <f>IF(ISNUMBER(AY8),(AY8+'Janitza data '!I$254+'Janitza data '!I$270+'Janitza data '!I$269+'Janitza data '!I$403)," ")</f>
        <v>215815.864</v>
      </c>
      <c r="CK8">
        <f>IF(ISNUMBER('Janitza data '!C$280),('Janitza data '!I$280+'Janitza data '!I$281+'Janitza data '!I$299)," ")</f>
        <v>238697</v>
      </c>
      <c r="CL8" s="441">
        <f t="shared" si="2"/>
        <v>3901568.8609999996</v>
      </c>
      <c r="CM8" s="417">
        <f>IF(ISNUMBER(AK8),(AK8+'Janitza data '!I$49-'Janitza data '!I$50)," ")</f>
        <v>245170.84999999998</v>
      </c>
    </row>
    <row r="9" spans="1:91">
      <c r="A9" s="292">
        <v>44774</v>
      </c>
      <c r="C9">
        <v>286410.614</v>
      </c>
      <c r="D9">
        <v>1</v>
      </c>
      <c r="E9">
        <v>289035.212</v>
      </c>
      <c r="F9">
        <v>1</v>
      </c>
      <c r="G9">
        <v>456433.79399999999</v>
      </c>
      <c r="H9">
        <v>1</v>
      </c>
      <c r="I9">
        <v>3372.79</v>
      </c>
      <c r="J9">
        <v>0.95</v>
      </c>
      <c r="K9">
        <v>23881.423999999999</v>
      </c>
      <c r="L9">
        <v>0.99</v>
      </c>
      <c r="M9">
        <v>403650.99</v>
      </c>
      <c r="N9">
        <v>0.97</v>
      </c>
      <c r="O9">
        <v>26190.2</v>
      </c>
      <c r="P9">
        <v>1</v>
      </c>
      <c r="Q9">
        <v>17542.416000000001</v>
      </c>
      <c r="R9">
        <v>1</v>
      </c>
      <c r="S9">
        <v>47390.559999999998</v>
      </c>
      <c r="T9">
        <v>0.99</v>
      </c>
      <c r="W9">
        <v>77214.576000000001</v>
      </c>
      <c r="X9">
        <v>0.97</v>
      </c>
      <c r="Y9">
        <v>165493.408</v>
      </c>
      <c r="Z9">
        <v>1</v>
      </c>
      <c r="AA9">
        <v>17498.795999999998</v>
      </c>
      <c r="AB9">
        <v>0.98</v>
      </c>
      <c r="AC9">
        <v>162273.50399999999</v>
      </c>
      <c r="AD9">
        <v>0.99</v>
      </c>
      <c r="AE9">
        <v>27460.13</v>
      </c>
      <c r="AF9">
        <v>1</v>
      </c>
      <c r="AG9">
        <v>97352.4</v>
      </c>
      <c r="AH9">
        <v>1</v>
      </c>
      <c r="AI9">
        <v>76628.607999999993</v>
      </c>
      <c r="AJ9">
        <v>0.98</v>
      </c>
      <c r="AK9">
        <v>107218.83</v>
      </c>
      <c r="AL9">
        <v>1</v>
      </c>
      <c r="AM9">
        <v>41248.519999999997</v>
      </c>
      <c r="AN9">
        <v>0.99</v>
      </c>
      <c r="AO9">
        <v>51578.512000000002</v>
      </c>
      <c r="AP9">
        <v>1</v>
      </c>
      <c r="AQ9">
        <v>7394.37</v>
      </c>
      <c r="AR9">
        <v>1</v>
      </c>
      <c r="AS9">
        <v>34779.42</v>
      </c>
      <c r="AT9">
        <v>1</v>
      </c>
      <c r="AU9">
        <v>43194.71</v>
      </c>
      <c r="AV9">
        <v>1</v>
      </c>
      <c r="AW9">
        <v>141536.91099999999</v>
      </c>
      <c r="AX9">
        <v>1</v>
      </c>
      <c r="AY9">
        <v>78104.032000000007</v>
      </c>
      <c r="AZ9">
        <v>1</v>
      </c>
      <c r="BA9">
        <v>119970.048</v>
      </c>
      <c r="BB9">
        <v>1</v>
      </c>
      <c r="BC9">
        <v>159507.6</v>
      </c>
      <c r="BD9">
        <v>0.96</v>
      </c>
      <c r="BE9">
        <v>104576.952</v>
      </c>
      <c r="BF9">
        <v>0.98</v>
      </c>
      <c r="BG9">
        <v>148776.21599999999</v>
      </c>
      <c r="BH9">
        <v>1</v>
      </c>
      <c r="BI9" s="1308">
        <v>39878.243999999999</v>
      </c>
      <c r="BJ9">
        <v>1</v>
      </c>
      <c r="BK9">
        <v>84484.703999999998</v>
      </c>
      <c r="BL9">
        <v>1</v>
      </c>
      <c r="BM9">
        <v>64360.313999999998</v>
      </c>
      <c r="BN9">
        <v>1</v>
      </c>
      <c r="BO9">
        <v>55323.616000000002</v>
      </c>
      <c r="BP9">
        <v>1</v>
      </c>
      <c r="BQ9">
        <v>60960.69</v>
      </c>
      <c r="BR9">
        <v>1</v>
      </c>
      <c r="BS9">
        <v>43106.73</v>
      </c>
      <c r="BT9">
        <v>1</v>
      </c>
      <c r="BU9">
        <v>63946.67</v>
      </c>
      <c r="BV9">
        <v>1</v>
      </c>
      <c r="BW9">
        <v>163297.59</v>
      </c>
      <c r="BX9">
        <v>1</v>
      </c>
      <c r="BY9">
        <v>31982.799999999999</v>
      </c>
      <c r="BZ9">
        <v>0.99</v>
      </c>
      <c r="CA9">
        <v>43252.1</v>
      </c>
      <c r="CB9">
        <v>1</v>
      </c>
      <c r="CC9">
        <v>204770.04</v>
      </c>
      <c r="CD9">
        <v>0.94</v>
      </c>
      <c r="CE9" s="441">
        <f t="shared" si="0"/>
        <v>1031879.62</v>
      </c>
      <c r="CF9">
        <f>IF(ISNUMBER(AI9),(AI9+AU9+'Janitza data '!J$310+'Janitza data '!J$11+'Janitza data '!J$574+'Janitza data '!L$258)," ")</f>
        <v>276515.83753124997</v>
      </c>
      <c r="CG9">
        <f t="shared" si="3"/>
        <v>673761.92799999996</v>
      </c>
      <c r="CH9">
        <f>IF(ISNUMBER(Q9),(Q9+W9+AM9+AO9+AS9+BA9+BE9+BG9+BY9+'Janitza data '!J$400+'Janitza data '!J$401)," ")</f>
        <v>695667.46</v>
      </c>
      <c r="CI9">
        <f t="shared" si="1"/>
        <v>849641.88799999992</v>
      </c>
      <c r="CJ9">
        <f>IF(ISNUMBER(AY9),(AY9+'Janitza data '!J$254+'Janitza data '!J$270+'Janitza data '!J$269+'Janitza data '!J$403)," ")</f>
        <v>218675.03200000001</v>
      </c>
      <c r="CK9">
        <f>IF(ISNUMBER('Janitza data '!J$280),('Janitza data '!J$280+'Janitza data '!J$281+'Janitza data '!J$299)," ")</f>
        <v>238560</v>
      </c>
      <c r="CL9" s="441">
        <f t="shared" si="2"/>
        <v>3866309.0009999992</v>
      </c>
      <c r="CM9" s="417">
        <f>IF(ISNUMBER(AK9),(AK9+'Janitza data '!J$49-'Janitza data '!J$50)," ")</f>
        <v>242289.83000000002</v>
      </c>
    </row>
    <row r="10" spans="1:91">
      <c r="A10" s="292">
        <v>44805</v>
      </c>
      <c r="C10">
        <v>269283.26500000001</v>
      </c>
      <c r="D10">
        <v>1</v>
      </c>
      <c r="E10">
        <v>0</v>
      </c>
      <c r="G10">
        <v>676192.25800000003</v>
      </c>
      <c r="H10">
        <v>1</v>
      </c>
      <c r="I10">
        <v>3271.79</v>
      </c>
      <c r="J10">
        <v>0.92</v>
      </c>
      <c r="K10">
        <v>22567.360000000001</v>
      </c>
      <c r="L10">
        <v>0.99</v>
      </c>
      <c r="M10">
        <v>384896.58</v>
      </c>
      <c r="N10">
        <v>0.97</v>
      </c>
      <c r="O10">
        <v>25914.83</v>
      </c>
      <c r="P10">
        <v>1</v>
      </c>
      <c r="Q10">
        <v>16022.691999999999</v>
      </c>
      <c r="R10">
        <v>1</v>
      </c>
      <c r="S10">
        <v>45666.48</v>
      </c>
      <c r="T10">
        <v>0.99</v>
      </c>
      <c r="W10">
        <v>76386.48</v>
      </c>
      <c r="X10">
        <v>0.97</v>
      </c>
      <c r="Y10">
        <v>158119.64799999999</v>
      </c>
      <c r="Z10">
        <v>1</v>
      </c>
      <c r="AA10">
        <v>16483.436000000002</v>
      </c>
      <c r="AB10">
        <v>0.98</v>
      </c>
      <c r="AC10">
        <v>150783.33600000001</v>
      </c>
      <c r="AD10">
        <v>0.99</v>
      </c>
      <c r="AE10">
        <v>24094.23</v>
      </c>
      <c r="AF10">
        <v>1</v>
      </c>
      <c r="AG10">
        <v>92020.88</v>
      </c>
      <c r="AH10">
        <v>1</v>
      </c>
      <c r="AI10">
        <v>68296.831999999995</v>
      </c>
      <c r="AJ10">
        <v>0.99</v>
      </c>
      <c r="AK10">
        <v>99593.07</v>
      </c>
      <c r="AL10">
        <v>1</v>
      </c>
      <c r="AM10">
        <v>40634.112000000001</v>
      </c>
      <c r="AN10">
        <v>0.98</v>
      </c>
      <c r="AO10">
        <v>49572.639999999999</v>
      </c>
      <c r="AP10">
        <v>1</v>
      </c>
      <c r="AQ10">
        <v>5112.8339999999998</v>
      </c>
      <c r="AR10">
        <v>0.99</v>
      </c>
      <c r="AS10">
        <v>35788.379999999997</v>
      </c>
      <c r="AT10">
        <v>1</v>
      </c>
      <c r="AU10">
        <v>42556.85</v>
      </c>
      <c r="AV10">
        <v>1</v>
      </c>
      <c r="AW10">
        <v>126967.056</v>
      </c>
      <c r="AX10">
        <v>1</v>
      </c>
      <c r="AY10">
        <v>72108</v>
      </c>
      <c r="AZ10">
        <v>1</v>
      </c>
      <c r="BA10">
        <v>114243.808</v>
      </c>
      <c r="BB10">
        <v>1</v>
      </c>
      <c r="BC10">
        <v>149133.09599999999</v>
      </c>
      <c r="BD10">
        <v>0.95</v>
      </c>
      <c r="BE10">
        <v>101239.416</v>
      </c>
      <c r="BF10">
        <v>0.98</v>
      </c>
      <c r="BG10">
        <v>126293.136</v>
      </c>
      <c r="BH10">
        <v>1</v>
      </c>
      <c r="BI10" s="1308">
        <v>38093.826000000001</v>
      </c>
      <c r="BJ10">
        <v>1</v>
      </c>
      <c r="BK10">
        <v>79445.008000000002</v>
      </c>
      <c r="BL10">
        <v>1</v>
      </c>
      <c r="BM10">
        <v>59771.447999999997</v>
      </c>
      <c r="BN10">
        <v>1</v>
      </c>
      <c r="BO10">
        <v>53956.608</v>
      </c>
      <c r="BP10">
        <v>1</v>
      </c>
      <c r="BQ10">
        <v>53064.480000000003</v>
      </c>
      <c r="BR10">
        <v>1</v>
      </c>
      <c r="BS10">
        <v>39734.410000000003</v>
      </c>
      <c r="BT10">
        <v>1</v>
      </c>
      <c r="BU10">
        <v>55712.46</v>
      </c>
      <c r="BV10">
        <v>1</v>
      </c>
      <c r="BW10">
        <v>148097.28</v>
      </c>
      <c r="BX10">
        <v>1</v>
      </c>
      <c r="BY10">
        <v>32947.120000000003</v>
      </c>
      <c r="BZ10">
        <v>0.99</v>
      </c>
      <c r="CA10">
        <v>37782.120000000003</v>
      </c>
      <c r="CB10">
        <v>1</v>
      </c>
      <c r="CC10">
        <v>196648.60800000001</v>
      </c>
      <c r="CD10">
        <v>0.94</v>
      </c>
      <c r="CE10" s="441">
        <f t="shared" si="0"/>
        <v>945475.52300000004</v>
      </c>
      <c r="CF10">
        <f>IF(ISNUMBER(AI10),(AI10+AU10+'Janitza data '!K$310+'Janitza data '!K$11+'Janitza data '!K$574+'Janitza data '!K$258)," ")</f>
        <v>262927.53199999966</v>
      </c>
      <c r="CG10">
        <f t="shared" si="3"/>
        <v>621262.51599999995</v>
      </c>
      <c r="CH10">
        <f>IF(ISNUMBER(Q10),(Q10+W10+AM10+AO10+AS10+BA10+BE10+BG10+BY10+'Janitza data '!K$400+'Janitza data '!K$401)," ")</f>
        <v>656326.7840000001</v>
      </c>
      <c r="CI10">
        <f t="shared" si="1"/>
        <v>805575.66999999993</v>
      </c>
      <c r="CJ10">
        <f>IF(ISNUMBER(AY10),(AY10+'Janitza data '!K$254+'Janitza data '!K$270+'Janitza data '!K$269+'Janitza data '!K$403)," ")</f>
        <v>199736</v>
      </c>
      <c r="CK10">
        <f>IF(ISNUMBER('Janitza data '!K$280),('Janitza data '!K$280+'Janitza data '!K$281+'Janitza data '!K$299)," ")</f>
        <v>214468</v>
      </c>
      <c r="CL10" s="441">
        <f t="shared" si="2"/>
        <v>3591847.2549999999</v>
      </c>
      <c r="CM10" s="417">
        <f>IF(ISNUMBER(AK10),(AK10+'Janitza data '!K$49-'Janitza data '!K$50)," ")</f>
        <v>227536.07</v>
      </c>
    </row>
    <row r="11" spans="1:91">
      <c r="A11" s="292">
        <v>44835</v>
      </c>
      <c r="C11">
        <v>267365.48499999999</v>
      </c>
      <c r="D11">
        <v>1</v>
      </c>
      <c r="E11">
        <v>0</v>
      </c>
      <c r="G11">
        <v>646846.51399999997</v>
      </c>
      <c r="H11">
        <v>1</v>
      </c>
      <c r="I11">
        <v>3349.26</v>
      </c>
      <c r="J11">
        <v>0.91</v>
      </c>
      <c r="K11">
        <v>23390.335999999999</v>
      </c>
      <c r="L11">
        <v>0.99</v>
      </c>
      <c r="M11">
        <v>385808.43</v>
      </c>
      <c r="N11">
        <v>0.96</v>
      </c>
      <c r="O11">
        <v>26218.29</v>
      </c>
      <c r="P11">
        <v>1</v>
      </c>
      <c r="Q11">
        <v>16077.444</v>
      </c>
      <c r="R11">
        <v>1</v>
      </c>
      <c r="S11">
        <v>46891.09</v>
      </c>
      <c r="T11">
        <v>0.99</v>
      </c>
      <c r="W11">
        <v>74295.808000000005</v>
      </c>
      <c r="X11">
        <v>0.97</v>
      </c>
      <c r="Y11">
        <v>161432.736</v>
      </c>
      <c r="Z11">
        <v>1</v>
      </c>
      <c r="AA11">
        <v>12848.888000000001</v>
      </c>
      <c r="AB11">
        <v>0.96</v>
      </c>
      <c r="AC11">
        <v>154154.18400000001</v>
      </c>
      <c r="AD11">
        <v>0.99</v>
      </c>
      <c r="AE11">
        <v>21227.57</v>
      </c>
      <c r="AF11">
        <v>1</v>
      </c>
      <c r="AG11">
        <v>99877.6</v>
      </c>
      <c r="AH11">
        <v>1</v>
      </c>
      <c r="AI11">
        <v>61328.800000000003</v>
      </c>
      <c r="AJ11">
        <v>0.99</v>
      </c>
      <c r="AK11">
        <v>104778.42</v>
      </c>
      <c r="AL11">
        <v>1</v>
      </c>
      <c r="AM11">
        <v>27927.112000000001</v>
      </c>
      <c r="AN11">
        <v>0.99</v>
      </c>
      <c r="AO11">
        <v>42745.807999999997</v>
      </c>
      <c r="AP11">
        <v>0.99</v>
      </c>
      <c r="AQ11">
        <v>4537.6980000000003</v>
      </c>
      <c r="AR11">
        <v>0.99</v>
      </c>
      <c r="AS11">
        <v>35880.81</v>
      </c>
      <c r="AT11">
        <v>1</v>
      </c>
      <c r="AU11">
        <v>44243.34</v>
      </c>
      <c r="AV11">
        <v>1</v>
      </c>
      <c r="AW11">
        <v>129526.30499999999</v>
      </c>
      <c r="AX11">
        <v>1</v>
      </c>
      <c r="AY11">
        <v>64288.544000000002</v>
      </c>
      <c r="AZ11">
        <v>1</v>
      </c>
      <c r="BA11">
        <v>116012.352</v>
      </c>
      <c r="BB11">
        <v>1</v>
      </c>
      <c r="BC11">
        <v>145513.272</v>
      </c>
      <c r="BD11">
        <v>0.95</v>
      </c>
      <c r="BE11">
        <v>100892.016</v>
      </c>
      <c r="BF11">
        <v>0.98</v>
      </c>
      <c r="BG11">
        <v>127217.736</v>
      </c>
      <c r="BH11">
        <v>1</v>
      </c>
      <c r="BI11" s="1308">
        <v>38109.311999999998</v>
      </c>
      <c r="BJ11">
        <v>1</v>
      </c>
      <c r="BK11">
        <v>80128.672000000006</v>
      </c>
      <c r="BL11">
        <v>1</v>
      </c>
      <c r="BM11">
        <v>56099.508000000002</v>
      </c>
      <c r="BN11">
        <v>1</v>
      </c>
      <c r="BO11">
        <v>55007.216</v>
      </c>
      <c r="BP11">
        <v>1</v>
      </c>
      <c r="BQ11">
        <v>51225.93</v>
      </c>
      <c r="BR11">
        <v>1</v>
      </c>
      <c r="BS11">
        <v>38002.949999999997</v>
      </c>
      <c r="BT11">
        <v>1</v>
      </c>
      <c r="BU11">
        <v>49839.88</v>
      </c>
      <c r="BV11">
        <v>1</v>
      </c>
      <c r="BW11">
        <v>135279.6</v>
      </c>
      <c r="BX11">
        <v>1</v>
      </c>
      <c r="BY11">
        <v>30936.51</v>
      </c>
      <c r="BZ11">
        <v>0.98</v>
      </c>
      <c r="CA11">
        <v>34268.800000000003</v>
      </c>
      <c r="CB11">
        <v>1</v>
      </c>
      <c r="CC11">
        <v>201305.06400000001</v>
      </c>
      <c r="CD11">
        <v>0.94</v>
      </c>
      <c r="CE11" s="441">
        <f t="shared" si="0"/>
        <v>914211.99899999995</v>
      </c>
      <c r="CF11">
        <f>IF(ISNUMBER(AI11),(AI11+AU11+'Janitza data '!L$310+'Janitza data '!L$11+'Janitza data '!L$574+'Janitza data '!L$258)," ")</f>
        <v>249520.15125335695</v>
      </c>
      <c r="CG11">
        <f t="shared" si="3"/>
        <v>594751.42000000004</v>
      </c>
      <c r="CH11">
        <f>IF(ISNUMBER(Q11),(Q11+W11+AM11+AO11+AS11+BA11+BE11+BG11+BY11+'Janitza data '!L$400+'Janitza data '!L$401)," ")</f>
        <v>628001.08525781252</v>
      </c>
      <c r="CI11">
        <f t="shared" si="1"/>
        <v>817471.098</v>
      </c>
      <c r="CJ11">
        <f>IF(ISNUMBER(AY11),(AY11+'Janitza data '!L$254+'Janitza data '!L$270+'Janitza data '!L$269+'Janitza data '!L$403)," ")</f>
        <v>183554.91387304687</v>
      </c>
      <c r="CK11">
        <f>IF(ISNUMBER('Janitza data '!L$280),('Janitza data '!L$280+'Janitza data '!L$281+'Janitza data '!L$299)," ")</f>
        <v>207280.125</v>
      </c>
      <c r="CL11" s="441">
        <f t="shared" si="2"/>
        <v>3513574.2259999998</v>
      </c>
      <c r="CM11" s="417">
        <f>IF(ISNUMBER(AK11),(AK11+'Janitza data '!L$49-'Janitza data '!L$50)," ")</f>
        <v>240236.46101562498</v>
      </c>
    </row>
    <row r="12" spans="1:91">
      <c r="A12" s="292">
        <v>44866</v>
      </c>
      <c r="C12">
        <v>174897.84400000001</v>
      </c>
      <c r="D12">
        <v>1</v>
      </c>
      <c r="E12">
        <v>0</v>
      </c>
      <c r="G12">
        <v>499602.88400000002</v>
      </c>
      <c r="H12">
        <v>1</v>
      </c>
      <c r="I12">
        <v>3028.31</v>
      </c>
      <c r="J12">
        <v>0.94</v>
      </c>
      <c r="K12">
        <v>15450.111999999999</v>
      </c>
      <c r="L12">
        <v>0.98</v>
      </c>
      <c r="M12">
        <v>335485.8</v>
      </c>
      <c r="N12">
        <v>0.96</v>
      </c>
      <c r="O12">
        <v>15796.4</v>
      </c>
      <c r="P12">
        <v>1</v>
      </c>
      <c r="Q12">
        <v>12872.744000000001</v>
      </c>
      <c r="R12">
        <v>1</v>
      </c>
      <c r="S12">
        <v>26294.57</v>
      </c>
      <c r="T12">
        <v>0.99</v>
      </c>
      <c r="W12">
        <v>67365.600000000006</v>
      </c>
      <c r="X12">
        <v>0.95</v>
      </c>
      <c r="Y12">
        <v>165834.016</v>
      </c>
      <c r="Z12">
        <v>1</v>
      </c>
      <c r="AA12">
        <v>12169.575999999999</v>
      </c>
      <c r="AB12">
        <v>0.95</v>
      </c>
      <c r="AC12">
        <v>146503.848</v>
      </c>
      <c r="AD12">
        <v>0.99</v>
      </c>
      <c r="AE12">
        <v>13008.46</v>
      </c>
      <c r="AF12">
        <v>1</v>
      </c>
      <c r="AG12">
        <v>135273.16</v>
      </c>
      <c r="AH12">
        <v>1</v>
      </c>
      <c r="AI12">
        <v>64764.800000000003</v>
      </c>
      <c r="AJ12">
        <v>0.98</v>
      </c>
      <c r="AK12">
        <v>102801.54</v>
      </c>
      <c r="AL12">
        <v>1</v>
      </c>
      <c r="AM12">
        <v>15794.556</v>
      </c>
      <c r="AN12">
        <v>0.97</v>
      </c>
      <c r="AO12">
        <v>23090.448</v>
      </c>
      <c r="AP12">
        <v>0.98</v>
      </c>
      <c r="AQ12">
        <v>4811.982</v>
      </c>
      <c r="AR12">
        <v>0.99</v>
      </c>
      <c r="AS12">
        <v>30754.21</v>
      </c>
      <c r="AT12">
        <v>1</v>
      </c>
      <c r="AU12">
        <v>38431.050000000003</v>
      </c>
      <c r="AV12">
        <v>1</v>
      </c>
      <c r="AW12">
        <v>123445.67200000001</v>
      </c>
      <c r="AX12">
        <v>1</v>
      </c>
      <c r="AY12">
        <v>55279.696000000004</v>
      </c>
      <c r="AZ12">
        <v>1</v>
      </c>
      <c r="BA12">
        <v>107857.18399999999</v>
      </c>
      <c r="BB12">
        <v>1</v>
      </c>
      <c r="BC12">
        <v>138796.152</v>
      </c>
      <c r="BD12">
        <v>0.94</v>
      </c>
      <c r="BE12">
        <v>99258.744000000006</v>
      </c>
      <c r="BF12">
        <v>0.97</v>
      </c>
      <c r="BG12">
        <v>117010.60799999999</v>
      </c>
      <c r="BH12">
        <v>1</v>
      </c>
      <c r="BI12" s="1308">
        <v>22660.62</v>
      </c>
      <c r="BJ12">
        <v>1</v>
      </c>
      <c r="BK12">
        <v>48861.824000000001</v>
      </c>
      <c r="BL12">
        <v>1</v>
      </c>
      <c r="BM12">
        <v>20486.261999999999</v>
      </c>
      <c r="BN12">
        <v>1</v>
      </c>
      <c r="BO12">
        <v>32963.872000000003</v>
      </c>
      <c r="BP12">
        <v>0.99</v>
      </c>
      <c r="BQ12">
        <v>19746.099999999999</v>
      </c>
      <c r="BR12">
        <v>1</v>
      </c>
      <c r="BS12">
        <v>17981.84</v>
      </c>
      <c r="BT12">
        <v>1</v>
      </c>
      <c r="BU12">
        <v>19009.47</v>
      </c>
      <c r="BV12">
        <v>1</v>
      </c>
      <c r="BW12">
        <v>47429.82</v>
      </c>
      <c r="BX12">
        <v>1</v>
      </c>
      <c r="BY12">
        <v>25707.61</v>
      </c>
      <c r="BZ12">
        <v>0.98</v>
      </c>
      <c r="CA12">
        <v>13291.9</v>
      </c>
      <c r="CB12">
        <v>1</v>
      </c>
      <c r="CC12">
        <v>186313.68</v>
      </c>
      <c r="CD12">
        <v>0.94</v>
      </c>
      <c r="CE12" s="441">
        <f t="shared" si="0"/>
        <v>674500.728</v>
      </c>
      <c r="CF12">
        <f>IF(ISNUMBER(AI12),(AI12+AU12+'Janitza data '!M$310+'Janitza data '!M$11+'Janitza data '!M$574+'Janitza data '!M$258)," ")</f>
        <v>219367.76847229004</v>
      </c>
      <c r="CG12">
        <f t="shared" si="3"/>
        <v>286677.158</v>
      </c>
      <c r="CH12">
        <f>IF(ISNUMBER(Q12),(Q12+W12+AM12+AO12+AS12+BA12+BE12+BG12+BY12+'Janitza data '!M$400+'Janitza data '!M$401)," ")</f>
        <v>535243.48085546878</v>
      </c>
      <c r="CI12">
        <f t="shared" si="1"/>
        <v>798294.71000000008</v>
      </c>
      <c r="CJ12">
        <f>IF(ISNUMBER(AY12),(AY12+'Janitza data '!M$254+'Janitza data '!M$270+'Janitza data '!M$269+'Janitza data '!M$403)," ")</f>
        <v>146277.02363671875</v>
      </c>
      <c r="CK12">
        <f>IF(ISNUMBER('Janitza data '!M$280),('Janitza data '!M$280+'Janitza data '!M$281+'Janitza data '!M$299)," ")</f>
        <v>155945.986328125</v>
      </c>
      <c r="CL12" s="441">
        <f t="shared" si="2"/>
        <v>2813819.284</v>
      </c>
      <c r="CM12" s="417">
        <f>IF(ISNUMBER(AK12),(AK12+'Janitza data '!M$49-'Janitza data '!M$50)," ")</f>
        <v>234765.70015624998</v>
      </c>
    </row>
    <row r="13" spans="1:91">
      <c r="A13" s="292">
        <v>44896</v>
      </c>
      <c r="C13">
        <v>128801.481</v>
      </c>
      <c r="D13">
        <v>1</v>
      </c>
      <c r="E13">
        <v>0</v>
      </c>
      <c r="G13">
        <v>438914.20500000002</v>
      </c>
      <c r="H13">
        <v>1</v>
      </c>
      <c r="I13">
        <v>3131.11</v>
      </c>
      <c r="J13">
        <v>0.95</v>
      </c>
      <c r="K13">
        <v>11412.224</v>
      </c>
      <c r="L13">
        <v>0.97</v>
      </c>
      <c r="M13">
        <v>306015.12</v>
      </c>
      <c r="N13">
        <v>0.96</v>
      </c>
      <c r="O13">
        <v>12202.43</v>
      </c>
      <c r="P13">
        <v>1</v>
      </c>
      <c r="Q13">
        <v>11147.26</v>
      </c>
      <c r="R13">
        <v>1</v>
      </c>
      <c r="S13">
        <v>16354.04</v>
      </c>
      <c r="T13">
        <v>0.99</v>
      </c>
      <c r="W13">
        <v>68562.351999999999</v>
      </c>
      <c r="X13">
        <v>0.95</v>
      </c>
      <c r="Y13">
        <v>170286.78400000001</v>
      </c>
      <c r="Z13">
        <v>1</v>
      </c>
      <c r="AA13">
        <v>10803.22</v>
      </c>
      <c r="AB13">
        <v>0.94</v>
      </c>
      <c r="AC13">
        <v>149763.552</v>
      </c>
      <c r="AD13">
        <v>0.99</v>
      </c>
      <c r="AE13">
        <v>11372.41</v>
      </c>
      <c r="AF13">
        <v>1</v>
      </c>
      <c r="AG13">
        <v>103929.76</v>
      </c>
      <c r="AH13">
        <v>0.99</v>
      </c>
      <c r="AI13">
        <v>71852.656000000003</v>
      </c>
      <c r="AJ13">
        <v>0.97</v>
      </c>
      <c r="AK13">
        <v>104859.89</v>
      </c>
      <c r="AL13">
        <v>1</v>
      </c>
      <c r="AM13">
        <v>16768.488000000001</v>
      </c>
      <c r="AN13">
        <v>0.97</v>
      </c>
      <c r="AO13">
        <v>20941.135999999999</v>
      </c>
      <c r="AP13">
        <v>0.98</v>
      </c>
      <c r="AQ13">
        <v>2637.096</v>
      </c>
      <c r="AR13">
        <v>0.96</v>
      </c>
      <c r="AS13">
        <v>28871.38</v>
      </c>
      <c r="AT13">
        <v>0.99</v>
      </c>
      <c r="AU13">
        <v>28693.72</v>
      </c>
      <c r="AV13">
        <v>1</v>
      </c>
      <c r="AW13">
        <v>108872.284</v>
      </c>
      <c r="AX13">
        <v>1</v>
      </c>
      <c r="AY13">
        <v>45214.303999999996</v>
      </c>
      <c r="AZ13">
        <v>1</v>
      </c>
      <c r="BA13">
        <v>109588.60799999999</v>
      </c>
      <c r="BB13">
        <v>1</v>
      </c>
      <c r="BC13">
        <v>135829.63200000001</v>
      </c>
      <c r="BD13">
        <v>0.94</v>
      </c>
      <c r="BE13">
        <v>93505.919999999998</v>
      </c>
      <c r="BF13">
        <v>0.97</v>
      </c>
      <c r="BG13">
        <v>114322.296</v>
      </c>
      <c r="BH13">
        <v>0.99</v>
      </c>
      <c r="BI13" s="1308">
        <v>12628.62</v>
      </c>
      <c r="BJ13">
        <v>1</v>
      </c>
      <c r="BK13">
        <v>32150.063999999998</v>
      </c>
      <c r="BL13">
        <v>1</v>
      </c>
      <c r="BM13">
        <v>7859.04</v>
      </c>
      <c r="BN13">
        <v>1</v>
      </c>
      <c r="BO13">
        <v>27013.616000000002</v>
      </c>
      <c r="BP13">
        <v>0.99</v>
      </c>
      <c r="BQ13">
        <v>10826.49</v>
      </c>
      <c r="BR13">
        <v>1</v>
      </c>
      <c r="BS13">
        <v>9984.58</v>
      </c>
      <c r="BT13">
        <v>1</v>
      </c>
      <c r="BU13">
        <v>10996.74</v>
      </c>
      <c r="BV13">
        <v>1</v>
      </c>
      <c r="BW13">
        <v>26392.41</v>
      </c>
      <c r="BX13">
        <v>0.99</v>
      </c>
      <c r="BY13">
        <v>24861.27</v>
      </c>
      <c r="BZ13">
        <v>0.97</v>
      </c>
      <c r="CA13">
        <v>8035.65</v>
      </c>
      <c r="CB13">
        <v>1</v>
      </c>
      <c r="CC13">
        <v>183008.47200000001</v>
      </c>
      <c r="CD13">
        <v>0.94</v>
      </c>
      <c r="CE13" s="441">
        <f t="shared" ref="CE13" si="4">IF(ISNUMBER(C13),(C13+E13+G13)," ")</f>
        <v>567715.68599999999</v>
      </c>
      <c r="CF13">
        <f>IF(ISNUMBER(AI13),(AI13+AU13+'Janitza data '!N$310+'Janitza data '!N$11+'Janitza data '!N$574+'Janitza data '!N$258)," ")</f>
        <v>198572.15600000002</v>
      </c>
      <c r="CG13">
        <f t="shared" ref="CG13" si="5">IF(ISNUMBER(K13),(K13+O13+S13+AQ13+AS13+BI13+BM13+BO13+BQ13+BS13+BU13+BW13+CA13)," ")</f>
        <v>185214.31599999999</v>
      </c>
      <c r="CH13">
        <f>IF(ISNUMBER(Q13),(Q13+W13+AM13+AO13+AS13+BA13+BE13+BG13+BY13+'Janitza data '!N$400+'Janitza data '!N$401)," ")</f>
        <v>517732.61</v>
      </c>
      <c r="CI13">
        <f t="shared" ref="CI13" si="6">IF(ISNUMBER(I13),(I13+M13+Y13+AA13+AC13+AG13)," ")</f>
        <v>743929.54599999997</v>
      </c>
      <c r="CJ13">
        <f>IF(ISNUMBER(AY13),(AY13+'Janitza data '!N$254+'Janitza data '!N$270+'Janitza data '!N$269+'Janitza data '!N$403)," ")</f>
        <v>120542.92400000001</v>
      </c>
      <c r="CK13">
        <f>IF(ISNUMBER('Janitza data '!N$280),('Janitza data '!N$280+'Janitza data '!N$281+'Janitza data '!N$299)," ")</f>
        <v>142354.43</v>
      </c>
      <c r="CL13" s="441">
        <f t="shared" ref="CL13" si="7">IF(ISNUMBER(C13),(C13+E13+G13+I13+K13+M13+O13+Q13+S13+U13+W13+Y13+AA13+AC13+AE13+AG13+AI13+AK13+AM13+AO13+AQ13+AS13+AU13+AW13+AY13+BA13+BC13+BE13+BG13+BI13+BK13+BM13+BO13+BQ13+BS13+BU13+BW13+BY13+CA13)," ")</f>
        <v>2495401.838</v>
      </c>
      <c r="CM13" s="417">
        <f>IF(ISNUMBER(AK13),(AK13+'Janitza data '!N$49-'Janitza data '!N$50)," ")</f>
        <v>241055.48000000004</v>
      </c>
    </row>
    <row r="14" spans="1:91">
      <c r="A14" s="292">
        <v>44927</v>
      </c>
      <c r="C14">
        <v>144873.52799999999</v>
      </c>
      <c r="D14">
        <v>1</v>
      </c>
      <c r="E14">
        <v>0</v>
      </c>
      <c r="G14">
        <v>401875.12199999997</v>
      </c>
      <c r="H14">
        <v>1</v>
      </c>
      <c r="I14">
        <v>3074.14</v>
      </c>
      <c r="J14">
        <v>0.95</v>
      </c>
      <c r="K14">
        <v>11368.255999999999</v>
      </c>
      <c r="L14">
        <v>0.97</v>
      </c>
      <c r="M14">
        <v>315968.7</v>
      </c>
      <c r="N14">
        <v>0.95</v>
      </c>
      <c r="O14">
        <v>10260.43</v>
      </c>
      <c r="P14">
        <v>1</v>
      </c>
      <c r="Q14">
        <v>11228.628000000001</v>
      </c>
      <c r="R14">
        <v>1</v>
      </c>
      <c r="S14">
        <v>17773.740000000002</v>
      </c>
      <c r="T14">
        <v>0.99</v>
      </c>
      <c r="W14">
        <v>68598.880000000005</v>
      </c>
      <c r="X14">
        <v>0.94</v>
      </c>
      <c r="Y14">
        <v>190152.35200000001</v>
      </c>
      <c r="Z14">
        <v>0.99</v>
      </c>
      <c r="AA14">
        <v>11610.628000000001</v>
      </c>
      <c r="AB14">
        <v>0.95</v>
      </c>
      <c r="AC14">
        <v>155373.432</v>
      </c>
      <c r="AD14">
        <v>0.99</v>
      </c>
      <c r="AE14">
        <v>7882.09</v>
      </c>
      <c r="AF14">
        <v>1</v>
      </c>
      <c r="AG14">
        <v>109578.32</v>
      </c>
      <c r="AH14">
        <v>0.99</v>
      </c>
      <c r="AI14">
        <v>73759.903999999995</v>
      </c>
      <c r="AJ14">
        <v>0.96</v>
      </c>
      <c r="AK14">
        <v>105261.77</v>
      </c>
      <c r="AL14">
        <v>1</v>
      </c>
      <c r="AM14">
        <v>13061.972</v>
      </c>
      <c r="AN14">
        <v>0.97</v>
      </c>
      <c r="AO14">
        <v>17463.392</v>
      </c>
      <c r="AP14">
        <v>0.97</v>
      </c>
      <c r="AQ14">
        <v>2509.35</v>
      </c>
      <c r="AR14">
        <v>0.94</v>
      </c>
      <c r="AS14">
        <v>29559.18</v>
      </c>
      <c r="AT14">
        <v>0.99</v>
      </c>
      <c r="AU14">
        <v>28200.3</v>
      </c>
      <c r="AV14">
        <v>1</v>
      </c>
      <c r="AW14">
        <v>114364.042</v>
      </c>
      <c r="AX14">
        <v>1</v>
      </c>
      <c r="AY14">
        <v>43082.415999999997</v>
      </c>
      <c r="AZ14">
        <v>1</v>
      </c>
      <c r="BA14">
        <v>114213.856</v>
      </c>
      <c r="BB14">
        <v>1</v>
      </c>
      <c r="BC14">
        <v>140288.95199999999</v>
      </c>
      <c r="BD14">
        <v>0.94</v>
      </c>
      <c r="BE14">
        <v>99157.224000000002</v>
      </c>
      <c r="BF14">
        <v>0.97</v>
      </c>
      <c r="BG14">
        <v>105768.216</v>
      </c>
      <c r="BH14">
        <v>0.99</v>
      </c>
      <c r="BI14" s="1308">
        <v>19545.594000000001</v>
      </c>
      <c r="BJ14">
        <v>0.99</v>
      </c>
      <c r="BK14">
        <v>41933.872000000003</v>
      </c>
      <c r="BL14">
        <v>1</v>
      </c>
      <c r="BM14">
        <v>7731.8280000000004</v>
      </c>
      <c r="BN14">
        <v>1</v>
      </c>
      <c r="BO14">
        <v>29213.232</v>
      </c>
      <c r="BP14">
        <v>0.99</v>
      </c>
      <c r="BQ14">
        <v>10044.19</v>
      </c>
      <c r="BR14">
        <v>1</v>
      </c>
      <c r="BS14">
        <v>8130.56</v>
      </c>
      <c r="BT14">
        <v>1</v>
      </c>
      <c r="BU14">
        <v>8473.0619999999999</v>
      </c>
      <c r="BV14">
        <v>1</v>
      </c>
      <c r="BW14">
        <v>25399.11</v>
      </c>
      <c r="BX14">
        <v>0.99</v>
      </c>
      <c r="BY14">
        <v>23955.61</v>
      </c>
      <c r="BZ14">
        <v>0.97</v>
      </c>
      <c r="CA14">
        <v>6909.05</v>
      </c>
      <c r="CB14">
        <v>0.99</v>
      </c>
      <c r="CC14">
        <v>184939.56</v>
      </c>
      <c r="CD14">
        <v>0.93</v>
      </c>
      <c r="CE14" s="441">
        <f t="shared" si="0"/>
        <v>546748.64999999991</v>
      </c>
      <c r="CF14">
        <f>IF(ISNUMBER(AI14),(AI14+AU14+'Janitza data '!O$310+'Janitza data '!O$11+'Janitza data '!O$574+'Janitza data '!O$258)," ")</f>
        <v>218810.334</v>
      </c>
      <c r="CG14">
        <f t="shared" si="3"/>
        <v>186917.58199999999</v>
      </c>
      <c r="CH14">
        <f>IF(ISNUMBER(Q14),(Q14+W14+AM14+AO14+AS14+BA14+BE14+BG14+BY14+'Janitza data '!O$400+'Janitza data '!O$401)," ")</f>
        <v>506773.48799999995</v>
      </c>
      <c r="CI14">
        <f t="shared" si="1"/>
        <v>785757.57200000016</v>
      </c>
      <c r="CJ14">
        <f>IF(ISNUMBER(AY14),(AY14+'Janitza data '!O$254+'Janitza data '!O$270+'Janitza data '!O$269+'Janitza data '!O$403)," ")</f>
        <v>114461.266</v>
      </c>
      <c r="CK14">
        <f>IF(ISNUMBER('Janitza data '!O$280),('Janitza data '!O$280+'Janitza data '!O$281+'Janitza data '!O$299)," ")</f>
        <v>130588.67</v>
      </c>
      <c r="CL14" s="441">
        <f t="shared" si="2"/>
        <v>2527644.9279999998</v>
      </c>
      <c r="CM14" s="417">
        <f>IF(ISNUMBER(AK14),(AK14+'Janitza data '!O$49-'Janitza data '!O$50)," ")</f>
        <v>247764.42999999996</v>
      </c>
    </row>
    <row r="15" spans="1:91">
      <c r="A15" s="292">
        <v>44958</v>
      </c>
      <c r="C15">
        <v>141653.405</v>
      </c>
      <c r="D15">
        <v>1</v>
      </c>
      <c r="E15">
        <v>0</v>
      </c>
      <c r="G15">
        <v>443861.28100000002</v>
      </c>
      <c r="H15">
        <v>1</v>
      </c>
      <c r="I15">
        <v>2578.19</v>
      </c>
      <c r="J15">
        <v>0.93</v>
      </c>
      <c r="K15">
        <v>14735.856</v>
      </c>
      <c r="L15">
        <v>0.98</v>
      </c>
      <c r="M15">
        <v>313102.34999999998</v>
      </c>
      <c r="N15">
        <v>0.95</v>
      </c>
      <c r="O15">
        <v>15483.96</v>
      </c>
      <c r="P15">
        <v>1</v>
      </c>
      <c r="Q15">
        <v>12266.992</v>
      </c>
      <c r="R15">
        <v>1</v>
      </c>
      <c r="S15">
        <v>38308.910000000003</v>
      </c>
      <c r="T15">
        <v>1</v>
      </c>
      <c r="W15">
        <v>65767.695999999996</v>
      </c>
      <c r="X15">
        <v>0.95</v>
      </c>
      <c r="Y15">
        <v>184561.408</v>
      </c>
      <c r="Z15">
        <v>0.99</v>
      </c>
      <c r="AA15">
        <v>13100.092000000001</v>
      </c>
      <c r="AB15">
        <v>0.96</v>
      </c>
      <c r="AC15">
        <v>143113.46400000001</v>
      </c>
      <c r="AD15">
        <v>0.99</v>
      </c>
      <c r="AE15">
        <v>8325.08</v>
      </c>
      <c r="AF15">
        <v>1</v>
      </c>
      <c r="AG15">
        <v>104342.16</v>
      </c>
      <c r="AH15">
        <v>0.99</v>
      </c>
      <c r="AI15">
        <v>68125.792000000001</v>
      </c>
      <c r="AJ15">
        <v>0.95</v>
      </c>
      <c r="AK15">
        <v>103261.91</v>
      </c>
      <c r="AL15">
        <v>1</v>
      </c>
      <c r="AM15">
        <v>16192.124</v>
      </c>
      <c r="AN15">
        <v>0.96</v>
      </c>
      <c r="AO15">
        <v>16941.84</v>
      </c>
      <c r="AP15">
        <v>0.98</v>
      </c>
      <c r="AQ15">
        <v>3767.694</v>
      </c>
      <c r="AR15">
        <v>0.98</v>
      </c>
      <c r="AS15">
        <v>29898.86</v>
      </c>
      <c r="AT15">
        <v>0.99</v>
      </c>
      <c r="AU15">
        <v>34896.230000000003</v>
      </c>
      <c r="AV15">
        <v>1</v>
      </c>
      <c r="AW15">
        <v>115893.848</v>
      </c>
      <c r="AX15">
        <v>1</v>
      </c>
      <c r="AY15">
        <v>44725.184000000001</v>
      </c>
      <c r="AZ15">
        <v>1</v>
      </c>
      <c r="BA15">
        <v>111133.6</v>
      </c>
      <c r="BB15">
        <v>1</v>
      </c>
      <c r="BC15">
        <v>134816.736</v>
      </c>
      <c r="BD15">
        <v>0.93</v>
      </c>
      <c r="BE15">
        <v>106457.736</v>
      </c>
      <c r="BF15">
        <v>0.96</v>
      </c>
      <c r="BG15">
        <v>104174.83199999999</v>
      </c>
      <c r="BH15">
        <v>0.99</v>
      </c>
      <c r="BI15" s="1308">
        <v>23192.436000000002</v>
      </c>
      <c r="BJ15">
        <v>0.99</v>
      </c>
      <c r="BK15">
        <v>53350.896000000001</v>
      </c>
      <c r="BL15">
        <v>1</v>
      </c>
      <c r="BM15">
        <v>14412.804</v>
      </c>
      <c r="BN15">
        <v>1</v>
      </c>
      <c r="BO15">
        <v>32393.279999999999</v>
      </c>
      <c r="BP15">
        <v>0.99</v>
      </c>
      <c r="BQ15">
        <v>18755.36</v>
      </c>
      <c r="BR15">
        <v>1</v>
      </c>
      <c r="BS15">
        <v>14707.13</v>
      </c>
      <c r="BT15">
        <v>1</v>
      </c>
      <c r="BU15">
        <v>15851.696</v>
      </c>
      <c r="BV15">
        <v>1</v>
      </c>
      <c r="BW15">
        <v>41487.264999999999</v>
      </c>
      <c r="BX15">
        <v>0.99</v>
      </c>
      <c r="BY15">
        <v>22589.98</v>
      </c>
      <c r="BZ15">
        <v>0.97</v>
      </c>
      <c r="CA15">
        <v>8926.7199999999993</v>
      </c>
      <c r="CB15">
        <v>0.99</v>
      </c>
      <c r="CC15">
        <v>176709.07199999999</v>
      </c>
      <c r="CD15">
        <v>0.93</v>
      </c>
      <c r="CE15" s="441">
        <f t="shared" si="0"/>
        <v>585514.68599999999</v>
      </c>
      <c r="CF15">
        <f>IF(ISNUMBER(AI15),(AI15+AU15+'Janitza data '!P$310+'Janitza data '!P$11+'Janitza data '!P$574+'Janitza data '!P$258)," ")</f>
        <v>230738.28200000004</v>
      </c>
      <c r="CG15">
        <f t="shared" si="3"/>
        <v>271921.97099999996</v>
      </c>
      <c r="CH15">
        <f>IF(ISNUMBER(Q15),(Q15+W15+AM15+AO15+AS15+BA15+BE15+BG15+BY15+'Janitza data '!P$400+'Janitza data '!P$401)," ")</f>
        <v>510612.01</v>
      </c>
      <c r="CI15">
        <f t="shared" si="1"/>
        <v>760797.66399999999</v>
      </c>
      <c r="CJ15">
        <f>IF(ISNUMBER(AY15),(AY15+'Janitza data '!P$254+'Janitza data '!P$270+'Janitza data '!P$269+'Janitza data '!P$403)," ")</f>
        <v>118730.32399999999</v>
      </c>
      <c r="CK15">
        <f>IF(ISNUMBER('Janitza data '!P$280),('Janitza data '!P$280+'Janitza data '!P$281+'Janitza data '!P$299)," ")</f>
        <v>150154.25</v>
      </c>
      <c r="CL15" s="441">
        <f t="shared" si="2"/>
        <v>2637154.7969999998</v>
      </c>
      <c r="CM15" s="417">
        <f>IF(ISNUMBER(AK15),(AK15+'Janitza data '!P$49-'Janitza data '!P$50)," ")</f>
        <v>233255.38</v>
      </c>
    </row>
    <row r="16" spans="1:91">
      <c r="A16" s="292">
        <v>44986</v>
      </c>
      <c r="C16">
        <v>184114.397</v>
      </c>
      <c r="D16">
        <v>1</v>
      </c>
      <c r="E16">
        <v>0</v>
      </c>
      <c r="G16">
        <v>552470.50800000003</v>
      </c>
      <c r="H16">
        <v>1</v>
      </c>
      <c r="I16">
        <v>3006.15</v>
      </c>
      <c r="J16">
        <v>0.94</v>
      </c>
      <c r="K16">
        <v>22895.504000000001</v>
      </c>
      <c r="L16">
        <v>0.99</v>
      </c>
      <c r="M16">
        <v>369288.42</v>
      </c>
      <c r="N16">
        <v>0.96</v>
      </c>
      <c r="O16">
        <v>26581.5</v>
      </c>
      <c r="P16">
        <v>1</v>
      </c>
      <c r="Q16">
        <v>16801.824000000001</v>
      </c>
      <c r="R16">
        <v>1</v>
      </c>
      <c r="S16">
        <v>81384.58</v>
      </c>
      <c r="T16">
        <v>1</v>
      </c>
      <c r="W16">
        <v>71721.584000000003</v>
      </c>
      <c r="X16">
        <v>0.96</v>
      </c>
      <c r="Y16">
        <v>188243.23199999999</v>
      </c>
      <c r="Z16">
        <v>1</v>
      </c>
      <c r="AA16">
        <v>15319.332</v>
      </c>
      <c r="AB16">
        <v>0.97</v>
      </c>
      <c r="AC16">
        <v>165536.976</v>
      </c>
      <c r="AD16">
        <v>0.99</v>
      </c>
      <c r="AE16">
        <v>12822.3</v>
      </c>
      <c r="AF16">
        <v>1</v>
      </c>
      <c r="AG16">
        <v>104655.44</v>
      </c>
      <c r="AH16">
        <v>1</v>
      </c>
      <c r="AI16">
        <v>75673.856</v>
      </c>
      <c r="AJ16">
        <v>0.96</v>
      </c>
      <c r="AK16">
        <v>119858.94</v>
      </c>
      <c r="AL16">
        <v>1</v>
      </c>
      <c r="AM16">
        <v>28155.367999999999</v>
      </c>
      <c r="AN16">
        <v>0.97</v>
      </c>
      <c r="AO16">
        <v>26037.871999999999</v>
      </c>
      <c r="AP16">
        <v>0.99</v>
      </c>
      <c r="AQ16">
        <v>9206.9940000000006</v>
      </c>
      <c r="AR16">
        <v>1</v>
      </c>
      <c r="AS16">
        <v>34745.93</v>
      </c>
      <c r="AT16">
        <v>0.99</v>
      </c>
      <c r="AU16">
        <v>40392.620000000003</v>
      </c>
      <c r="AV16">
        <v>1</v>
      </c>
      <c r="AW16">
        <v>134667.155</v>
      </c>
      <c r="AX16">
        <v>1</v>
      </c>
      <c r="AY16">
        <v>61421.440000000002</v>
      </c>
      <c r="AZ16">
        <v>1</v>
      </c>
      <c r="BA16">
        <v>121636.8</v>
      </c>
      <c r="BB16">
        <v>1</v>
      </c>
      <c r="BC16">
        <v>142286.92800000001</v>
      </c>
      <c r="BD16">
        <v>0.94</v>
      </c>
      <c r="BE16">
        <v>118099.872</v>
      </c>
      <c r="BF16">
        <v>0.97</v>
      </c>
      <c r="BG16">
        <v>117258.912</v>
      </c>
      <c r="BH16">
        <v>0.99</v>
      </c>
      <c r="BI16" s="1308">
        <v>35581.175999999999</v>
      </c>
      <c r="BJ16">
        <v>1</v>
      </c>
      <c r="BK16">
        <v>74208.144</v>
      </c>
      <c r="BL16">
        <v>1</v>
      </c>
      <c r="BM16">
        <v>32099.472000000002</v>
      </c>
      <c r="BN16">
        <v>1</v>
      </c>
      <c r="BO16">
        <v>51125.919999999998</v>
      </c>
      <c r="BP16">
        <v>1</v>
      </c>
      <c r="BQ16">
        <v>35430.74</v>
      </c>
      <c r="BR16">
        <v>1</v>
      </c>
      <c r="BS16">
        <v>26208.82</v>
      </c>
      <c r="BT16">
        <v>1</v>
      </c>
      <c r="BU16">
        <v>36809.264000000003</v>
      </c>
      <c r="BV16">
        <v>1</v>
      </c>
      <c r="BW16">
        <v>77167.47</v>
      </c>
      <c r="BX16">
        <v>1</v>
      </c>
      <c r="BY16">
        <v>29199.52</v>
      </c>
      <c r="BZ16">
        <v>0.98</v>
      </c>
      <c r="CA16">
        <v>19435.099999999999</v>
      </c>
      <c r="CB16">
        <v>1</v>
      </c>
      <c r="CC16">
        <v>194615.83199999999</v>
      </c>
      <c r="CD16">
        <v>0.93</v>
      </c>
      <c r="CE16" s="441">
        <f t="shared" si="0"/>
        <v>736584.90500000003</v>
      </c>
      <c r="CF16">
        <f>IF(ISNUMBER(AI16),(AI16+AU16+'Janitza data '!Q$310+'Janitza data '!Q$11+'Janitza data '!Q$574+'Janitza data '!Q$258)," ")</f>
        <v>268525.42599999998</v>
      </c>
      <c r="CG16">
        <f t="shared" si="3"/>
        <v>488672.47</v>
      </c>
      <c r="CH16">
        <f>IF(ISNUMBER(Q16),(Q16+W16+AM16+AO16+AS16+BA16+BE16+BG16+BY16+'Janitza data '!Q$400+'Janitza data '!Q$401)," ")</f>
        <v>599941.07200000004</v>
      </c>
      <c r="CI16">
        <f t="shared" si="1"/>
        <v>846049.55</v>
      </c>
      <c r="CJ16">
        <f>IF(ISNUMBER(AY15),(AY15+'Janitza data '!Q$254+'Janitza data '!Q$270+'Janitza data '!Q$269+'Janitza data '!Q$403)," ")</f>
        <v>150900.12399999998</v>
      </c>
      <c r="CK16">
        <f>IF(ISNUMBER('Janitza data '!Q$280),('Janitza data '!Q$280+'Janitza data '!Q$281+'Janitza data '!Q$299)," ")</f>
        <v>175401.47</v>
      </c>
      <c r="CL16" s="441">
        <f t="shared" si="2"/>
        <v>3261550.0599999996</v>
      </c>
      <c r="CM16" s="417">
        <f>IF(ISNUMBER(AK16),(AK16+'Janitza data '!Q$49-'Janitza data '!Q$50)," ")</f>
        <v>268681.98000000004</v>
      </c>
    </row>
    <row r="17" spans="1:93">
      <c r="A17" s="292">
        <v>45017</v>
      </c>
      <c r="C17">
        <v>170482.70199999999</v>
      </c>
      <c r="D17">
        <v>1</v>
      </c>
      <c r="E17">
        <v>0</v>
      </c>
      <c r="G17">
        <v>537835.375</v>
      </c>
      <c r="H17">
        <v>1</v>
      </c>
      <c r="I17">
        <v>3052.98</v>
      </c>
      <c r="J17">
        <v>0.95</v>
      </c>
      <c r="K17">
        <v>20896.592000000001</v>
      </c>
      <c r="L17">
        <v>0.99</v>
      </c>
      <c r="M17">
        <v>355399.38</v>
      </c>
      <c r="N17">
        <v>0.96</v>
      </c>
      <c r="O17">
        <v>25871.53</v>
      </c>
      <c r="P17">
        <v>1</v>
      </c>
      <c r="Q17">
        <v>16292.248</v>
      </c>
      <c r="R17">
        <v>1</v>
      </c>
      <c r="S17">
        <v>45997.29</v>
      </c>
      <c r="T17">
        <v>1</v>
      </c>
      <c r="W17">
        <v>67341.600000000006</v>
      </c>
      <c r="X17">
        <v>0.96</v>
      </c>
      <c r="Y17">
        <v>164965.50399999999</v>
      </c>
      <c r="Z17">
        <v>1</v>
      </c>
      <c r="AA17">
        <v>12821.871999999999</v>
      </c>
      <c r="AB17">
        <v>0.96</v>
      </c>
      <c r="AC17">
        <v>155254.05600000001</v>
      </c>
      <c r="AD17">
        <v>0.99</v>
      </c>
      <c r="AE17">
        <v>16689.189999999999</v>
      </c>
      <c r="AF17">
        <v>1</v>
      </c>
      <c r="AG17">
        <v>98537.36</v>
      </c>
      <c r="AH17">
        <v>1</v>
      </c>
      <c r="AI17">
        <v>70398.543999999994</v>
      </c>
      <c r="AJ17">
        <v>0.97</v>
      </c>
      <c r="AK17">
        <v>114857.85</v>
      </c>
      <c r="AL17">
        <v>1</v>
      </c>
      <c r="AM17">
        <v>28923.272000000001</v>
      </c>
      <c r="AN17">
        <v>0.97</v>
      </c>
      <c r="AO17">
        <v>29906.304</v>
      </c>
      <c r="AP17">
        <v>0.99</v>
      </c>
      <c r="AQ17">
        <v>14225.915999999999</v>
      </c>
      <c r="AR17">
        <v>1</v>
      </c>
      <c r="AS17">
        <v>27523.43</v>
      </c>
      <c r="AT17">
        <v>0.99</v>
      </c>
      <c r="AU17">
        <v>36579.71</v>
      </c>
      <c r="AV17">
        <v>1</v>
      </c>
      <c r="AW17">
        <v>126818.167</v>
      </c>
      <c r="AX17">
        <v>1</v>
      </c>
      <c r="AY17">
        <v>57050.752</v>
      </c>
      <c r="AZ17">
        <v>1</v>
      </c>
      <c r="BA17">
        <v>112208.128</v>
      </c>
      <c r="BB17">
        <v>1</v>
      </c>
      <c r="BC17">
        <v>131022.504</v>
      </c>
      <c r="BD17">
        <v>0.94</v>
      </c>
      <c r="BE17">
        <v>104355.48</v>
      </c>
      <c r="BF17">
        <v>0.97</v>
      </c>
      <c r="BG17">
        <v>108795.024</v>
      </c>
      <c r="BH17">
        <v>1</v>
      </c>
      <c r="BI17" s="1308">
        <v>34337.165999999997</v>
      </c>
      <c r="BJ17">
        <v>1</v>
      </c>
      <c r="BK17">
        <v>62701.631999999998</v>
      </c>
      <c r="BL17">
        <v>1</v>
      </c>
      <c r="BM17">
        <v>39227.093999999997</v>
      </c>
      <c r="BN17">
        <v>1</v>
      </c>
      <c r="BO17">
        <v>51570.879999999997</v>
      </c>
      <c r="BP17">
        <v>1</v>
      </c>
      <c r="BQ17">
        <v>36934.76</v>
      </c>
      <c r="BR17">
        <v>1</v>
      </c>
      <c r="BS17">
        <v>26673.83</v>
      </c>
      <c r="BT17">
        <v>1</v>
      </c>
      <c r="BU17">
        <v>40065.775999999998</v>
      </c>
      <c r="BV17">
        <v>1</v>
      </c>
      <c r="BW17">
        <v>97880.04</v>
      </c>
      <c r="BX17">
        <v>1</v>
      </c>
      <c r="BY17">
        <v>27851.08</v>
      </c>
      <c r="BZ17">
        <v>0.98</v>
      </c>
      <c r="CA17">
        <v>26604.959999999999</v>
      </c>
      <c r="CB17">
        <v>1</v>
      </c>
      <c r="CC17">
        <v>177610.32</v>
      </c>
      <c r="CD17">
        <v>0.93</v>
      </c>
      <c r="CE17" s="441">
        <f t="shared" si="0"/>
        <v>708318.07700000005</v>
      </c>
      <c r="CF17">
        <f>IF(ISNUMBER(AI17),(AI17+AU17+'Janitza data '!R$310+'Janitza data '!R$11+'Janitza data '!R$574+'Janitza data '!R$258)," ")</f>
        <v>245447.44400000002</v>
      </c>
      <c r="CG17">
        <f t="shared" si="3"/>
        <v>487809.26400000002</v>
      </c>
      <c r="CH17">
        <f>IF(ISNUMBER(Q17),(Q17+W17+AM17+AO17+AS17+BA17+BE17+BG17+BY17+'Janitza data '!R$400+'Janitza data '!R$401)," ")</f>
        <v>564671.89599999995</v>
      </c>
      <c r="CI17">
        <f t="shared" si="1"/>
        <v>790031.15199999989</v>
      </c>
      <c r="CJ17">
        <f>IF(ISNUMBER(AY17),(AY17+'Janitza data '!R$254+'Janitza data '!R$270+'Janitza data '!R$269+'Janitza data '!R$403)," ")</f>
        <v>157975.08200000002</v>
      </c>
      <c r="CK17">
        <f>IF(ISNUMBER('Janitza data '!R$280),('Janitza data '!R$280+'Janitza data '!R$281+'Janitza data '!R$299)," ")</f>
        <v>169464.32000000001</v>
      </c>
      <c r="CL17" s="441">
        <f t="shared" si="2"/>
        <v>3097949.9780000011</v>
      </c>
      <c r="CM17" s="417">
        <f>IF(ISNUMBER(AK17),(AK17+'Janitza data '!R$49-'Janitza data '!R$50)," ")</f>
        <v>254819.45</v>
      </c>
    </row>
    <row r="18" spans="1:93">
      <c r="A18" s="292">
        <v>45047</v>
      </c>
      <c r="C18">
        <v>198260.67499999999</v>
      </c>
      <c r="D18">
        <v>1</v>
      </c>
      <c r="E18">
        <v>0</v>
      </c>
      <c r="G18">
        <v>675818.31599999999</v>
      </c>
      <c r="H18">
        <v>1</v>
      </c>
      <c r="I18">
        <v>3088.83</v>
      </c>
      <c r="J18">
        <v>0.94</v>
      </c>
      <c r="K18">
        <v>23069.856</v>
      </c>
      <c r="L18">
        <v>0.99</v>
      </c>
      <c r="M18">
        <v>393323.52000000002</v>
      </c>
      <c r="N18">
        <v>0.96</v>
      </c>
      <c r="O18">
        <v>29558.75</v>
      </c>
      <c r="P18">
        <v>1</v>
      </c>
      <c r="Q18">
        <v>20360.511999999999</v>
      </c>
      <c r="R18">
        <v>1</v>
      </c>
      <c r="S18">
        <v>49347.75</v>
      </c>
      <c r="T18">
        <v>0.99</v>
      </c>
      <c r="W18">
        <v>70816.751999999993</v>
      </c>
      <c r="X18">
        <v>0.97</v>
      </c>
      <c r="Y18">
        <v>178832</v>
      </c>
      <c r="Z18">
        <v>1</v>
      </c>
      <c r="AA18">
        <v>15172.492</v>
      </c>
      <c r="AB18">
        <v>0.97</v>
      </c>
      <c r="AC18">
        <v>164170.92000000001</v>
      </c>
      <c r="AD18">
        <v>0.99</v>
      </c>
      <c r="AE18">
        <v>21203.73</v>
      </c>
      <c r="AF18">
        <v>1</v>
      </c>
      <c r="AG18">
        <v>99990.92</v>
      </c>
      <c r="AH18">
        <v>1</v>
      </c>
      <c r="AI18">
        <v>77178.080000000002</v>
      </c>
      <c r="AJ18">
        <v>0.98</v>
      </c>
      <c r="AK18">
        <v>119288.3</v>
      </c>
      <c r="AL18">
        <v>1</v>
      </c>
      <c r="AM18">
        <v>32350.171999999999</v>
      </c>
      <c r="AN18">
        <v>0.99</v>
      </c>
      <c r="AO18">
        <v>39935.408000000003</v>
      </c>
      <c r="AP18">
        <v>0.99</v>
      </c>
      <c r="AQ18">
        <v>17295.335999999999</v>
      </c>
      <c r="AR18">
        <v>1</v>
      </c>
      <c r="AS18">
        <v>33584.730000000003</v>
      </c>
      <c r="AT18">
        <v>0.99</v>
      </c>
      <c r="AU18">
        <v>42960.639999999999</v>
      </c>
      <c r="AV18">
        <v>1</v>
      </c>
      <c r="AW18">
        <v>132970.652</v>
      </c>
      <c r="AX18">
        <v>1</v>
      </c>
      <c r="AY18">
        <v>71231.216</v>
      </c>
      <c r="AZ18">
        <v>1</v>
      </c>
      <c r="BA18">
        <v>120440.064</v>
      </c>
      <c r="BB18">
        <v>1</v>
      </c>
      <c r="BC18">
        <v>140897.35200000001</v>
      </c>
      <c r="BD18">
        <v>0.94</v>
      </c>
      <c r="BE18">
        <v>118004.952</v>
      </c>
      <c r="BF18">
        <v>0.97</v>
      </c>
      <c r="BG18">
        <v>115032.144</v>
      </c>
      <c r="BH18">
        <v>1</v>
      </c>
      <c r="BI18" s="1308">
        <v>39523.908000000003</v>
      </c>
      <c r="BJ18">
        <v>1</v>
      </c>
      <c r="BK18">
        <v>77504.88</v>
      </c>
      <c r="BL18">
        <v>1</v>
      </c>
      <c r="BM18">
        <v>58825.338000000003</v>
      </c>
      <c r="BN18">
        <v>1</v>
      </c>
      <c r="BO18">
        <v>55909.455999999998</v>
      </c>
      <c r="BP18">
        <v>1</v>
      </c>
      <c r="BQ18">
        <v>50088</v>
      </c>
      <c r="BR18">
        <v>1</v>
      </c>
      <c r="BS18">
        <v>32521.13</v>
      </c>
      <c r="BT18">
        <v>1</v>
      </c>
      <c r="BU18">
        <v>55165.536</v>
      </c>
      <c r="BV18">
        <v>1</v>
      </c>
      <c r="BW18">
        <v>127340.1</v>
      </c>
      <c r="BX18">
        <v>1</v>
      </c>
      <c r="BY18">
        <v>33108.15</v>
      </c>
      <c r="BZ18">
        <v>0.99</v>
      </c>
      <c r="CA18">
        <v>37944.89</v>
      </c>
      <c r="CB18">
        <v>1</v>
      </c>
      <c r="CC18">
        <v>191079.50399999999</v>
      </c>
      <c r="CD18">
        <v>0.94</v>
      </c>
      <c r="CE18" s="441">
        <f t="shared" si="0"/>
        <v>874078.99099999992</v>
      </c>
      <c r="CF18">
        <f>IF(ISNUMBER(AI18),(AI18+AU18+'Janitza data '!S$310+'Janitza data '!S$11+'Janitza data '!S$574+'Janitza data '!S$258)," ")</f>
        <v>280672.80999999994</v>
      </c>
      <c r="CG18">
        <f t="shared" si="3"/>
        <v>610174.78</v>
      </c>
      <c r="CH18">
        <f>IF(ISNUMBER(Q18),(Q18+W18+AM18+AO18+AS18+BA18+BE18+BG18+BY18+'Janitza data '!S$400+'Janitza data '!S$401)," ")</f>
        <v>634516.84400000004</v>
      </c>
      <c r="CI18">
        <f t="shared" si="1"/>
        <v>854578.68200000015</v>
      </c>
      <c r="CJ18">
        <f>IF(ISNUMBER(AY18),(AY18+'Janitza data '!N$254+'Janitza data '!N$270+'Janitza data '!N$269+'Janitza data '!N$403)," ")</f>
        <v>146559.83600000001</v>
      </c>
      <c r="CK18">
        <f>IF(ISNUMBER('Janitza data '!S$280),('Janitza data '!S$280+'Janitza data '!S$281+'Janitza data '!S$299)," ")</f>
        <v>211139.07</v>
      </c>
      <c r="CL18" s="441">
        <f t="shared" si="2"/>
        <v>3572115.456999999</v>
      </c>
      <c r="CM18" s="417">
        <f>IF(ISNUMBER(AK18),(AK18+'Janitza data '!S$49-'Janitza data '!S$50)," ")</f>
        <v>265342.44</v>
      </c>
    </row>
    <row r="19" spans="1:93">
      <c r="A19" s="292">
        <v>45078</v>
      </c>
      <c r="C19">
        <v>183254.03200000001</v>
      </c>
      <c r="D19">
        <v>1</v>
      </c>
      <c r="E19">
        <v>0</v>
      </c>
      <c r="G19">
        <v>705162.61499999999</v>
      </c>
      <c r="H19">
        <v>1</v>
      </c>
      <c r="I19">
        <v>3133.59</v>
      </c>
      <c r="J19">
        <v>0.93</v>
      </c>
      <c r="K19">
        <v>20666.544000000002</v>
      </c>
      <c r="L19">
        <v>0.99</v>
      </c>
      <c r="M19">
        <v>372011.73</v>
      </c>
      <c r="N19">
        <v>0.97</v>
      </c>
      <c r="O19">
        <v>26815.83</v>
      </c>
      <c r="P19">
        <v>1</v>
      </c>
      <c r="Q19">
        <v>16032.144</v>
      </c>
      <c r="R19">
        <v>1</v>
      </c>
      <c r="S19">
        <v>43089.98</v>
      </c>
      <c r="T19">
        <v>1</v>
      </c>
      <c r="W19">
        <v>67761.343999999997</v>
      </c>
      <c r="X19">
        <v>0.97</v>
      </c>
      <c r="Y19">
        <v>164157.53599999999</v>
      </c>
      <c r="Z19">
        <v>1</v>
      </c>
      <c r="AA19">
        <v>13155.4</v>
      </c>
      <c r="AB19">
        <v>1</v>
      </c>
      <c r="AC19">
        <v>166430.16</v>
      </c>
      <c r="AD19">
        <v>0.99</v>
      </c>
      <c r="AE19">
        <v>26535.41</v>
      </c>
      <c r="AF19">
        <v>1</v>
      </c>
      <c r="AG19">
        <v>97478.64</v>
      </c>
      <c r="AH19">
        <v>1</v>
      </c>
      <c r="AI19">
        <v>72472.047999999995</v>
      </c>
      <c r="AJ19">
        <v>0.98</v>
      </c>
      <c r="AK19">
        <v>116037.35</v>
      </c>
      <c r="AL19">
        <v>1</v>
      </c>
      <c r="AM19">
        <v>42945.811999999998</v>
      </c>
      <c r="AN19">
        <v>0.99</v>
      </c>
      <c r="AO19">
        <v>47554.16</v>
      </c>
      <c r="AP19">
        <v>0.99</v>
      </c>
      <c r="AQ19">
        <v>19802.705999999998</v>
      </c>
      <c r="AR19">
        <v>1</v>
      </c>
      <c r="AS19">
        <v>31001.29</v>
      </c>
      <c r="AT19">
        <v>0.99</v>
      </c>
      <c r="AU19">
        <v>40465.42</v>
      </c>
      <c r="AV19">
        <v>1</v>
      </c>
      <c r="AW19">
        <v>116943.007</v>
      </c>
      <c r="AX19">
        <v>1</v>
      </c>
      <c r="AY19">
        <v>73030.399999999994</v>
      </c>
      <c r="AZ19">
        <v>1</v>
      </c>
      <c r="BA19">
        <v>107742.208</v>
      </c>
      <c r="BB19">
        <v>1</v>
      </c>
      <c r="BC19">
        <v>134212.728</v>
      </c>
      <c r="BD19">
        <v>0.95</v>
      </c>
      <c r="BE19">
        <v>100029.216</v>
      </c>
      <c r="BF19">
        <v>0.98</v>
      </c>
      <c r="BG19">
        <v>117377.064</v>
      </c>
      <c r="BH19">
        <v>1</v>
      </c>
      <c r="BI19" s="1308">
        <v>35196.923999999999</v>
      </c>
      <c r="BJ19">
        <v>1</v>
      </c>
      <c r="BK19">
        <v>70256.207999999999</v>
      </c>
      <c r="BL19">
        <v>1</v>
      </c>
      <c r="BM19">
        <v>58440.413999999997</v>
      </c>
      <c r="BN19">
        <v>1</v>
      </c>
      <c r="BO19">
        <v>52418.192000000003</v>
      </c>
      <c r="BP19">
        <v>1</v>
      </c>
      <c r="BQ19">
        <v>46512.88</v>
      </c>
      <c r="BR19">
        <v>1</v>
      </c>
      <c r="BS19">
        <v>36914.980000000003</v>
      </c>
      <c r="BT19">
        <v>1</v>
      </c>
      <c r="BU19">
        <v>59856.656000000003</v>
      </c>
      <c r="BV19">
        <v>1</v>
      </c>
      <c r="BW19">
        <v>135291.69</v>
      </c>
      <c r="BX19">
        <v>1</v>
      </c>
      <c r="BY19">
        <v>41665.800000000003</v>
      </c>
      <c r="BZ19">
        <v>0.99</v>
      </c>
      <c r="CA19">
        <v>42812.95</v>
      </c>
      <c r="CB19">
        <v>1</v>
      </c>
      <c r="CC19">
        <v>182277.64799999999</v>
      </c>
      <c r="CD19">
        <v>0.94</v>
      </c>
      <c r="CE19" s="441">
        <f t="shared" si="0"/>
        <v>888416.647</v>
      </c>
      <c r="CF19">
        <f>IF(ISNUMBER(AI19),(AI19+AU19+'Janitza data '!T$310+'Janitza data '!T$11+'Janitza data '!T$574+'Janitza data '!T$258)," ")</f>
        <v>264983.83799999999</v>
      </c>
      <c r="CG19">
        <f t="shared" si="3"/>
        <v>608821.03599999996</v>
      </c>
      <c r="CH19">
        <f>IF(ISNUMBER(Q19),(Q19+W19+AM19+AO19+AS19+BA19+BE19+BG19+BY19+'Janitza data '!T$400+'Janitza data '!T$401)," ")</f>
        <v>634567.27800000005</v>
      </c>
      <c r="CI19">
        <f t="shared" si="1"/>
        <v>816367.0560000001</v>
      </c>
      <c r="CJ19">
        <f>IF(ISNUMBER(AY19),(AY19+'Janitza data '!N$254+'Janitza data '!N$270+'Janitza data '!N$269+'Janitza data '!N$403)," ")</f>
        <v>148359.01999999999</v>
      </c>
      <c r="CK19">
        <f>IF(ISNUMBER('Janitza data '!T$280),('Janitza data '!T$280+'Janitza data '!T$281+'Janitza data '!T$299)," ")</f>
        <v>221499.4</v>
      </c>
      <c r="CL19" s="441">
        <f t="shared" si="2"/>
        <v>3504665.0579999997</v>
      </c>
      <c r="CM19" s="417">
        <f>IF(ISNUMBER(AK19),(AK19+'Janitza data '!T$49-'Janitza data '!T$50)," ")</f>
        <v>258463.19999999998</v>
      </c>
    </row>
    <row r="20" spans="1:93">
      <c r="A20" s="292">
        <v>45108</v>
      </c>
      <c r="C20">
        <v>173091.27900000001</v>
      </c>
      <c r="D20">
        <v>1</v>
      </c>
      <c r="E20">
        <v>0</v>
      </c>
      <c r="G20">
        <v>748859.28099999996</v>
      </c>
      <c r="H20">
        <v>1</v>
      </c>
      <c r="I20">
        <v>3994.16</v>
      </c>
      <c r="J20">
        <v>0.95</v>
      </c>
      <c r="K20">
        <v>22171.088</v>
      </c>
      <c r="L20">
        <v>0.99</v>
      </c>
      <c r="M20">
        <v>387759.99</v>
      </c>
      <c r="N20">
        <v>0.97</v>
      </c>
      <c r="O20">
        <v>28442.85</v>
      </c>
      <c r="P20">
        <v>1</v>
      </c>
      <c r="Q20">
        <v>16537.567999999999</v>
      </c>
      <c r="R20">
        <v>1</v>
      </c>
      <c r="S20">
        <v>45188.7</v>
      </c>
      <c r="T20">
        <v>1</v>
      </c>
      <c r="W20">
        <v>71940.816000000006</v>
      </c>
      <c r="X20">
        <v>0.97</v>
      </c>
      <c r="Y20">
        <v>177625.24799999999</v>
      </c>
      <c r="Z20">
        <v>1</v>
      </c>
      <c r="AA20">
        <v>13588.34</v>
      </c>
      <c r="AB20">
        <v>1</v>
      </c>
      <c r="AC20">
        <v>172058.47200000001</v>
      </c>
      <c r="AD20">
        <v>0.99</v>
      </c>
      <c r="AE20">
        <v>29149.97</v>
      </c>
      <c r="AF20">
        <v>1</v>
      </c>
      <c r="AG20">
        <v>97891.520000000004</v>
      </c>
      <c r="AH20">
        <v>1</v>
      </c>
      <c r="AI20">
        <v>72544.72</v>
      </c>
      <c r="AJ20">
        <v>0.99</v>
      </c>
      <c r="AK20">
        <v>110863.88</v>
      </c>
      <c r="AL20">
        <v>1</v>
      </c>
      <c r="AM20">
        <v>49414.531999999999</v>
      </c>
      <c r="AN20">
        <v>0.99</v>
      </c>
      <c r="AO20">
        <v>54850.112000000001</v>
      </c>
      <c r="AP20">
        <v>0.99</v>
      </c>
      <c r="AQ20">
        <v>26899.542000000001</v>
      </c>
      <c r="AR20">
        <v>1</v>
      </c>
      <c r="AS20">
        <v>29638.99</v>
      </c>
      <c r="AT20">
        <v>0.99</v>
      </c>
      <c r="AU20">
        <v>35844.79</v>
      </c>
      <c r="AV20">
        <v>1</v>
      </c>
      <c r="AW20">
        <v>115648.37</v>
      </c>
      <c r="AX20">
        <v>1</v>
      </c>
      <c r="AY20">
        <v>77915.088000000003</v>
      </c>
      <c r="AZ20">
        <v>1</v>
      </c>
      <c r="BA20">
        <v>114602.624</v>
      </c>
      <c r="BB20">
        <v>1</v>
      </c>
      <c r="BC20">
        <v>136638.408</v>
      </c>
      <c r="BD20">
        <v>0.95</v>
      </c>
      <c r="BE20">
        <v>107326.10400000001</v>
      </c>
      <c r="BF20">
        <v>0.98</v>
      </c>
      <c r="BG20">
        <v>120743.32799999999</v>
      </c>
      <c r="BH20">
        <v>1</v>
      </c>
      <c r="BI20" s="1308">
        <v>36616.811999999998</v>
      </c>
      <c r="BJ20">
        <v>1</v>
      </c>
      <c r="BK20">
        <v>74350.399999999994</v>
      </c>
      <c r="BL20">
        <v>1</v>
      </c>
      <c r="BM20">
        <v>64171.284</v>
      </c>
      <c r="BN20">
        <v>1</v>
      </c>
      <c r="BO20">
        <v>57151.008000000002</v>
      </c>
      <c r="BP20">
        <v>1</v>
      </c>
      <c r="BQ20">
        <v>58065.65</v>
      </c>
      <c r="BR20">
        <v>1</v>
      </c>
      <c r="BS20">
        <v>40896.01</v>
      </c>
      <c r="BT20">
        <v>1</v>
      </c>
      <c r="BU20">
        <v>67210.271999999997</v>
      </c>
      <c r="BV20">
        <v>1</v>
      </c>
      <c r="BW20">
        <v>157192.74</v>
      </c>
      <c r="BX20">
        <v>1</v>
      </c>
      <c r="BY20">
        <v>44926.7</v>
      </c>
      <c r="BZ20">
        <v>0.99</v>
      </c>
      <c r="CA20">
        <v>48230.21</v>
      </c>
      <c r="CB20">
        <v>1</v>
      </c>
      <c r="CC20">
        <v>188744.136</v>
      </c>
      <c r="CD20">
        <v>0.94</v>
      </c>
      <c r="CE20" s="441">
        <f t="shared" si="0"/>
        <v>921950.55999999994</v>
      </c>
      <c r="CF20">
        <f>IF(ISNUMBER(AI20),(AI20+AU20+'Janitza data '!U$310+'Janitza data '!U$11+'Janitza data '!U$574+'Janitza data '!U$258)," ")</f>
        <v>254945.28</v>
      </c>
      <c r="CG20">
        <f t="shared" si="3"/>
        <v>681875.15599999996</v>
      </c>
      <c r="CH20">
        <f>IF(ISNUMBER(Q20),(Q20+W20+AM20+AO20+AS20+BA20+BE20+BG20+BY20+'Janitza data '!U$400+'Janitza data '!U$401)," ")</f>
        <v>678702.3139999999</v>
      </c>
      <c r="CI20">
        <f t="shared" si="1"/>
        <v>852917.73</v>
      </c>
      <c r="CJ20">
        <f>IF(ISNUMBER(AY20),(AY20+'Janitza data '!N$254+'Janitza data '!N$270+'Janitza data '!N$269+'Janitza data '!N$403)," ")</f>
        <v>153243.70800000001</v>
      </c>
      <c r="CK20">
        <f>IF(ISNUMBER('Janitza data '!U$280),('Janitza data '!U$280+'Janitza data '!U$281+'Janitza data '!U$299)," ")</f>
        <v>240045.06</v>
      </c>
      <c r="CL20" s="441">
        <f t="shared" si="2"/>
        <v>3690040.8559999997</v>
      </c>
      <c r="CM20" s="417">
        <f>IF(ISNUMBER(AK20),(AK20+'Janitza data '!U$49-'Janitza data '!U$50)," ")</f>
        <v>256666.13</v>
      </c>
    </row>
    <row r="21" spans="1:93">
      <c r="A21" s="292">
        <v>45139</v>
      </c>
      <c r="C21">
        <v>210237.75399999999</v>
      </c>
      <c r="D21">
        <v>1</v>
      </c>
      <c r="E21">
        <v>0</v>
      </c>
      <c r="G21">
        <v>806203.43099999998</v>
      </c>
      <c r="H21">
        <v>1</v>
      </c>
      <c r="I21">
        <v>3886.94</v>
      </c>
      <c r="J21">
        <v>0.95</v>
      </c>
      <c r="K21">
        <v>23310.784</v>
      </c>
      <c r="L21">
        <v>0.99</v>
      </c>
      <c r="M21">
        <v>402499.11</v>
      </c>
      <c r="N21">
        <v>0.97</v>
      </c>
      <c r="O21">
        <v>30425.3</v>
      </c>
      <c r="P21">
        <v>1</v>
      </c>
      <c r="Q21">
        <v>18685.092000000001</v>
      </c>
      <c r="R21">
        <v>1</v>
      </c>
      <c r="S21">
        <v>50202.879999999997</v>
      </c>
      <c r="T21">
        <v>1</v>
      </c>
      <c r="W21">
        <v>75776.847999999998</v>
      </c>
      <c r="X21">
        <v>0.97</v>
      </c>
      <c r="Y21">
        <v>184102.11199999999</v>
      </c>
      <c r="Z21">
        <v>1</v>
      </c>
      <c r="AA21">
        <v>15116.976000000001</v>
      </c>
      <c r="AB21">
        <v>1</v>
      </c>
      <c r="AC21">
        <v>171206.23199999999</v>
      </c>
      <c r="AD21">
        <v>0.99</v>
      </c>
      <c r="AE21">
        <v>29634</v>
      </c>
      <c r="AF21">
        <v>1</v>
      </c>
      <c r="AG21">
        <v>104124.68</v>
      </c>
      <c r="AH21">
        <v>1</v>
      </c>
      <c r="AI21">
        <v>73899.28</v>
      </c>
      <c r="AJ21">
        <v>0.99</v>
      </c>
      <c r="AK21">
        <v>96278.33</v>
      </c>
      <c r="AL21">
        <v>1</v>
      </c>
      <c r="AM21">
        <v>52117.707999999999</v>
      </c>
      <c r="AN21">
        <v>0.99</v>
      </c>
      <c r="AO21">
        <v>57357.599999999999</v>
      </c>
      <c r="AP21">
        <v>0.99</v>
      </c>
      <c r="AQ21">
        <v>29937.317999999999</v>
      </c>
      <c r="AR21">
        <v>1</v>
      </c>
      <c r="AS21">
        <v>31317.62</v>
      </c>
      <c r="AT21">
        <v>0.99</v>
      </c>
      <c r="AU21">
        <v>42621.73</v>
      </c>
      <c r="AV21">
        <v>1</v>
      </c>
      <c r="AW21">
        <v>128861.999</v>
      </c>
      <c r="AX21">
        <v>1</v>
      </c>
      <c r="AY21">
        <v>78235.903999999995</v>
      </c>
      <c r="AZ21">
        <v>1</v>
      </c>
      <c r="BA21">
        <v>122692.288</v>
      </c>
      <c r="BB21">
        <v>1</v>
      </c>
      <c r="BC21">
        <v>139276.22399999999</v>
      </c>
      <c r="BD21">
        <v>0.95</v>
      </c>
      <c r="BE21">
        <v>109576.368</v>
      </c>
      <c r="BF21">
        <v>0.98</v>
      </c>
      <c r="BG21">
        <v>127723.872</v>
      </c>
      <c r="BH21">
        <v>1</v>
      </c>
      <c r="BI21" s="1308">
        <v>39775.919999999998</v>
      </c>
      <c r="BJ21">
        <v>1</v>
      </c>
      <c r="BK21">
        <v>78171.199999999997</v>
      </c>
      <c r="BL21">
        <v>1</v>
      </c>
      <c r="BM21">
        <v>72355.278000000006</v>
      </c>
      <c r="BN21">
        <v>1</v>
      </c>
      <c r="BO21">
        <v>60545.264000000003</v>
      </c>
      <c r="BP21">
        <v>1</v>
      </c>
      <c r="BQ21">
        <v>64944.51</v>
      </c>
      <c r="BR21">
        <v>1</v>
      </c>
      <c r="BS21">
        <v>43619.31</v>
      </c>
      <c r="BT21">
        <v>1</v>
      </c>
      <c r="BU21">
        <v>72371.903999999995</v>
      </c>
      <c r="BV21">
        <v>1</v>
      </c>
      <c r="BW21">
        <v>167296.23000000001</v>
      </c>
      <c r="BX21">
        <v>1</v>
      </c>
      <c r="BY21">
        <v>49317.51</v>
      </c>
      <c r="BZ21">
        <v>0.99</v>
      </c>
      <c r="CA21">
        <v>53417.45</v>
      </c>
      <c r="CB21">
        <v>1</v>
      </c>
      <c r="CC21">
        <v>196934.136</v>
      </c>
      <c r="CD21">
        <v>0.95</v>
      </c>
      <c r="CE21" s="441">
        <f t="shared" si="0"/>
        <v>1016441.1849999999</v>
      </c>
      <c r="CF21">
        <f>IF(ISNUMBER(AI21),(AI21+AU21+'Janitza data '!V$310+'Janitza data '!V$11+'Janitza data '!V$574+'Janitza data '!V$258)," ")</f>
        <v>272015.06</v>
      </c>
      <c r="CG21">
        <f>IF(ISNUMBER(K21),(K21+O21+S21+AQ21+AS21+BI21+BM21+BO21+BQ21+BS21+BU21+BW21+CA21)," ")</f>
        <v>739519.76799999992</v>
      </c>
      <c r="CH21">
        <f>IF(ISNUMBER(Q21),(Q21+W21+AM21+AO21+AS21+BA21+BE21+BG21+BY21+'Janitza data '!V$400+'Janitza data '!V$401)," ")</f>
        <v>716406.95600000001</v>
      </c>
      <c r="CI21">
        <f t="shared" si="1"/>
        <v>880936.05</v>
      </c>
      <c r="CJ21">
        <f>IF(ISNUMBER(AY21),(AY21+'Janitza data '!N$254+'Janitza data '!N$270+'Janitza data '!N$269+'Janitza data '!N$403)," ")</f>
        <v>153564.524</v>
      </c>
      <c r="CK21">
        <f>IF(ISNUMBER('Janitza data '!V$280),('Janitza data '!V$280+'Janitza data '!V$281+'Janitza data '!V$299)," ")</f>
        <v>264653.82999999996</v>
      </c>
      <c r="CL21" s="441">
        <f t="shared" si="2"/>
        <v>3917122.9559999998</v>
      </c>
      <c r="CM21" s="417">
        <f>IF(ISNUMBER(AK21),(AK21+'Janitza data '!V$49-'Janitza data '!V$50)," ")</f>
        <v>239847.47000000003</v>
      </c>
      <c r="CO21" t="s">
        <v>1437</v>
      </c>
    </row>
    <row r="22" spans="1:93">
      <c r="A22" s="292">
        <v>45170</v>
      </c>
      <c r="C22">
        <v>207484.87</v>
      </c>
      <c r="D22">
        <v>1</v>
      </c>
      <c r="E22">
        <v>0</v>
      </c>
      <c r="G22">
        <v>658040.63699999999</v>
      </c>
      <c r="H22">
        <v>1</v>
      </c>
      <c r="I22">
        <v>3808.73</v>
      </c>
      <c r="J22">
        <v>0.96</v>
      </c>
      <c r="K22">
        <v>22019.871999999999</v>
      </c>
      <c r="L22">
        <v>0.99</v>
      </c>
      <c r="M22">
        <v>363714.15</v>
      </c>
      <c r="N22">
        <v>0.97</v>
      </c>
      <c r="O22">
        <v>27919.03</v>
      </c>
      <c r="P22">
        <v>1</v>
      </c>
      <c r="Q22">
        <v>17196.259999999998</v>
      </c>
      <c r="R22">
        <v>1</v>
      </c>
      <c r="S22">
        <v>48335.3</v>
      </c>
      <c r="T22">
        <v>1</v>
      </c>
      <c r="W22">
        <v>70297.216</v>
      </c>
      <c r="X22">
        <v>0.97</v>
      </c>
      <c r="Y22">
        <v>178650.62400000001</v>
      </c>
      <c r="Z22">
        <v>1</v>
      </c>
      <c r="AA22">
        <v>14412.316000000001</v>
      </c>
      <c r="AB22">
        <v>1</v>
      </c>
      <c r="AC22">
        <v>161057.016</v>
      </c>
      <c r="AD22">
        <v>0.99</v>
      </c>
      <c r="AE22">
        <v>20026.59</v>
      </c>
      <c r="AF22">
        <v>1</v>
      </c>
      <c r="AG22">
        <v>93749.84</v>
      </c>
      <c r="AH22">
        <v>1</v>
      </c>
      <c r="AI22">
        <v>69799.327999999994</v>
      </c>
      <c r="AJ22">
        <v>0.99</v>
      </c>
      <c r="AK22">
        <v>95328.88</v>
      </c>
      <c r="AL22">
        <v>1</v>
      </c>
      <c r="AM22">
        <v>43306.536</v>
      </c>
      <c r="AN22">
        <v>0.98</v>
      </c>
      <c r="AO22">
        <v>41488.735999999997</v>
      </c>
      <c r="AP22">
        <v>0.99</v>
      </c>
      <c r="AQ22">
        <v>24582.671999999999</v>
      </c>
      <c r="AR22">
        <v>1</v>
      </c>
      <c r="AS22">
        <v>28126.560000000001</v>
      </c>
      <c r="AT22">
        <v>0.99</v>
      </c>
      <c r="AU22">
        <v>39369.42</v>
      </c>
      <c r="AV22">
        <v>1</v>
      </c>
      <c r="AW22">
        <v>124658.97</v>
      </c>
      <c r="AX22">
        <v>1</v>
      </c>
      <c r="AY22">
        <v>67056.08</v>
      </c>
      <c r="AZ22">
        <v>1</v>
      </c>
      <c r="BA22">
        <v>117514.784</v>
      </c>
      <c r="BB22">
        <v>1</v>
      </c>
      <c r="BC22">
        <v>133371.52799999999</v>
      </c>
      <c r="BD22">
        <v>0.95</v>
      </c>
      <c r="BE22">
        <v>105502.848</v>
      </c>
      <c r="BF22">
        <v>0.98</v>
      </c>
      <c r="BG22">
        <v>116630.208</v>
      </c>
      <c r="BH22">
        <v>1</v>
      </c>
      <c r="BI22" s="1308">
        <v>35710.194000000003</v>
      </c>
      <c r="BJ22">
        <v>1</v>
      </c>
      <c r="BK22">
        <v>73683.664000000004</v>
      </c>
      <c r="BL22">
        <v>1</v>
      </c>
      <c r="BM22">
        <v>55839.516000000003</v>
      </c>
      <c r="BN22">
        <v>1</v>
      </c>
      <c r="BO22">
        <v>55404.671999999999</v>
      </c>
      <c r="BP22">
        <v>1</v>
      </c>
      <c r="BQ22">
        <v>50249.86</v>
      </c>
      <c r="BR22">
        <v>1</v>
      </c>
      <c r="BS22">
        <v>36273.910000000003</v>
      </c>
      <c r="BT22">
        <v>1</v>
      </c>
      <c r="BU22">
        <v>55375.408000000003</v>
      </c>
      <c r="BV22">
        <v>1</v>
      </c>
      <c r="BW22">
        <v>128108.64</v>
      </c>
      <c r="BX22">
        <v>1</v>
      </c>
      <c r="BY22">
        <v>39354.71</v>
      </c>
      <c r="BZ22">
        <v>0.99</v>
      </c>
      <c r="CA22">
        <v>41068.21</v>
      </c>
      <c r="CB22">
        <v>1</v>
      </c>
      <c r="CC22">
        <v>183167.68799999999</v>
      </c>
      <c r="CD22">
        <v>0.94</v>
      </c>
      <c r="CE22" s="441">
        <f t="shared" si="0"/>
        <v>865525.50699999998</v>
      </c>
      <c r="CF22">
        <f>IF(ISNUMBER(AI22),(AI22+AU22+'Janitza data '!W$310+'Janitza data '!W$11+'Janitza data '!W$574+'Janitza data '!W$258)," ")</f>
        <v>256261.45799999996</v>
      </c>
      <c r="CG22">
        <f t="shared" si="3"/>
        <v>609013.84399999992</v>
      </c>
      <c r="CH22">
        <f>IF(ISNUMBER(Q22),(Q22+W22+AM22+AO22+AS22+BA22+BE22+BG22+BY22+'Janitza data '!W$400+'Janitza data '!W$401)," ")</f>
        <v>634563.71799999999</v>
      </c>
      <c r="CI22">
        <f t="shared" si="1"/>
        <v>815392.67599999986</v>
      </c>
      <c r="CJ22">
        <f>IF(ISNUMBER(AY22),(AY22+'Janitza data '!N$254+'Janitza data '!N$270+'Janitza data '!N$269+'Janitza data '!N$403)," ")</f>
        <v>142384.70000000001</v>
      </c>
      <c r="CK22">
        <f>IF(ISNUMBER('Janitza data '!W$280),('Janitza data '!W$280+'Janitza data '!W$281+'Janitza data '!W$299)," ")</f>
        <v>210042.37</v>
      </c>
      <c r="CL22" s="441">
        <f t="shared" si="2"/>
        <v>3464517.7850000001</v>
      </c>
      <c r="CM22" s="417">
        <f>IF(ISNUMBER(AK22),(AK22+'Janitza data '!W$49-'Janitza data '!W$50)," ")</f>
        <v>236437.11000000002</v>
      </c>
    </row>
    <row r="23" spans="1:93">
      <c r="A23" s="292">
        <v>45200</v>
      </c>
      <c r="C23">
        <v>214024.144</v>
      </c>
      <c r="D23">
        <v>1</v>
      </c>
      <c r="E23">
        <v>0</v>
      </c>
      <c r="G23">
        <v>628327.72</v>
      </c>
      <c r="H23">
        <v>1</v>
      </c>
      <c r="I23">
        <v>3847.81</v>
      </c>
      <c r="J23">
        <v>0.96</v>
      </c>
      <c r="K23">
        <v>22910.128000000001</v>
      </c>
      <c r="L23">
        <v>0.99</v>
      </c>
      <c r="M23">
        <v>358924.05</v>
      </c>
      <c r="N23">
        <v>0.97</v>
      </c>
      <c r="O23">
        <v>33109.440000000002</v>
      </c>
      <c r="P23">
        <v>1</v>
      </c>
      <c r="Q23">
        <v>16794.475999999999</v>
      </c>
      <c r="R23">
        <v>1</v>
      </c>
      <c r="S23">
        <v>49045.51</v>
      </c>
      <c r="T23">
        <v>1</v>
      </c>
      <c r="W23">
        <v>70675.584000000003</v>
      </c>
      <c r="X23">
        <v>0.97</v>
      </c>
      <c r="Y23">
        <v>182715.51999999999</v>
      </c>
      <c r="Z23">
        <v>1</v>
      </c>
      <c r="AA23">
        <v>13303.995999999999</v>
      </c>
      <c r="AB23">
        <v>1</v>
      </c>
      <c r="AC23">
        <v>159781.75200000001</v>
      </c>
      <c r="AD23">
        <v>0.99</v>
      </c>
      <c r="AE23">
        <v>18207.46</v>
      </c>
      <c r="AF23">
        <v>1</v>
      </c>
      <c r="AG23">
        <v>119030.76</v>
      </c>
      <c r="AH23">
        <v>1</v>
      </c>
      <c r="AI23">
        <v>74480.144</v>
      </c>
      <c r="AJ23">
        <v>0.98</v>
      </c>
      <c r="AK23">
        <v>98905.8</v>
      </c>
      <c r="AL23">
        <v>1</v>
      </c>
      <c r="AM23">
        <v>40544.338000000003</v>
      </c>
      <c r="AN23">
        <v>0.98</v>
      </c>
      <c r="AO23">
        <v>34996.495999999999</v>
      </c>
      <c r="AP23">
        <v>0.99</v>
      </c>
      <c r="AQ23">
        <v>20931.48</v>
      </c>
      <c r="AR23">
        <v>1</v>
      </c>
      <c r="AS23">
        <v>28092.63</v>
      </c>
      <c r="AT23">
        <v>0.99</v>
      </c>
      <c r="AU23">
        <v>41325.46</v>
      </c>
      <c r="AV23">
        <v>1</v>
      </c>
      <c r="AW23">
        <v>120159.558</v>
      </c>
      <c r="AX23">
        <v>1</v>
      </c>
      <c r="AY23">
        <v>64860.911999999997</v>
      </c>
      <c r="AZ23">
        <v>1</v>
      </c>
      <c r="BA23">
        <v>118287.072</v>
      </c>
      <c r="BB23">
        <v>1</v>
      </c>
      <c r="BC23">
        <v>133075.152</v>
      </c>
      <c r="BD23">
        <v>0.95</v>
      </c>
      <c r="BE23">
        <v>105836.448</v>
      </c>
      <c r="BF23">
        <v>0.98</v>
      </c>
      <c r="BG23">
        <v>119734.944</v>
      </c>
      <c r="BH23">
        <v>1</v>
      </c>
      <c r="BI23" s="1308">
        <v>36279.696000000004</v>
      </c>
      <c r="BJ23">
        <v>1</v>
      </c>
      <c r="BK23">
        <v>75035.263999999996</v>
      </c>
      <c r="BL23">
        <v>1</v>
      </c>
      <c r="BM23">
        <v>49855.446000000004</v>
      </c>
      <c r="BN23">
        <v>1</v>
      </c>
      <c r="BO23">
        <v>54809.504000000001</v>
      </c>
      <c r="BP23">
        <v>1</v>
      </c>
      <c r="BQ23">
        <v>45822.86</v>
      </c>
      <c r="BR23">
        <v>1</v>
      </c>
      <c r="BS23">
        <v>34132.43</v>
      </c>
      <c r="BT23">
        <v>1</v>
      </c>
      <c r="BU23">
        <v>50002.591999999997</v>
      </c>
      <c r="BV23">
        <v>1</v>
      </c>
      <c r="BW23">
        <v>111405.12</v>
      </c>
      <c r="BX23">
        <v>1</v>
      </c>
      <c r="BY23">
        <v>36232.160000000003</v>
      </c>
      <c r="BZ23">
        <v>0.99</v>
      </c>
      <c r="CA23">
        <v>35495.620000000003</v>
      </c>
      <c r="CB23">
        <v>1</v>
      </c>
      <c r="CC23">
        <v>184144.008</v>
      </c>
      <c r="CD23">
        <v>0.94</v>
      </c>
      <c r="CE23" s="441">
        <f t="shared" si="0"/>
        <v>842351.86399999994</v>
      </c>
      <c r="CF23">
        <f>IF(ISNUMBER(AI23),(AI23+AU23+'Janitza data '!X$310+'Janitza data '!X$11+'Janitza data '!X$574+'Janitza data '!X$258)," ")</f>
        <v>263902.10399999999</v>
      </c>
      <c r="CG23">
        <f t="shared" si="3"/>
        <v>571892.45599999989</v>
      </c>
      <c r="CH23">
        <f>IF(ISNUMBER(Q23),(Q23+W23+AM23+AO23+AS23+BA23+BE23+BG23+BY23+'Janitza data '!X$400+'Janitza data '!X$401)," ")</f>
        <v>618875.67800000007</v>
      </c>
      <c r="CI23">
        <f t="shared" si="1"/>
        <v>837603.88800000004</v>
      </c>
      <c r="CJ23">
        <f>IF(ISNUMBER(AY23),(AY23+'Janitza data '!N$254+'Janitza data '!N$270+'Janitza data '!N$269+'Janitza data '!N$403)," ")</f>
        <v>140189.53200000001</v>
      </c>
      <c r="CK23">
        <f>IF(ISNUMBER('Janitza data '!X$280),('Janitza data '!X$280+'Janitza data '!X$281+'Janitza data '!X$299)," ")</f>
        <v>203447.29</v>
      </c>
      <c r="CL23" s="441">
        <f t="shared" si="2"/>
        <v>3420999.4760000007</v>
      </c>
      <c r="CM23" s="417">
        <f>IF(ISNUMBER(AK23),(AK23+'Janitza data '!X$49-'Janitza data '!X$50)," ")</f>
        <v>240031.18</v>
      </c>
    </row>
    <row r="24" spans="1:93">
      <c r="A24" s="292">
        <v>45231</v>
      </c>
      <c r="C24">
        <v>179996.57</v>
      </c>
      <c r="D24">
        <v>1</v>
      </c>
      <c r="E24">
        <v>7597.69</v>
      </c>
      <c r="F24">
        <v>1</v>
      </c>
      <c r="G24">
        <v>532530.48499999999</v>
      </c>
      <c r="H24">
        <v>1</v>
      </c>
      <c r="I24">
        <v>3521.52</v>
      </c>
      <c r="J24">
        <v>0.96</v>
      </c>
      <c r="K24">
        <v>14093.103999999999</v>
      </c>
      <c r="L24">
        <v>0.98</v>
      </c>
      <c r="M24">
        <v>330311.15999999997</v>
      </c>
      <c r="N24">
        <v>0.97</v>
      </c>
      <c r="O24">
        <v>18982.52</v>
      </c>
      <c r="P24">
        <v>1</v>
      </c>
      <c r="Q24">
        <v>13836.291999999999</v>
      </c>
      <c r="R24">
        <v>1</v>
      </c>
      <c r="S24">
        <v>25990.54</v>
      </c>
      <c r="T24">
        <v>0.99</v>
      </c>
      <c r="W24">
        <v>66990.34</v>
      </c>
      <c r="X24">
        <v>0.96</v>
      </c>
      <c r="Y24">
        <v>153083.81599999999</v>
      </c>
      <c r="Z24">
        <v>1</v>
      </c>
      <c r="AA24">
        <v>10927.763999999999</v>
      </c>
      <c r="AB24">
        <v>1</v>
      </c>
      <c r="AC24">
        <v>162793.93400000001</v>
      </c>
      <c r="AD24">
        <v>0.99</v>
      </c>
      <c r="AE24">
        <v>14862.94</v>
      </c>
      <c r="AF24">
        <v>1</v>
      </c>
      <c r="AG24">
        <v>113043.96</v>
      </c>
      <c r="AH24">
        <v>1</v>
      </c>
      <c r="AI24">
        <v>74787.600000000006</v>
      </c>
      <c r="AJ24">
        <v>0.98</v>
      </c>
      <c r="AK24">
        <v>99825.87</v>
      </c>
      <c r="AL24">
        <v>1</v>
      </c>
      <c r="AM24">
        <v>32469.8</v>
      </c>
      <c r="AN24">
        <v>0.98</v>
      </c>
      <c r="AO24">
        <v>29557.582999999999</v>
      </c>
      <c r="AP24">
        <v>0.98</v>
      </c>
      <c r="AQ24">
        <v>8698.9860000000008</v>
      </c>
      <c r="AR24">
        <v>1</v>
      </c>
      <c r="AS24">
        <v>24799.4</v>
      </c>
      <c r="AT24">
        <v>0.99</v>
      </c>
      <c r="AU24">
        <v>35486.959999999999</v>
      </c>
      <c r="AV24">
        <v>1</v>
      </c>
      <c r="AW24">
        <v>124389.943</v>
      </c>
      <c r="AX24">
        <v>1</v>
      </c>
      <c r="AY24">
        <v>58573.671999999999</v>
      </c>
      <c r="AZ24">
        <v>1</v>
      </c>
      <c r="BA24">
        <v>107095.07</v>
      </c>
      <c r="BB24">
        <v>1</v>
      </c>
      <c r="BC24">
        <v>125795.68799999999</v>
      </c>
      <c r="BD24">
        <v>0.95</v>
      </c>
      <c r="BE24">
        <v>107854.60799999999</v>
      </c>
      <c r="BF24">
        <v>0.98</v>
      </c>
      <c r="BG24">
        <v>106965.6</v>
      </c>
      <c r="BH24">
        <v>1</v>
      </c>
      <c r="BI24" s="1308">
        <v>25314.335999999999</v>
      </c>
      <c r="BJ24">
        <v>1</v>
      </c>
      <c r="BK24">
        <v>46442.784</v>
      </c>
      <c r="BL24">
        <v>1</v>
      </c>
      <c r="BM24">
        <v>21868.080000000002</v>
      </c>
      <c r="BN24">
        <v>1</v>
      </c>
      <c r="BO24">
        <v>27793.040000000001</v>
      </c>
      <c r="BP24">
        <v>1</v>
      </c>
      <c r="BQ24">
        <v>23561.33</v>
      </c>
      <c r="BR24">
        <v>1</v>
      </c>
      <c r="BS24">
        <v>17852.43</v>
      </c>
      <c r="BT24">
        <v>1</v>
      </c>
      <c r="BU24">
        <v>22012.191999999999</v>
      </c>
      <c r="BV24">
        <v>1</v>
      </c>
      <c r="BW24">
        <v>52243.41</v>
      </c>
      <c r="BX24">
        <v>1</v>
      </c>
      <c r="BY24">
        <v>31764.25</v>
      </c>
      <c r="BZ24">
        <v>0.99</v>
      </c>
      <c r="CA24">
        <v>15274.57</v>
      </c>
      <c r="CB24">
        <v>1</v>
      </c>
      <c r="CC24">
        <v>178781.68799999999</v>
      </c>
      <c r="CD24">
        <v>0.94</v>
      </c>
      <c r="CE24" s="441">
        <f t="shared" si="0"/>
        <v>720124.745</v>
      </c>
      <c r="CF24">
        <f>IF(ISNUMBER(AI24),(AI24+AU24+'Janitza data '!Y$310+'Janitza data '!Y$11+'Janitza data '!Y$574+'Janitza data '!Y$258)," ")</f>
        <v>234980.05</v>
      </c>
      <c r="CG24">
        <f t="shared" si="3"/>
        <v>298483.93800000002</v>
      </c>
      <c r="CH24">
        <f>IF(ISNUMBER(Q24),(Q24+W24+AM24+AO24+AS24+BA24+BE24+BG24+BY24+'Janitza data '!Y$400+'Janitza data '!Y$401)," ")</f>
        <v>559240.78299999994</v>
      </c>
      <c r="CI24">
        <f t="shared" si="1"/>
        <v>773682.15399999998</v>
      </c>
      <c r="CJ24">
        <f>IF(ISNUMBER(AY24),(AY24+'Janitza data '!N$254+'Janitza data '!N$270+'Janitza data '!N$269+'Janitza data '!N$403)," ")</f>
        <v>133902.29199999999</v>
      </c>
      <c r="CK24">
        <f>IF(ISNUMBER('Janitza data '!Y$280),('Janitza data '!Y$280+'Janitza data '!Y$281+'Janitza data '!Y$299)," ")</f>
        <v>182100.99</v>
      </c>
      <c r="CL24" s="441">
        <f t="shared" si="2"/>
        <v>2868989.8370000003</v>
      </c>
      <c r="CM24" s="417">
        <f>IF(ISNUMBER(AK24),(AK24+'Janitza data '!Y$49-'Janitza data '!Y$50)," ")</f>
        <v>245634.26</v>
      </c>
    </row>
    <row r="25" spans="1:93">
      <c r="A25" s="292">
        <v>45261</v>
      </c>
      <c r="C25">
        <v>160679.00200000001</v>
      </c>
      <c r="D25">
        <v>1</v>
      </c>
      <c r="E25">
        <v>0</v>
      </c>
      <c r="G25">
        <v>456496.69799999997</v>
      </c>
      <c r="H25">
        <v>1</v>
      </c>
      <c r="I25">
        <v>3764.02</v>
      </c>
      <c r="J25">
        <v>0.96</v>
      </c>
      <c r="K25">
        <v>10346.896000000001</v>
      </c>
      <c r="L25">
        <v>0.97</v>
      </c>
      <c r="M25">
        <v>305257.86</v>
      </c>
      <c r="N25">
        <v>0.96</v>
      </c>
      <c r="O25">
        <v>13153.44</v>
      </c>
      <c r="P25">
        <v>1</v>
      </c>
      <c r="Q25">
        <v>14427.436</v>
      </c>
      <c r="R25">
        <v>1</v>
      </c>
      <c r="S25">
        <v>15821.26</v>
      </c>
      <c r="T25">
        <v>0.99</v>
      </c>
      <c r="W25">
        <v>67839.600000000006</v>
      </c>
      <c r="X25">
        <v>0.96</v>
      </c>
      <c r="Y25">
        <v>147866.65599999999</v>
      </c>
      <c r="Z25">
        <v>1</v>
      </c>
      <c r="AA25">
        <v>11513.168</v>
      </c>
      <c r="AB25">
        <v>1</v>
      </c>
      <c r="AC25">
        <v>166406.83199999999</v>
      </c>
      <c r="AD25">
        <v>0.99</v>
      </c>
      <c r="AE25">
        <v>11450.26</v>
      </c>
      <c r="AF25">
        <v>1</v>
      </c>
      <c r="AG25">
        <v>116390.48</v>
      </c>
      <c r="AH25">
        <v>1</v>
      </c>
      <c r="AI25">
        <v>75385.936000000002</v>
      </c>
      <c r="AJ25">
        <v>0.97</v>
      </c>
      <c r="AK25">
        <v>103582.65</v>
      </c>
      <c r="AL25">
        <v>1</v>
      </c>
      <c r="AM25">
        <v>26551.527999999998</v>
      </c>
      <c r="AN25">
        <v>0.97</v>
      </c>
      <c r="AO25">
        <v>18906.128000000001</v>
      </c>
      <c r="AP25">
        <v>0.99</v>
      </c>
      <c r="AQ25">
        <v>7988.268</v>
      </c>
      <c r="AR25">
        <v>1</v>
      </c>
      <c r="AS25">
        <v>20844.599999999999</v>
      </c>
      <c r="AT25">
        <v>0.99</v>
      </c>
      <c r="AU25">
        <v>26873.48</v>
      </c>
      <c r="AV25">
        <v>1</v>
      </c>
      <c r="AW25">
        <v>102815.84299999999</v>
      </c>
      <c r="AX25">
        <v>1</v>
      </c>
      <c r="AY25">
        <v>48721.343999999997</v>
      </c>
      <c r="AZ25">
        <v>1</v>
      </c>
      <c r="BA25">
        <v>108938.52800000001</v>
      </c>
      <c r="BB25">
        <v>1</v>
      </c>
      <c r="BC25">
        <v>125404.224</v>
      </c>
      <c r="BD25">
        <v>0.96</v>
      </c>
      <c r="BE25">
        <v>109056.72</v>
      </c>
      <c r="BF25">
        <v>0.97</v>
      </c>
      <c r="BG25">
        <v>101231.704</v>
      </c>
      <c r="BH25">
        <v>1</v>
      </c>
      <c r="BI25" s="1308">
        <v>17194.937999999998</v>
      </c>
      <c r="BJ25">
        <v>1</v>
      </c>
      <c r="BK25">
        <v>31819.072</v>
      </c>
      <c r="BL25">
        <v>1</v>
      </c>
      <c r="BM25">
        <v>8332.5360000000001</v>
      </c>
      <c r="BN25">
        <v>1</v>
      </c>
      <c r="BO25">
        <v>12688.384</v>
      </c>
      <c r="BP25">
        <v>0.99</v>
      </c>
      <c r="BQ25">
        <v>12923.39</v>
      </c>
      <c r="BR25">
        <v>1</v>
      </c>
      <c r="BS25">
        <v>9201.08</v>
      </c>
      <c r="BT25">
        <v>1</v>
      </c>
      <c r="BU25">
        <v>9497.61</v>
      </c>
      <c r="BV25">
        <v>1</v>
      </c>
      <c r="BW25">
        <v>20119.32</v>
      </c>
      <c r="BX25">
        <v>0.99</v>
      </c>
      <c r="BY25">
        <v>27026.33</v>
      </c>
      <c r="BZ25">
        <v>0.98</v>
      </c>
      <c r="CA25">
        <v>9339.1200000000008</v>
      </c>
      <c r="CB25">
        <v>1</v>
      </c>
      <c r="CC25">
        <v>175916.4</v>
      </c>
      <c r="CD25">
        <v>0.94</v>
      </c>
      <c r="CE25" s="441">
        <f t="shared" si="0"/>
        <v>617175.69999999995</v>
      </c>
      <c r="CF25">
        <f>IF(ISNUMBER(AI25),(AI25+AU25+'Janitza data '!Z$310+'Janitza data '!Z$11+'Janitza data '!Z$574+'Janitza data '!Z$258)," ")</f>
        <v>198044.26599999997</v>
      </c>
      <c r="CG25">
        <f t="shared" si="3"/>
        <v>167450.842</v>
      </c>
      <c r="CH25">
        <f>IF(ISNUMBER(Q25),(Q25+W25+AM25+AO25+AS25+BA25+BE25+BG25+BY25+'Janitza data '!Z$400+'Janitza data '!Z$401)," ")</f>
        <v>523377.96400000009</v>
      </c>
      <c r="CI25">
        <f t="shared" si="1"/>
        <v>751199.01599999995</v>
      </c>
      <c r="CJ25">
        <f>IF(ISNUMBER(AY25),(AY25+'Janitza data '!N$254+'Janitza data '!N$270+'Janitza data '!N$269+'Janitza data '!N$403)," ")</f>
        <v>124049.96400000001</v>
      </c>
      <c r="CK25">
        <f>IF(ISNUMBER('Janitza data '!Z$280),('Janitza data '!Z$280+'Janitza data '!Z$281+'Janitza data '!Z$299)," ")</f>
        <v>166685.19</v>
      </c>
      <c r="CL25" s="441">
        <f t="shared" si="2"/>
        <v>2535856.341</v>
      </c>
      <c r="CM25" s="417">
        <f>IF(ISNUMBER(AK25),(AK25+'Janitza data '!Z$49-'Janitza data '!Z$50)," ")</f>
        <v>256734.90999999997</v>
      </c>
    </row>
    <row r="26" spans="1:93">
      <c r="A26" s="292">
        <v>45292</v>
      </c>
      <c r="C26">
        <v>169773.83799999999</v>
      </c>
      <c r="D26">
        <v>1</v>
      </c>
      <c r="E26">
        <v>0</v>
      </c>
      <c r="G26">
        <v>443670.11</v>
      </c>
      <c r="H26">
        <v>1</v>
      </c>
      <c r="I26">
        <v>3784.09</v>
      </c>
      <c r="J26">
        <v>0.96</v>
      </c>
      <c r="K26">
        <v>9163.3760000000002</v>
      </c>
      <c r="L26">
        <v>0.99</v>
      </c>
      <c r="M26">
        <v>318312.36</v>
      </c>
      <c r="N26">
        <v>0.96</v>
      </c>
      <c r="O26">
        <v>20138.18</v>
      </c>
      <c r="P26">
        <v>1</v>
      </c>
      <c r="Q26">
        <v>15907.64</v>
      </c>
      <c r="R26">
        <v>1</v>
      </c>
      <c r="S26">
        <v>13771.85</v>
      </c>
      <c r="T26">
        <v>1</v>
      </c>
      <c r="W26">
        <v>71428.512000000002</v>
      </c>
      <c r="X26">
        <v>0.95</v>
      </c>
      <c r="Y26">
        <v>157624.416</v>
      </c>
      <c r="Z26">
        <v>1</v>
      </c>
      <c r="AA26">
        <v>11420.24</v>
      </c>
      <c r="AB26">
        <v>1</v>
      </c>
      <c r="AC26">
        <v>165081.93599999999</v>
      </c>
      <c r="AD26">
        <v>0.99</v>
      </c>
      <c r="AE26">
        <v>9696.41</v>
      </c>
      <c r="AF26">
        <v>1</v>
      </c>
      <c r="AG26">
        <v>147614.04</v>
      </c>
      <c r="AH26">
        <v>1</v>
      </c>
      <c r="AI26">
        <v>77719.183999999994</v>
      </c>
      <c r="AJ26">
        <v>0.97</v>
      </c>
      <c r="AK26">
        <v>105940.95</v>
      </c>
      <c r="AL26">
        <v>1</v>
      </c>
      <c r="AM26">
        <v>31756.723999999998</v>
      </c>
      <c r="AN26">
        <v>0.97</v>
      </c>
      <c r="AO26">
        <v>17944.031999999999</v>
      </c>
      <c r="AP26">
        <v>0.97</v>
      </c>
      <c r="AQ26">
        <v>2764.4760000000001</v>
      </c>
      <c r="AR26">
        <v>0.98</v>
      </c>
      <c r="AS26">
        <v>22429.58</v>
      </c>
      <c r="AT26">
        <v>0.99</v>
      </c>
      <c r="AU26">
        <v>27918.83</v>
      </c>
      <c r="AV26">
        <v>1</v>
      </c>
      <c r="AW26">
        <v>105147.36199999999</v>
      </c>
      <c r="AX26">
        <v>1</v>
      </c>
      <c r="AY26">
        <v>48419.472000000002</v>
      </c>
      <c r="AZ26">
        <v>1</v>
      </c>
      <c r="BA26">
        <v>113115.232</v>
      </c>
      <c r="BB26">
        <v>1</v>
      </c>
      <c r="BC26">
        <v>126663</v>
      </c>
      <c r="BD26">
        <v>0.96</v>
      </c>
      <c r="BE26">
        <v>109383.592</v>
      </c>
      <c r="BF26">
        <v>0.97</v>
      </c>
      <c r="BG26">
        <v>106373.712</v>
      </c>
      <c r="BH26">
        <v>1</v>
      </c>
      <c r="BI26" s="1308">
        <v>20394.072</v>
      </c>
      <c r="BJ26">
        <v>1</v>
      </c>
      <c r="BK26">
        <v>32038.880000000001</v>
      </c>
      <c r="BL26">
        <v>1</v>
      </c>
      <c r="BM26">
        <v>6726.402</v>
      </c>
      <c r="BN26">
        <v>1</v>
      </c>
      <c r="BO26">
        <v>11983.296</v>
      </c>
      <c r="BP26">
        <v>0.99</v>
      </c>
      <c r="BQ26">
        <v>10425.9</v>
      </c>
      <c r="BR26">
        <v>1</v>
      </c>
      <c r="BS26">
        <v>8850.4699999999993</v>
      </c>
      <c r="BT26">
        <v>1</v>
      </c>
      <c r="BU26">
        <v>12526.704</v>
      </c>
      <c r="BV26">
        <v>1</v>
      </c>
      <c r="BW26">
        <v>24733.38</v>
      </c>
      <c r="BX26">
        <v>0.99</v>
      </c>
      <c r="BY26">
        <v>27669.599999999999</v>
      </c>
      <c r="BZ26">
        <v>0.98</v>
      </c>
      <c r="CA26">
        <v>8637.83</v>
      </c>
      <c r="CB26">
        <v>1</v>
      </c>
      <c r="CC26">
        <v>184514.736</v>
      </c>
      <c r="CD26">
        <v>0.94</v>
      </c>
      <c r="CE26" s="441">
        <f t="shared" si="0"/>
        <v>613443.94799999997</v>
      </c>
      <c r="CF26">
        <f>IF(ISNUMBER(AI26),(AI26+AU26+'Janitza data '!AA$310+'Janitza data '!AA$11+'Janitza data '!AA$574+'Janitza data '!AA$258)," ")</f>
        <v>215203.83399999997</v>
      </c>
      <c r="CG26">
        <f t="shared" si="3"/>
        <v>172545.516</v>
      </c>
      <c r="CH26">
        <f>IF(ISNUMBER(Q26),(Q26+W26+AM26+AO26+AS26+BA26+BE26+BG26+BY26+'Janitza data '!AA$400+'Janitza data '!AA$401)," ")</f>
        <v>540632.37399999995</v>
      </c>
      <c r="CI26">
        <f t="shared" si="1"/>
        <v>803837.08200000005</v>
      </c>
      <c r="CJ26">
        <f>IF(ISNUMBER(AY26),(AY26+'Janitza data '!N$254+'Janitza data '!N$270+'Janitza data '!N$269+'Janitza data '!N$403)," ")</f>
        <v>123748.09200000002</v>
      </c>
      <c r="CK26">
        <f>IF(ISNUMBER('Janitza data '!AA$280),('Janitza data '!AA$280+'Janitza data '!AA$281+'Janitza data '!AA$299)," ")</f>
        <v>164504.57999999999</v>
      </c>
      <c r="CL26" s="441">
        <f t="shared" si="2"/>
        <v>2616949.6779999998</v>
      </c>
      <c r="CM26" s="417">
        <f>IF(ISNUMBER(AK26),(AK26+'Janitza data '!AA$49-'Janitza data '!AA$50)," ")</f>
        <v>258325.72</v>
      </c>
    </row>
    <row r="27" spans="1:93">
      <c r="A27" s="292">
        <v>45323</v>
      </c>
      <c r="C27">
        <v>174615.70600000001</v>
      </c>
      <c r="D27">
        <v>1</v>
      </c>
      <c r="E27">
        <v>0</v>
      </c>
      <c r="G27">
        <v>458356.09700000001</v>
      </c>
      <c r="H27">
        <v>1</v>
      </c>
      <c r="I27">
        <v>3244.97</v>
      </c>
      <c r="J27">
        <v>0.96</v>
      </c>
      <c r="K27">
        <v>14354.08</v>
      </c>
      <c r="L27">
        <v>0.99</v>
      </c>
      <c r="M27">
        <v>317063.07</v>
      </c>
      <c r="N27">
        <v>0.96</v>
      </c>
      <c r="O27">
        <v>24040.41</v>
      </c>
      <c r="P27">
        <v>1</v>
      </c>
      <c r="Q27">
        <v>15755.776</v>
      </c>
      <c r="R27">
        <v>1</v>
      </c>
      <c r="S27">
        <v>27949.51</v>
      </c>
      <c r="T27">
        <v>1</v>
      </c>
      <c r="W27">
        <v>68321.952000000005</v>
      </c>
      <c r="X27">
        <v>0.95</v>
      </c>
      <c r="Y27">
        <v>160042.304</v>
      </c>
      <c r="Z27">
        <v>1</v>
      </c>
      <c r="AA27">
        <v>12308.644</v>
      </c>
      <c r="AB27">
        <v>1</v>
      </c>
      <c r="AC27">
        <v>153991.03200000001</v>
      </c>
      <c r="AD27">
        <v>0.99</v>
      </c>
      <c r="AE27">
        <v>9956.14</v>
      </c>
      <c r="AF27">
        <v>1</v>
      </c>
      <c r="AG27">
        <v>102219.52</v>
      </c>
      <c r="AH27">
        <v>1</v>
      </c>
      <c r="AI27">
        <v>71382.767999999996</v>
      </c>
      <c r="AJ27">
        <v>0.97</v>
      </c>
      <c r="AK27">
        <v>100690.24000000001</v>
      </c>
      <c r="AL27">
        <v>1</v>
      </c>
      <c r="AM27">
        <v>32569.655999999999</v>
      </c>
      <c r="AN27">
        <v>0.97</v>
      </c>
      <c r="AO27">
        <v>19589.504000000001</v>
      </c>
      <c r="AP27">
        <v>0.98</v>
      </c>
      <c r="AQ27">
        <v>2385.09</v>
      </c>
      <c r="AR27">
        <v>0.97</v>
      </c>
      <c r="AS27">
        <v>22809.18</v>
      </c>
      <c r="AT27">
        <v>0.99</v>
      </c>
      <c r="AU27">
        <v>32824.01</v>
      </c>
      <c r="AV27">
        <v>1</v>
      </c>
      <c r="AW27">
        <v>106097.383</v>
      </c>
      <c r="AX27">
        <v>1</v>
      </c>
      <c r="AY27">
        <v>50883.055999999997</v>
      </c>
      <c r="AZ27">
        <v>1</v>
      </c>
      <c r="BA27">
        <v>106883.296</v>
      </c>
      <c r="BB27">
        <v>1</v>
      </c>
      <c r="BC27">
        <v>123717.024</v>
      </c>
      <c r="BD27">
        <v>0.96</v>
      </c>
      <c r="BE27">
        <v>114057.288</v>
      </c>
      <c r="BF27">
        <v>0.97</v>
      </c>
      <c r="BG27">
        <v>105291.048</v>
      </c>
      <c r="BH27">
        <v>1</v>
      </c>
      <c r="BI27" s="1308">
        <v>28027.284</v>
      </c>
      <c r="BJ27">
        <v>1</v>
      </c>
      <c r="BK27">
        <v>47696.415999999997</v>
      </c>
      <c r="BL27">
        <v>1</v>
      </c>
      <c r="BM27">
        <v>15219.054</v>
      </c>
      <c r="BN27">
        <v>1</v>
      </c>
      <c r="BO27">
        <v>10702.992</v>
      </c>
      <c r="BP27">
        <v>0.99</v>
      </c>
      <c r="BQ27">
        <v>20920.3</v>
      </c>
      <c r="BR27">
        <v>1</v>
      </c>
      <c r="BS27">
        <v>17708.169999999998</v>
      </c>
      <c r="BT27">
        <v>1</v>
      </c>
      <c r="BU27">
        <v>24832.48</v>
      </c>
      <c r="BV27">
        <v>1</v>
      </c>
      <c r="BW27">
        <v>48780.57</v>
      </c>
      <c r="BX27">
        <v>1</v>
      </c>
      <c r="BY27">
        <v>28895.25</v>
      </c>
      <c r="BZ27">
        <v>0.98</v>
      </c>
      <c r="CA27">
        <v>10580.66</v>
      </c>
      <c r="CB27">
        <v>1</v>
      </c>
      <c r="CC27">
        <v>175950.88800000001</v>
      </c>
      <c r="CD27">
        <v>0.94</v>
      </c>
      <c r="CE27" s="441">
        <f t="shared" si="0"/>
        <v>632971.80300000007</v>
      </c>
      <c r="CF27">
        <f>IF(ISNUMBER(AI27),(AI27+AU27+'Janitza data '!AB$310+'Janitza data '!AB$11+'Janitza data '!AB$574+'Janitza data '!AB$258)," ")</f>
        <v>225400.29799999998</v>
      </c>
      <c r="CG27">
        <f t="shared" si="3"/>
        <v>268309.77999999997</v>
      </c>
      <c r="CH27">
        <f>IF(ISNUMBER(Q27),(Q27+W27+AM27+AO27+AS27+BA27+BE27+BG27+BY27+'Janitza data '!AB$400+'Janitza data '!AB$401)," ")</f>
        <v>541075.86</v>
      </c>
      <c r="CI27">
        <f t="shared" si="1"/>
        <v>748869.54</v>
      </c>
      <c r="CJ27">
        <f>IF(ISNUMBER(AY27),(AY27+'Janitza data '!N$254+'Janitza data '!N$270+'Janitza data '!N$269+'Janitza data '!N$403)," ")</f>
        <v>126211.67600000001</v>
      </c>
      <c r="CK27">
        <f>IF(ISNUMBER('Janitza data '!AB$280),('Janitza data '!AB$280+'Janitza data '!AB$281+'Janitza data '!AB$299)," ")</f>
        <v>154265.09</v>
      </c>
      <c r="CL27" s="441">
        <f t="shared" si="2"/>
        <v>2684761.93</v>
      </c>
      <c r="CM27" s="417">
        <f>IF(ISNUMBER(AK27),(AK27+'Janitza data '!AB$49-'Janitza data '!AB$50)," ")</f>
        <v>242451.00000000003</v>
      </c>
    </row>
    <row r="28" spans="1:93">
      <c r="A28" s="292">
        <v>45352</v>
      </c>
      <c r="C28">
        <v>197683.764</v>
      </c>
      <c r="D28">
        <v>1</v>
      </c>
      <c r="E28">
        <v>0</v>
      </c>
      <c r="G28">
        <v>559732.27899999998</v>
      </c>
      <c r="H28">
        <v>1</v>
      </c>
      <c r="I28">
        <v>3369.88</v>
      </c>
      <c r="J28">
        <v>0.97</v>
      </c>
      <c r="K28">
        <v>22236.096000000001</v>
      </c>
      <c r="L28">
        <v>0.99</v>
      </c>
      <c r="M28">
        <v>346621.38</v>
      </c>
      <c r="N28">
        <v>0.97</v>
      </c>
      <c r="O28">
        <v>26937.13</v>
      </c>
      <c r="P28">
        <v>1</v>
      </c>
      <c r="Q28">
        <v>19009.436000000002</v>
      </c>
      <c r="R28">
        <v>1</v>
      </c>
      <c r="S28">
        <v>46602.68</v>
      </c>
      <c r="T28">
        <v>1</v>
      </c>
      <c r="W28">
        <v>68626.271999999997</v>
      </c>
      <c r="X28">
        <v>0.96</v>
      </c>
      <c r="Y28">
        <v>172928.96</v>
      </c>
      <c r="Z28">
        <v>1</v>
      </c>
      <c r="AA28">
        <v>14849.736000000001</v>
      </c>
      <c r="AB28">
        <v>1</v>
      </c>
      <c r="AC28">
        <v>164501.136</v>
      </c>
      <c r="AD28">
        <v>0.99</v>
      </c>
      <c r="AE28">
        <v>15454.63</v>
      </c>
      <c r="AF28">
        <v>1</v>
      </c>
      <c r="AG28">
        <v>105732</v>
      </c>
      <c r="AH28">
        <v>1</v>
      </c>
      <c r="AI28">
        <v>74715.072</v>
      </c>
      <c r="AJ28">
        <v>0.98</v>
      </c>
      <c r="AK28">
        <v>104272.47</v>
      </c>
      <c r="AL28">
        <v>1</v>
      </c>
      <c r="AM28">
        <v>36598.5</v>
      </c>
      <c r="AN28">
        <v>0.98</v>
      </c>
      <c r="AO28">
        <v>28936.48</v>
      </c>
      <c r="AP28">
        <v>0.99</v>
      </c>
      <c r="AQ28">
        <v>3756.1680000000001</v>
      </c>
      <c r="AR28">
        <v>0.99</v>
      </c>
      <c r="AS28">
        <v>26827.71</v>
      </c>
      <c r="AT28">
        <v>0.99</v>
      </c>
      <c r="AU28">
        <v>38080.15</v>
      </c>
      <c r="AV28">
        <v>1</v>
      </c>
      <c r="AW28">
        <v>118655.003</v>
      </c>
      <c r="AX28">
        <v>1</v>
      </c>
      <c r="AY28">
        <v>64376.911999999997</v>
      </c>
      <c r="AZ28">
        <v>1</v>
      </c>
      <c r="BA28">
        <v>117386.208</v>
      </c>
      <c r="BB28">
        <v>1</v>
      </c>
      <c r="BC28">
        <v>131844.93599999999</v>
      </c>
      <c r="BD28">
        <v>0.96</v>
      </c>
      <c r="BE28">
        <v>116187.36</v>
      </c>
      <c r="BF28">
        <v>0.98</v>
      </c>
      <c r="BG28">
        <v>114991.92</v>
      </c>
      <c r="BH28">
        <v>1</v>
      </c>
      <c r="BI28" s="1308">
        <v>42300.065999999999</v>
      </c>
      <c r="BJ28">
        <v>1</v>
      </c>
      <c r="BK28">
        <v>69449.039999999994</v>
      </c>
      <c r="BL28">
        <v>1</v>
      </c>
      <c r="BM28">
        <v>34178.904000000002</v>
      </c>
      <c r="BN28">
        <v>1</v>
      </c>
      <c r="BO28">
        <v>12014.191999999999</v>
      </c>
      <c r="BP28">
        <v>0.99</v>
      </c>
      <c r="BQ28">
        <v>39436.14</v>
      </c>
      <c r="BR28">
        <v>1</v>
      </c>
      <c r="BS28">
        <v>30401.32</v>
      </c>
      <c r="BT28">
        <v>1</v>
      </c>
      <c r="BU28">
        <v>49357.440000000002</v>
      </c>
      <c r="BV28">
        <v>1</v>
      </c>
      <c r="BW28">
        <v>84582.51</v>
      </c>
      <c r="BX28">
        <v>1</v>
      </c>
      <c r="BY28">
        <v>35240.74</v>
      </c>
      <c r="BZ28">
        <v>0.98</v>
      </c>
      <c r="CA28">
        <v>20783.32</v>
      </c>
      <c r="CB28">
        <v>1</v>
      </c>
      <c r="CC28">
        <v>180391.96799999999</v>
      </c>
      <c r="CD28">
        <v>0.94</v>
      </c>
      <c r="CE28" s="441">
        <f t="shared" si="0"/>
        <v>757416.04299999995</v>
      </c>
      <c r="CF28">
        <f>IF(ISNUMBER(AI28),(AI28+AU28+'Janitza data '!AC$310+'Janitza data '!AC$11+'Janitza data '!AC$574+'Janitza data '!AC$258)," ")</f>
        <v>255783.90199999997</v>
      </c>
      <c r="CG28">
        <f t="shared" si="3"/>
        <v>439413.67600000004</v>
      </c>
      <c r="CH28">
        <f>IF(ISNUMBER(Q28),(Q28+W28+AM28+AO28+AS28+BA28+BE28+BG28+BY28+'Janitza data '!AC$400+'Janitza data '!AC$401)," ")</f>
        <v>602785.36599999992</v>
      </c>
      <c r="CI28">
        <f t="shared" si="1"/>
        <v>808003.09199999995</v>
      </c>
      <c r="CJ28">
        <f>IF(ISNUMBER(AY28),(AY28+'Janitza data '!N$254+'Janitza data '!N$270+'Janitza data '!N$269+'Janitza data '!N$403)," ")</f>
        <v>139705.53200000001</v>
      </c>
      <c r="CK28">
        <f>IF(ISNUMBER('Janitza data '!AC$280),('Janitza data '!AC$280+'Janitza data '!AC$281+'Janitza data '!AC$299)," ")</f>
        <v>179273.72999999998</v>
      </c>
      <c r="CL28" s="441">
        <f t="shared" si="2"/>
        <v>3158657.9399999995</v>
      </c>
      <c r="CM28" s="417">
        <f>IF(ISNUMBER(AK28),(AK28+'Janitza data '!AC$49-'Janitza data '!AC$50)," ")</f>
        <v>254363.46999999997</v>
      </c>
    </row>
    <row r="29" spans="1:93">
      <c r="A29" s="292">
        <v>45383</v>
      </c>
      <c r="C29">
        <v>197035.85399999999</v>
      </c>
      <c r="D29">
        <v>1</v>
      </c>
      <c r="E29">
        <v>0</v>
      </c>
      <c r="G29">
        <v>597105.73300000001</v>
      </c>
      <c r="H29">
        <v>1</v>
      </c>
      <c r="I29">
        <v>3150.07</v>
      </c>
      <c r="J29">
        <v>0.96</v>
      </c>
      <c r="K29">
        <v>21765.536</v>
      </c>
      <c r="L29">
        <v>0.99</v>
      </c>
      <c r="M29">
        <v>341710.23</v>
      </c>
      <c r="N29">
        <v>0.97</v>
      </c>
      <c r="O29">
        <v>26850.27</v>
      </c>
      <c r="P29">
        <v>1</v>
      </c>
      <c r="Q29">
        <v>19375.060000000001</v>
      </c>
      <c r="R29">
        <v>1</v>
      </c>
      <c r="S29">
        <v>45107.89</v>
      </c>
      <c r="T29">
        <v>1</v>
      </c>
      <c r="W29">
        <v>66733.039999999994</v>
      </c>
      <c r="X29">
        <v>0.97</v>
      </c>
      <c r="Y29">
        <v>173134.49600000001</v>
      </c>
      <c r="Z29">
        <v>1</v>
      </c>
      <c r="AA29">
        <v>13861.072</v>
      </c>
      <c r="AB29">
        <v>1</v>
      </c>
      <c r="AC29">
        <v>160522.44</v>
      </c>
      <c r="AD29">
        <v>0.99</v>
      </c>
      <c r="AE29">
        <v>19798.669999999998</v>
      </c>
      <c r="AF29">
        <v>1</v>
      </c>
      <c r="AG29">
        <v>102784.12</v>
      </c>
      <c r="AH29">
        <v>1</v>
      </c>
      <c r="AI29">
        <v>70677.248000000007</v>
      </c>
      <c r="AJ29">
        <v>0.98</v>
      </c>
      <c r="AK29">
        <v>97562.71</v>
      </c>
      <c r="AL29">
        <v>1</v>
      </c>
      <c r="AM29">
        <v>37857.991999999998</v>
      </c>
      <c r="AN29">
        <v>0.99</v>
      </c>
      <c r="AO29">
        <v>32909.552000000003</v>
      </c>
      <c r="AP29">
        <v>0.99</v>
      </c>
      <c r="AQ29">
        <v>3857.82</v>
      </c>
      <c r="AR29">
        <v>0.98</v>
      </c>
      <c r="AS29">
        <v>26536.04</v>
      </c>
      <c r="AT29">
        <v>0.99</v>
      </c>
      <c r="AU29">
        <v>36477.99</v>
      </c>
      <c r="AV29">
        <v>1</v>
      </c>
      <c r="AW29">
        <v>111649.788</v>
      </c>
      <c r="AX29">
        <v>1</v>
      </c>
      <c r="AY29">
        <v>66360.56</v>
      </c>
      <c r="AZ29">
        <v>1</v>
      </c>
      <c r="BA29">
        <v>109636.128</v>
      </c>
      <c r="BB29">
        <v>1</v>
      </c>
      <c r="BC29">
        <v>124997.25599999999</v>
      </c>
      <c r="BD29">
        <v>0.96</v>
      </c>
      <c r="BE29">
        <v>108442.152</v>
      </c>
      <c r="BF29">
        <v>0.98</v>
      </c>
      <c r="BG29">
        <v>105974.18399999999</v>
      </c>
      <c r="BH29">
        <v>1</v>
      </c>
      <c r="BI29" s="1308">
        <v>38569.752</v>
      </c>
      <c r="BJ29">
        <v>1</v>
      </c>
      <c r="BK29">
        <v>67209.376000000004</v>
      </c>
      <c r="BL29">
        <v>1</v>
      </c>
      <c r="BM29">
        <v>47464.595999999998</v>
      </c>
      <c r="BN29">
        <v>1</v>
      </c>
      <c r="BO29">
        <v>11219.808000000001</v>
      </c>
      <c r="BP29">
        <v>0.98</v>
      </c>
      <c r="BQ29">
        <v>44637.58</v>
      </c>
      <c r="BR29">
        <v>1</v>
      </c>
      <c r="BS29">
        <v>33610.44</v>
      </c>
      <c r="BT29">
        <v>1</v>
      </c>
      <c r="BU29">
        <v>52254.464</v>
      </c>
      <c r="BV29">
        <v>1</v>
      </c>
      <c r="BW29">
        <v>102362.4</v>
      </c>
      <c r="BX29">
        <v>1</v>
      </c>
      <c r="BY29">
        <v>34872.959999999999</v>
      </c>
      <c r="BZ29">
        <v>0.99</v>
      </c>
      <c r="CA29">
        <v>28936.61</v>
      </c>
      <c r="CB29">
        <v>1</v>
      </c>
      <c r="CC29">
        <v>173665.872</v>
      </c>
      <c r="CD29">
        <v>0.94</v>
      </c>
      <c r="CE29" s="441">
        <f t="shared" si="0"/>
        <v>794141.58700000006</v>
      </c>
      <c r="CF29">
        <f t="shared" ref="CF29:CF53" si="8">IF(ISNUMBER(AI29),(AI29+AU29)," ")</f>
        <v>107155.23800000001</v>
      </c>
      <c r="CG29">
        <f t="shared" si="3"/>
        <v>483173.20600000001</v>
      </c>
      <c r="CH29">
        <f>IF(ISNUMBER(Q29),(Q29+W29+AM29+AO29+AS29+BA29+BE29+BG29+BY29+'Janitza data '!AD$400+'Janitza data '!AD$401)," ")</f>
        <v>587262.80800000008</v>
      </c>
      <c r="CI29">
        <f t="shared" si="1"/>
        <v>795162.42799999996</v>
      </c>
      <c r="CJ29">
        <f>IF(ISNUMBER(AY29),(AY29+'Janitza data '!N$254+'Janitza data '!N$270+'Janitza data '!N$269+'Janitza data '!N$403)," ")</f>
        <v>141689.18</v>
      </c>
      <c r="CK29">
        <f>IF(ISNUMBER('Janitza data '!AD$280),('Janitza data '!AD$280+'Janitza data '!AD$281+'Janitza data '!AD$299)," ")</f>
        <v>204359.69</v>
      </c>
      <c r="CL29" s="441">
        <f t="shared" si="2"/>
        <v>3183011.8870000001</v>
      </c>
      <c r="CM29" s="417">
        <f>IF(ISNUMBER(AK29),(AK29+'Janitza data '!AD$49-'Janitza data '!AD$50)," ")</f>
        <v>241385.82</v>
      </c>
    </row>
    <row r="30" spans="1:93">
      <c r="A30" s="292">
        <v>45413</v>
      </c>
      <c r="C30">
        <v>229761.81200000001</v>
      </c>
      <c r="D30">
        <v>1</v>
      </c>
      <c r="E30">
        <v>0</v>
      </c>
      <c r="G30">
        <v>795130.11499999999</v>
      </c>
      <c r="H30">
        <v>1</v>
      </c>
      <c r="I30">
        <v>3310.32</v>
      </c>
      <c r="J30">
        <v>0.95</v>
      </c>
      <c r="K30">
        <v>23636.624</v>
      </c>
      <c r="L30">
        <v>0.99</v>
      </c>
      <c r="M30">
        <v>385315.95</v>
      </c>
      <c r="N30">
        <v>0.98</v>
      </c>
      <c r="O30">
        <v>35148.400000000001</v>
      </c>
      <c r="P30">
        <v>1</v>
      </c>
      <c r="Q30">
        <v>23438.272000000001</v>
      </c>
      <c r="R30">
        <v>1</v>
      </c>
      <c r="S30">
        <v>56862.59</v>
      </c>
      <c r="T30">
        <v>1</v>
      </c>
      <c r="W30">
        <v>72304.335999999996</v>
      </c>
      <c r="X30">
        <v>0.97</v>
      </c>
      <c r="Y30">
        <v>177966.272</v>
      </c>
      <c r="Z30">
        <v>1</v>
      </c>
      <c r="AA30">
        <v>15613.6</v>
      </c>
      <c r="AB30">
        <v>1</v>
      </c>
      <c r="AC30">
        <v>171699.288</v>
      </c>
      <c r="AD30">
        <v>1</v>
      </c>
      <c r="AE30">
        <v>29674.44</v>
      </c>
      <c r="AF30">
        <v>1</v>
      </c>
      <c r="AG30">
        <v>105924.52</v>
      </c>
      <c r="AH30">
        <v>1</v>
      </c>
      <c r="AI30">
        <v>73802.032000000007</v>
      </c>
      <c r="AJ30">
        <v>0.99</v>
      </c>
      <c r="AK30">
        <v>103927.94</v>
      </c>
      <c r="AL30">
        <v>1</v>
      </c>
      <c r="AM30">
        <v>44293.440000000002</v>
      </c>
      <c r="AN30">
        <v>0.99</v>
      </c>
      <c r="AO30">
        <v>50648.767999999996</v>
      </c>
      <c r="AP30">
        <v>0.99</v>
      </c>
      <c r="AQ30">
        <v>5692.08</v>
      </c>
      <c r="AR30">
        <v>1</v>
      </c>
      <c r="AS30">
        <v>30552.03</v>
      </c>
      <c r="AT30">
        <v>0.99</v>
      </c>
      <c r="AU30">
        <v>41005.71</v>
      </c>
      <c r="AV30">
        <v>1</v>
      </c>
      <c r="AW30">
        <v>101387.66899999999</v>
      </c>
      <c r="AX30">
        <v>1</v>
      </c>
      <c r="AY30">
        <v>82209.055999999997</v>
      </c>
      <c r="AZ30">
        <v>1</v>
      </c>
      <c r="BA30">
        <v>120342.81600000001</v>
      </c>
      <c r="BB30">
        <v>1</v>
      </c>
      <c r="BC30">
        <v>133525.008</v>
      </c>
      <c r="BD30">
        <v>0.96</v>
      </c>
      <c r="BE30">
        <v>111755.25599999999</v>
      </c>
      <c r="BF30">
        <v>0.98</v>
      </c>
      <c r="BG30">
        <v>121622.88</v>
      </c>
      <c r="BH30">
        <v>1</v>
      </c>
      <c r="BI30" s="1308">
        <v>41053.158000000003</v>
      </c>
      <c r="BJ30">
        <v>1</v>
      </c>
      <c r="BK30">
        <v>82622.288</v>
      </c>
      <c r="BL30">
        <v>1</v>
      </c>
      <c r="BM30">
        <v>73830.822</v>
      </c>
      <c r="BN30">
        <v>1</v>
      </c>
      <c r="BO30">
        <v>11267.52</v>
      </c>
      <c r="BP30">
        <v>0.98</v>
      </c>
      <c r="BQ30">
        <v>70126.98</v>
      </c>
      <c r="BR30">
        <v>1</v>
      </c>
      <c r="BS30">
        <v>43964.85</v>
      </c>
      <c r="BT30">
        <v>1</v>
      </c>
      <c r="BU30">
        <v>74943.232000000004</v>
      </c>
      <c r="BV30">
        <v>1</v>
      </c>
      <c r="BW30">
        <v>158520.29999999999</v>
      </c>
      <c r="BX30">
        <v>1</v>
      </c>
      <c r="BY30">
        <v>41494.519999999997</v>
      </c>
      <c r="BZ30">
        <v>0.99</v>
      </c>
      <c r="CA30">
        <v>49899.82</v>
      </c>
      <c r="CB30">
        <v>1</v>
      </c>
      <c r="CC30">
        <v>186063.024</v>
      </c>
      <c r="CD30">
        <v>0.95</v>
      </c>
      <c r="CE30" s="441">
        <f t="shared" si="0"/>
        <v>1024891.927</v>
      </c>
      <c r="CF30">
        <f t="shared" si="8"/>
        <v>114807.742</v>
      </c>
      <c r="CG30">
        <f t="shared" si="3"/>
        <v>675498.40599999984</v>
      </c>
      <c r="CH30">
        <f t="shared" ref="CH30:CH53" si="9">IF(ISNUMBER(Q30),(Q30+W30+AM30+AO30+AS30+BA30+BE30+BG30+BY30)," ")</f>
        <v>616452.31799999997</v>
      </c>
      <c r="CI30">
        <f t="shared" si="1"/>
        <v>859829.95</v>
      </c>
      <c r="CJ30">
        <f>IF(ISNUMBER(AY30),(AY30+'Janitza data '!N$254+'Janitza data '!N$270+'Janitza data '!N$269+'Janitza data '!N$403)," ")</f>
        <v>157537.67600000001</v>
      </c>
      <c r="CK30">
        <f>IF(ISNUMBER('Janitza data '!AE$280),('Janitza data '!AE$280+'Janitza data '!AE$281+'Janitza data '!AE$299)," ")</f>
        <v>282090.51</v>
      </c>
      <c r="CL30" s="441">
        <f t="shared" si="2"/>
        <v>3794274.7139999992</v>
      </c>
      <c r="CM30" s="417">
        <f>IF(ISNUMBER(AK30),(AK30+'Janitza data '!AE$49-'Janitza data '!AE$50)," ")</f>
        <v>253649.53999999998</v>
      </c>
    </row>
    <row r="31" spans="1:93">
      <c r="A31" s="292">
        <v>45444</v>
      </c>
      <c r="C31">
        <v>202655.10500000001</v>
      </c>
      <c r="D31">
        <v>1</v>
      </c>
      <c r="E31">
        <v>0</v>
      </c>
      <c r="G31">
        <v>701132.01300000004</v>
      </c>
      <c r="H31">
        <v>1</v>
      </c>
      <c r="I31">
        <v>3205.54</v>
      </c>
      <c r="J31">
        <v>0.95</v>
      </c>
      <c r="K31">
        <v>20329.727999999999</v>
      </c>
      <c r="L31">
        <v>0.99</v>
      </c>
      <c r="M31">
        <v>357529.83</v>
      </c>
      <c r="N31">
        <v>0.98</v>
      </c>
      <c r="O31">
        <v>41268.9</v>
      </c>
      <c r="P31">
        <v>1</v>
      </c>
      <c r="Q31">
        <v>18902.484</v>
      </c>
      <c r="R31">
        <v>1</v>
      </c>
      <c r="S31">
        <v>42865.8</v>
      </c>
      <c r="T31">
        <v>1</v>
      </c>
      <c r="W31">
        <v>65879.520000000004</v>
      </c>
      <c r="X31">
        <v>0.97</v>
      </c>
      <c r="Y31">
        <v>154455.16800000001</v>
      </c>
      <c r="Z31">
        <v>1</v>
      </c>
      <c r="AA31">
        <v>13144.6</v>
      </c>
      <c r="AB31">
        <v>1</v>
      </c>
      <c r="AC31">
        <v>165365.47200000001</v>
      </c>
      <c r="AD31">
        <v>1</v>
      </c>
      <c r="AE31">
        <v>27463.23</v>
      </c>
      <c r="AF31">
        <v>1</v>
      </c>
      <c r="AG31">
        <v>106150.04</v>
      </c>
      <c r="AH31">
        <v>1</v>
      </c>
      <c r="AI31">
        <v>70942.271999999997</v>
      </c>
      <c r="AJ31">
        <v>0.99</v>
      </c>
      <c r="AK31">
        <v>103556.12</v>
      </c>
      <c r="AL31">
        <v>1</v>
      </c>
      <c r="AM31">
        <v>47224.959999999999</v>
      </c>
      <c r="AN31">
        <v>0.99</v>
      </c>
      <c r="AO31">
        <v>47485.392</v>
      </c>
      <c r="AP31">
        <v>0.99</v>
      </c>
      <c r="AQ31">
        <v>4397.9759999999997</v>
      </c>
      <c r="AR31">
        <v>0.99</v>
      </c>
      <c r="AS31">
        <v>27420.78</v>
      </c>
      <c r="AT31">
        <v>1</v>
      </c>
      <c r="AU31">
        <v>39874.71</v>
      </c>
      <c r="AV31">
        <v>1</v>
      </c>
      <c r="AW31">
        <v>95472.274000000005</v>
      </c>
      <c r="AX31">
        <v>1</v>
      </c>
      <c r="AY31">
        <v>76504.800000000003</v>
      </c>
      <c r="AZ31">
        <v>1</v>
      </c>
      <c r="BA31">
        <v>109540.864</v>
      </c>
      <c r="BB31">
        <v>1</v>
      </c>
      <c r="BC31">
        <v>124361.784</v>
      </c>
      <c r="BD31">
        <v>0.96</v>
      </c>
      <c r="BE31">
        <v>105129.768</v>
      </c>
      <c r="BF31">
        <v>0.98</v>
      </c>
      <c r="BG31">
        <v>115197.09600000001</v>
      </c>
      <c r="BH31">
        <v>1</v>
      </c>
      <c r="BI31" s="1308">
        <v>35578.464</v>
      </c>
      <c r="BJ31">
        <v>1</v>
      </c>
      <c r="BK31">
        <v>67335.631999999998</v>
      </c>
      <c r="BL31">
        <v>1</v>
      </c>
      <c r="BM31">
        <v>59431.362000000001</v>
      </c>
      <c r="BN31">
        <v>1</v>
      </c>
      <c r="BO31">
        <v>8807.0400000000009</v>
      </c>
      <c r="BP31">
        <v>0.99</v>
      </c>
      <c r="BQ31">
        <v>56526.2</v>
      </c>
      <c r="BR31">
        <v>1</v>
      </c>
      <c r="BS31">
        <v>38500.589999999997</v>
      </c>
      <c r="BT31">
        <v>1</v>
      </c>
      <c r="BU31">
        <v>67140.623999999996</v>
      </c>
      <c r="BV31">
        <v>1</v>
      </c>
      <c r="BW31">
        <v>134060.79</v>
      </c>
      <c r="BX31">
        <v>1</v>
      </c>
      <c r="BY31">
        <v>43748.7</v>
      </c>
      <c r="BZ31">
        <v>0.99</v>
      </c>
      <c r="CA31">
        <v>42970.31</v>
      </c>
      <c r="CB31">
        <v>1</v>
      </c>
      <c r="CC31">
        <v>172476.864</v>
      </c>
      <c r="CD31">
        <v>0.95</v>
      </c>
      <c r="CE31" s="441">
        <f t="shared" si="0"/>
        <v>903787.11800000002</v>
      </c>
      <c r="CF31">
        <f t="shared" si="8"/>
        <v>110816.98199999999</v>
      </c>
      <c r="CG31">
        <f t="shared" si="3"/>
        <v>579298.56400000001</v>
      </c>
      <c r="CH31">
        <f t="shared" si="9"/>
        <v>580529.5639999999</v>
      </c>
      <c r="CI31">
        <f t="shared" si="1"/>
        <v>799850.65000000014</v>
      </c>
      <c r="CJ31">
        <f>IF(ISNUMBER(AY31),(AY31+'Janitza data '!N$254+'Janitza data '!N$270+'Janitza data '!N$269+'Janitza data '!N$403)," ")</f>
        <v>151833.42000000001</v>
      </c>
      <c r="CK31">
        <f>IF(ISNUMBER('Janitza data '!AF$280),('Janitza data '!AF$280+'Janitza data '!AF$281+'Janitza data '!AF$299)," ")</f>
        <v>232945.66</v>
      </c>
      <c r="CL31" s="441">
        <f t="shared" si="2"/>
        <v>3441555.9380000005</v>
      </c>
      <c r="CM31" s="417">
        <f>IF(ISNUMBER(AK31),(AK31+'Janitza data '!AF$49-'Janitza data '!AF$50)," ")</f>
        <v>248914.71000000002</v>
      </c>
    </row>
    <row r="32" spans="1:93">
      <c r="A32" s="292">
        <v>45474</v>
      </c>
      <c r="C32">
        <v>202476.36300000001</v>
      </c>
      <c r="D32">
        <v>1</v>
      </c>
      <c r="E32">
        <v>0</v>
      </c>
      <c r="G32">
        <v>772267.4</v>
      </c>
      <c r="H32">
        <v>1</v>
      </c>
      <c r="I32">
        <v>2566.77</v>
      </c>
      <c r="J32">
        <v>0.93</v>
      </c>
      <c r="K32">
        <v>21003.808000000001</v>
      </c>
      <c r="L32">
        <v>0.99</v>
      </c>
      <c r="M32">
        <v>398871.9</v>
      </c>
      <c r="N32">
        <v>0.97</v>
      </c>
      <c r="O32">
        <v>41088.35</v>
      </c>
      <c r="P32">
        <v>1</v>
      </c>
      <c r="Q32">
        <v>20556.472000000002</v>
      </c>
      <c r="R32">
        <v>1</v>
      </c>
      <c r="S32">
        <v>42475.56</v>
      </c>
      <c r="T32">
        <v>0.99</v>
      </c>
      <c r="W32">
        <v>70482.751999999993</v>
      </c>
      <c r="X32">
        <v>0.97</v>
      </c>
      <c r="Y32">
        <v>168375.67999999999</v>
      </c>
      <c r="Z32">
        <v>1</v>
      </c>
      <c r="AA32">
        <v>14619.896000000001</v>
      </c>
      <c r="AB32">
        <v>1</v>
      </c>
      <c r="AC32">
        <v>176400.16800000001</v>
      </c>
      <c r="AD32">
        <v>0.99</v>
      </c>
      <c r="AE32">
        <v>30023.81</v>
      </c>
      <c r="AF32">
        <v>1</v>
      </c>
      <c r="AG32">
        <v>106911.28</v>
      </c>
      <c r="AH32">
        <v>1</v>
      </c>
      <c r="AI32">
        <v>73723.487999999998</v>
      </c>
      <c r="AJ32">
        <v>0.99</v>
      </c>
      <c r="AK32">
        <v>105718.17</v>
      </c>
      <c r="AL32">
        <v>1</v>
      </c>
      <c r="AM32">
        <v>52179.887999999999</v>
      </c>
      <c r="AN32">
        <v>0.99</v>
      </c>
      <c r="AO32">
        <v>51708.608</v>
      </c>
      <c r="AP32">
        <v>0.99</v>
      </c>
      <c r="AQ32">
        <v>19362.024000000001</v>
      </c>
      <c r="AR32">
        <v>1</v>
      </c>
      <c r="AS32">
        <v>30927.97</v>
      </c>
      <c r="AT32">
        <v>1</v>
      </c>
      <c r="AU32">
        <v>35628</v>
      </c>
      <c r="AV32">
        <v>1</v>
      </c>
      <c r="AW32">
        <v>105103.98699999999</v>
      </c>
      <c r="AX32">
        <v>1</v>
      </c>
      <c r="AY32">
        <v>84013.04</v>
      </c>
      <c r="AZ32">
        <v>1</v>
      </c>
      <c r="BA32">
        <v>118194.976</v>
      </c>
      <c r="BB32">
        <v>1</v>
      </c>
      <c r="BC32">
        <v>133628.68799999999</v>
      </c>
      <c r="BD32">
        <v>0.97</v>
      </c>
      <c r="BE32">
        <v>107123.4</v>
      </c>
      <c r="BF32">
        <v>0.98</v>
      </c>
      <c r="BG32">
        <v>124593.648</v>
      </c>
      <c r="BH32">
        <v>1</v>
      </c>
      <c r="BI32" s="1267">
        <v>35761.326000000001</v>
      </c>
      <c r="BJ32">
        <v>1</v>
      </c>
      <c r="BK32">
        <v>66946.543999999994</v>
      </c>
      <c r="BL32">
        <v>1</v>
      </c>
      <c r="BM32">
        <v>62414.406000000003</v>
      </c>
      <c r="BN32">
        <v>1</v>
      </c>
      <c r="BO32">
        <v>7996.9440000000004</v>
      </c>
      <c r="BP32">
        <v>1</v>
      </c>
      <c r="BQ32">
        <v>60060.160000000003</v>
      </c>
      <c r="BR32">
        <v>1</v>
      </c>
      <c r="BS32">
        <v>39805.89</v>
      </c>
      <c r="BT32">
        <v>1</v>
      </c>
      <c r="BU32">
        <v>70377.728000000003</v>
      </c>
      <c r="BV32">
        <v>1</v>
      </c>
      <c r="BW32">
        <v>143311.74</v>
      </c>
      <c r="BX32">
        <v>1</v>
      </c>
      <c r="BY32">
        <v>49234.16</v>
      </c>
      <c r="BZ32">
        <v>0.99</v>
      </c>
      <c r="CA32">
        <v>47203.24</v>
      </c>
      <c r="CB32">
        <v>1</v>
      </c>
      <c r="CC32">
        <v>182587.46400000001</v>
      </c>
      <c r="CD32">
        <v>0.95</v>
      </c>
      <c r="CE32" s="441">
        <f t="shared" ref="CE32:CE35" si="10">IF(ISNUMBER(C32),(C32+E32+G32)," ")</f>
        <v>974743.76300000004</v>
      </c>
      <c r="CF32">
        <f t="shared" ref="CF32:CF35" si="11">IF(ISNUMBER(AI32),(AI32+AU32)," ")</f>
        <v>109351.488</v>
      </c>
      <c r="CG32">
        <f t="shared" ref="CG32:CG35" si="12">IF(ISNUMBER(K32),(K32+O32+S32+AQ32+AS32+BI32+BM32+BO32+BQ32+BS32+BU32+BW32+CA32)," ")</f>
        <v>621789.14599999995</v>
      </c>
      <c r="CH32">
        <f t="shared" ref="CH32:CH35" si="13">IF(ISNUMBER(Q32),(Q32+W32+AM32+AO32+AS32+BA32+BE32+BG32+BY32)," ")</f>
        <v>625001.87400000007</v>
      </c>
      <c r="CI32">
        <f t="shared" ref="CI32:CI35" si="14">IF(ISNUMBER(I32),(I32+M32+Y32+AA32+AC32+AG32)," ")</f>
        <v>867745.69400000013</v>
      </c>
      <c r="CJ32">
        <f t="shared" ref="CJ32:CJ35" si="15">IF(ISNUMBER(AY32),(AY32+D$82+D$98)," ")</f>
        <v>84013.04</v>
      </c>
      <c r="CK32">
        <f>IF(ISNUMBER('Janitza data '!AG$280),('Janitza data '!AG$280+'Janitza data '!AG$281+'Janitza data '!AG$299)," ")</f>
        <v>260516.34999999998</v>
      </c>
      <c r="CL32" s="441">
        <f t="shared" ref="CL32:CL35" si="16">IF(ISNUMBER(C32),(C32+E32+G32+I32+K32+M32+O32+Q32+S32+U32+W32+Y32+AA32+AC32+AE32+AG32+AI32+AK32+AM32+AO32+AQ32+AS32+AU32+AW32+AY32+BA32+BC32+BE32+BG32+BI32+BK32+BM32+BO32+BQ32+BS32+BU32+BW32+BY32+CA32)," ")</f>
        <v>3693138.2340000011</v>
      </c>
      <c r="CM32" s="417">
        <f>IF(ISNUMBER(AK32),(AK32+'Janitza data '!D$49-'Janitza data '!D$50)," ")</f>
        <v>222864.16999999998</v>
      </c>
    </row>
    <row r="33" spans="1:91">
      <c r="A33" s="292">
        <v>45505</v>
      </c>
      <c r="C33">
        <v>221501.505</v>
      </c>
      <c r="D33">
        <v>1</v>
      </c>
      <c r="E33">
        <v>0</v>
      </c>
      <c r="G33">
        <v>757727.64800000004</v>
      </c>
      <c r="H33">
        <v>1</v>
      </c>
      <c r="I33">
        <v>2747.55</v>
      </c>
      <c r="J33">
        <v>0.93</v>
      </c>
      <c r="K33">
        <v>23789.455999999998</v>
      </c>
      <c r="L33">
        <v>0.99</v>
      </c>
      <c r="M33">
        <v>400246.53</v>
      </c>
      <c r="N33">
        <v>0.97</v>
      </c>
      <c r="O33">
        <v>34470.76</v>
      </c>
      <c r="P33">
        <v>1</v>
      </c>
      <c r="Q33">
        <v>22132.792000000001</v>
      </c>
      <c r="R33">
        <v>1</v>
      </c>
      <c r="S33">
        <v>52406.99</v>
      </c>
      <c r="T33">
        <v>0.99</v>
      </c>
      <c r="W33">
        <v>72217.584000000003</v>
      </c>
      <c r="X33">
        <v>0.98</v>
      </c>
      <c r="Y33">
        <v>167732.64000000001</v>
      </c>
      <c r="Z33">
        <v>1</v>
      </c>
      <c r="AA33">
        <v>16293.332</v>
      </c>
      <c r="AB33">
        <v>1</v>
      </c>
      <c r="AC33">
        <v>175878.696</v>
      </c>
      <c r="AD33">
        <v>0.99</v>
      </c>
      <c r="AE33">
        <v>27619.74</v>
      </c>
      <c r="AF33">
        <v>1</v>
      </c>
      <c r="AG33">
        <v>104484.76</v>
      </c>
      <c r="AH33">
        <v>1</v>
      </c>
      <c r="AI33">
        <v>75100.304000000004</v>
      </c>
      <c r="AJ33">
        <v>0.99</v>
      </c>
      <c r="AK33">
        <v>101686.08</v>
      </c>
      <c r="AL33">
        <v>1</v>
      </c>
      <c r="AM33">
        <v>43093.027999999998</v>
      </c>
      <c r="AN33">
        <v>0.99</v>
      </c>
      <c r="AO33">
        <v>44850.944000000003</v>
      </c>
      <c r="AP33">
        <v>0.99</v>
      </c>
      <c r="AQ33">
        <v>8010.4319999999998</v>
      </c>
      <c r="AR33">
        <v>1</v>
      </c>
      <c r="AS33">
        <v>27356.75</v>
      </c>
      <c r="AT33">
        <v>0.99</v>
      </c>
      <c r="AU33">
        <v>40250.269999999997</v>
      </c>
      <c r="AV33">
        <v>1</v>
      </c>
      <c r="AW33">
        <v>135836.726</v>
      </c>
      <c r="AX33">
        <v>1</v>
      </c>
      <c r="AY33">
        <v>88879.216</v>
      </c>
      <c r="AZ33">
        <v>1</v>
      </c>
      <c r="BA33">
        <v>122152</v>
      </c>
      <c r="BB33">
        <v>1</v>
      </c>
      <c r="BC33">
        <v>134534.712</v>
      </c>
      <c r="BD33">
        <v>0.97</v>
      </c>
      <c r="BE33">
        <v>108823.10400000001</v>
      </c>
      <c r="BF33">
        <v>0.98</v>
      </c>
      <c r="BG33">
        <v>118099.2</v>
      </c>
      <c r="BH33">
        <v>1</v>
      </c>
      <c r="BI33" s="1267">
        <v>41438.298000000003</v>
      </c>
      <c r="BJ33">
        <v>1</v>
      </c>
      <c r="BK33">
        <v>80172.224000000002</v>
      </c>
      <c r="BL33">
        <v>1</v>
      </c>
      <c r="BM33">
        <v>72886.464000000007</v>
      </c>
      <c r="BN33">
        <v>1</v>
      </c>
      <c r="BO33">
        <v>7219.04</v>
      </c>
      <c r="BP33">
        <v>1</v>
      </c>
      <c r="BQ33">
        <v>72074.53</v>
      </c>
      <c r="BR33">
        <v>1</v>
      </c>
      <c r="BS33">
        <v>43135.199999999997</v>
      </c>
      <c r="BT33">
        <v>1</v>
      </c>
      <c r="BU33">
        <v>76083.535999999993</v>
      </c>
      <c r="BV33">
        <v>1</v>
      </c>
      <c r="BW33">
        <v>162927.78</v>
      </c>
      <c r="BX33">
        <v>1</v>
      </c>
      <c r="BY33">
        <v>43140.66</v>
      </c>
      <c r="BZ33">
        <v>0.99</v>
      </c>
      <c r="CA33">
        <v>51698.43</v>
      </c>
      <c r="CB33">
        <v>1</v>
      </c>
      <c r="CC33">
        <v>184149.864</v>
      </c>
      <c r="CD33">
        <v>0.95</v>
      </c>
      <c r="CE33" s="441">
        <f t="shared" si="10"/>
        <v>979229.15300000005</v>
      </c>
      <c r="CF33">
        <f t="shared" si="11"/>
        <v>115350.57399999999</v>
      </c>
      <c r="CG33">
        <f t="shared" si="12"/>
        <v>673497.66600000008</v>
      </c>
      <c r="CH33">
        <f t="shared" si="13"/>
        <v>601866.06200000003</v>
      </c>
      <c r="CI33">
        <f t="shared" si="14"/>
        <v>867383.50800000003</v>
      </c>
      <c r="CJ33">
        <f t="shared" si="15"/>
        <v>88879.216</v>
      </c>
      <c r="CL33" s="441">
        <f t="shared" si="16"/>
        <v>3778698.9109999998</v>
      </c>
      <c r="CM33" s="417">
        <f>IF(ISNUMBER(AK33),(AK33+'Janitza data '!D$49-'Janitza data '!D$50)," ")</f>
        <v>218832.08000000002</v>
      </c>
    </row>
    <row r="34" spans="1:91">
      <c r="A34" s="292">
        <v>45536</v>
      </c>
      <c r="C34">
        <v>195591.6</v>
      </c>
      <c r="D34">
        <v>1</v>
      </c>
      <c r="E34">
        <v>0</v>
      </c>
      <c r="G34">
        <v>652326.17000000004</v>
      </c>
      <c r="H34">
        <v>1</v>
      </c>
      <c r="I34">
        <v>2731.09</v>
      </c>
      <c r="J34">
        <v>0.93</v>
      </c>
      <c r="K34">
        <v>21614.975999999999</v>
      </c>
      <c r="L34">
        <v>0.99</v>
      </c>
      <c r="M34">
        <v>372467.55</v>
      </c>
      <c r="N34">
        <v>0.97</v>
      </c>
      <c r="O34">
        <v>28073.919999999998</v>
      </c>
      <c r="P34">
        <v>1</v>
      </c>
      <c r="Q34">
        <v>20608.155999999999</v>
      </c>
      <c r="R34">
        <v>1</v>
      </c>
      <c r="S34">
        <v>44875.68</v>
      </c>
      <c r="T34">
        <v>0.99</v>
      </c>
      <c r="W34">
        <v>70377.343999999997</v>
      </c>
      <c r="X34">
        <v>0.97</v>
      </c>
      <c r="Y34">
        <v>164891.16800000001</v>
      </c>
      <c r="Z34">
        <v>1</v>
      </c>
      <c r="AA34">
        <v>14721.82</v>
      </c>
      <c r="AB34">
        <v>1</v>
      </c>
      <c r="AC34">
        <v>166631.976</v>
      </c>
      <c r="AD34">
        <v>0.99</v>
      </c>
      <c r="AE34">
        <v>22182.61</v>
      </c>
      <c r="AF34">
        <v>1</v>
      </c>
      <c r="AG34">
        <v>106069.4</v>
      </c>
      <c r="AH34">
        <v>1</v>
      </c>
      <c r="AI34">
        <v>78579.296000000002</v>
      </c>
      <c r="AJ34">
        <v>0.99</v>
      </c>
      <c r="AK34">
        <v>95648.13</v>
      </c>
      <c r="AL34">
        <v>1</v>
      </c>
      <c r="AM34">
        <v>35124.383999999998</v>
      </c>
      <c r="AN34">
        <v>0.99</v>
      </c>
      <c r="AO34">
        <v>34534.495999999999</v>
      </c>
      <c r="AP34">
        <v>0.99</v>
      </c>
      <c r="AQ34">
        <v>7580.5739999999996</v>
      </c>
      <c r="AR34">
        <v>1</v>
      </c>
      <c r="AS34">
        <v>24615.31</v>
      </c>
      <c r="AT34">
        <v>0.99</v>
      </c>
      <c r="AU34">
        <v>41312.57</v>
      </c>
      <c r="AV34">
        <v>1</v>
      </c>
      <c r="AW34">
        <v>120216.329</v>
      </c>
      <c r="AX34">
        <v>1</v>
      </c>
      <c r="AY34">
        <v>76110.784</v>
      </c>
      <c r="AZ34">
        <v>1</v>
      </c>
      <c r="BA34">
        <v>118978.976</v>
      </c>
      <c r="BB34">
        <v>1</v>
      </c>
      <c r="BC34">
        <v>128474.32799999999</v>
      </c>
      <c r="BD34">
        <v>0.96</v>
      </c>
      <c r="BE34">
        <v>108268.008</v>
      </c>
      <c r="BF34">
        <v>0.98</v>
      </c>
      <c r="BG34">
        <v>115059.024</v>
      </c>
      <c r="BH34">
        <v>1</v>
      </c>
      <c r="BI34" s="1267">
        <v>37179.156000000003</v>
      </c>
      <c r="BJ34">
        <v>1</v>
      </c>
      <c r="BK34">
        <v>71153.728000000003</v>
      </c>
      <c r="BL34">
        <v>1</v>
      </c>
      <c r="BM34">
        <v>58321.35</v>
      </c>
      <c r="BN34">
        <v>1</v>
      </c>
      <c r="BO34">
        <v>6835.92</v>
      </c>
      <c r="BP34">
        <v>1</v>
      </c>
      <c r="BQ34">
        <v>57065.79</v>
      </c>
      <c r="BR34">
        <v>1</v>
      </c>
      <c r="BS34">
        <v>36118.199999999997</v>
      </c>
      <c r="BT34">
        <v>1</v>
      </c>
      <c r="BU34">
        <v>61813.712</v>
      </c>
      <c r="BV34">
        <v>1</v>
      </c>
      <c r="BW34">
        <v>130256.43</v>
      </c>
      <c r="BX34">
        <v>1</v>
      </c>
      <c r="BY34">
        <v>40094.26</v>
      </c>
      <c r="BZ34">
        <v>0.99</v>
      </c>
      <c r="CA34">
        <v>40211.919999999998</v>
      </c>
      <c r="CB34">
        <v>1</v>
      </c>
      <c r="CC34">
        <v>175924.53599999999</v>
      </c>
      <c r="CD34">
        <v>0.95</v>
      </c>
      <c r="CE34" s="441">
        <f t="shared" si="10"/>
        <v>847917.77</v>
      </c>
      <c r="CF34">
        <f t="shared" si="11"/>
        <v>119891.86600000001</v>
      </c>
      <c r="CG34">
        <f t="shared" si="12"/>
        <v>554562.93799999997</v>
      </c>
      <c r="CH34">
        <f t="shared" si="13"/>
        <v>567659.95799999998</v>
      </c>
      <c r="CI34">
        <f t="shared" si="14"/>
        <v>827513.00399999996</v>
      </c>
      <c r="CJ34">
        <f t="shared" si="15"/>
        <v>76110.784</v>
      </c>
      <c r="CL34" s="441">
        <f t="shared" si="16"/>
        <v>3406716.1349999998</v>
      </c>
      <c r="CM34" s="417">
        <f>IF(ISNUMBER(AK34),(AK34+'Janitza data '!D$49-'Janitza data '!D$50)," ")</f>
        <v>212794.13</v>
      </c>
    </row>
    <row r="35" spans="1:91">
      <c r="A35" s="292">
        <v>45566</v>
      </c>
      <c r="C35">
        <v>214258.86199999999</v>
      </c>
      <c r="D35">
        <v>1</v>
      </c>
      <c r="E35">
        <v>0</v>
      </c>
      <c r="G35">
        <v>624555.79</v>
      </c>
      <c r="H35">
        <v>1</v>
      </c>
      <c r="I35">
        <v>2629.15</v>
      </c>
      <c r="J35">
        <v>0.93</v>
      </c>
      <c r="K35">
        <v>23035.119999999999</v>
      </c>
      <c r="L35">
        <v>0.99</v>
      </c>
      <c r="M35">
        <v>366398.58</v>
      </c>
      <c r="N35">
        <v>0.96</v>
      </c>
      <c r="O35">
        <v>30019</v>
      </c>
      <c r="P35">
        <v>1</v>
      </c>
      <c r="Q35">
        <v>20969.083999999999</v>
      </c>
      <c r="R35">
        <v>1</v>
      </c>
      <c r="S35">
        <v>46000.06</v>
      </c>
      <c r="T35">
        <v>0.99</v>
      </c>
      <c r="W35">
        <v>71919.775999999998</v>
      </c>
      <c r="X35">
        <v>0.97</v>
      </c>
      <c r="Y35">
        <v>180143.712</v>
      </c>
      <c r="Z35">
        <v>1</v>
      </c>
      <c r="AA35">
        <v>16839.68</v>
      </c>
      <c r="AB35">
        <v>1</v>
      </c>
      <c r="AC35">
        <v>172066.848</v>
      </c>
      <c r="AD35">
        <v>0.99</v>
      </c>
      <c r="AE35">
        <v>18006.02</v>
      </c>
      <c r="AF35">
        <v>1</v>
      </c>
      <c r="AG35">
        <v>110795.36</v>
      </c>
      <c r="AH35">
        <v>1</v>
      </c>
      <c r="AI35">
        <v>81889.152000000002</v>
      </c>
      <c r="AJ35">
        <v>0.98</v>
      </c>
      <c r="AK35">
        <v>99781.97</v>
      </c>
      <c r="AL35">
        <v>1</v>
      </c>
      <c r="AM35">
        <v>31847.903999999999</v>
      </c>
      <c r="AN35">
        <v>0.99</v>
      </c>
      <c r="AO35">
        <v>31845.056</v>
      </c>
      <c r="AP35">
        <v>0.98</v>
      </c>
      <c r="AQ35">
        <v>4831.3919999999998</v>
      </c>
      <c r="AR35">
        <v>0.99</v>
      </c>
      <c r="AS35">
        <v>24749.79</v>
      </c>
      <c r="AT35">
        <v>1</v>
      </c>
      <c r="AU35">
        <v>42090.29</v>
      </c>
      <c r="AV35">
        <v>1</v>
      </c>
      <c r="AW35">
        <v>131370.45499999999</v>
      </c>
      <c r="AX35">
        <v>1</v>
      </c>
      <c r="AY35">
        <v>70190.255999999994</v>
      </c>
      <c r="AZ35">
        <v>1</v>
      </c>
      <c r="BA35">
        <v>119141.408</v>
      </c>
      <c r="BB35">
        <v>1</v>
      </c>
      <c r="BC35">
        <v>131214.52799999999</v>
      </c>
      <c r="BD35">
        <v>0.96</v>
      </c>
      <c r="BE35">
        <v>112037.88</v>
      </c>
      <c r="BF35">
        <v>0.99</v>
      </c>
      <c r="BG35">
        <v>108584.136</v>
      </c>
      <c r="BH35">
        <v>1</v>
      </c>
      <c r="BI35" s="1267">
        <v>38449.362000000001</v>
      </c>
      <c r="BJ35">
        <v>1</v>
      </c>
      <c r="BK35">
        <v>77810.703999999998</v>
      </c>
      <c r="BL35">
        <v>1</v>
      </c>
      <c r="BM35">
        <v>56030.561999999998</v>
      </c>
      <c r="BN35">
        <v>1</v>
      </c>
      <c r="BO35">
        <v>6576.9120000000003</v>
      </c>
      <c r="BP35">
        <v>1</v>
      </c>
      <c r="BQ35">
        <v>55788.88</v>
      </c>
      <c r="BR35">
        <v>1</v>
      </c>
      <c r="BS35">
        <v>35382.49</v>
      </c>
      <c r="BT35">
        <v>1</v>
      </c>
      <c r="BU35">
        <v>57534.8</v>
      </c>
      <c r="BV35">
        <v>1</v>
      </c>
      <c r="BW35">
        <v>119910.33</v>
      </c>
      <c r="BX35">
        <v>1</v>
      </c>
      <c r="BY35">
        <v>39555.69</v>
      </c>
      <c r="BZ35">
        <v>0.99</v>
      </c>
      <c r="CA35">
        <v>36720.51</v>
      </c>
      <c r="CB35">
        <v>1</v>
      </c>
      <c r="CC35">
        <v>179128.03200000001</v>
      </c>
      <c r="CD35">
        <v>0.94</v>
      </c>
      <c r="CE35" s="441">
        <f t="shared" si="10"/>
        <v>838814.652</v>
      </c>
      <c r="CF35">
        <f t="shared" si="11"/>
        <v>123979.44200000001</v>
      </c>
      <c r="CG35">
        <f t="shared" si="12"/>
        <v>535029.20799999998</v>
      </c>
      <c r="CH35">
        <f t="shared" si="13"/>
        <v>560650.72400000005</v>
      </c>
      <c r="CI35">
        <f t="shared" si="14"/>
        <v>848873.33000000007</v>
      </c>
      <c r="CJ35">
        <f t="shared" si="15"/>
        <v>70190.255999999994</v>
      </c>
      <c r="CL35" s="441">
        <f t="shared" si="16"/>
        <v>3410971.4989999998</v>
      </c>
      <c r="CM35" s="417">
        <f>IF(ISNUMBER(AK35),(AK35+'Janitza data '!D$49-'Janitza data '!D$50)," ")</f>
        <v>216927.97</v>
      </c>
    </row>
    <row r="36" spans="1:91">
      <c r="A36" s="292">
        <v>45597</v>
      </c>
      <c r="CE36" s="441" t="str">
        <f t="shared" ref="CE36:CE37" si="17">IF(ISNUMBER(C36),(C36+E36+G36)," ")</f>
        <v xml:space="preserve"> </v>
      </c>
      <c r="CF36" t="str">
        <f t="shared" ref="CF36:CF37" si="18">IF(ISNUMBER(AI36),(AI36+AU36)," ")</f>
        <v xml:space="preserve"> </v>
      </c>
      <c r="CG36" t="str">
        <f t="shared" ref="CG36:CG37" si="19">IF(ISNUMBER(K36),(K36+O36+S36+AQ36+AS36+BI36+BM36+BO36+BQ36+BS36+BU36+BW36+CA36)," ")</f>
        <v xml:space="preserve"> </v>
      </c>
      <c r="CH36" t="str">
        <f t="shared" ref="CH36:CH37" si="20">IF(ISNUMBER(Q36),(Q36+W36+AM36+AO36+AS36+BA36+BE36+BG36+BY36)," ")</f>
        <v xml:space="preserve"> </v>
      </c>
      <c r="CI36" t="str">
        <f t="shared" ref="CI36:CI37" si="21">IF(ISNUMBER(I36),(I36+M36+Y36+AA36+AC36+AG36)," ")</f>
        <v xml:space="preserve"> </v>
      </c>
      <c r="CJ36" t="str">
        <f t="shared" ref="CJ36:CJ37" si="22">IF(ISNUMBER(AY36),(AY36+D$82+D$98)," ")</f>
        <v xml:space="preserve"> </v>
      </c>
      <c r="CL36" s="441" t="str">
        <f t="shared" ref="CL36:CL37" si="23">IF(ISNUMBER(C36),(C36+E36+G36+I36+K36+M36+O36+Q36+S36+U36+W36+Y36+AA36+AC36+AE36+AG36+AI36+AK36+AM36+AO36+AQ36+AS36+AU36+AW36+AY36+BA36+BC36+BE36+BG36+BI36+BK36+BM36+BO36+BQ36+BS36+BU36+BW36+BY36+CA36)," ")</f>
        <v xml:space="preserve"> </v>
      </c>
      <c r="CM36" s="417" t="str">
        <f>IF(ISNUMBER(AK36),(AK36+'Janitza data '!D$49-'Janitza data '!D$50)," ")</f>
        <v xml:space="preserve"> </v>
      </c>
    </row>
    <row r="37" spans="1:91">
      <c r="A37" s="292">
        <v>45627</v>
      </c>
      <c r="CE37" s="441" t="str">
        <f t="shared" si="17"/>
        <v xml:space="preserve"> </v>
      </c>
      <c r="CF37" t="str">
        <f t="shared" si="18"/>
        <v xml:space="preserve"> </v>
      </c>
      <c r="CG37" t="str">
        <f t="shared" si="19"/>
        <v xml:space="preserve"> </v>
      </c>
      <c r="CH37" t="str">
        <f t="shared" si="20"/>
        <v xml:space="preserve"> </v>
      </c>
      <c r="CI37" t="str">
        <f t="shared" si="21"/>
        <v xml:space="preserve"> </v>
      </c>
      <c r="CJ37" t="str">
        <f t="shared" si="22"/>
        <v xml:space="preserve"> </v>
      </c>
      <c r="CL37" s="441" t="str">
        <f t="shared" si="23"/>
        <v xml:space="preserve"> </v>
      </c>
      <c r="CM37" s="417" t="str">
        <f>IF(ISNUMBER(AK37),(AK37+'Janitza data '!D$49-'Janitza data '!D$50)," ")</f>
        <v xml:space="preserve"> </v>
      </c>
    </row>
    <row r="38" spans="1:91">
      <c r="A38" s="292">
        <v>45658</v>
      </c>
      <c r="CE38" s="441" t="str">
        <f t="shared" ref="CE38:CE45" si="24">IF(ISNUMBER(C38),(C38+E38+G38)," ")</f>
        <v xml:space="preserve"> </v>
      </c>
      <c r="CF38" t="str">
        <f t="shared" ref="CF38:CF45" si="25">IF(ISNUMBER(AI38),(AI38+AU38)," ")</f>
        <v xml:space="preserve"> </v>
      </c>
      <c r="CG38" t="str">
        <f t="shared" ref="CG38:CG45" si="26">IF(ISNUMBER(K38),(K38+O38+S38+AQ38+AS38+BI38+BM38+BO38+BQ38+BS38+BU38+BW38+CA38)," ")</f>
        <v xml:space="preserve"> </v>
      </c>
      <c r="CH38" t="str">
        <f t="shared" ref="CH38:CH45" si="27">IF(ISNUMBER(Q38),(Q38+W38+AM38+AO38+AS38+BA38+BE38+BG38+BY38)," ")</f>
        <v xml:space="preserve"> </v>
      </c>
      <c r="CI38" t="str">
        <f t="shared" ref="CI38:CI45" si="28">IF(ISNUMBER(I38),(I38+M38+Y38+AA38+AC38+AG38)," ")</f>
        <v xml:space="preserve"> </v>
      </c>
      <c r="CJ38" t="str">
        <f t="shared" ref="CJ38:CJ45" si="29">IF(ISNUMBER(AY38),(AY38+D$82+D$98)," ")</f>
        <v xml:space="preserve"> </v>
      </c>
      <c r="CL38" s="441" t="str">
        <f t="shared" ref="CL38:CL45" si="30">IF(ISNUMBER(C38),(C38+E38+G38+I38+K38+M38+O38+Q38+S38+U38+W38+Y38+AA38+AC38+AE38+AG38+AI38+AK38+AM38+AO38+AQ38+AS38+AU38+AW38+AY38+BA38+BC38+BE38+BG38+BI38+BK38+BM38+BO38+BQ38+BS38+BU38+BW38+BY38+CA38)," ")</f>
        <v xml:space="preserve"> </v>
      </c>
      <c r="CM38" s="417" t="str">
        <f>IF(ISNUMBER(AK38),(AK38+'Janitza data '!D$49-'Janitza data '!D$50)," ")</f>
        <v xml:space="preserve"> </v>
      </c>
    </row>
    <row r="39" spans="1:91">
      <c r="A39" s="292">
        <v>45689</v>
      </c>
      <c r="CE39" s="441" t="str">
        <f t="shared" si="24"/>
        <v xml:space="preserve"> </v>
      </c>
      <c r="CF39" t="str">
        <f t="shared" si="25"/>
        <v xml:space="preserve"> </v>
      </c>
      <c r="CG39" t="str">
        <f t="shared" si="26"/>
        <v xml:space="preserve"> </v>
      </c>
      <c r="CH39" t="str">
        <f t="shared" si="27"/>
        <v xml:space="preserve"> </v>
      </c>
      <c r="CI39" t="str">
        <f t="shared" si="28"/>
        <v xml:space="preserve"> </v>
      </c>
      <c r="CJ39" t="str">
        <f t="shared" si="29"/>
        <v xml:space="preserve"> </v>
      </c>
      <c r="CL39" s="441" t="str">
        <f t="shared" si="30"/>
        <v xml:space="preserve"> </v>
      </c>
      <c r="CM39" s="417" t="str">
        <f>IF(ISNUMBER(AK39),(AK39+'Janitza data '!D$49-'Janitza data '!D$50)," ")</f>
        <v xml:space="preserve"> </v>
      </c>
    </row>
    <row r="40" spans="1:91">
      <c r="A40" s="292">
        <v>45717</v>
      </c>
      <c r="CE40" s="441" t="str">
        <f t="shared" si="24"/>
        <v xml:space="preserve"> </v>
      </c>
      <c r="CF40" t="str">
        <f t="shared" si="25"/>
        <v xml:space="preserve"> </v>
      </c>
      <c r="CG40" t="str">
        <f t="shared" si="26"/>
        <v xml:space="preserve"> </v>
      </c>
      <c r="CH40" t="str">
        <f t="shared" si="27"/>
        <v xml:space="preserve"> </v>
      </c>
      <c r="CI40" t="str">
        <f t="shared" si="28"/>
        <v xml:space="preserve"> </v>
      </c>
      <c r="CJ40" t="str">
        <f t="shared" si="29"/>
        <v xml:space="preserve"> </v>
      </c>
      <c r="CL40" s="441" t="str">
        <f t="shared" si="30"/>
        <v xml:space="preserve"> </v>
      </c>
      <c r="CM40" s="417" t="str">
        <f>IF(ISNUMBER(AK40),(AK40+'Janitza data '!D$49-'Janitza data '!D$50)," ")</f>
        <v xml:space="preserve"> </v>
      </c>
    </row>
    <row r="41" spans="1:91">
      <c r="A41" s="292">
        <v>45748</v>
      </c>
      <c r="CE41" s="441" t="str">
        <f t="shared" si="24"/>
        <v xml:space="preserve"> </v>
      </c>
      <c r="CF41" t="str">
        <f t="shared" si="25"/>
        <v xml:space="preserve"> </v>
      </c>
      <c r="CG41" t="str">
        <f t="shared" si="26"/>
        <v xml:space="preserve"> </v>
      </c>
      <c r="CH41" t="str">
        <f t="shared" si="27"/>
        <v xml:space="preserve"> </v>
      </c>
      <c r="CI41" t="str">
        <f t="shared" si="28"/>
        <v xml:space="preserve"> </v>
      </c>
      <c r="CJ41" t="str">
        <f t="shared" si="29"/>
        <v xml:space="preserve"> </v>
      </c>
      <c r="CL41" s="441" t="str">
        <f t="shared" si="30"/>
        <v xml:space="preserve"> </v>
      </c>
      <c r="CM41" s="417" t="str">
        <f>IF(ISNUMBER(AK41),(AK41+'Janitza data '!D$49-'Janitza data '!D$50)," ")</f>
        <v xml:space="preserve"> </v>
      </c>
    </row>
    <row r="42" spans="1:91">
      <c r="A42" s="292">
        <v>45778</v>
      </c>
      <c r="CE42" s="441" t="str">
        <f t="shared" si="24"/>
        <v xml:space="preserve"> </v>
      </c>
      <c r="CF42" t="str">
        <f t="shared" si="25"/>
        <v xml:space="preserve"> </v>
      </c>
      <c r="CG42" t="str">
        <f t="shared" si="26"/>
        <v xml:space="preserve"> </v>
      </c>
      <c r="CH42" t="str">
        <f t="shared" si="27"/>
        <v xml:space="preserve"> </v>
      </c>
      <c r="CI42" t="str">
        <f t="shared" si="28"/>
        <v xml:space="preserve"> </v>
      </c>
      <c r="CJ42" t="str">
        <f t="shared" si="29"/>
        <v xml:space="preserve"> </v>
      </c>
      <c r="CL42" s="441" t="str">
        <f t="shared" si="30"/>
        <v xml:space="preserve"> </v>
      </c>
      <c r="CM42" s="417" t="str">
        <f>IF(ISNUMBER(AK42),(AK42+'Janitza data '!D$49-'Janitza data '!D$50)," ")</f>
        <v xml:space="preserve"> </v>
      </c>
    </row>
    <row r="43" spans="1:91">
      <c r="A43" s="292">
        <v>45809</v>
      </c>
      <c r="CE43" s="441" t="str">
        <f t="shared" si="24"/>
        <v xml:space="preserve"> </v>
      </c>
      <c r="CF43" t="str">
        <f t="shared" si="25"/>
        <v xml:space="preserve"> </v>
      </c>
      <c r="CG43" t="str">
        <f t="shared" si="26"/>
        <v xml:space="preserve"> </v>
      </c>
      <c r="CH43" t="str">
        <f t="shared" si="27"/>
        <v xml:space="preserve"> </v>
      </c>
      <c r="CI43" t="str">
        <f t="shared" si="28"/>
        <v xml:space="preserve"> </v>
      </c>
      <c r="CJ43" t="str">
        <f t="shared" si="29"/>
        <v xml:space="preserve"> </v>
      </c>
      <c r="CL43" s="441" t="str">
        <f t="shared" si="30"/>
        <v xml:space="preserve"> </v>
      </c>
      <c r="CM43" s="417" t="str">
        <f>IF(ISNUMBER(AK43),(AK43+'Janitza data '!D$49-'Janitza data '!D$50)," ")</f>
        <v xml:space="preserve"> </v>
      </c>
    </row>
    <row r="44" spans="1:91">
      <c r="A44" s="292">
        <v>45839</v>
      </c>
      <c r="CE44" s="441" t="str">
        <f t="shared" si="24"/>
        <v xml:space="preserve"> </v>
      </c>
      <c r="CF44" t="str">
        <f t="shared" si="25"/>
        <v xml:space="preserve"> </v>
      </c>
      <c r="CG44" t="str">
        <f t="shared" si="26"/>
        <v xml:space="preserve"> </v>
      </c>
      <c r="CH44" t="str">
        <f t="shared" si="27"/>
        <v xml:space="preserve"> </v>
      </c>
      <c r="CI44" t="str">
        <f t="shared" si="28"/>
        <v xml:space="preserve"> </v>
      </c>
      <c r="CJ44" t="str">
        <f t="shared" si="29"/>
        <v xml:space="preserve"> </v>
      </c>
      <c r="CL44" s="441" t="str">
        <f t="shared" si="30"/>
        <v xml:space="preserve"> </v>
      </c>
      <c r="CM44" s="417" t="str">
        <f>IF(ISNUMBER(AK44),(AK44+'Janitza data '!D$49-'Janitza data '!D$50)," ")</f>
        <v xml:space="preserve"> </v>
      </c>
    </row>
    <row r="45" spans="1:91">
      <c r="A45" s="292">
        <v>45870</v>
      </c>
      <c r="CE45" s="441" t="str">
        <f t="shared" si="24"/>
        <v xml:space="preserve"> </v>
      </c>
      <c r="CF45" t="str">
        <f t="shared" si="25"/>
        <v xml:space="preserve"> </v>
      </c>
      <c r="CG45" t="str">
        <f t="shared" si="26"/>
        <v xml:space="preserve"> </v>
      </c>
      <c r="CH45" t="str">
        <f t="shared" si="27"/>
        <v xml:space="preserve"> </v>
      </c>
      <c r="CI45" t="str">
        <f t="shared" si="28"/>
        <v xml:space="preserve"> </v>
      </c>
      <c r="CJ45" t="str">
        <f t="shared" si="29"/>
        <v xml:space="preserve"> </v>
      </c>
      <c r="CL45" s="441" t="str">
        <f t="shared" si="30"/>
        <v xml:space="preserve"> </v>
      </c>
      <c r="CM45" s="417" t="str">
        <f>IF(ISNUMBER(AK45),(AK45+'Janitza data '!D$49-'Janitza data '!D$50)," ")</f>
        <v xml:space="preserve"> </v>
      </c>
    </row>
    <row r="46" spans="1:91">
      <c r="A46" s="292">
        <v>45901</v>
      </c>
      <c r="CE46" s="441" t="str">
        <f t="shared" ref="CE46:CE49" si="31">IF(ISNUMBER(C46),(C46+E46+G46)," ")</f>
        <v xml:space="preserve"> </v>
      </c>
      <c r="CF46" t="str">
        <f t="shared" ref="CF46:CF49" si="32">IF(ISNUMBER(AI46),(AI46+AU46)," ")</f>
        <v xml:space="preserve"> </v>
      </c>
      <c r="CG46" t="str">
        <f t="shared" ref="CG46:CG49" si="33">IF(ISNUMBER(K46),(K46+O46+S46+AQ46+AS46+BI46+BM46+BO46+BQ46+BS46+BU46+BW46+CA46)," ")</f>
        <v xml:space="preserve"> </v>
      </c>
      <c r="CH46" t="str">
        <f t="shared" ref="CH46:CH49" si="34">IF(ISNUMBER(Q46),(Q46+W46+AM46+AO46+AS46+BA46+BE46+BG46+BY46)," ")</f>
        <v xml:space="preserve"> </v>
      </c>
      <c r="CI46" t="str">
        <f t="shared" ref="CI46:CI49" si="35">IF(ISNUMBER(I46),(I46+M46+Y46+AA46+AC46+AG46)," ")</f>
        <v xml:space="preserve"> </v>
      </c>
      <c r="CJ46" t="str">
        <f t="shared" ref="CJ46:CJ49" si="36">IF(ISNUMBER(AY46),(AY46+D$82+D$98)," ")</f>
        <v xml:space="preserve"> </v>
      </c>
      <c r="CL46" s="441" t="str">
        <f t="shared" ref="CL46:CL49" si="37">IF(ISNUMBER(C46),(C46+E46+G46+I46+K46+M46+O46+Q46+S46+U46+W46+Y46+AA46+AC46+AE46+AG46+AI46+AK46+AM46+AO46+AQ46+AS46+AU46+AW46+AY46+BA46+BC46+BE46+BG46+BI46+BK46+BM46+BO46+BQ46+BS46+BU46+BW46+BY46+CA46)," ")</f>
        <v xml:space="preserve"> </v>
      </c>
      <c r="CM46" s="417" t="str">
        <f>IF(ISNUMBER(AK46),(AK46+'Janitza data '!D$49-'Janitza data '!D$50)," ")</f>
        <v xml:space="preserve"> </v>
      </c>
    </row>
    <row r="47" spans="1:91">
      <c r="A47" s="292">
        <v>45931</v>
      </c>
      <c r="CE47" s="441" t="str">
        <f t="shared" si="31"/>
        <v xml:space="preserve"> </v>
      </c>
      <c r="CF47" t="str">
        <f t="shared" si="32"/>
        <v xml:space="preserve"> </v>
      </c>
      <c r="CG47" t="str">
        <f t="shared" si="33"/>
        <v xml:space="preserve"> </v>
      </c>
      <c r="CH47" t="str">
        <f t="shared" si="34"/>
        <v xml:space="preserve"> </v>
      </c>
      <c r="CI47" t="str">
        <f t="shared" si="35"/>
        <v xml:space="preserve"> </v>
      </c>
      <c r="CJ47" t="str">
        <f t="shared" si="36"/>
        <v xml:space="preserve"> </v>
      </c>
      <c r="CL47" s="441" t="str">
        <f t="shared" si="37"/>
        <v xml:space="preserve"> </v>
      </c>
      <c r="CM47" s="417" t="str">
        <f>IF(ISNUMBER(AK47),(AK47+'Janitza data '!D$49-'Janitza data '!D$50)," ")</f>
        <v xml:space="preserve"> </v>
      </c>
    </row>
    <row r="48" spans="1:91">
      <c r="A48" s="292">
        <v>45962</v>
      </c>
      <c r="CE48" s="441" t="str">
        <f t="shared" si="31"/>
        <v xml:space="preserve"> </v>
      </c>
      <c r="CF48" t="str">
        <f t="shared" si="32"/>
        <v xml:space="preserve"> </v>
      </c>
      <c r="CG48" t="str">
        <f t="shared" si="33"/>
        <v xml:space="preserve"> </v>
      </c>
      <c r="CH48" t="str">
        <f t="shared" si="34"/>
        <v xml:space="preserve"> </v>
      </c>
      <c r="CI48" t="str">
        <f t="shared" si="35"/>
        <v xml:space="preserve"> </v>
      </c>
      <c r="CJ48" t="str">
        <f t="shared" si="36"/>
        <v xml:space="preserve"> </v>
      </c>
      <c r="CL48" s="441" t="str">
        <f t="shared" si="37"/>
        <v xml:space="preserve"> </v>
      </c>
      <c r="CM48" s="417" t="str">
        <f>IF(ISNUMBER(AK48),(AK48+'Janitza data '!D$49-'Janitza data '!D$50)," ")</f>
        <v xml:space="preserve"> </v>
      </c>
    </row>
    <row r="49" spans="1:92">
      <c r="A49" s="292">
        <v>45992</v>
      </c>
      <c r="CE49" s="441" t="str">
        <f t="shared" si="31"/>
        <v xml:space="preserve"> </v>
      </c>
      <c r="CF49" t="str">
        <f t="shared" si="32"/>
        <v xml:space="preserve"> </v>
      </c>
      <c r="CG49" t="str">
        <f t="shared" si="33"/>
        <v xml:space="preserve"> </v>
      </c>
      <c r="CH49" t="str">
        <f t="shared" si="34"/>
        <v xml:space="preserve"> </v>
      </c>
      <c r="CI49" t="str">
        <f t="shared" si="35"/>
        <v xml:space="preserve"> </v>
      </c>
      <c r="CJ49" t="str">
        <f t="shared" si="36"/>
        <v xml:space="preserve"> </v>
      </c>
      <c r="CL49" s="441" t="str">
        <f t="shared" si="37"/>
        <v xml:space="preserve"> </v>
      </c>
      <c r="CM49" s="417" t="str">
        <f>IF(ISNUMBER(AK49),(AK49+'Janitza data '!D$49-'Janitza data '!D$50)," ")</f>
        <v xml:space="preserve"> </v>
      </c>
    </row>
    <row r="50" spans="1:92">
      <c r="A50" s="292"/>
      <c r="CE50" s="441" t="str">
        <f t="shared" ref="CE50:CE51" si="38">IF(ISNUMBER(C50),(C50+E50+G50)," ")</f>
        <v xml:space="preserve"> </v>
      </c>
      <c r="CF50" t="str">
        <f t="shared" ref="CF50:CF51" si="39">IF(ISNUMBER(AI50),(AI50+AU50)," ")</f>
        <v xml:space="preserve"> </v>
      </c>
      <c r="CG50" t="str">
        <f t="shared" ref="CG50:CG51" si="40">IF(ISNUMBER(K50),(K50+O50+S50+AQ50+AS50+BI50+BM50+BO50+BQ50+BS50+BU50+BW50+CA50)," ")</f>
        <v xml:space="preserve"> </v>
      </c>
      <c r="CH50" t="str">
        <f t="shared" ref="CH50:CH51" si="41">IF(ISNUMBER(Q50),(Q50+W50+AM50+AO50+AS50+BA50+BE50+BG50+BY50)," ")</f>
        <v xml:space="preserve"> </v>
      </c>
      <c r="CI50" t="str">
        <f t="shared" ref="CI50:CI51" si="42">IF(ISNUMBER(I50),(I50+M50+Y50+AA50+AC50+AG50)," ")</f>
        <v xml:space="preserve"> </v>
      </c>
      <c r="CJ50" t="str">
        <f t="shared" ref="CJ50:CJ51" si="43">IF(ISNUMBER(AY50),(AY50+D$82+D$98)," ")</f>
        <v xml:space="preserve"> </v>
      </c>
      <c r="CL50" s="441" t="str">
        <f t="shared" ref="CL50:CL51" si="44">IF(ISNUMBER(C50),(C50+E50+G50+I50+K50+M50+O50+Q50+S50+U50+W50+Y50+AA50+AC50+AE50+AG50+AI50+AK50+AM50+AO50+AQ50+AS50+AU50+AW50+AY50+BA50+BC50+BE50+BG50+BI50+BK50+BM50+BO50+BQ50+BS50+BU50+BW50+BY50+CA50)," ")</f>
        <v xml:space="preserve"> </v>
      </c>
      <c r="CM50" s="417" t="str">
        <f>IF(ISNUMBER(AK50),(AK50+'Janitza data '!D$49-'Janitza data '!D$50)," ")</f>
        <v xml:space="preserve"> </v>
      </c>
    </row>
    <row r="51" spans="1:92">
      <c r="A51" s="292"/>
      <c r="CE51" s="441" t="str">
        <f t="shared" si="38"/>
        <v xml:space="preserve"> </v>
      </c>
      <c r="CF51" t="str">
        <f t="shared" si="39"/>
        <v xml:space="preserve"> </v>
      </c>
      <c r="CG51" t="str">
        <f t="shared" si="40"/>
        <v xml:space="preserve"> </v>
      </c>
      <c r="CH51" t="str">
        <f t="shared" si="41"/>
        <v xml:space="preserve"> </v>
      </c>
      <c r="CI51" t="str">
        <f t="shared" si="42"/>
        <v xml:space="preserve"> </v>
      </c>
      <c r="CJ51" t="str">
        <f t="shared" si="43"/>
        <v xml:space="preserve"> </v>
      </c>
      <c r="CL51" s="441" t="str">
        <f t="shared" si="44"/>
        <v xml:space="preserve"> </v>
      </c>
      <c r="CM51" s="417" t="str">
        <f>IF(ISNUMBER(AK51),(AK51+'Janitza data '!D$49-'Janitza data '!D$50)," ")</f>
        <v xml:space="preserve"> </v>
      </c>
    </row>
    <row r="52" spans="1:92">
      <c r="A52" s="292"/>
      <c r="CE52" s="441" t="str">
        <f>IF(ISNUMBER(C52),(C52+E52+G52)," ")</f>
        <v xml:space="preserve"> </v>
      </c>
      <c r="CF52" t="str">
        <f>IF(ISNUMBER(AI52),(AI52+AU52)," ")</f>
        <v xml:space="preserve"> </v>
      </c>
      <c r="CG52" t="str">
        <f>IF(ISNUMBER(K52),(K52+O52+S52+AQ52+AS52+BI52+BM52+BO52+BQ52+BS52+BU52+BW52+CA52)," ")</f>
        <v xml:space="preserve"> </v>
      </c>
      <c r="CH52" t="str">
        <f>IF(ISNUMBER(Q52),(Q52+W52+AM52+AO52+AS52+BA52+BE52+BG52+BY52)," ")</f>
        <v xml:space="preserve"> </v>
      </c>
      <c r="CI52" t="str">
        <f>IF(ISNUMBER(I52),(I52+M52+Y52+AA52+AC52+AG52)," ")</f>
        <v xml:space="preserve"> </v>
      </c>
      <c r="CJ52" t="str">
        <f>IF(ISNUMBER(AY52),(AY52+D$82+D$98)," ")</f>
        <v xml:space="preserve"> </v>
      </c>
      <c r="CL52" s="441" t="str">
        <f>IF(ISNUMBER(C52),(C52+E52+G52+I52+K52+M52+O52+Q52+S52+U52+W52+Y52+AA52+AC52+AE52+AG52+AI52+AK52+AM52+AO52+AQ52+AS52+AU52+AW52+AY52+BA52+BC52+BE52+BG52+BI52+BK52+BM52+BO52+BQ52+BS52+BU52+BW52+BY52+CA52)," ")</f>
        <v xml:space="preserve"> </v>
      </c>
      <c r="CM52" s="417" t="str">
        <f>IF(ISNUMBER(AK52),(AK52+'Janitza data '!D$49-'Janitza data '!D$50)," ")</f>
        <v xml:space="preserve"> </v>
      </c>
    </row>
    <row r="53" spans="1:92">
      <c r="BI53" s="1308"/>
      <c r="CE53" s="441" t="str">
        <f t="shared" si="0"/>
        <v xml:space="preserve"> </v>
      </c>
      <c r="CF53" t="str">
        <f t="shared" si="8"/>
        <v xml:space="preserve"> </v>
      </c>
      <c r="CG53" t="str">
        <f t="shared" si="3"/>
        <v xml:space="preserve"> </v>
      </c>
      <c r="CH53" t="str">
        <f t="shared" si="9"/>
        <v xml:space="preserve"> </v>
      </c>
      <c r="CI53" t="str">
        <f t="shared" si="1"/>
        <v xml:space="preserve"> </v>
      </c>
      <c r="CJ53" t="str">
        <f>IF(ISNUMBER(AY53),(AY53+'Janitza data '!N$254+'Janitza data '!N$270+'Janitza data '!N$269+'Janitza data '!N$403)," ")</f>
        <v xml:space="preserve"> </v>
      </c>
      <c r="CL53" s="441" t="str">
        <f t="shared" si="2"/>
        <v xml:space="preserve"> </v>
      </c>
      <c r="CM53" s="417" t="str">
        <f>IF(ISNUMBER(AK53),(AK53+'Janitza data '!AG$49-'Janitza data '!AG$50)," ")</f>
        <v xml:space="preserve"> </v>
      </c>
    </row>
    <row r="54" spans="1:92">
      <c r="B54" s="441" t="str">
        <f ca="1">OFFSET(Table3[[#Headers],[Time]],COUNT(B2:B53),0)</f>
        <v>Time</v>
      </c>
      <c r="C54" s="441">
        <f ca="1">OFFSET(Table3[[#Headers],[0000 Ring Main '#1 MP4889 - kWh]],COUNT(C2:C53),0)</f>
        <v>214258.86199999999</v>
      </c>
      <c r="D54" s="441"/>
      <c r="E54" s="441">
        <f ca="1">OFFSET(Table3[[#Headers],[0000 Ring Main '#2  - kWh]],COUNT(E2:E53),0)</f>
        <v>0</v>
      </c>
      <c r="F54" s="441"/>
      <c r="G54" s="441">
        <f ca="1">OFFSET(Table3[[#Headers],[0000 Ring Main '#3  - kWh]],COUNT(G2:G53),0)</f>
        <v>624555.79</v>
      </c>
      <c r="H54" s="441"/>
      <c r="I54" s="441">
        <f ca="1">OFFSET(Table3[[#Headers],[A161 Taieri Farm - kWh]],COUNT(I2:I53),0)</f>
        <v>2629.15</v>
      </c>
      <c r="J54" s="441"/>
      <c r="K54" s="441">
        <f ca="1">OFFSET(Table3[[#Headers],[C405 192 Castle College - kWh]],COUNT(K2:K53),0)</f>
        <v>23035.119999999999</v>
      </c>
      <c r="L54" s="441"/>
      <c r="M54" s="441">
        <f ca="1">OFFSET(Table3[[#Headers],[D20X Med School Sub Main - kWh]],COUNT(M2:M53),0)</f>
        <v>366398.58</v>
      </c>
      <c r="N54" s="441"/>
      <c r="O54" s="441">
        <f ca="1">OFFSET(Table3[[#Headers],[D402 Hayward College - kWh]],COUNT(O2:O53),0)</f>
        <v>30019</v>
      </c>
      <c r="P54" s="441"/>
      <c r="Q54" s="441">
        <f ca="1">OFFSET(Table3[[#Headers],[D403 Survey &amp; Marine - kWh]],COUNT(Q2:Q53),0)</f>
        <v>20969.083999999999</v>
      </c>
      <c r="R54" s="441"/>
      <c r="S54" s="441">
        <f ca="1">OFFSET(Table3[[#Headers],[D40X Cumberland College - kWh]],COUNT(S2:S53),0)</f>
        <v>46000.06</v>
      </c>
      <c r="T54" s="441"/>
      <c r="U54" s="441"/>
      <c r="V54" s="441"/>
      <c r="W54" s="441">
        <f ca="1">OFFSET(Table3[[#Headers],[E212 Zoology Buildings - kWh]],COUNT(W2:W53),0)</f>
        <v>71919.775999999998</v>
      </c>
      <c r="X54" s="441"/>
      <c r="Y54" s="441">
        <f ca="1">OFFSET(Table3[[#Headers],[E214 Otago Dental School - kWh]],COUNT(Y2:Y53),0)</f>
        <v>180143.712</v>
      </c>
      <c r="Z54" s="441"/>
      <c r="AA54" s="441">
        <f ca="1">OFFSET(Table3[[#Headers],[E301 Hunter Centre - kWh]],COUNT(AA2:AA53),0)</f>
        <v>16839.68</v>
      </c>
      <c r="AB54" s="441"/>
      <c r="AC54" s="441">
        <f ca="1">OFFSET(Table3[[#Headers],[E305 Physiotherapy - kWh]],COUNT(AC2:AC53),0)</f>
        <v>172066.848</v>
      </c>
      <c r="AD54" s="441"/>
      <c r="AE54" s="441">
        <f ca="1">OFFSET(Table3[[#Headers],[E308 Student Health - kWh]],COUNT(AE2:AE53),0)</f>
        <v>18006.02</v>
      </c>
      <c r="AF54" s="441"/>
      <c r="AG54" s="441">
        <f ca="1">OFFSET(Table3[[#Headers],[E325 Research Support Facility - kWh]],COUNT(AG2:AG53),0)</f>
        <v>110795.36</v>
      </c>
      <c r="AH54" s="441"/>
      <c r="AI54" s="441">
        <f ca="1">OFFSET(Table3[[#Headers],[E902 Hocken Library - kWh]],COUNT(AI2:AI53),0)</f>
        <v>81889.152000000002</v>
      </c>
      <c r="AJ54" s="441"/>
      <c r="AK54" s="441">
        <f ca="1">OFFSET(Table3[[#Headers],[F204 444 Great King Street - kWh]],COUNT(AK2:AK53),0)</f>
        <v>99781.97</v>
      </c>
      <c r="AL54" s="441"/>
      <c r="AM54" s="441">
        <f ca="1">OFFSET(Table3[[#Headers],[F315 Botany Tin Hut - kWh]],COUNT(AM2:AM53),0)</f>
        <v>31847.903999999999</v>
      </c>
      <c r="AN54" s="441"/>
      <c r="AO54" s="441">
        <f ca="1">OFFSET(Table3[[#Headers],[F325 Physical Education - kWh]],COUNT(AO2:AO53),0)</f>
        <v>31845.056</v>
      </c>
      <c r="AP54" s="441"/>
      <c r="AQ54" s="441">
        <f ca="1">OFFSET(Table3[[#Headers],[F711 Executive Residence - kWh]],COUNT(AQ2:AQ53),0)</f>
        <v>4831.3919999999998</v>
      </c>
      <c r="AR54" s="441"/>
      <c r="AS54" s="441">
        <f ca="1">OFFSET(Table3[[#Headers],[F812 UOCOE Owheo Building - kWh]],COUNT(AS2:AS53),0)</f>
        <v>24749.79</v>
      </c>
      <c r="AT54" s="441"/>
      <c r="AU54" s="441">
        <f ca="1">OFFSET(Table3[[#Headers],[F813 UOCOE Robertson Library - kWh]],COUNT(AU2:AU53),0)</f>
        <v>42090.29</v>
      </c>
      <c r="AV54" s="441"/>
      <c r="AW54" s="441">
        <f ca="1">OFFSET(Table3[[#Headers],[F940 Plaza Building - kWh]],COUNT(AW2:AW53),0)</f>
        <v>131370.45499999999</v>
      </c>
      <c r="AX54" s="441"/>
      <c r="AY54" s="441">
        <f ca="1">OFFSET(Table3[[#Headers],[F9XX College of Education main (Boiler room) - kWh]],COUNT(AY2:AY53),0)</f>
        <v>70190.255999999994</v>
      </c>
      <c r="AZ54" s="441"/>
      <c r="BA54" s="441">
        <f ca="1">OFFSET(Table3[[#Headers],[G401 Mellor Laboratories - kWh]],COUNT(BA2:BA53),0)</f>
        <v>119141.408</v>
      </c>
      <c r="BB54" s="441"/>
      <c r="BC54" s="441">
        <f ca="1">OFFSET(Table3[[#Headers],[G403 Biochemistry - kWh]],COUNT(BC2:BC53),0)</f>
        <v>131214.52799999999</v>
      </c>
      <c r="BD54" s="441"/>
      <c r="BE54" s="441">
        <f ca="1">OFFSET(Table3[[#Headers],[G404 Microbiology - kWh]],COUNT(BE2:BE53),0)</f>
        <v>112037.88</v>
      </c>
      <c r="BF54" s="441"/>
      <c r="BG54" s="441">
        <f ca="1">OFFSET(Table3[[#Headers],[G413 Science 2 - kWh]],COUNT(BG2:BG53),0)</f>
        <v>108584.136</v>
      </c>
      <c r="BH54" s="441"/>
      <c r="BI54" s="1309">
        <f ca="1">OFFSET(Table3[[#Headers],[G608 St Margarets College - kWh]],COUNT(BI2:BI53),0)</f>
        <v>38449.362000000001</v>
      </c>
      <c r="BJ54" s="441"/>
      <c r="BK54" s="441">
        <f ca="1">OFFSET(Table3[[#Headers],[G60X UNICOL - kWh]],COUNT(BK2:BK53),0)</f>
        <v>77810.703999999998</v>
      </c>
      <c r="BL54" s="441"/>
      <c r="BM54" s="441">
        <f ca="1">OFFSET(Table3[[#Headers],[H41X Selwyn College - kWh E2]],COUNT(BM2:BM53),0)</f>
        <v>56030.561999999998</v>
      </c>
      <c r="BN54" s="441"/>
      <c r="BO54" s="441">
        <f ca="1">OFFSET(Table3[[#Headers],[H633 Arana College main - kWh]],COUNT(BO2:BO53),0)</f>
        <v>6576.9120000000003</v>
      </c>
      <c r="BP54" s="441"/>
      <c r="BQ54" s="441">
        <f ca="1">OFFSET(Table3[[#Headers],[H71X Studholm College - kWh E2]],COUNT(BQ2:BQ53),0)</f>
        <v>55788.88</v>
      </c>
      <c r="BR54" s="441"/>
      <c r="BS54" s="441">
        <f ca="1">OFFSET(Table3[[#Headers],[J126 Carrington College (Kitchen/Dining) - kWh]],COUNT(BS2:BS53),0)</f>
        <v>35382.49</v>
      </c>
      <c r="BT54" s="441"/>
      <c r="BU54" s="441">
        <f ca="1">OFFSET(Table3[[#Headers],[J14X Aquinas College - kWh]],COUNT(BU2:BU53),0)</f>
        <v>57534.8</v>
      </c>
      <c r="BV54" s="441"/>
      <c r="BW54" s="441">
        <f ca="1">OFFSET(Table3[[#Headers],[J303 Caroline Freeman College - kWh]],COUNT(BW2:BW53),0)</f>
        <v>119910.33</v>
      </c>
      <c r="BX54" s="441"/>
      <c r="BY54" s="441">
        <f ca="1">OFFSET(Table3[[#Headers],[J960 Portobello Marine Lab - kWh]],COUNT(BY2:BY53),0)</f>
        <v>39555.69</v>
      </c>
      <c r="BZ54" s="441"/>
      <c r="CA54" s="441">
        <f ca="1">OFFSET(Table3[[#Headers],[K427 Abbey College - kWh]],COUNT(CA2:CA53),0)</f>
        <v>36720.51</v>
      </c>
      <c r="CB54" s="441"/>
      <c r="CC54" s="441">
        <f ca="1">OFFSET(Table3[[#Headers],[XC01 UoO School of Medicine ChCh - kWh]],COUNT(CC2:CC53),0)</f>
        <v>179128.03200000001</v>
      </c>
      <c r="CD54" s="441"/>
      <c r="CE54" s="441">
        <f ca="1">OFFSET(Table3[[#Headers],[Ring Mains Total - kWh]],COUNT(CE2:CE53),0)</f>
        <v>838814.652</v>
      </c>
      <c r="CF54" s="441">
        <f ca="1">OFFSET(Table3[[#Headers],[Libraries Total - kWh]],COUNT(CF2:CF53),0)</f>
        <v>123979.44200000001</v>
      </c>
      <c r="CG54" s="441">
        <f ca="1">OFFSET(Table3[[#Headers],[Colleges Total - kWh]],COUNT(CG2:CG53),0)</f>
        <v>535029.20799999998</v>
      </c>
      <c r="CH54" s="441">
        <f ca="1">OFFSET(Table3[[#Headers],[Science Total - kWh]],COUNT(CH2:CH53),0)</f>
        <v>560650.72400000005</v>
      </c>
      <c r="CI54" s="441">
        <f ca="1">OFFSET(Table3[[#Headers],[Health Science Total -kWh]],COUNT(CI2:CI53),0)</f>
        <v>848873.33000000007</v>
      </c>
      <c r="CJ54" s="441">
        <f ca="1">OFFSET(Table3[[#Headers],[Humanities Total - kWh]],COUNT(CJ2:CJ53),0)</f>
        <v>70190.255999999994</v>
      </c>
      <c r="CK54" s="441">
        <f ca="1">OFFSET(Table3[[#Headers],[OBS &amp; Psychology Total - kWh]],COUNT(CK2:CK53),0)</f>
        <v>260516.34999999998</v>
      </c>
      <c r="CL54" s="441">
        <f ca="1">OFFSET(Table3[[#Headers],[Total Stream DN Electricity - kWh]],COUNT(CL2:CL53),0)</f>
        <v>3410971.4989999998</v>
      </c>
      <c r="CM54" s="441">
        <f ca="1">OFFSET(Table3[[#Headers],[ITS Servers Total - kWh]],COUNT(CM2:CM53),0)</f>
        <v>216927.97</v>
      </c>
    </row>
    <row r="55" spans="1:92">
      <c r="CE55" s="959" t="s">
        <v>1438</v>
      </c>
      <c r="CF55" s="960" t="s">
        <v>1430</v>
      </c>
      <c r="CG55" s="960" t="s">
        <v>1431</v>
      </c>
      <c r="CH55" s="960" t="s">
        <v>1432</v>
      </c>
      <c r="CI55" s="960" t="s">
        <v>1433</v>
      </c>
      <c r="CJ55" s="960" t="s">
        <v>1434</v>
      </c>
      <c r="CK55" s="960" t="s">
        <v>1439</v>
      </c>
      <c r="CL55" s="959" t="s">
        <v>1440</v>
      </c>
      <c r="CM55" s="961" t="s">
        <v>1436</v>
      </c>
    </row>
    <row r="56" spans="1:92">
      <c r="CE56" s="848"/>
      <c r="CF56" s="35" t="str">
        <f>AI1</f>
        <v>E902 Hocken Library - kWh</v>
      </c>
      <c r="CG56" s="35" t="str">
        <f>K1</f>
        <v>C405 192 Castle College - kWh</v>
      </c>
      <c r="CH56" s="35" t="str">
        <f>Q1</f>
        <v>D403 Survey &amp; Marine - kWh</v>
      </c>
      <c r="CI56" s="35" t="str">
        <f>I1</f>
        <v>A161 Taieri Farm - kWh</v>
      </c>
      <c r="CJ56" t="str">
        <f>AY1</f>
        <v>F9XX College of Education main (Boiler room) - kWh</v>
      </c>
      <c r="CK56" s="35" t="str">
        <f>'Janitza data '!B280</f>
        <v>F614 1 School of Business Incomer 1 (Lower floors):</v>
      </c>
      <c r="CL56" s="35"/>
      <c r="CM56" s="35" t="str">
        <f>AK1</f>
        <v>F204 444 Great King Street - kWh</v>
      </c>
    </row>
    <row r="57" spans="1:92">
      <c r="CF57" s="35" t="str">
        <f>AU1</f>
        <v>F813 UOCOE Robertson Library - kWh</v>
      </c>
      <c r="CG57" s="35" t="str">
        <f>O1</f>
        <v>D402 Hayward College - kWh</v>
      </c>
      <c r="CH57" s="35" t="str">
        <f>W1</f>
        <v>E212 Zoology Buildings - kWh</v>
      </c>
      <c r="CI57" s="35" t="str">
        <f>M1</f>
        <v>D20X Med School Sub Main - kWh</v>
      </c>
      <c r="CJ57" t="str">
        <f>'Janitza data '!B270</f>
        <v>F518 Arts 1 Submains MSB:</v>
      </c>
      <c r="CK57" s="35" t="str">
        <f>'Janitza data '!B281</f>
        <v>F614 2 School of Business Incomer 2 (Upper floors):</v>
      </c>
      <c r="CM57" s="35" t="s">
        <v>1441</v>
      </c>
    </row>
    <row r="58" spans="1:92">
      <c r="CF58" t="str">
        <f>'Janitza data '!B11</f>
        <v>D203 Sayers (at Adams MSB):</v>
      </c>
      <c r="CG58" s="35" t="str">
        <f>S1</f>
        <v>D40X Cumberland College - kWh</v>
      </c>
      <c r="CH58" s="35" t="str">
        <f>AM1</f>
        <v>F315 Botany Tin Hut - kWh</v>
      </c>
      <c r="CI58" s="35" t="str">
        <f>Y1</f>
        <v>E214 Otago Dental School - kWh</v>
      </c>
      <c r="CJ58" t="str">
        <f>'Janitza data '!B269</f>
        <v>F516 97 Albany &amp; F517 99 Albany, F513 262 Leith Walk:</v>
      </c>
      <c r="CK58" s="35" t="str">
        <f>'Janitza data '!B299</f>
        <v>F618 1  Psychology substation- Goddard:</v>
      </c>
    </row>
    <row r="59" spans="1:92">
      <c r="CF59" t="str">
        <f>'Janitza data '!B310</f>
        <v>F813 Bill Robertson Library 1 MSB:</v>
      </c>
      <c r="CG59" s="35" t="str">
        <f>AQ1</f>
        <v>F711 Executive Residence - kWh</v>
      </c>
      <c r="CH59" s="849" t="str">
        <f>AO1</f>
        <v>F325 Physical Education - kWh</v>
      </c>
      <c r="CI59" s="35" t="str">
        <f>AA1</f>
        <v>E301 Hunter Centre - kWh</v>
      </c>
      <c r="CJ59" t="str">
        <f>'Janitza data '!B254</f>
        <v>F505 1 Richardson Mains:</v>
      </c>
      <c r="CK59" s="35"/>
      <c r="CL59" s="35"/>
    </row>
    <row r="60" spans="1:92">
      <c r="CF60" t="str">
        <f>'Janitza data '!B574</f>
        <v>F419 ISB West Excluding Shops</v>
      </c>
      <c r="CG60" s="35" t="str">
        <f>AS1</f>
        <v>F812 UOCOE Owheo Building - kWh</v>
      </c>
      <c r="CH60" s="35" t="str">
        <f>AS1</f>
        <v>F812 UOCOE Owheo Building - kWh</v>
      </c>
      <c r="CI60" s="35" t="str">
        <f>AC1</f>
        <v>E305 Physiotherapy - kWh</v>
      </c>
      <c r="CJ60" t="str">
        <f>'Janitza data '!B403</f>
        <v>G506/07 Archway buildings (incl. Allen &amp; Marama Hall):</v>
      </c>
    </row>
    <row r="61" spans="1:92">
      <c r="CF61" t="str">
        <f>'Janitza data '!B$258</f>
        <v>F505 Richardson Library Block Rising Main:</v>
      </c>
      <c r="CG61" s="35" t="str">
        <f>BI1</f>
        <v>G608 St Margarets College - kWh</v>
      </c>
      <c r="CH61" s="35" t="str">
        <f>BA1</f>
        <v>G401 Mellor Laboratories - kWh</v>
      </c>
      <c r="CI61" s="35" t="str">
        <f>AG1</f>
        <v>E325 Research Support Facility - kWh</v>
      </c>
    </row>
    <row r="62" spans="1:92">
      <c r="CG62" s="35" t="str">
        <f>BM1</f>
        <v>H41X Selwyn College - kWh E2</v>
      </c>
      <c r="CH62" s="35" t="str">
        <f>BE1</f>
        <v>G404 Microbiology - kWh</v>
      </c>
    </row>
    <row r="63" spans="1:92">
      <c r="CG63" s="35" t="str">
        <f>BO1</f>
        <v>H633 Arana College main - kWh</v>
      </c>
      <c r="CH63" t="str">
        <f>BG1</f>
        <v>G413 Science 2 - kWh</v>
      </c>
      <c r="CN63" t="s">
        <v>1442</v>
      </c>
    </row>
    <row r="64" spans="1:92">
      <c r="CG64" s="35" t="str">
        <f>BQ1</f>
        <v>H71X Studholm College - kWh E2</v>
      </c>
      <c r="CH64" t="str">
        <f>BY1</f>
        <v>J960 Portobello Marine Lab - kWh</v>
      </c>
      <c r="CN64" t="s">
        <v>1443</v>
      </c>
    </row>
    <row r="65" spans="83:92">
      <c r="CG65" s="35" t="str">
        <f>BS1</f>
        <v>J126 Carrington College (Kitchen/Dining) - kWh</v>
      </c>
      <c r="CH65" t="str">
        <f>'Janitza data '!B400</f>
        <v>G505 Geology north:</v>
      </c>
      <c r="CN65" t="s">
        <v>1444</v>
      </c>
    </row>
    <row r="66" spans="83:92">
      <c r="CG66" s="35" t="str">
        <f>BU1</f>
        <v>J14X Aquinas College - kWh</v>
      </c>
      <c r="CH66" t="str">
        <f>'Janitza data '!B401</f>
        <v>G505 Geology south:</v>
      </c>
      <c r="CN66" t="s">
        <v>1445</v>
      </c>
    </row>
    <row r="67" spans="83:92">
      <c r="CG67" s="35" t="str">
        <f>BW1</f>
        <v>J303 Caroline Freeman College - kWh</v>
      </c>
      <c r="CN67" t="s">
        <v>1446</v>
      </c>
    </row>
    <row r="68" spans="83:92">
      <c r="CG68" t="str">
        <f>CA1</f>
        <v>K427 Abbey College - kWh</v>
      </c>
      <c r="CN68" t="s">
        <v>1447</v>
      </c>
    </row>
    <row r="69" spans="83:92">
      <c r="CJ69" s="35"/>
      <c r="CK69" s="35"/>
      <c r="CN69" s="35" t="s">
        <v>1448</v>
      </c>
    </row>
    <row r="70" spans="83:92">
      <c r="CJ70" s="35"/>
    </row>
    <row r="71" spans="83:92">
      <c r="CE71" s="848" t="s">
        <v>1449</v>
      </c>
      <c r="CF71" s="35"/>
      <c r="CG71" s="35" t="s">
        <v>1450</v>
      </c>
    </row>
    <row r="72" spans="83:92">
      <c r="CE72" s="848" t="s">
        <v>1451</v>
      </c>
      <c r="CF72" s="35" t="s">
        <v>1452</v>
      </c>
      <c r="CG72" t="s">
        <v>1453</v>
      </c>
    </row>
    <row r="73" spans="83:92">
      <c r="CE73" s="848" t="s">
        <v>1454</v>
      </c>
      <c r="CF73" s="35"/>
      <c r="CG73" t="s">
        <v>1455</v>
      </c>
    </row>
    <row r="74" spans="83:92">
      <c r="CE74" s="848" t="s">
        <v>1456</v>
      </c>
      <c r="CG74" t="s">
        <v>1457</v>
      </c>
    </row>
    <row r="75" spans="83:92">
      <c r="CE75" s="848" t="s">
        <v>1458</v>
      </c>
      <c r="CG75" t="s">
        <v>1459</v>
      </c>
    </row>
    <row r="76" spans="83:92">
      <c r="CE76" s="848" t="s">
        <v>1460</v>
      </c>
      <c r="CG76" t="s">
        <v>1461</v>
      </c>
    </row>
  </sheetData>
  <conditionalFormatting sqref="C2:C53">
    <cfRule type="dataBar" priority="3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{522D74F5-99BA-4627-895E-D3C2E37AC84D}</x14:id>
        </ext>
      </extLst>
    </cfRule>
  </conditionalFormatting>
  <conditionalFormatting sqref="G2:G53">
    <cfRule type="dataBar" priority="3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{7F4D2372-4C8F-4339-88E3-DFE9ECC9843F}</x14:id>
        </ext>
      </extLst>
    </cfRule>
  </conditionalFormatting>
  <conditionalFormatting sqref="I2:I53">
    <cfRule type="dataBar" priority="3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{2084B619-C324-4E42-91D8-FE2AF3601904}</x14:id>
        </ext>
      </extLst>
    </cfRule>
  </conditionalFormatting>
  <conditionalFormatting sqref="K2:K53">
    <cfRule type="dataBar" priority="37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{BA681E4E-15A6-413A-A2CD-CEA7D64D1F0C}</x14:id>
        </ext>
      </extLst>
    </cfRule>
  </conditionalFormatting>
  <conditionalFormatting sqref="M2:M53">
    <cfRule type="dataBar" priority="3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{56E110D6-505E-417A-93BC-2F0C6E1BD6A5}</x14:id>
        </ext>
      </extLst>
    </cfRule>
  </conditionalFormatting>
  <conditionalFormatting sqref="O2:O53">
    <cfRule type="dataBar" priority="3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{C4493FE9-A398-4902-8093-CE8EE99077CF}</x14:id>
        </ext>
      </extLst>
    </cfRule>
  </conditionalFormatting>
  <conditionalFormatting sqref="Q2:Q53">
    <cfRule type="dataBar" priority="38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{63707914-0639-4E5F-9158-FA57A8FDB260}</x14:id>
        </ext>
      </extLst>
    </cfRule>
  </conditionalFormatting>
  <conditionalFormatting sqref="S2:S53">
    <cfRule type="dataBar" priority="3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{DC365D24-ABF3-4FB3-BBE8-B42931B24258}</x14:id>
        </ext>
      </extLst>
    </cfRule>
  </conditionalFormatting>
  <conditionalFormatting sqref="W2:W53">
    <cfRule type="dataBar" priority="38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{9DA5C0C4-341C-43E4-8E38-DC680095D5C9}</x14:id>
        </ext>
      </extLst>
    </cfRule>
  </conditionalFormatting>
  <conditionalFormatting sqref="Y2:Y53">
    <cfRule type="dataBar" priority="3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{1CFD7672-2DCA-420B-BFA1-816A07F4F2E8}</x14:id>
        </ext>
      </extLst>
    </cfRule>
  </conditionalFormatting>
  <conditionalFormatting sqref="AA2:AA53">
    <cfRule type="dataBar" priority="3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{0F4A7C33-E63F-43AC-A13D-66AA70A7F1D6}</x14:id>
        </ext>
      </extLst>
    </cfRule>
  </conditionalFormatting>
  <conditionalFormatting sqref="AC2:AC53">
    <cfRule type="dataBar" priority="3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{7D9746CA-9AE2-491C-9566-393E0D1F5CB0}</x14:id>
        </ext>
      </extLst>
    </cfRule>
  </conditionalFormatting>
  <conditionalFormatting sqref="AE2:AE53">
    <cfRule type="dataBar" priority="3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{54ACE65D-7177-4D80-B3BB-9B87F1DFA51C}</x14:id>
        </ext>
      </extLst>
    </cfRule>
  </conditionalFormatting>
  <conditionalFormatting sqref="AG2:AG53">
    <cfRule type="dataBar" priority="3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{C76E12C4-FAA6-4889-A9D5-3EE83625DBA6}</x14:id>
        </ext>
      </extLst>
    </cfRule>
  </conditionalFormatting>
  <conditionalFormatting sqref="AI2:AI53">
    <cfRule type="dataBar" priority="4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{B6B779CB-66D0-459A-B156-9F0056E35E9F}</x14:id>
        </ext>
      </extLst>
    </cfRule>
  </conditionalFormatting>
  <conditionalFormatting sqref="AK2:AK53">
    <cfRule type="dataBar" priority="4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{9DCB341E-F845-450C-82C0-177D4A55FCA2}</x14:id>
        </ext>
      </extLst>
    </cfRule>
  </conditionalFormatting>
  <conditionalFormatting sqref="AM2:AM53">
    <cfRule type="dataBar" priority="40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{C157CC5E-D755-442C-832B-15C194E611CD}</x14:id>
        </ext>
      </extLst>
    </cfRule>
  </conditionalFormatting>
  <conditionalFormatting sqref="AO2:AO53">
    <cfRule type="dataBar" priority="40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{3278BC9A-2ACE-4BAB-B2CD-44274A18EAE6}</x14:id>
        </ext>
      </extLst>
    </cfRule>
  </conditionalFormatting>
  <conditionalFormatting sqref="AQ2:AQ53">
    <cfRule type="dataBar" priority="40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{201DADCC-35B1-41A4-AF70-7493F7B93165}</x14:id>
        </ext>
      </extLst>
    </cfRule>
  </conditionalFormatting>
  <conditionalFormatting sqref="AS2:AS53">
    <cfRule type="dataBar" priority="4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{71E02899-E00B-44E5-AC08-F2C0B94A16A0}</x14:id>
        </ext>
      </extLst>
    </cfRule>
  </conditionalFormatting>
  <conditionalFormatting sqref="AU2:AU53">
    <cfRule type="dataBar" priority="4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{52B2F009-9E99-4171-A807-E8FD01313C1E}</x14:id>
        </ext>
      </extLst>
    </cfRule>
  </conditionalFormatting>
  <conditionalFormatting sqref="AW2:AW53">
    <cfRule type="dataBar" priority="4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{CEE876E8-B45F-4416-B4C6-74D92F8419ED}</x14:id>
        </ext>
      </extLst>
    </cfRule>
  </conditionalFormatting>
  <conditionalFormatting sqref="AY2:AY53">
    <cfRule type="dataBar" priority="4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{09790FA2-408A-420A-A050-D0556E032991}</x14:id>
        </ext>
      </extLst>
    </cfRule>
  </conditionalFormatting>
  <conditionalFormatting sqref="BA2:BA53">
    <cfRule type="dataBar" priority="4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{9D0BD89A-B2C3-4EDF-827B-E3C0975B0870}</x14:id>
        </ext>
      </extLst>
    </cfRule>
  </conditionalFormatting>
  <conditionalFormatting sqref="BC2:BC52">
    <cfRule type="dataBar" priority="3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{A1DC1671-4A16-4481-9364-1AE988F66ACC}</x14:id>
        </ext>
      </extLst>
    </cfRule>
  </conditionalFormatting>
  <conditionalFormatting sqref="BC2:BC53">
    <cfRule type="dataBar" priority="4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{393DE688-C084-445F-AB36-1AA97A77CA8D}</x14:id>
        </ext>
      </extLst>
    </cfRule>
  </conditionalFormatting>
  <conditionalFormatting sqref="BE2:BE53">
    <cfRule type="dataBar" priority="4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{BD4724EC-BFA6-4E58-B691-821E666575AE}</x14:id>
        </ext>
      </extLst>
    </cfRule>
  </conditionalFormatting>
  <conditionalFormatting sqref="BG2:BG53">
    <cfRule type="dataBar" priority="4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{6A3E5484-A4D7-413D-9721-3FC8F7A118FB}</x14:id>
        </ext>
      </extLst>
    </cfRule>
  </conditionalFormatting>
  <conditionalFormatting sqref="BI2:BI53">
    <cfRule type="dataBar" priority="4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{4DD44730-82DA-46CE-BDFB-D7E4672D5851}</x14:id>
        </ext>
      </extLst>
    </cfRule>
  </conditionalFormatting>
  <conditionalFormatting sqref="BK2:BK53">
    <cfRule type="dataBar" priority="4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{6FDFFDD6-08C1-4B10-BC52-D05F6970CD6F}</x14:id>
        </ext>
      </extLst>
    </cfRule>
  </conditionalFormatting>
  <conditionalFormatting sqref="BM2:BM53">
    <cfRule type="dataBar" priority="4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{A8BBF8A5-388A-4DFC-8F79-AC14B6FFD115}</x14:id>
        </ext>
      </extLst>
    </cfRule>
  </conditionalFormatting>
  <conditionalFormatting sqref="BO2:BO53">
    <cfRule type="dataBar" priority="4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{A72EF4A3-2FF5-45C8-B8F8-AFFBFA97F1BE}</x14:id>
        </ext>
      </extLst>
    </cfRule>
  </conditionalFormatting>
  <conditionalFormatting sqref="BQ2:BQ53">
    <cfRule type="dataBar" priority="4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{E3757317-8C33-4BD3-AD09-5F3468443CBA}</x14:id>
        </ext>
      </extLst>
    </cfRule>
  </conditionalFormatting>
  <conditionalFormatting sqref="BS2:BS53">
    <cfRule type="dataBar" priority="4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{19679FFD-7622-4B4B-9071-0421CCC0E685}</x14:id>
        </ext>
      </extLst>
    </cfRule>
  </conditionalFormatting>
  <conditionalFormatting sqref="BU2:BU53">
    <cfRule type="dataBar" priority="4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{B3DC18DE-E79B-4841-8F9A-4CC4C3A773FD}</x14:id>
        </ext>
      </extLst>
    </cfRule>
  </conditionalFormatting>
  <conditionalFormatting sqref="BW2:BW53">
    <cfRule type="dataBar" priority="4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{96E59D2F-2B47-4D1B-B72F-5B6B1A06EB15}</x14:id>
        </ext>
      </extLst>
    </cfRule>
  </conditionalFormatting>
  <conditionalFormatting sqref="BY2:BY53">
    <cfRule type="dataBar" priority="4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{30043731-24C4-4CC7-AD6C-466CF4986087}</x14:id>
        </ext>
      </extLst>
    </cfRule>
  </conditionalFormatting>
  <conditionalFormatting sqref="CA2:CA53">
    <cfRule type="dataBar" priority="44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{6A577040-0B20-428B-BC64-474FE6C2EE37}</x14:id>
        </ext>
      </extLst>
    </cfRule>
  </conditionalFormatting>
  <conditionalFormatting sqref="CC2:CC53">
    <cfRule type="dataBar" priority="4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{74CE1D15-FA20-4837-B734-B8D11E6A1500}</x14:id>
        </ext>
      </extLst>
    </cfRule>
  </conditionalFormatting>
  <conditionalFormatting sqref="CE2:CE53">
    <cfRule type="dataBar" priority="4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{2806F605-F823-42BA-8B45-C5E1BEE4C42C}</x14:id>
        </ext>
      </extLst>
    </cfRule>
  </conditionalFormatting>
  <conditionalFormatting sqref="CF2:CF53">
    <cfRule type="dataBar" priority="4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{E0A8EBDC-CE6D-4487-B315-4A6A1E08A545}</x14:id>
        </ext>
      </extLst>
    </cfRule>
  </conditionalFormatting>
  <conditionalFormatting sqref="CG2:CG53">
    <cfRule type="dataBar" priority="4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{6289CE18-1C4D-4C54-8D51-7A0A935CBF99}</x14:id>
        </ext>
      </extLst>
    </cfRule>
  </conditionalFormatting>
  <conditionalFormatting sqref="CH2:CH53">
    <cfRule type="dataBar" priority="4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{1DC85693-1B03-46C2-A0F0-FE974974581E}</x14:id>
        </ext>
      </extLst>
    </cfRule>
  </conditionalFormatting>
  <conditionalFormatting sqref="CI2:CI53">
    <cfRule type="dataBar" priority="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{C1F155C5-DAD7-4CC5-9AF8-EC811C066C1B}</x14:id>
        </ext>
      </extLst>
    </cfRule>
  </conditionalFormatting>
  <conditionalFormatting sqref="CJ2:CK53">
    <cfRule type="dataBar" priority="4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{A91AA76C-280A-49F8-A601-F1EB32DA36A6}</x14:id>
        </ext>
      </extLst>
    </cfRule>
  </conditionalFormatting>
  <conditionalFormatting sqref="CK2:CK53">
    <cfRule type="dataBar" priority="4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{2B56EB09-F664-495A-84B0-E36B8E25649B}</x14:id>
        </ext>
      </extLst>
    </cfRule>
  </conditionalFormatting>
  <conditionalFormatting sqref="CL2:CL53">
    <cfRule type="dataBar" priority="4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{16DB949C-31D1-4E4B-BD51-E76CC42B14C2}</x14:id>
        </ext>
      </extLst>
    </cfRule>
  </conditionalFormatting>
  <conditionalFormatting sqref="CM2:CM53">
    <cfRule type="dataBar" priority="4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{CE57D9D2-439F-4494-AFF1-8853AB9A39FD}</x14:id>
        </ext>
      </extLst>
    </cfRule>
  </conditionalFormatting>
  <pageMargins left="0.7" right="0.7" top="0.75" bottom="0.75" header="0.3" footer="0.3"/>
  <pageSetup paperSize="9" orientation="portrait" verticalDpi="0" r:id="rId1"/>
  <ignoredErrors>
    <ignoredError sqref="CM14 CM2:CM12 CM15:CM29 CH2:CH12" calculatedColumn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2D74F5-99BA-4627-895E-D3C2E37AC8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C2:C53</xm:sqref>
        </x14:conditionalFormatting>
        <x14:conditionalFormatting xmlns:xm="http://schemas.microsoft.com/office/excel/2006/main">
          <x14:cfRule type="dataBar" id="{7F4D2372-4C8F-4339-88E3-DFE9ECC984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G2:G53</xm:sqref>
        </x14:conditionalFormatting>
        <x14:conditionalFormatting xmlns:xm="http://schemas.microsoft.com/office/excel/2006/main">
          <x14:cfRule type="dataBar" id="{2084B619-C324-4E42-91D8-FE2AF36019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I2:I53</xm:sqref>
        </x14:conditionalFormatting>
        <x14:conditionalFormatting xmlns:xm="http://schemas.microsoft.com/office/excel/2006/main">
          <x14:cfRule type="dataBar" id="{BA681E4E-15A6-413A-A2CD-CEA7D64D1F0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K2:K53</xm:sqref>
        </x14:conditionalFormatting>
        <x14:conditionalFormatting xmlns:xm="http://schemas.microsoft.com/office/excel/2006/main">
          <x14:cfRule type="dataBar" id="{56E110D6-505E-417A-93BC-2F0C6E1BD6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M2:M53</xm:sqref>
        </x14:conditionalFormatting>
        <x14:conditionalFormatting xmlns:xm="http://schemas.microsoft.com/office/excel/2006/main">
          <x14:cfRule type="dataBar" id="{C4493FE9-A398-4902-8093-CE8EE99077C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O2:O53</xm:sqref>
        </x14:conditionalFormatting>
        <x14:conditionalFormatting xmlns:xm="http://schemas.microsoft.com/office/excel/2006/main">
          <x14:cfRule type="dataBar" id="{63707914-0639-4E5F-9158-FA57A8FDB26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Q2:Q53</xm:sqref>
        </x14:conditionalFormatting>
        <x14:conditionalFormatting xmlns:xm="http://schemas.microsoft.com/office/excel/2006/main">
          <x14:cfRule type="dataBar" id="{DC365D24-ABF3-4FB3-BBE8-B42931B2425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S2:S53</xm:sqref>
        </x14:conditionalFormatting>
        <x14:conditionalFormatting xmlns:xm="http://schemas.microsoft.com/office/excel/2006/main">
          <x14:cfRule type="dataBar" id="{9DA5C0C4-341C-43E4-8E38-DC680095D5C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W2:W53</xm:sqref>
        </x14:conditionalFormatting>
        <x14:conditionalFormatting xmlns:xm="http://schemas.microsoft.com/office/excel/2006/main">
          <x14:cfRule type="dataBar" id="{1CFD7672-2DCA-420B-BFA1-816A07F4F2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Y2:Y53</xm:sqref>
        </x14:conditionalFormatting>
        <x14:conditionalFormatting xmlns:xm="http://schemas.microsoft.com/office/excel/2006/main">
          <x14:cfRule type="dataBar" id="{0F4A7C33-E63F-43AC-A13D-66AA70A7F1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AA2:AA53</xm:sqref>
        </x14:conditionalFormatting>
        <x14:conditionalFormatting xmlns:xm="http://schemas.microsoft.com/office/excel/2006/main">
          <x14:cfRule type="dataBar" id="{7D9746CA-9AE2-491C-9566-393E0D1F5C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AC2:AC53</xm:sqref>
        </x14:conditionalFormatting>
        <x14:conditionalFormatting xmlns:xm="http://schemas.microsoft.com/office/excel/2006/main">
          <x14:cfRule type="dataBar" id="{54ACE65D-7177-4D80-B3BB-9B87F1DFA5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AE2:AE53</xm:sqref>
        </x14:conditionalFormatting>
        <x14:conditionalFormatting xmlns:xm="http://schemas.microsoft.com/office/excel/2006/main">
          <x14:cfRule type="dataBar" id="{C76E12C4-FAA6-4889-A9D5-3EE83625DB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AG2:AG53</xm:sqref>
        </x14:conditionalFormatting>
        <x14:conditionalFormatting xmlns:xm="http://schemas.microsoft.com/office/excel/2006/main">
          <x14:cfRule type="dataBar" id="{B6B779CB-66D0-459A-B156-9F0056E35E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AI2:AI53</xm:sqref>
        </x14:conditionalFormatting>
        <x14:conditionalFormatting xmlns:xm="http://schemas.microsoft.com/office/excel/2006/main">
          <x14:cfRule type="dataBar" id="{9DCB341E-F845-450C-82C0-177D4A55FC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AK2:AK53</xm:sqref>
        </x14:conditionalFormatting>
        <x14:conditionalFormatting xmlns:xm="http://schemas.microsoft.com/office/excel/2006/main">
          <x14:cfRule type="dataBar" id="{C157CC5E-D755-442C-832B-15C194E611C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AM2:AM53</xm:sqref>
        </x14:conditionalFormatting>
        <x14:conditionalFormatting xmlns:xm="http://schemas.microsoft.com/office/excel/2006/main">
          <x14:cfRule type="dataBar" id="{3278BC9A-2ACE-4BAB-B2CD-44274A18EAE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AO2:AO53</xm:sqref>
        </x14:conditionalFormatting>
        <x14:conditionalFormatting xmlns:xm="http://schemas.microsoft.com/office/excel/2006/main">
          <x14:cfRule type="dataBar" id="{201DADCC-35B1-41A4-AF70-7493F7B9316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AQ2:AQ53</xm:sqref>
        </x14:conditionalFormatting>
        <x14:conditionalFormatting xmlns:xm="http://schemas.microsoft.com/office/excel/2006/main">
          <x14:cfRule type="dataBar" id="{71E02899-E00B-44E5-AC08-F2C0B94A16A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AS2:AS53</xm:sqref>
        </x14:conditionalFormatting>
        <x14:conditionalFormatting xmlns:xm="http://schemas.microsoft.com/office/excel/2006/main">
          <x14:cfRule type="dataBar" id="{52B2F009-9E99-4171-A807-E8FD01313C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AU2:AU53</xm:sqref>
        </x14:conditionalFormatting>
        <x14:conditionalFormatting xmlns:xm="http://schemas.microsoft.com/office/excel/2006/main">
          <x14:cfRule type="dataBar" id="{CEE876E8-B45F-4416-B4C6-74D92F8419E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AW2:AW53</xm:sqref>
        </x14:conditionalFormatting>
        <x14:conditionalFormatting xmlns:xm="http://schemas.microsoft.com/office/excel/2006/main">
          <x14:cfRule type="dataBar" id="{09790FA2-408A-420A-A050-D0556E0329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AY2:AY53</xm:sqref>
        </x14:conditionalFormatting>
        <x14:conditionalFormatting xmlns:xm="http://schemas.microsoft.com/office/excel/2006/main">
          <x14:cfRule type="dataBar" id="{9D0BD89A-B2C3-4EDF-827B-E3C0975B087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BA2:BA53</xm:sqref>
        </x14:conditionalFormatting>
        <x14:conditionalFormatting xmlns:xm="http://schemas.microsoft.com/office/excel/2006/main">
          <x14:cfRule type="dataBar" id="{A1DC1671-4A16-4481-9364-1AE988F66AC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BC2:BC52</xm:sqref>
        </x14:conditionalFormatting>
        <x14:conditionalFormatting xmlns:xm="http://schemas.microsoft.com/office/excel/2006/main">
          <x14:cfRule type="dataBar" id="{393DE688-C084-445F-AB36-1AA97A77CA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BC2:BC53</xm:sqref>
        </x14:conditionalFormatting>
        <x14:conditionalFormatting xmlns:xm="http://schemas.microsoft.com/office/excel/2006/main">
          <x14:cfRule type="dataBar" id="{BD4724EC-BFA6-4E58-B691-821E666575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BE2:BE53</xm:sqref>
        </x14:conditionalFormatting>
        <x14:conditionalFormatting xmlns:xm="http://schemas.microsoft.com/office/excel/2006/main">
          <x14:cfRule type="dataBar" id="{6A3E5484-A4D7-413D-9721-3FC8F7A118F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BG2:BG53</xm:sqref>
        </x14:conditionalFormatting>
        <x14:conditionalFormatting xmlns:xm="http://schemas.microsoft.com/office/excel/2006/main">
          <x14:cfRule type="dataBar" id="{4DD44730-82DA-46CE-BDFB-D7E4672D585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BI2:BI53</xm:sqref>
        </x14:conditionalFormatting>
        <x14:conditionalFormatting xmlns:xm="http://schemas.microsoft.com/office/excel/2006/main">
          <x14:cfRule type="dataBar" id="{6FDFFDD6-08C1-4B10-BC52-D05F6970CD6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BK2:BK53</xm:sqref>
        </x14:conditionalFormatting>
        <x14:conditionalFormatting xmlns:xm="http://schemas.microsoft.com/office/excel/2006/main">
          <x14:cfRule type="dataBar" id="{A8BBF8A5-388A-4DFC-8F79-AC14B6FFD1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BM2:BM53</xm:sqref>
        </x14:conditionalFormatting>
        <x14:conditionalFormatting xmlns:xm="http://schemas.microsoft.com/office/excel/2006/main">
          <x14:cfRule type="dataBar" id="{A72EF4A3-2FF5-45C8-B8F8-AFFBFA97F1B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BO2:BO53</xm:sqref>
        </x14:conditionalFormatting>
        <x14:conditionalFormatting xmlns:xm="http://schemas.microsoft.com/office/excel/2006/main">
          <x14:cfRule type="dataBar" id="{E3757317-8C33-4BD3-AD09-5F3468443CB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BQ2:BQ53</xm:sqref>
        </x14:conditionalFormatting>
        <x14:conditionalFormatting xmlns:xm="http://schemas.microsoft.com/office/excel/2006/main">
          <x14:cfRule type="dataBar" id="{19679FFD-7622-4B4B-9071-0421CCC0E68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BS2:BS53</xm:sqref>
        </x14:conditionalFormatting>
        <x14:conditionalFormatting xmlns:xm="http://schemas.microsoft.com/office/excel/2006/main">
          <x14:cfRule type="dataBar" id="{B3DC18DE-E79B-4841-8F9A-4CC4C3A773F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BU2:BU53</xm:sqref>
        </x14:conditionalFormatting>
        <x14:conditionalFormatting xmlns:xm="http://schemas.microsoft.com/office/excel/2006/main">
          <x14:cfRule type="dataBar" id="{96E59D2F-2B47-4D1B-B72F-5B6B1A06EB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BW2:BW53</xm:sqref>
        </x14:conditionalFormatting>
        <x14:conditionalFormatting xmlns:xm="http://schemas.microsoft.com/office/excel/2006/main">
          <x14:cfRule type="dataBar" id="{30043731-24C4-4CC7-AD6C-466CF498608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BY2:BY53</xm:sqref>
        </x14:conditionalFormatting>
        <x14:conditionalFormatting xmlns:xm="http://schemas.microsoft.com/office/excel/2006/main">
          <x14:cfRule type="dataBar" id="{6A577040-0B20-428B-BC64-474FE6C2EE3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CA2:CA53</xm:sqref>
        </x14:conditionalFormatting>
        <x14:conditionalFormatting xmlns:xm="http://schemas.microsoft.com/office/excel/2006/main">
          <x14:cfRule type="dataBar" id="{74CE1D15-FA20-4837-B734-B8D11E6A15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CC2:CC53</xm:sqref>
        </x14:conditionalFormatting>
        <x14:conditionalFormatting xmlns:xm="http://schemas.microsoft.com/office/excel/2006/main">
          <x14:cfRule type="dataBar" id="{2806F605-F823-42BA-8B45-C5E1BEE4C42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CE2:CE53</xm:sqref>
        </x14:conditionalFormatting>
        <x14:conditionalFormatting xmlns:xm="http://schemas.microsoft.com/office/excel/2006/main">
          <x14:cfRule type="dataBar" id="{E0A8EBDC-CE6D-4487-B315-4A6A1E08A5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CF2:CF53</xm:sqref>
        </x14:conditionalFormatting>
        <x14:conditionalFormatting xmlns:xm="http://schemas.microsoft.com/office/excel/2006/main">
          <x14:cfRule type="dataBar" id="{6289CE18-1C4D-4C54-8D51-7A0A935CBF9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CG2:CG53</xm:sqref>
        </x14:conditionalFormatting>
        <x14:conditionalFormatting xmlns:xm="http://schemas.microsoft.com/office/excel/2006/main">
          <x14:cfRule type="dataBar" id="{1DC85693-1B03-46C2-A0F0-FE974974581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CH2:CH53</xm:sqref>
        </x14:conditionalFormatting>
        <x14:conditionalFormatting xmlns:xm="http://schemas.microsoft.com/office/excel/2006/main">
          <x14:cfRule type="dataBar" id="{C1F155C5-DAD7-4CC5-9AF8-EC811C066C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CI2:CI53</xm:sqref>
        </x14:conditionalFormatting>
        <x14:conditionalFormatting xmlns:xm="http://schemas.microsoft.com/office/excel/2006/main">
          <x14:cfRule type="dataBar" id="{A91AA76C-280A-49F8-A601-F1EB32DA36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CJ2:CK53</xm:sqref>
        </x14:conditionalFormatting>
        <x14:conditionalFormatting xmlns:xm="http://schemas.microsoft.com/office/excel/2006/main">
          <x14:cfRule type="dataBar" id="{2B56EB09-F664-495A-84B0-E36B8E2564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CK2:CK53</xm:sqref>
        </x14:conditionalFormatting>
        <x14:conditionalFormatting xmlns:xm="http://schemas.microsoft.com/office/excel/2006/main">
          <x14:cfRule type="dataBar" id="{16DB949C-31D1-4E4B-BD51-E76CC42B14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CL2:CL53</xm:sqref>
        </x14:conditionalFormatting>
        <x14:conditionalFormatting xmlns:xm="http://schemas.microsoft.com/office/excel/2006/main">
          <x14:cfRule type="dataBar" id="{CE57D9D2-439F-4494-AFF1-8853AB9A39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CM2:CM53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Energy Management Document" ma:contentTypeID="0x010100CE36BCFB9B534521A610A73D4903250E00C1329D2B332B45BCB417E693386F602A0100158A509FC3A42F4CA42B031312F63B3B" ma:contentTypeVersion="9" ma:contentTypeDescription="" ma:contentTypeScope="" ma:versionID="7ca46138f4f3fea8c701cd6ff4aa8381">
  <xsd:schema xmlns:xsd="http://www.w3.org/2001/XMLSchema" xmlns:xs="http://www.w3.org/2001/XMLSchema" xmlns:p="http://schemas.microsoft.com/office/2006/metadata/properties" xmlns:ns2="5ed6fed9-18a1-453b-9bc4-51ea1dbc923b" xmlns:ns3="623e76c5-9ab7-4e53-b79c-24755f52cfb1" xmlns:ns4="ec2419ad-58b7-4a75-a11f-567d460dae08" targetNamespace="http://schemas.microsoft.com/office/2006/metadata/properties" ma:root="true" ma:fieldsID="94603048f58bcfdff725c23cc69406b6" ns2:_="" ns3:_="" ns4:_="">
    <xsd:import namespace="5ed6fed9-18a1-453b-9bc4-51ea1dbc923b"/>
    <xsd:import namespace="623e76c5-9ab7-4e53-b79c-24755f52cfb1"/>
    <xsd:import namespace="ec2419ad-58b7-4a75-a11f-567d460dae08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TopicTaxHTField0" minOccurs="0"/>
                <xsd:element ref="ns2:TaxCatchAll" minOccurs="0"/>
                <xsd:element ref="ns2:TaxCatchAllLabel" minOccurs="0"/>
                <xsd:element ref="ns3:BusinessUnitTaxHTField0" minOccurs="0"/>
                <xsd:element ref="ns3:BusinessValueTaxHTField0" minOccurs="0"/>
                <xsd:element ref="ns4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d6fed9-18a1-453b-9bc4-51ea1dbc923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false">
      <xsd:simpleType>
        <xsd:restriction base="dms:Boolean"/>
      </xsd:simpleType>
    </xsd:element>
    <xsd:element name="TaxCatchAll" ma:index="12" nillable="true" ma:displayName="Taxonomy Catch All Column" ma:description="" ma:hidden="true" ma:list="{fec7e411-803c-4a61-b690-77bd1188cfa3}" ma:internalName="TaxCatchAll" ma:readOnly="false" ma:showField="CatchAllData" ma:web="5ed6fed9-18a1-453b-9bc4-51ea1dbc923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description="" ma:hidden="true" ma:list="{fec7e411-803c-4a61-b690-77bd1188cfa3}" ma:internalName="TaxCatchAllLabel" ma:readOnly="false" ma:showField="CatchAllDataLabel" ma:web="5ed6fed9-18a1-453b-9bc4-51ea1dbc923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3e76c5-9ab7-4e53-b79c-24755f52cfb1" elementFormDefault="qualified">
    <xsd:import namespace="http://schemas.microsoft.com/office/2006/documentManagement/types"/>
    <xsd:import namespace="http://schemas.microsoft.com/office/infopath/2007/PartnerControls"/>
    <xsd:element name="TopicTaxHTField0" ma:index="11" nillable="true" ma:taxonomy="true" ma:internalName="TopicTaxHTField0" ma:taxonomyFieldName="Topic" ma:displayName="Topic" ma:readOnly="false" ma:fieldId="{716f5bc7-e916-4e77-87f0-06ac2076f8cd}" ma:sspId="9f0d93c4-646c-4a60-b690-e580cdb63587" ma:termSetId="3fcdd5ec-9dc5-4a4c-94ef-1e1ec46e308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usinessUnitTaxHTField0" ma:index="15" nillable="true" ma:taxonomy="true" ma:internalName="BusinessUnitTaxHTField0" ma:taxonomyFieldName="BusinessUnit" ma:displayName="Business Unit" ma:readOnly="false" ma:fieldId="{83ae36c6-a815-44c3-892d-11ffdca4311e}" ma:sspId="9f0d93c4-646c-4a60-b690-e580cdb63587" ma:termSetId="b24ff7a7-25fd-4f2b-9da1-a8b0ec6817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usinessValueTaxHTField0" ma:index="17" nillable="true" ma:taxonomy="true" ma:internalName="BusinessValueTaxHTField0" ma:taxonomyFieldName="BusinessValue" ma:displayName="Business Value" ma:readOnly="false" ma:fieldId="{e7ce0cca-7743-4bf6-8b7a-51dc6230e1f2}" ma:sspId="9f0d93c4-646c-4a60-b690-e580cdb63587" ma:termSetId="227530e6-498a-4dec-9af2-a82ec20a35df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2419ad-58b7-4a75-a11f-567d460dae08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usinessUnitTaxHTField0 xmlns="623e76c5-9ab7-4e53-b79c-24755f52cfb1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Energy</TermName>
          <TermId xmlns="http://schemas.microsoft.com/office/infopath/2007/PartnerControls">d5cb0829-b346-42f7-ad28-e2689a889ec5</TermId>
        </TermInfo>
      </Terms>
    </BusinessUnitTaxHTField0>
    <TaxCatchAll xmlns="5ed6fed9-18a1-453b-9bc4-51ea1dbc923b">
      <Value>54</Value>
    </TaxCatchAll>
    <TaxCatchAllLabel xmlns="5ed6fed9-18a1-453b-9bc4-51ea1dbc923b"/>
    <TopicTaxHTField0 xmlns="623e76c5-9ab7-4e53-b79c-24755f52cfb1">
      <Terms xmlns="http://schemas.microsoft.com/office/infopath/2007/PartnerControls"/>
    </TopicTaxHTField0>
    <_dlc_DocIdPersistId xmlns="5ed6fed9-18a1-453b-9bc4-51ea1dbc923b" xsi:nil="true"/>
    <BusinessValueTaxHTField0 xmlns="623e76c5-9ab7-4e53-b79c-24755f52cfb1">
      <Terms xmlns="http://schemas.microsoft.com/office/infopath/2007/PartnerControls"/>
    </BusinessValueTaxHTField0>
    <_dlc_DocId xmlns="5ed6fed9-18a1-453b-9bc4-51ea1dbc923b">TEAMSPSD2-1989176276-523</_dlc_DocId>
    <_dlc_DocIdUrl xmlns="5ed6fed9-18a1-453b-9bc4-51ea1dbc923b">
      <Url>https://ourdrive.otago.ac.nz/teams/psd2/Operations/Energy/_layouts/15/DocIdRedir.aspx?ID=TEAMSPSD2-1989176276-523</Url>
      <Description>TEAMSPSD2-1989176276-523</Description>
    </_dlc_DocIdUrl>
    <SharedWithUsers xmlns="ec2419ad-58b7-4a75-a11f-567d460dae08">
      <UserInfo>
        <DisplayName>Suganya Ganesan</DisplayName>
        <AccountId>1011</AccountId>
        <AccountType/>
      </UserInfo>
      <UserInfo>
        <DisplayName>Dhanaraj Rajasekaran</DisplayName>
        <AccountId>1012</AccountId>
        <AccountType/>
      </UserInfo>
    </SharedWithUsers>
  </documentManagement>
</p:properties>
</file>

<file path=customXml/item5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Props1.xml><?xml version="1.0" encoding="utf-8"?>
<ds:datastoreItem xmlns:ds="http://schemas.openxmlformats.org/officeDocument/2006/customXml" ds:itemID="{C6A48233-74E1-41D7-AAD7-2492571A8048}"/>
</file>

<file path=customXml/itemProps2.xml><?xml version="1.0" encoding="utf-8"?>
<ds:datastoreItem xmlns:ds="http://schemas.openxmlformats.org/officeDocument/2006/customXml" ds:itemID="{5C2DF96F-C719-4AC4-A6C4-78DD0C198AC9}"/>
</file>

<file path=customXml/itemProps3.xml><?xml version="1.0" encoding="utf-8"?>
<ds:datastoreItem xmlns:ds="http://schemas.openxmlformats.org/officeDocument/2006/customXml" ds:itemID="{BF882E91-C02E-46DE-AE98-C71D5297C67F}"/>
</file>

<file path=customXml/itemProps4.xml><?xml version="1.0" encoding="utf-8"?>
<ds:datastoreItem xmlns:ds="http://schemas.openxmlformats.org/officeDocument/2006/customXml" ds:itemID="{D9A943A5-C865-47AB-9EB2-E99EE235E2F3}"/>
</file>

<file path=customXml/itemProps5.xml><?xml version="1.0" encoding="utf-8"?>
<ds:datastoreItem xmlns:ds="http://schemas.openxmlformats.org/officeDocument/2006/customXml" ds:itemID="{23E72E60-0CBD-4667-9347-CAA81C627A0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Hans Pietsch</dc:creator>
  <cp:keywords/>
  <dc:description/>
  <cp:lastModifiedBy>Maia Dean</cp:lastModifiedBy>
  <cp:revision/>
  <dcterms:created xsi:type="dcterms:W3CDTF">1996-10-14T23:33:28Z</dcterms:created>
  <dcterms:modified xsi:type="dcterms:W3CDTF">2024-11-29T01:34:53Z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0x010100CE36BCFB9B534521A610A73D4903250E00C1329D2B332B45BCB417E693386F602A0100158A509FC3A42F4CA42B031312F63B3B</vt:lpwstr>
  </property>
  <property fmtid="{D5CDD505-2E9C-101B-9397-08002B2CF9AE}" pid="3" name="_dlc_DocIdItemGuid">
    <vt:lpwstr>25c37af9-cd94-4296-bb43-9e86ab221f28</vt:lpwstr>
  </property>
  <property fmtid="{D5CDD505-2E9C-101B-9397-08002B2CF9AE}" pid="4" name="Topic">
    <vt:lpwstr/>
  </property>
  <property fmtid="{D5CDD505-2E9C-101B-9397-08002B2CF9AE}" pid="5" name="BusinessUnit">
    <vt:lpwstr>54;#Energy|d5cb0829-b346-42f7-ad28-e2689a889ec5</vt:lpwstr>
  </property>
  <property fmtid="{D5CDD505-2E9C-101B-9397-08002B2CF9AE}" pid="6" name="BusinessValue">
    <vt:lpwstr/>
  </property>
  <property fmtid="{D5CDD505-2E9C-101B-9397-08002B2CF9AE}" pid="7" name="CostCentre">
    <vt:lpwstr/>
  </property>
  <property fmtid="{D5CDD505-2E9C-101B-9397-08002B2CF9AE}" pid="8" name="DocumentSetDescription">
    <vt:lpwstr/>
  </property>
  <property fmtid="{D5CDD505-2E9C-101B-9397-08002B2CF9AE}" pid="9" name="Parties">
    <vt:lpwstr/>
  </property>
  <property fmtid="{D5CDD505-2E9C-101B-9397-08002B2CF9AE}" pid="10" name="FinancialYear">
    <vt:lpwstr/>
  </property>
  <property fmtid="{D5CDD505-2E9C-101B-9397-08002B2CF9AE}" pid="11" name="Lawyer">
    <vt:lpwstr/>
  </property>
  <property fmtid="{D5CDD505-2E9C-101B-9397-08002B2CF9AE}" pid="12" name="CostCentreTaxHTField0">
    <vt:lpwstr/>
  </property>
</Properties>
</file>