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5E356E1B-3513-4DDB-AF63-A3C083318F98}" xr6:coauthVersionLast="47" xr6:coauthVersionMax="47" xr10:uidLastSave="{00000000-0000-0000-0000-000000000000}"/>
  <bookViews>
    <workbookView xWindow="-108" yWindow="-108" windowWidth="23256" windowHeight="12456" xr2:uid="{D0573E60-E3EB-455F-8D07-7B06D1D783D3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2" i="1" l="1"/>
  <c r="BF32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BV43" i="1"/>
  <c r="BF43" i="1"/>
  <c r="BD43" i="1"/>
  <c r="AX43" i="1"/>
  <c r="AV43" i="1"/>
  <c r="AU43" i="1"/>
  <c r="AP43" i="1"/>
  <c r="AL43" i="1"/>
  <c r="AF43" i="1"/>
  <c r="AE43" i="1"/>
  <c r="Z43" i="1"/>
  <c r="V43" i="1"/>
  <c r="BV42" i="1"/>
  <c r="BN42" i="1"/>
  <c r="BF42" i="1"/>
  <c r="BD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Q41" i="1"/>
  <c r="BN41" i="1"/>
  <c r="BF41" i="1"/>
  <c r="BD41" i="1"/>
  <c r="AX41" i="1"/>
  <c r="AV41" i="1"/>
  <c r="AU41" i="1"/>
  <c r="AP41" i="1"/>
  <c r="AL41" i="1"/>
  <c r="AF41" i="1"/>
  <c r="AE41" i="1"/>
  <c r="Z41" i="1"/>
  <c r="V41" i="1"/>
  <c r="BV40" i="1"/>
  <c r="BN40" i="1"/>
  <c r="BF40" i="1"/>
  <c r="BD40" i="1"/>
  <c r="AX40" i="1"/>
  <c r="AV40" i="1"/>
  <c r="AU40" i="1"/>
  <c r="AP40" i="1"/>
  <c r="AL40" i="1"/>
  <c r="AF40" i="1"/>
  <c r="AE40" i="1"/>
  <c r="Z40" i="1"/>
  <c r="V40" i="1"/>
  <c r="BV39" i="1"/>
  <c r="BN39" i="1"/>
  <c r="BF39" i="1"/>
  <c r="BD39" i="1"/>
  <c r="AX39" i="1"/>
  <c r="AV39" i="1"/>
  <c r="AU39" i="1"/>
  <c r="AP39" i="1"/>
  <c r="AL39" i="1"/>
  <c r="AF39" i="1"/>
  <c r="AE39" i="1"/>
  <c r="Z39" i="1"/>
  <c r="V39" i="1"/>
  <c r="BV38" i="1"/>
  <c r="BN38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N36" i="1"/>
  <c r="BF36" i="1"/>
  <c r="BD36" i="1"/>
  <c r="AX36" i="1"/>
  <c r="AV36" i="1"/>
  <c r="AU36" i="1"/>
  <c r="AP36" i="1"/>
  <c r="AL36" i="1"/>
  <c r="AF36" i="1"/>
  <c r="AE36" i="1"/>
  <c r="Z36" i="1"/>
  <c r="V36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N34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U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N32" i="1"/>
  <c r="AX32" i="1"/>
  <c r="AU32" i="1"/>
  <c r="AR32" i="1"/>
  <c r="AP32" i="1"/>
  <c r="AL32" i="1"/>
  <c r="AF32" i="1"/>
  <c r="AE32" i="1"/>
  <c r="Z32" i="1"/>
  <c r="V32" i="1"/>
  <c r="BV31" i="1"/>
  <c r="BN31" i="1"/>
  <c r="BF31" i="1"/>
  <c r="AX31" i="1"/>
  <c r="AU31" i="1"/>
  <c r="AR31" i="1"/>
  <c r="AP31" i="1"/>
  <c r="AL31" i="1"/>
  <c r="AF31" i="1"/>
  <c r="AE31" i="1"/>
  <c r="Z31" i="1"/>
  <c r="V31" i="1"/>
  <c r="BV30" i="1"/>
  <c r="BN30" i="1"/>
  <c r="BF30" i="1"/>
  <c r="AX30" i="1"/>
  <c r="AU30" i="1"/>
  <c r="AP30" i="1"/>
  <c r="AL30" i="1"/>
  <c r="AF30" i="1"/>
  <c r="AE30" i="1"/>
  <c r="Z30" i="1"/>
  <c r="V30" i="1"/>
  <c r="BV29" i="1"/>
  <c r="BN29" i="1"/>
  <c r="BF29" i="1"/>
  <c r="AX29" i="1"/>
  <c r="AU29" i="1"/>
  <c r="AP29" i="1"/>
  <c r="AL29" i="1"/>
  <c r="AF29" i="1"/>
  <c r="AE29" i="1"/>
  <c r="Z29" i="1"/>
  <c r="V29" i="1"/>
  <c r="BV28" i="1"/>
  <c r="BN28" i="1"/>
  <c r="BF28" i="1"/>
  <c r="AX28" i="1"/>
  <c r="AU28" i="1"/>
  <c r="AP28" i="1"/>
  <c r="AL28" i="1"/>
  <c r="AF28" i="1"/>
  <c r="AE28" i="1"/>
  <c r="Z28" i="1"/>
  <c r="V28" i="1"/>
  <c r="BV27" i="1"/>
  <c r="BN27" i="1"/>
  <c r="BF27" i="1"/>
  <c r="AX27" i="1"/>
  <c r="AU27" i="1"/>
  <c r="AP27" i="1"/>
  <c r="AN27" i="1"/>
  <c r="AL27" i="1"/>
  <c r="AE27" i="1"/>
  <c r="AF27" i="1" s="1"/>
  <c r="Z27" i="1"/>
  <c r="X27" i="1"/>
  <c r="V27" i="1"/>
  <c r="BV26" i="1"/>
  <c r="BN26" i="1"/>
  <c r="BF26" i="1"/>
  <c r="AX26" i="1"/>
  <c r="AU26" i="1"/>
  <c r="AV26" i="1" s="1"/>
  <c r="AR26" i="1"/>
  <c r="AP26" i="1"/>
  <c r="AN26" i="1"/>
  <c r="AL26" i="1"/>
  <c r="AE26" i="1"/>
  <c r="AF26" i="1" s="1"/>
  <c r="Z26" i="1"/>
  <c r="X26" i="1"/>
  <c r="V26" i="1"/>
  <c r="BV25" i="1"/>
  <c r="BN25" i="1"/>
  <c r="BF25" i="1"/>
  <c r="AX25" i="1"/>
  <c r="AU25" i="1"/>
  <c r="AR25" i="1"/>
  <c r="AP25" i="1"/>
  <c r="AL25" i="1"/>
  <c r="AE25" i="1"/>
  <c r="AF25" i="1" s="1"/>
  <c r="AB25" i="1"/>
  <c r="Z25" i="1"/>
  <c r="X25" i="1"/>
  <c r="V25" i="1"/>
  <c r="BV24" i="1"/>
  <c r="BN24" i="1"/>
  <c r="BF24" i="1"/>
  <c r="AX24" i="1"/>
  <c r="AU24" i="1"/>
  <c r="AP24" i="1"/>
  <c r="AL24" i="1"/>
  <c r="AE24" i="1"/>
  <c r="AB24" i="1"/>
  <c r="Z24" i="1"/>
  <c r="X24" i="1"/>
  <c r="V24" i="1"/>
  <c r="BV23" i="1"/>
  <c r="BN23" i="1"/>
  <c r="BF23" i="1"/>
  <c r="AX23" i="1"/>
  <c r="AU23" i="1"/>
  <c r="AV23" i="1" s="1"/>
  <c r="AP23" i="1"/>
  <c r="AN23" i="1"/>
  <c r="AL23" i="1"/>
  <c r="AE23" i="1"/>
  <c r="AF23" i="1" s="1"/>
  <c r="Z23" i="1"/>
  <c r="X23" i="1"/>
  <c r="V23" i="1"/>
  <c r="BV22" i="1"/>
  <c r="BN22" i="1"/>
  <c r="BF22" i="1"/>
  <c r="AX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4" i="1" s="1"/>
  <c r="L14" i="1"/>
  <c r="AN28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7" i="1" l="1"/>
  <c r="AF24" i="1"/>
  <c r="AV28" i="1"/>
  <c r="AF48" i="1"/>
  <c r="AV24" i="1"/>
  <c r="BJ12" i="1"/>
  <c r="BU37" i="1"/>
  <c r="BV37" i="1" s="1"/>
  <c r="BZ12" i="1"/>
  <c r="BU36" i="1"/>
  <c r="BV36" i="1" s="1"/>
  <c r="BU35" i="1"/>
  <c r="BV35" i="1" s="1"/>
  <c r="BU41" i="1"/>
  <c r="BV41" i="1" s="1"/>
  <c r="BK4" i="1"/>
  <c r="BG9" i="1"/>
  <c r="AD12" i="1"/>
  <c r="AN31" i="1"/>
  <c r="AV31" i="1" s="1"/>
  <c r="AN32" i="1"/>
  <c r="AV32" i="1" s="1"/>
  <c r="BU34" i="1"/>
  <c r="BV34" i="1" s="1"/>
  <c r="U3" i="1"/>
  <c r="CA4" i="1"/>
  <c r="BW9" i="1"/>
  <c r="AK3" i="1"/>
  <c r="BZ11" i="1"/>
  <c r="BX14" i="1"/>
  <c r="AN30" i="1"/>
  <c r="AV30" i="1" s="1"/>
  <c r="AE4" i="1"/>
  <c r="AA9" i="1"/>
  <c r="BH14" i="1"/>
  <c r="AN25" i="1"/>
  <c r="AV25" i="1" s="1"/>
  <c r="AN29" i="1"/>
  <c r="AV29" i="1" s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9BB202C-8CD7-491D-A22D-7AA0963FA76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B1FD3C8-3F52-40DC-A83A-A8BCABEEEDA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66E7D08-1AA4-4E1D-8F9B-A245D4511E8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<sst xmlns="http://schemas.openxmlformats.org/spreadsheetml/2006/main" count="528" uniqueCount="183">
  <si>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</si>
  <si>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</si>
  <si>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</si>
  <si>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</si>
  <si>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</si>
  <si>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</si>
  <si>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</si>
  <si>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</si>
  <si>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</si>
  <si>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</si>
  <si>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</si>
  <si>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</si>
  <si>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</si>
  <si>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</si>
  <si>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</si>
  <si>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</si>
  <si>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</si>
  <si>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</si>
  <si>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</si>
  <si>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</si>
  <si>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</si>
  <si>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U9H-21003</t>
  </si>
  <si>
    <t>Unit Code</t>
  </si>
  <si>
    <r>
      <t xml:space="preserve">H </t>
    </r>
    <r>
      <rPr>
        <sz val="10"/>
        <rFont val="Arial"/>
        <family val="2"/>
      </rPr>
      <t>item</t>
    </r>
  </si>
  <si>
    <t>U9H-20007</t>
  </si>
  <si>
    <t>52H4-A/O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</si>
  <si>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</si>
  <si>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</si>
  <si>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</si>
  <si>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</si>
  <si>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</si>
  <si>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</si>
  <si>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</si>
  <si>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</si>
  <si>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</si>
  <si>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</si>
  <si>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</si>
  <si>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</si>
  <si>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</si>
  <si>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</si>
  <si>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</si>
  <si>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</si>
  <si>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</si>
  <si>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</si>
  <si>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</si>
  <si>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</si>
  <si>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</si>
  <si>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</si>
  <si>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</si>
  <si>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</si>
  <si>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</si>
  <si>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</si>
  <si>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</si>
  <si>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</si>
  <si>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</si>
  <si>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</si>
  <si>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</si>
  <si>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</si>
  <si>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</si>
  <si>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</si>
  <si>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</si>
  <si>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</si>
  <si>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</si>
  <si>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</si>
  <si>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</si>
  <si>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</si>
  <si>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</si>
  <si>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</si>
  <si>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</si>
  <si>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</si>
  <si>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</si>
  <si>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</si>
  <si>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</si>
  <si>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</si>
  <si>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</si>
  <si>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</si>
  <si>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</si>
  <si>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</si>
  <si>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</si>
  <si>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</si>
  <si>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</si>
  <si>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</si>
  <si>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</si>
  <si>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</si>
  <si>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</si>
  <si>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SILL</t>
  </si>
  <si>
    <t>9K-87106</t>
  </si>
  <si>
    <t>INSIDE TOP RAIL (l)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</si>
  <si>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</si>
  <si>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</si>
  <si>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</si>
  <si>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</si>
  <si>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</si>
  <si>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</si>
  <si>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</si>
  <si>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</si>
  <si>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ATTACHMENT</t>
  </si>
  <si>
    <t>9K-87109</t>
  </si>
  <si>
    <t>STILE(R)</t>
  </si>
  <si>
    <t>9K-87110</t>
  </si>
  <si>
    <t>INTERLOCKING STILE(O)</t>
  </si>
  <si>
    <t>9K-86981</t>
  </si>
  <si>
    <t>EM-4008</t>
  </si>
  <si>
    <t>K-39954</t>
  </si>
  <si>
    <t>5K-12950</t>
  </si>
  <si>
    <t>INTERLOCKING STILE(I)</t>
  </si>
  <si>
    <t>EM-4012</t>
  </si>
  <si>
    <t>9K-30232</t>
  </si>
  <si>
    <t>BM-4025G</t>
  </si>
  <si>
    <t>FOR ASS</t>
  </si>
  <si>
    <t>S</t>
  </si>
  <si>
    <t>9K-30195</t>
  </si>
  <si>
    <t>MEETING STILE</t>
  </si>
  <si>
    <t>9K-86959</t>
  </si>
  <si>
    <t>9K-10840</t>
  </si>
  <si>
    <t>9K-30233</t>
  </si>
  <si>
    <t>9K-87141</t>
  </si>
  <si>
    <t>9K-30171</t>
  </si>
  <si>
    <t>9K-30198</t>
  </si>
  <si>
    <t>9K-30186</t>
  </si>
  <si>
    <t>M</t>
  </si>
  <si>
    <t>2K-26921</t>
  </si>
  <si>
    <t>9K-20762</t>
  </si>
  <si>
    <t>9K-20682</t>
  </si>
  <si>
    <t>K-20514</t>
  </si>
  <si>
    <t>9K-30246</t>
  </si>
  <si>
    <t>FOR INTERLOCK STILE</t>
  </si>
  <si>
    <t>9K-11395</t>
  </si>
  <si>
    <t>C5c</t>
  </si>
  <si>
    <t>9K-30192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</si>
  <si>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</si>
  <si>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</si>
  <si>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</si>
  <si>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</si>
  <si>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</si>
  <si>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</si>
  <si>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</si>
  <si>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</si>
  <si>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</si>
  <si>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</si>
  <si>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</si>
  <si>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</si>
  <si>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</si>
  <si>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</si>
  <si>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</si>
  <si>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</si>
  <si>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</si>
  <si>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</si>
  <si>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</si>
  <si>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</si>
  <si>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</si>
  <si>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</si>
  <si>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</si>
  <si>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</si>
  <si>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</si>
  <si>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</si>
  <si>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</si>
  <si>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</si>
  <si>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</si>
  <si>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</si>
  <si>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</si>
  <si>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</si>
  <si>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</si>
  <si>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</si>
  <si>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</si>
  <si>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</si>
  <si>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9K-11140</t>
  </si>
  <si>
    <t>9K-11141</t>
  </si>
  <si>
    <t>9K-30241</t>
  </si>
  <si>
    <t>YK</t>
  </si>
  <si>
    <t>YS</t>
  </si>
  <si>
    <t>YW</t>
  </si>
  <si>
    <t>2K-36477</t>
  </si>
  <si>
    <t>2K-36476</t>
  </si>
  <si>
    <t>D1</t>
  </si>
  <si>
    <t>AT MATERIAL</t>
  </si>
  <si>
    <t>DG</t>
  </si>
  <si>
    <t>FOR STILE-L&amp;R</t>
  </si>
  <si>
    <t>EF-4006D6</t>
  </si>
  <si>
    <t>FOR BACKPLATE</t>
  </si>
  <si>
    <t>BACKPLATE</t>
  </si>
  <si>
    <t>9K-11368</t>
  </si>
  <si>
    <t>FOR HOOKLOCK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</si>
</sst>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7D0FD869-EFED-4A56-ACB0-13BECD331BAA}"/>
    <cellStyle name="Normal" xfId="0" builtinId="0"/>
    <cellStyle name="Normal 2" xfId="1" xr:uid="{B733F1CB-AB0F-4876-A346-916394B95DA0}"/>
    <cellStyle name="Normal 5" xfId="3" xr:uid="{09222577-B276-4D86-9F23-88B04530CDFE}"/>
    <cellStyle name="Normal_COBA 2" xfId="4" xr:uid="{F13B5C25-4390-4A4C-B6B2-C5E15070A9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AA90BBD-4298-4B7A-856D-0642B28F2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FF05903-78FF-4C6C-83A9-AF8DD568E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47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53B5087-A81C-4838-8EA6-5EF33A019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6006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E108DA7-9FAD-4FF7-9EC1-FD0CA74F8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A0528A5-DBAA-4A3D-AA42-54DAB7D68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895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8A24B9E-EE2C-41C7-9CC2-30B9102EA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470267A-3DC7-48B4-B81F-0C1C89E6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440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313928</xdr:colOff>
      <xdr:row>36</xdr:row>
      <xdr:rowOff>40152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6219F55-DDAB-4EF5-8024-F1C2C4E427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9" b="15266"/>
        <a:stretch/>
      </xdr:blipFill>
      <xdr:spPr bwMode="auto">
        <a:xfrm>
          <a:off x="2415540" y="4107180"/>
          <a:ext cx="4238228" cy="2699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E10-3765-4E61-9D2D-60F0CEE4F26A}">
  <sheetPr>
    <tabColor indexed="14"/>
    <pageSetUpPr fitToPage="1"/>
  </sheetPr>
  <dimension ref="B1:DP65"/>
  <sheetViews>
    <sheetView showGridLines="0" tabSelected="1" topLeftCell="AQ16" zoomScale="70" zoomScaleNormal="70" zoomScaleSheetLayoutView="70" workbookViewId="0">
      <selection activeCell="BX46" sqref="BX4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45511.672514351849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45511.672514351849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45511.672514351849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45511.672514351849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45511.672514351849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4500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35">
        <f>$K$9</f>
        <v>4500</v>
      </c>
      <c r="AB9" s="336"/>
      <c r="AC9" s="65"/>
      <c r="AD9" s="61"/>
      <c r="AE9" s="59" t="str">
        <f>IF($O$9&gt;0,$O$9,"")</f>
        <v>U9H-21003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35">
        <f>$K$9</f>
        <v>4500</v>
      </c>
      <c r="AR9" s="336"/>
      <c r="AS9" s="65"/>
      <c r="AT9" s="61"/>
      <c r="AU9" s="59" t="str">
        <f>IF($O$9&gt;0,$O$9,"")</f>
        <v>U9H-21003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35">
        <f>$K$9</f>
        <v>4500</v>
      </c>
      <c r="BH9" s="336"/>
      <c r="BI9" s="65"/>
      <c r="BJ9" s="61"/>
      <c r="BK9" s="59" t="str">
        <f>IF($O$9&gt;0,$O$9,"")</f>
        <v>U9H-21003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35">
        <f>$K$9</f>
        <v>4500</v>
      </c>
      <c r="BX9" s="336"/>
      <c r="BY9" s="65"/>
      <c r="BZ9" s="61"/>
      <c r="CA9" s="59" t="str">
        <f>IF($O$9&gt;0,$O$9,"")</f>
        <v>U9H-21003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1500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1500</v>
      </c>
      <c r="AB10" s="336"/>
      <c r="AC10" s="65"/>
      <c r="AD10" s="61"/>
      <c r="AE10" s="59" t="str">
        <f>IF($O$10&gt;0,$O$10,"")</f>
        <v>U9H-20007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1500</v>
      </c>
      <c r="AR10" s="336"/>
      <c r="AS10" s="65"/>
      <c r="AT10" s="61"/>
      <c r="AU10" s="59" t="str">
        <f>IF($O$10&gt;0,$O$10,"")</f>
        <v>U9H-20007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35">
        <f>$K$10</f>
        <v>1500</v>
      </c>
      <c r="BH10" s="336"/>
      <c r="BI10" s="65"/>
      <c r="BJ10" s="61"/>
      <c r="BK10" s="59" t="str">
        <f>IF($O$10&gt;0,$O$10,"")</f>
        <v>U9H-20007</v>
      </c>
      <c r="BL10" s="60"/>
      <c r="BM10" s="3"/>
      <c r="BN10" s="53" t="s">
        <v>22</v>
      </c>
      <c r="BO10" s="36"/>
      <c r="BP10" s="37"/>
      <c r="BQ10" s="54" t="str">
        <f>IF($AK$10&gt;0,$AK$10,"")</f>
        <v>52H4-A/O</v>
      </c>
      <c r="BR10" s="36"/>
      <c r="BS10" s="55"/>
      <c r="BT10" s="62"/>
      <c r="BU10" s="62"/>
      <c r="BV10" s="66" t="s">
        <v>23</v>
      </c>
      <c r="BW10" s="335">
        <f>$K$10</f>
        <v>1500</v>
      </c>
      <c r="BX10" s="336"/>
      <c r="BY10" s="65"/>
      <c r="BZ10" s="61"/>
      <c r="CA10" s="59" t="str">
        <f>IF($O$10&gt;0,$O$10,"")</f>
        <v>U9H-20007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1420</v>
      </c>
      <c r="M14" s="95" t="s">
        <v>38</v>
      </c>
      <c r="N14" s="97">
        <f>W-40</f>
        <v>4460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1420</v>
      </c>
      <c r="AC14" s="95" t="s">
        <v>38</v>
      </c>
      <c r="AD14" s="102">
        <f>IF($N$14&gt;0,$N$14,"")</f>
        <v>4460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1420</v>
      </c>
      <c r="AS14" s="95" t="s">
        <v>38</v>
      </c>
      <c r="AT14" s="102">
        <f>IF($N$14&gt;0,$N$14,"")</f>
        <v>4460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1420</v>
      </c>
      <c r="BI14" s="95" t="s">
        <v>38</v>
      </c>
      <c r="BJ14" s="102">
        <f>IF($N$14&gt;0,$N$14,"")</f>
        <v>4460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1420</v>
      </c>
      <c r="BY14" s="95" t="s">
        <v>38</v>
      </c>
      <c r="BZ14" s="102">
        <f>IF($N$14&gt;0,$N$14,"")</f>
        <v>4460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3</v>
      </c>
      <c r="X22" s="170">
        <f>W-21</f>
        <v>4479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3.251754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1047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0.81037800000000015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169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HOOK LOCK</v>
      </c>
      <c r="BO22" s="199"/>
      <c r="BP22" s="200"/>
      <c r="BQ22" s="204" t="s">
        <v>172</v>
      </c>
      <c r="BR22" s="168"/>
      <c r="BS22" s="180"/>
      <c r="BT22" s="181" t="s">
        <v>174</v>
      </c>
      <c r="BU22" s="171">
        <v>2</v>
      </c>
      <c r="BV22" s="172">
        <f t="shared" ref="BV22:BV59" si="10">IF(BU22="","",Q*BU22)</f>
        <v>2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2</v>
      </c>
      <c r="X23" s="207">
        <f>W-21</f>
        <v>4479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3.3771660000000003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1047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0.27012600000000003</v>
      </c>
      <c r="AW23" s="4"/>
      <c r="AX23" s="198" t="str">
        <f t="shared" si="7"/>
        <v>SEALER PAD</v>
      </c>
      <c r="AY23" s="199"/>
      <c r="AZ23" s="200"/>
      <c r="BA23" s="167" t="s">
        <v>88</v>
      </c>
      <c r="BB23" s="168"/>
      <c r="BC23" s="180"/>
      <c r="BD23" s="181" t="s">
        <v>169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HOOK LOCK</v>
      </c>
      <c r="BO23" s="199"/>
      <c r="BP23" s="200"/>
      <c r="BQ23" s="167" t="s">
        <v>173</v>
      </c>
      <c r="BR23" s="168"/>
      <c r="BS23" s="180"/>
      <c r="BT23" s="181" t="s">
        <v>174</v>
      </c>
      <c r="BU23" s="171">
        <v>1</v>
      </c>
      <c r="BV23" s="172">
        <f t="shared" si="10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90</v>
      </c>
      <c r="V24" s="168" t="str">
        <f t="shared" si="0"/>
        <v>-</v>
      </c>
      <c r="W24" s="201">
        <v>5</v>
      </c>
      <c r="X24" s="207">
        <f>H</f>
        <v>1500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0.69450000000000001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0</v>
      </c>
      <c r="AN24" s="207">
        <f>(WS.1/4)-68</f>
        <v>1047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1.708704</v>
      </c>
      <c r="AW24" s="4"/>
      <c r="AX24" s="198" t="str">
        <f t="shared" si="7"/>
        <v>HOOK LOCK CATCH</v>
      </c>
      <c r="AY24" s="199"/>
      <c r="AZ24" s="200"/>
      <c r="BA24" s="167" t="s">
        <v>166</v>
      </c>
      <c r="BB24" s="168"/>
      <c r="BC24" s="180"/>
      <c r="BD24" s="181" t="s">
        <v>170</v>
      </c>
      <c r="BE24" s="171">
        <v>2</v>
      </c>
      <c r="BF24" s="172">
        <f t="shared" si="8"/>
        <v>2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HOOK LOCK CATCH</v>
      </c>
      <c r="BO24" s="199"/>
      <c r="BP24" s="200"/>
      <c r="BQ24" s="167" t="s">
        <v>166</v>
      </c>
      <c r="BR24" s="168"/>
      <c r="BS24" s="180"/>
      <c r="BT24" s="181" t="s">
        <v>170</v>
      </c>
      <c r="BU24" s="171">
        <v>1</v>
      </c>
      <c r="BV24" s="172">
        <f t="shared" si="10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90</v>
      </c>
      <c r="V25" s="168" t="str">
        <f t="shared" si="0"/>
        <v>-</v>
      </c>
      <c r="W25" s="201">
        <v>4</v>
      </c>
      <c r="X25" s="207">
        <f>H</f>
        <v>1500</v>
      </c>
      <c r="Y25" s="171">
        <v>1</v>
      </c>
      <c r="Z25" s="172">
        <f t="shared" si="1"/>
        <v>1</v>
      </c>
      <c r="AA25" s="209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11"/>
        <v>0.69450000000000001</v>
      </c>
      <c r="AG25" s="4"/>
      <c r="AH25" s="198" t="s">
        <v>94</v>
      </c>
      <c r="AI25" s="199"/>
      <c r="AJ25" s="203"/>
      <c r="AK25" s="167" t="s">
        <v>95</v>
      </c>
      <c r="AL25" s="168" t="str">
        <f t="shared" si="3"/>
        <v>-</v>
      </c>
      <c r="AM25" s="201">
        <v>5</v>
      </c>
      <c r="AN25" s="207">
        <f t="shared" ref="AN25:AN32" si="12">HS.1+10</f>
        <v>1430</v>
      </c>
      <c r="AO25" s="171">
        <v>1</v>
      </c>
      <c r="AP25" s="172">
        <f t="shared" si="4"/>
        <v>1</v>
      </c>
      <c r="AQ25" s="209"/>
      <c r="AR25" s="174" t="str">
        <f>CONCATENATE("cs+6.3 = ",(C.-45)+6.3)</f>
        <v>cs+6.3 = 561,3</v>
      </c>
      <c r="AS25" s="175"/>
      <c r="AT25" s="176"/>
      <c r="AU25" s="177">
        <f t="shared" si="5"/>
        <v>0.51300000000000001</v>
      </c>
      <c r="AV25" s="178">
        <f t="shared" si="6"/>
        <v>0.73359000000000008</v>
      </c>
      <c r="AW25" s="4"/>
      <c r="AX25" s="198" t="str">
        <f t="shared" si="7"/>
        <v>BACK PLATE</v>
      </c>
      <c r="AY25" s="199"/>
      <c r="AZ25" s="200"/>
      <c r="BA25" s="167" t="s">
        <v>167</v>
      </c>
      <c r="BB25" s="168"/>
      <c r="BC25" s="180"/>
      <c r="BD25" s="181" t="s">
        <v>170</v>
      </c>
      <c r="BE25" s="171">
        <v>2</v>
      </c>
      <c r="BF25" s="172">
        <f t="shared" si="8"/>
        <v>2</v>
      </c>
      <c r="BG25" s="183"/>
      <c r="BH25" s="184"/>
      <c r="BI25" s="185"/>
      <c r="BJ25" s="186"/>
      <c r="BK25" s="187"/>
      <c r="BL25" s="188"/>
      <c r="BM25" s="4"/>
      <c r="BN25" s="198" t="str">
        <f t="shared" si="9"/>
        <v>BACK PLATE</v>
      </c>
      <c r="BO25" s="199"/>
      <c r="BP25" s="200"/>
      <c r="BQ25" s="167" t="s">
        <v>167</v>
      </c>
      <c r="BR25" s="168"/>
      <c r="BS25" s="180"/>
      <c r="BT25" s="181" t="s">
        <v>170</v>
      </c>
      <c r="BU25" s="171">
        <v>3</v>
      </c>
      <c r="BV25" s="172">
        <f t="shared" si="10"/>
        <v>3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96</v>
      </c>
      <c r="S26" s="199"/>
      <c r="T26" s="200"/>
      <c r="U26" s="167" t="s">
        <v>97</v>
      </c>
      <c r="V26" s="168" t="str">
        <f t="shared" si="0"/>
        <v>-</v>
      </c>
      <c r="W26" s="201">
        <v>2</v>
      </c>
      <c r="X26" s="170">
        <f>W-21</f>
        <v>4479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0.98090099999999991</v>
      </c>
      <c r="AG26" s="4"/>
      <c r="AH26" s="198" t="s">
        <v>98</v>
      </c>
      <c r="AI26" s="199"/>
      <c r="AJ26" s="203"/>
      <c r="AK26" s="167" t="s">
        <v>95</v>
      </c>
      <c r="AL26" s="168" t="str">
        <f t="shared" si="3"/>
        <v>-</v>
      </c>
      <c r="AM26" s="201">
        <v>4</v>
      </c>
      <c r="AN26" s="170">
        <f t="shared" si="12"/>
        <v>1430</v>
      </c>
      <c r="AO26" s="171">
        <v>1</v>
      </c>
      <c r="AP26" s="172">
        <f t="shared" si="4"/>
        <v>1</v>
      </c>
      <c r="AQ26" s="209"/>
      <c r="AR26" s="174" t="str">
        <f>CONCATENATE("cs+6.3 = ",(C.-45)+6.3)</f>
        <v>cs+6.3 = 561,3</v>
      </c>
      <c r="AS26" s="175"/>
      <c r="AT26" s="211"/>
      <c r="AU26" s="177">
        <f t="shared" si="5"/>
        <v>0.51300000000000001</v>
      </c>
      <c r="AV26" s="178">
        <f t="shared" si="6"/>
        <v>0.73359000000000008</v>
      </c>
      <c r="AW26" s="4"/>
      <c r="AX26" s="198" t="str">
        <f t="shared" si="7"/>
        <v>LABEL</v>
      </c>
      <c r="AY26" s="199"/>
      <c r="AZ26" s="200"/>
      <c r="BA26" s="167" t="s">
        <v>168</v>
      </c>
      <c r="BB26" s="168"/>
      <c r="BC26" s="180"/>
      <c r="BD26" s="181" t="s">
        <v>170</v>
      </c>
      <c r="BE26" s="171">
        <v>1</v>
      </c>
      <c r="BF26" s="172">
        <f t="shared" si="8"/>
        <v>1</v>
      </c>
      <c r="BG26" s="183"/>
      <c r="BH26" s="184"/>
      <c r="BI26" s="185"/>
      <c r="BJ26" s="186"/>
      <c r="BK26" s="187"/>
      <c r="BL26" s="188"/>
      <c r="BM26" s="4"/>
      <c r="BN26" s="198" t="str">
        <f t="shared" si="9"/>
        <v>SCREW</v>
      </c>
      <c r="BO26" s="199"/>
      <c r="BP26" s="200"/>
      <c r="BQ26" s="167" t="s">
        <v>178</v>
      </c>
      <c r="BR26" s="168"/>
      <c r="BS26" s="180"/>
      <c r="BT26" s="181" t="s">
        <v>170</v>
      </c>
      <c r="BU26" s="171">
        <v>6</v>
      </c>
      <c r="BV26" s="172">
        <f t="shared" si="10"/>
        <v>6</v>
      </c>
      <c r="BW26" s="183"/>
      <c r="BX26" s="184" t="s">
        <v>179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96</v>
      </c>
      <c r="S27" s="199"/>
      <c r="T27" s="200"/>
      <c r="U27" s="167" t="s">
        <v>99</v>
      </c>
      <c r="V27" s="168" t="str">
        <f t="shared" si="0"/>
        <v>-</v>
      </c>
      <c r="W27" s="201">
        <v>2</v>
      </c>
      <c r="X27" s="170">
        <f>W-21</f>
        <v>4479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1.428801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26</v>
      </c>
      <c r="AN27" s="170">
        <f t="shared" si="12"/>
        <v>1430</v>
      </c>
      <c r="AO27" s="171">
        <v>1</v>
      </c>
      <c r="AP27" s="172">
        <f t="shared" si="4"/>
        <v>1</v>
      </c>
      <c r="AQ27" s="209"/>
      <c r="AR27" s="174"/>
      <c r="AS27" s="175"/>
      <c r="AT27" s="211"/>
      <c r="AU27" s="177">
        <f t="shared" si="5"/>
        <v>0.42399999999999999</v>
      </c>
      <c r="AV27" s="178">
        <f t="shared" si="6"/>
        <v>0.60631999999999997</v>
      </c>
      <c r="AW27" s="4"/>
      <c r="AX27" s="198" t="str">
        <f t="shared" si="7"/>
        <v>SCREW</v>
      </c>
      <c r="AY27" s="199"/>
      <c r="AZ27" s="200"/>
      <c r="BA27" s="167" t="s">
        <v>102</v>
      </c>
      <c r="BB27" s="168"/>
      <c r="BC27" s="180"/>
      <c r="BD27" s="181" t="s">
        <v>170</v>
      </c>
      <c r="BE27" s="171">
        <v>6</v>
      </c>
      <c r="BF27" s="172">
        <f t="shared" si="8"/>
        <v>6</v>
      </c>
      <c r="BG27" s="212"/>
      <c r="BH27" s="184"/>
      <c r="BI27" s="185"/>
      <c r="BJ27" s="186"/>
      <c r="BK27" s="187"/>
      <c r="BL27" s="188"/>
      <c r="BM27" s="4"/>
      <c r="BN27" s="198" t="str">
        <f t="shared" si="9"/>
        <v>SCREW</v>
      </c>
      <c r="BO27" s="199"/>
      <c r="BP27" s="200"/>
      <c r="BQ27" s="167" t="s">
        <v>102</v>
      </c>
      <c r="BR27" s="168"/>
      <c r="BS27" s="180"/>
      <c r="BT27" s="181" t="s">
        <v>170</v>
      </c>
      <c r="BU27" s="171">
        <v>3</v>
      </c>
      <c r="BV27" s="172">
        <f t="shared" si="10"/>
        <v>3</v>
      </c>
      <c r="BW27" s="212"/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 t="s">
        <v>100</v>
      </c>
      <c r="AI28" s="214"/>
      <c r="AJ28" s="216"/>
      <c r="AK28" s="167" t="s">
        <v>101</v>
      </c>
      <c r="AL28" s="168" t="str">
        <f t="shared" si="3"/>
        <v>-</v>
      </c>
      <c r="AM28" s="201">
        <v>24</v>
      </c>
      <c r="AN28" s="170">
        <f t="shared" si="12"/>
        <v>1430</v>
      </c>
      <c r="AO28" s="171">
        <v>1</v>
      </c>
      <c r="AP28" s="172">
        <f t="shared" si="4"/>
        <v>1</v>
      </c>
      <c r="AQ28" s="209"/>
      <c r="AR28" s="174"/>
      <c r="AS28" s="175"/>
      <c r="AT28" s="211"/>
      <c r="AU28" s="177">
        <f t="shared" si="5"/>
        <v>0.42399999999999999</v>
      </c>
      <c r="AV28" s="178">
        <f t="shared" si="6"/>
        <v>0.60631999999999997</v>
      </c>
      <c r="AW28" s="4"/>
      <c r="AX28" s="198" t="str">
        <f t="shared" si="7"/>
        <v>GUIDER</v>
      </c>
      <c r="AY28" s="199"/>
      <c r="AZ28" s="200"/>
      <c r="BA28" s="167" t="s">
        <v>103</v>
      </c>
      <c r="BB28" s="168"/>
      <c r="BC28" s="180"/>
      <c r="BD28" s="181" t="s">
        <v>169</v>
      </c>
      <c r="BE28" s="171">
        <v>3</v>
      </c>
      <c r="BF28" s="172">
        <f t="shared" si="8"/>
        <v>3</v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ROLLER</v>
      </c>
      <c r="BO28" s="199"/>
      <c r="BP28" s="200"/>
      <c r="BQ28" s="167" t="s">
        <v>104</v>
      </c>
      <c r="BR28" s="168"/>
      <c r="BS28" s="180"/>
      <c r="BT28" s="181" t="s">
        <v>170</v>
      </c>
      <c r="BU28" s="171">
        <v>8</v>
      </c>
      <c r="BV28" s="172">
        <f t="shared" si="10"/>
        <v>8</v>
      </c>
      <c r="BW28" s="183" t="s">
        <v>7</v>
      </c>
      <c r="BX28" s="184" t="s">
        <v>7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 t="s">
        <v>105</v>
      </c>
      <c r="AI29" s="214"/>
      <c r="AJ29" s="216"/>
      <c r="AK29" s="217" t="s">
        <v>101</v>
      </c>
      <c r="AL29" s="168" t="str">
        <f t="shared" si="3"/>
        <v>-</v>
      </c>
      <c r="AM29" s="218">
        <v>26</v>
      </c>
      <c r="AN29" s="170">
        <f t="shared" si="12"/>
        <v>1430</v>
      </c>
      <c r="AO29" s="219">
        <v>1</v>
      </c>
      <c r="AP29" s="221">
        <f t="shared" si="4"/>
        <v>1</v>
      </c>
      <c r="AQ29" s="220"/>
      <c r="AR29" s="174"/>
      <c r="AS29" s="175"/>
      <c r="AT29" s="211"/>
      <c r="AU29" s="177">
        <f t="shared" si="5"/>
        <v>0.42399999999999999</v>
      </c>
      <c r="AV29" s="178">
        <f t="shared" si="6"/>
        <v>0.60631999999999997</v>
      </c>
      <c r="AW29" s="4"/>
      <c r="AX29" s="198" t="str">
        <f t="shared" si="7"/>
        <v>SCREW</v>
      </c>
      <c r="AY29" s="199"/>
      <c r="AZ29" s="200"/>
      <c r="BA29" s="167" t="s">
        <v>106</v>
      </c>
      <c r="BB29" s="168"/>
      <c r="BC29" s="180"/>
      <c r="BD29" s="181" t="s">
        <v>170</v>
      </c>
      <c r="BE29" s="171">
        <v>3</v>
      </c>
      <c r="BF29" s="172">
        <f t="shared" si="8"/>
        <v>3</v>
      </c>
      <c r="BG29" s="183"/>
      <c r="BH29" s="184"/>
      <c r="BI29" s="185"/>
      <c r="BJ29" s="186"/>
      <c r="BK29" s="187"/>
      <c r="BL29" s="188"/>
      <c r="BM29" s="4"/>
      <c r="BN29" s="198" t="str">
        <f t="shared" si="9"/>
        <v>SPECER</v>
      </c>
      <c r="BO29" s="199"/>
      <c r="BP29" s="200"/>
      <c r="BQ29" s="167" t="s">
        <v>107</v>
      </c>
      <c r="BR29" s="168"/>
      <c r="BS29" s="180"/>
      <c r="BT29" s="181" t="s">
        <v>176</v>
      </c>
      <c r="BU29" s="171">
        <v>8</v>
      </c>
      <c r="BV29" s="172">
        <f t="shared" si="10"/>
        <v>8</v>
      </c>
      <c r="BW29" s="183" t="s">
        <v>7</v>
      </c>
      <c r="BX29" s="184" t="s">
        <v>7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 t="s">
        <v>105</v>
      </c>
      <c r="AI30" s="199"/>
      <c r="AJ30" s="203"/>
      <c r="AK30" s="167" t="s">
        <v>101</v>
      </c>
      <c r="AL30" s="168" t="str">
        <f t="shared" si="3"/>
        <v>-</v>
      </c>
      <c r="AM30" s="169">
        <v>24</v>
      </c>
      <c r="AN30" s="170">
        <f t="shared" si="12"/>
        <v>1430</v>
      </c>
      <c r="AO30" s="171">
        <v>1</v>
      </c>
      <c r="AP30" s="172">
        <f t="shared" si="4"/>
        <v>1</v>
      </c>
      <c r="AQ30" s="220"/>
      <c r="AR30" s="174"/>
      <c r="AS30" s="175"/>
      <c r="AT30" s="176"/>
      <c r="AU30" s="177">
        <f t="shared" si="5"/>
        <v>0.42399999999999999</v>
      </c>
      <c r="AV30" s="178">
        <f t="shared" si="6"/>
        <v>0.60631999999999997</v>
      </c>
      <c r="AW30" s="4"/>
      <c r="AX30" s="198" t="str">
        <f t="shared" si="7"/>
        <v>SCREW</v>
      </c>
      <c r="AY30" s="199"/>
      <c r="AZ30" s="200"/>
      <c r="BA30" s="167" t="s">
        <v>108</v>
      </c>
      <c r="BB30" s="168"/>
      <c r="BC30" s="180"/>
      <c r="BD30" s="181" t="s">
        <v>170</v>
      </c>
      <c r="BE30" s="171">
        <v>8</v>
      </c>
      <c r="BF30" s="172">
        <f t="shared" si="8"/>
        <v>8</v>
      </c>
      <c r="BG30" s="183"/>
      <c r="BH30" s="184" t="s">
        <v>109</v>
      </c>
      <c r="BI30" s="185"/>
      <c r="BJ30" s="186"/>
      <c r="BK30" s="187"/>
      <c r="BL30" s="188" t="s">
        <v>110</v>
      </c>
      <c r="BM30" s="4"/>
      <c r="BN30" s="198" t="str">
        <f t="shared" si="9"/>
        <v>SPECER</v>
      </c>
      <c r="BO30" s="199"/>
      <c r="BP30" s="200"/>
      <c r="BQ30" s="167" t="s">
        <v>111</v>
      </c>
      <c r="BR30" s="168"/>
      <c r="BS30" s="180"/>
      <c r="BT30" s="181" t="s">
        <v>176</v>
      </c>
      <c r="BU30" s="171">
        <v>8</v>
      </c>
      <c r="BV30" s="172">
        <f t="shared" si="10"/>
        <v>8</v>
      </c>
      <c r="BW30" s="183" t="s">
        <v>7</v>
      </c>
      <c r="BX30" s="184" t="s">
        <v>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 t="s">
        <v>112</v>
      </c>
      <c r="AI31" s="199"/>
      <c r="AJ31" s="203"/>
      <c r="AK31" s="167" t="s">
        <v>113</v>
      </c>
      <c r="AL31" s="168" t="str">
        <f t="shared" si="3"/>
        <v>-</v>
      </c>
      <c r="AM31" s="222">
        <v>11</v>
      </c>
      <c r="AN31" s="207">
        <f t="shared" si="12"/>
        <v>1430</v>
      </c>
      <c r="AO31" s="171">
        <v>1</v>
      </c>
      <c r="AP31" s="172">
        <f t="shared" si="4"/>
        <v>1</v>
      </c>
      <c r="AQ31" s="220"/>
      <c r="AR31" s="174" t="str">
        <f>CONCATENATE("cs+54 = ",(C.-45)+54)</f>
        <v>cs+54 = 609</v>
      </c>
      <c r="AS31" s="175"/>
      <c r="AT31" s="211"/>
      <c r="AU31" s="177">
        <f t="shared" si="5"/>
        <v>0.57399999999999995</v>
      </c>
      <c r="AV31" s="178">
        <f t="shared" si="6"/>
        <v>0.82081999999999988</v>
      </c>
      <c r="AW31" s="4"/>
      <c r="AX31" s="198" t="str">
        <f t="shared" si="7"/>
        <v>SHIM RECEIVER</v>
      </c>
      <c r="AY31" s="199"/>
      <c r="AZ31" s="200"/>
      <c r="BA31" s="167" t="s">
        <v>114</v>
      </c>
      <c r="BB31" s="168"/>
      <c r="BC31" s="180"/>
      <c r="BD31" s="181" t="s">
        <v>145</v>
      </c>
      <c r="BE31" s="171">
        <v>5</v>
      </c>
      <c r="BF31" s="172">
        <f t="shared" si="8"/>
        <v>5</v>
      </c>
      <c r="BG31" s="183"/>
      <c r="BH31" s="184"/>
      <c r="BI31" s="185"/>
      <c r="BJ31" s="186"/>
      <c r="BK31" s="187"/>
      <c r="BL31" s="188" t="s">
        <v>110</v>
      </c>
      <c r="BM31" s="4"/>
      <c r="BN31" s="198" t="str">
        <f t="shared" si="9"/>
        <v>GUIDER</v>
      </c>
      <c r="BO31" s="199"/>
      <c r="BP31" s="200"/>
      <c r="BQ31" s="167" t="s">
        <v>115</v>
      </c>
      <c r="BR31" s="168"/>
      <c r="BS31" s="180"/>
      <c r="BT31" s="181" t="s">
        <v>176</v>
      </c>
      <c r="BU31" s="171">
        <v>14</v>
      </c>
      <c r="BV31" s="172">
        <f t="shared" si="10"/>
        <v>14</v>
      </c>
      <c r="BW31" s="183" t="s">
        <v>7</v>
      </c>
      <c r="BX31" s="184" t="s">
        <v>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 t="s">
        <v>112</v>
      </c>
      <c r="AI32" s="199"/>
      <c r="AJ32" s="203"/>
      <c r="AK32" s="167" t="s">
        <v>116</v>
      </c>
      <c r="AL32" s="168" t="str">
        <f t="shared" si="3"/>
        <v>-</v>
      </c>
      <c r="AM32" s="169">
        <v>2</v>
      </c>
      <c r="AN32" s="170">
        <f t="shared" si="12"/>
        <v>1430</v>
      </c>
      <c r="AO32" s="171">
        <v>1</v>
      </c>
      <c r="AP32" s="172">
        <f t="shared" si="4"/>
        <v>1</v>
      </c>
      <c r="AQ32" s="220"/>
      <c r="AR32" s="174" t="str">
        <f>CONCATENATE("cs+6.3 = ",(C.-45)+6.3)</f>
        <v>cs+6.3 = 561,3</v>
      </c>
      <c r="AS32" s="175"/>
      <c r="AT32" s="211"/>
      <c r="AU32" s="177">
        <f t="shared" si="5"/>
        <v>0.69399999999999995</v>
      </c>
      <c r="AV32" s="178">
        <f t="shared" si="6"/>
        <v>0.99241999999999997</v>
      </c>
      <c r="AW32" s="4"/>
      <c r="AX32" s="198" t="str">
        <f t="shared" si="7"/>
        <v>HOLE CAP</v>
      </c>
      <c r="AY32" s="199"/>
      <c r="AZ32" s="200"/>
      <c r="BA32" s="167" t="s">
        <v>117</v>
      </c>
      <c r="BB32" s="168"/>
      <c r="BC32" s="180"/>
      <c r="BD32" s="181" t="s">
        <v>171</v>
      </c>
      <c r="BE32" s="171">
        <f>IF(W&lt;=821,2,IF(W&lt;=1921,4,IF(W&lt;=2921,6,IF(W&lt;=3921,8,IF(W&gt;=3921,10,0)))))+IF(H&lt;=900,4,IF(H&lt;=1500,6,IF(H&lt;=2500,10,IF(H&lt;=2800,14,0))))</f>
        <v>16</v>
      </c>
      <c r="BF32" s="172">
        <f t="shared" si="8"/>
        <v>16</v>
      </c>
      <c r="BG32" s="183"/>
      <c r="BH32" s="184"/>
      <c r="BI32" s="185"/>
      <c r="BJ32" s="186"/>
      <c r="BK32" s="187"/>
      <c r="BL32" s="188" t="s">
        <v>110</v>
      </c>
      <c r="BM32" s="4"/>
      <c r="BN32" s="198" t="str">
        <f t="shared" si="9"/>
        <v>GUIDER</v>
      </c>
      <c r="BO32" s="199"/>
      <c r="BP32" s="200"/>
      <c r="BQ32" s="167" t="s">
        <v>118</v>
      </c>
      <c r="BR32" s="168"/>
      <c r="BS32" s="180"/>
      <c r="BT32" s="181" t="s">
        <v>176</v>
      </c>
      <c r="BU32" s="171">
        <v>2</v>
      </c>
      <c r="BV32" s="172">
        <f t="shared" si="10"/>
        <v>2</v>
      </c>
      <c r="BW32" s="183" t="s">
        <v>7</v>
      </c>
      <c r="BX32" s="184" t="s">
        <v>7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tr">
        <f t="shared" ref="BD22:BD60" si="13">IF(BA33&gt;"",VLOOKUP(BA33&amp;$M$10,PART_MASTER,3,FALSE),"")</f>
        <v/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PULLING BLOCK</v>
      </c>
      <c r="BO33" s="199"/>
      <c r="BP33" s="200"/>
      <c r="BQ33" s="167" t="s">
        <v>119</v>
      </c>
      <c r="BR33" s="168"/>
      <c r="BS33" s="180"/>
      <c r="BT33" s="181" t="s">
        <v>171</v>
      </c>
      <c r="BU33" s="171">
        <f>IF(H&lt;=1000,2,IF(H&lt;=2200,4,IF(H&gt;2200,6,"")))</f>
        <v>4</v>
      </c>
      <c r="BV33" s="172">
        <f t="shared" si="10"/>
        <v>4</v>
      </c>
      <c r="BW33" s="212"/>
      <c r="BX33" s="184" t="s">
        <v>177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tr">
        <f t="shared" si="13"/>
        <v/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AT MATERIAL</v>
      </c>
      <c r="BO34" s="199"/>
      <c r="BP34" s="200"/>
      <c r="BQ34" s="167" t="s">
        <v>121</v>
      </c>
      <c r="BR34" s="168"/>
      <c r="BS34" s="180"/>
      <c r="BT34" s="181" t="s">
        <v>169</v>
      </c>
      <c r="BU34" s="171">
        <f>(16*((WS.1/2)-68))/1000</f>
        <v>34.591999999999999</v>
      </c>
      <c r="BV34" s="172">
        <f t="shared" si="10"/>
        <v>34.591999999999999</v>
      </c>
      <c r="BW34" s="212" t="s">
        <v>120</v>
      </c>
      <c r="BX34" s="184" t="s">
        <v>7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tr">
        <f t="shared" si="13"/>
        <v/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AT MATERIAL</v>
      </c>
      <c r="BO35" s="199"/>
      <c r="BP35" s="200"/>
      <c r="BQ35" s="167" t="s">
        <v>122</v>
      </c>
      <c r="BR35" s="168"/>
      <c r="BS35" s="180"/>
      <c r="BT35" s="181" t="s">
        <v>169</v>
      </c>
      <c r="BU35" s="171">
        <f>HS.1*2/1000</f>
        <v>2.84</v>
      </c>
      <c r="BV35" s="172">
        <f t="shared" si="10"/>
        <v>2.84</v>
      </c>
      <c r="BW35" s="212" t="s">
        <v>120</v>
      </c>
      <c r="BX35" s="184" t="s">
        <v>7</v>
      </c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tr">
        <f t="shared" si="13"/>
        <v/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9"/>
        <v>AT MATERIAL</v>
      </c>
      <c r="BO36" s="199"/>
      <c r="BP36" s="200"/>
      <c r="BQ36" s="167" t="s">
        <v>123</v>
      </c>
      <c r="BR36" s="168"/>
      <c r="BS36" s="180"/>
      <c r="BT36" s="181" t="s">
        <v>169</v>
      </c>
      <c r="BU36" s="171">
        <f>HS.1*4/1000</f>
        <v>5.68</v>
      </c>
      <c r="BV36" s="172">
        <f t="shared" si="10"/>
        <v>5.68</v>
      </c>
      <c r="BW36" s="212" t="s">
        <v>120</v>
      </c>
      <c r="BX36" s="184" t="s">
        <v>7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tr">
        <f t="shared" si="13"/>
        <v/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">
        <v>175</v>
      </c>
      <c r="BO37" s="199"/>
      <c r="BP37" s="200"/>
      <c r="BQ37" s="167" t="s">
        <v>124</v>
      </c>
      <c r="BR37" s="168"/>
      <c r="BS37" s="180"/>
      <c r="BT37" s="181" t="s">
        <v>169</v>
      </c>
      <c r="BU37" s="171">
        <f>((HS.1+10)*2)/1000</f>
        <v>2.86</v>
      </c>
      <c r="BV37" s="172">
        <f t="shared" si="10"/>
        <v>2.86</v>
      </c>
      <c r="BW37" s="212" t="s">
        <v>120</v>
      </c>
      <c r="BX37" s="184" t="s">
        <v>7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tr">
        <f t="shared" si="13"/>
        <v/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9"/>
        <v>LABEL</v>
      </c>
      <c r="BO38" s="199"/>
      <c r="BP38" s="200"/>
      <c r="BQ38" s="167" t="s">
        <v>125</v>
      </c>
      <c r="BR38" s="168"/>
      <c r="BS38" s="180"/>
      <c r="BT38" s="181" t="s">
        <v>170</v>
      </c>
      <c r="BU38" s="171">
        <v>4</v>
      </c>
      <c r="BV38" s="172">
        <f t="shared" si="10"/>
        <v>4</v>
      </c>
      <c r="BW38" s="212"/>
      <c r="BX38" s="184" t="s">
        <v>126</v>
      </c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tr">
        <f t="shared" si="13"/>
        <v/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9"/>
        <v>SCREW</v>
      </c>
      <c r="BO39" s="199"/>
      <c r="BP39" s="200"/>
      <c r="BQ39" s="167" t="s">
        <v>127</v>
      </c>
      <c r="BR39" s="168"/>
      <c r="BS39" s="180"/>
      <c r="BT39" s="181" t="s">
        <v>170</v>
      </c>
      <c r="BU39" s="171">
        <v>16</v>
      </c>
      <c r="BV39" s="172">
        <f t="shared" si="10"/>
        <v>16</v>
      </c>
      <c r="BW39" s="212"/>
      <c r="BX39" s="184"/>
      <c r="BY39" s="185"/>
      <c r="BZ39" s="186"/>
      <c r="CA39" s="187"/>
      <c r="CB39" s="188" t="s">
        <v>110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tr">
        <f t="shared" si="13"/>
        <v/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9"/>
        <v>HOLE CAP</v>
      </c>
      <c r="BO40" s="199"/>
      <c r="BP40" s="200"/>
      <c r="BQ40" s="167" t="s">
        <v>117</v>
      </c>
      <c r="BR40" s="168"/>
      <c r="BS40" s="180"/>
      <c r="BT40" s="181" t="s">
        <v>171</v>
      </c>
      <c r="BU40" s="182">
        <v>12</v>
      </c>
      <c r="BV40" s="172">
        <f t="shared" si="10"/>
        <v>12</v>
      </c>
      <c r="BW40" s="183"/>
      <c r="BX40" s="184"/>
      <c r="BY40" s="185"/>
      <c r="BZ40" s="186"/>
      <c r="CA40" s="187"/>
      <c r="CB40" s="188" t="s">
        <v>110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128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tr">
        <f t="shared" si="13"/>
        <v/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>GASKET</v>
      </c>
      <c r="BO41" s="199"/>
      <c r="BP41" s="200"/>
      <c r="BQ41" s="167" t="str">
        <f>IF(GTH=5,"K-25041",IF(GTH=6,"9K-20765",IF(GTH=8,"9K-20766","")))</f>
        <v>K-25041</v>
      </c>
      <c r="BR41" s="168"/>
      <c r="BS41" s="180"/>
      <c r="BT41" s="181" t="s">
        <v>169</v>
      </c>
      <c r="BU41" s="182">
        <f>((2*WS.1)+(8*HS.1)-328)/1000</f>
        <v>19.952000000000002</v>
      </c>
      <c r="BV41" s="172">
        <f t="shared" si="10"/>
        <v>19.952000000000002</v>
      </c>
      <c r="BW41" s="183" t="s">
        <v>120</v>
      </c>
      <c r="BX41" s="184"/>
      <c r="BY41" s="185"/>
      <c r="BZ41" s="186"/>
      <c r="CA41" s="187"/>
      <c r="CB41" s="188" t="s">
        <v>110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tr">
        <f t="shared" si="13"/>
        <v/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>STOPPER</v>
      </c>
      <c r="BO42" s="199"/>
      <c r="BP42" s="200"/>
      <c r="BQ42" s="167" t="s">
        <v>129</v>
      </c>
      <c r="BR42" s="168"/>
      <c r="BS42" s="180"/>
      <c r="BT42" s="181" t="s">
        <v>176</v>
      </c>
      <c r="BU42" s="182">
        <v>4</v>
      </c>
      <c r="BV42" s="172">
        <f t="shared" si="10"/>
        <v>4</v>
      </c>
      <c r="BW42" s="183"/>
      <c r="BX42" s="184"/>
      <c r="BY42" s="185"/>
      <c r="BZ42" s="186"/>
      <c r="CA42" s="187"/>
      <c r="CB42" s="188" t="s">
        <v>110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130</v>
      </c>
      <c r="C43" s="240"/>
      <c r="D43" s="240"/>
      <c r="E43" s="240"/>
      <c r="F43" s="241"/>
      <c r="G43" s="242"/>
      <c r="H43" s="243"/>
      <c r="I43" s="233"/>
      <c r="J43" s="244" t="s">
        <v>131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tr">
        <f t="shared" si="13"/>
        <v/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">
        <v>180</v>
      </c>
      <c r="BO43" s="199"/>
      <c r="BP43" s="200"/>
      <c r="BQ43" s="167" t="s">
        <v>181</v>
      </c>
      <c r="BR43" s="168"/>
      <c r="BS43" s="180"/>
      <c r="BT43" s="181" t="s">
        <v>170</v>
      </c>
      <c r="BU43" s="182">
        <v>3</v>
      </c>
      <c r="BV43" s="172">
        <f t="shared" si="10"/>
        <v>3</v>
      </c>
      <c r="BW43" s="183"/>
      <c r="BX43" s="250" t="s">
        <v>182</v>
      </c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132</v>
      </c>
      <c r="C44" s="326" t="s">
        <v>133</v>
      </c>
      <c r="D44" s="327"/>
      <c r="E44" s="328"/>
      <c r="F44" s="326" t="s">
        <v>134</v>
      </c>
      <c r="G44" s="327"/>
      <c r="H44" s="328"/>
      <c r="I44" s="252"/>
      <c r="J44" s="253" t="s">
        <v>132</v>
      </c>
      <c r="K44" s="326" t="s">
        <v>133</v>
      </c>
      <c r="L44" s="327"/>
      <c r="M44" s="327"/>
      <c r="N44" s="328"/>
      <c r="O44" s="253" t="s">
        <v>135</v>
      </c>
      <c r="P44" s="254" t="s">
        <v>132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tr">
        <f t="shared" si="13"/>
        <v/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tr">
        <f t="shared" ref="BT22:BT57" si="15">IF(BQ44&gt;"",VLOOKUP(BQ44&amp;$M$10,PART_MASTER,3,FALSE),"")</f>
        <v/>
      </c>
      <c r="BU44" s="182"/>
      <c r="BV44" s="172" t="str">
        <f t="shared" si="10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136</v>
      </c>
      <c r="D45" s="257"/>
      <c r="E45" s="257"/>
      <c r="F45" s="258"/>
      <c r="G45" s="259"/>
      <c r="H45" s="260"/>
      <c r="I45" s="261"/>
      <c r="J45" s="262">
        <v>1</v>
      </c>
      <c r="K45" s="263" t="s">
        <v>137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tr">
        <f t="shared" si="13"/>
        <v/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tr">
        <f t="shared" si="15"/>
        <v/>
      </c>
      <c r="BU45" s="182"/>
      <c r="BV45" s="172" t="str">
        <f t="shared" si="10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138</v>
      </c>
      <c r="D46" s="259"/>
      <c r="E46" s="259"/>
      <c r="F46" s="263"/>
      <c r="G46" s="259"/>
      <c r="H46" s="260"/>
      <c r="I46" s="261"/>
      <c r="J46" s="262">
        <v>2</v>
      </c>
      <c r="K46" s="263" t="s">
        <v>139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tr">
        <f t="shared" si="13"/>
        <v/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tr">
        <f t="shared" si="15"/>
        <v/>
      </c>
      <c r="BU46" s="182"/>
      <c r="BV46" s="172" t="str">
        <f t="shared" si="10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140</v>
      </c>
      <c r="D47" s="259"/>
      <c r="E47" s="259"/>
      <c r="F47" s="263"/>
      <c r="G47" s="259"/>
      <c r="H47" s="260"/>
      <c r="I47" s="268"/>
      <c r="J47" s="262">
        <v>3</v>
      </c>
      <c r="K47" s="263" t="s">
        <v>141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tr">
        <f t="shared" si="13"/>
        <v/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tr">
        <f t="shared" si="15"/>
        <v/>
      </c>
      <c r="BU47" s="182"/>
      <c r="BV47" s="172" t="str">
        <f t="shared" si="10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142</v>
      </c>
      <c r="D48" s="259"/>
      <c r="E48" s="259"/>
      <c r="F48" s="263"/>
      <c r="G48" s="259"/>
      <c r="H48" s="260"/>
      <c r="I48" s="268"/>
      <c r="J48" s="262">
        <v>4</v>
      </c>
      <c r="K48" s="263" t="s">
        <v>143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144</v>
      </c>
      <c r="AD48" s="273"/>
      <c r="AE48" s="274" t="s">
        <v>145</v>
      </c>
      <c r="AF48" s="275">
        <f>SUM(AF22:AF47)</f>
        <v>10.427622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144</v>
      </c>
      <c r="AT48" s="273"/>
      <c r="AU48" s="274" t="s">
        <v>145</v>
      </c>
      <c r="AV48" s="275">
        <f>SUM(AV22:AV47)</f>
        <v>8.4949080000000006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tr">
        <f t="shared" si="15"/>
        <v/>
      </c>
      <c r="BU48" s="182"/>
      <c r="BV48" s="172" t="str">
        <f t="shared" si="10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146</v>
      </c>
      <c r="D49" s="259"/>
      <c r="E49" s="259"/>
      <c r="F49" s="263"/>
      <c r="G49" s="259"/>
      <c r="H49" s="260"/>
      <c r="I49" s="268"/>
      <c r="J49" s="262">
        <v>5</v>
      </c>
      <c r="K49" s="263" t="s">
        <v>147</v>
      </c>
      <c r="L49" s="259"/>
      <c r="M49" s="259"/>
      <c r="N49" s="264"/>
      <c r="O49" s="265"/>
      <c r="P49" s="266"/>
      <c r="Q49" s="4"/>
      <c r="R49" s="276" t="s">
        <v>148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149</v>
      </c>
      <c r="AE49" s="280" t="s">
        <v>150</v>
      </c>
      <c r="AF49" s="281">
        <f>AF48*0.986</f>
        <v>10.281635291999999</v>
      </c>
      <c r="AG49" s="4"/>
      <c r="AH49" s="276" t="s">
        <v>148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149</v>
      </c>
      <c r="AU49" s="280" t="s">
        <v>150</v>
      </c>
      <c r="AV49" s="281">
        <f>AV48*0.986</f>
        <v>8.3759792879999999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tr">
        <f t="shared" si="15"/>
        <v/>
      </c>
      <c r="BU49" s="182"/>
      <c r="BV49" s="172" t="str">
        <f t="shared" si="10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151</v>
      </c>
      <c r="D50" s="259"/>
      <c r="E50" s="259"/>
      <c r="F50" s="263"/>
      <c r="G50" s="259"/>
      <c r="H50" s="260"/>
      <c r="I50" s="268"/>
      <c r="J50" s="262">
        <v>6</v>
      </c>
      <c r="K50" s="263" t="s">
        <v>152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153</v>
      </c>
      <c r="AF50" s="281">
        <f>AF48*0.974*0.986</f>
        <v>10.014312774407999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153</v>
      </c>
      <c r="AV50" s="281">
        <f>AV48*0.974*0.986</f>
        <v>8.1582038265120005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tr">
        <f t="shared" si="15"/>
        <v/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154</v>
      </c>
      <c r="D51" s="259"/>
      <c r="E51" s="259"/>
      <c r="F51" s="263"/>
      <c r="G51" s="259"/>
      <c r="H51" s="260"/>
      <c r="I51" s="268"/>
      <c r="J51" s="262">
        <v>7</v>
      </c>
      <c r="K51" s="263" t="s">
        <v>155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tr">
        <f t="shared" si="15"/>
        <v/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156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tr">
        <f t="shared" si="15"/>
        <v/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158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tr">
        <f t="shared" si="15"/>
        <v/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159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tr">
        <f t="shared" si="15"/>
        <v/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160</v>
      </c>
      <c r="C55" s="268"/>
      <c r="D55" s="268"/>
      <c r="E55" s="268"/>
      <c r="F55" s="268"/>
      <c r="G55" s="268"/>
      <c r="H55" s="268"/>
      <c r="I55" s="268"/>
      <c r="J55" s="301" t="s">
        <v>161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tr">
        <f t="shared" si="15"/>
        <v/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162</v>
      </c>
      <c r="K56" s="306"/>
      <c r="L56" s="306"/>
      <c r="M56" s="306"/>
      <c r="N56" s="307"/>
      <c r="O56" s="308" t="s">
        <v>163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tr">
        <f t="shared" si="15"/>
        <v/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tr">
        <f t="shared" si="15"/>
        <v/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tr">
        <f t="shared" ref="BT58:BT60" si="16">IF(BQ58&gt;"",VLOOKUP(BQ58&amp;$M$10,PART_MASTER,3,FALSE),"")</f>
        <v/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tr">
        <f t="shared" si="16"/>
        <v/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164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tr">
        <f t="shared" si="16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165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165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165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165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165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2024-07-29T08:12:11Z</dcterms:created>
  <dcterms:modified xsi:type="dcterms:W3CDTF">2024-08-07T09:08:36Z</dcterms:modified>
</cp:coreProperties>
</file>