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ABCBE6FE-EC3E-44B8-ABAC-E7570D1B113E}" xr6:coauthVersionLast="47" xr6:coauthVersionMax="47" xr10:uidLastSave="{00000000-0000-0000-0000-000000000000}"/>
  <bookViews>
    <workbookView xWindow="-108" yWindow="-108" windowWidth="23256" windowHeight="12456" xr2:uid="{C01CA6B1-C8A4-4B54-849E-CC034DDBB53E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N22" i="1"/>
  <c r="BV22" i="1"/>
  <c r="BN23" i="1"/>
  <c r="BV23" i="1"/>
  <c r="BN24" i="1"/>
  <c r="BV24" i="1"/>
  <c r="BN25" i="1"/>
  <c r="BV25" i="1"/>
  <c r="BN26" i="1"/>
  <c r="BV26" i="1"/>
  <c r="BN27" i="1"/>
  <c r="BV27" i="1"/>
  <c r="BN28" i="1"/>
  <c r="BV28" i="1"/>
  <c r="BN29" i="1"/>
  <c r="BV29" i="1"/>
  <c r="BN30" i="1"/>
  <c r="BV30" i="1"/>
  <c r="BN31" i="1"/>
  <c r="BV31" i="1"/>
  <c r="BN32" i="1"/>
  <c r="BU32" i="1"/>
  <c r="BV32" i="1"/>
  <c r="BN33" i="1"/>
  <c r="BV33" i="1"/>
  <c r="BN34" i="1"/>
  <c r="BU34" i="1"/>
  <c r="BV34" i="1"/>
  <c r="BN35" i="1"/>
  <c r="BU35" i="1"/>
  <c r="BV35" i="1"/>
  <c r="BU36" i="1"/>
  <c r="BV36" i="1"/>
  <c r="BN37" i="1"/>
  <c r="BV37" i="1"/>
  <c r="BN38" i="1"/>
  <c r="BV38" i="1"/>
  <c r="BN39" i="1"/>
  <c r="BV39" i="1"/>
  <c r="BN40" i="1"/>
  <c r="BV40" i="1"/>
  <c r="BN41" i="1"/>
  <c r="BV41" i="1"/>
  <c r="BQ42" i="1"/>
  <c r="BN42" i="1" s="1"/>
  <c r="BU42" i="1"/>
  <c r="BV42" i="1"/>
  <c r="BN43" i="1"/>
  <c r="BV43" i="1"/>
  <c r="BE27" i="1" l="1"/>
  <c r="BF27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F43" i="1"/>
  <c r="BD43" i="1"/>
  <c r="AX43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BD32" i="1"/>
  <c r="AX32" i="1"/>
  <c r="AU32" i="1"/>
  <c r="AP32" i="1"/>
  <c r="AL32" i="1"/>
  <c r="AF32" i="1"/>
  <c r="AE32" i="1"/>
  <c r="Z32" i="1"/>
  <c r="V32" i="1"/>
  <c r="BF31" i="1"/>
  <c r="BD31" i="1"/>
  <c r="AX31" i="1"/>
  <c r="AU31" i="1"/>
  <c r="AV31" i="1" s="1"/>
  <c r="AP31" i="1"/>
  <c r="AL31" i="1"/>
  <c r="AF31" i="1"/>
  <c r="AE31" i="1"/>
  <c r="Z31" i="1"/>
  <c r="V31" i="1"/>
  <c r="BF30" i="1"/>
  <c r="BD30" i="1"/>
  <c r="AX30" i="1"/>
  <c r="AU30" i="1"/>
  <c r="AR30" i="1"/>
  <c r="AP30" i="1"/>
  <c r="AL30" i="1"/>
  <c r="AF30" i="1"/>
  <c r="AE30" i="1"/>
  <c r="Z30" i="1"/>
  <c r="V30" i="1"/>
  <c r="BF29" i="1"/>
  <c r="BD29" i="1"/>
  <c r="AX29" i="1"/>
  <c r="AU29" i="1"/>
  <c r="AR29" i="1"/>
  <c r="AP29" i="1"/>
  <c r="AL29" i="1"/>
  <c r="AF29" i="1"/>
  <c r="AE29" i="1"/>
  <c r="Z29" i="1"/>
  <c r="V29" i="1"/>
  <c r="BF28" i="1"/>
  <c r="BD28" i="1"/>
  <c r="AX28" i="1"/>
  <c r="AU28" i="1"/>
  <c r="AV28" i="1" s="1"/>
  <c r="AR28" i="1"/>
  <c r="AP28" i="1"/>
  <c r="AN28" i="1"/>
  <c r="AL28" i="1"/>
  <c r="AF28" i="1"/>
  <c r="AE28" i="1"/>
  <c r="Z28" i="1"/>
  <c r="V28" i="1"/>
  <c r="AX27" i="1"/>
  <c r="AU27" i="1"/>
  <c r="AR27" i="1"/>
  <c r="AP27" i="1"/>
  <c r="AL27" i="1"/>
  <c r="AE27" i="1"/>
  <c r="AF27" i="1" s="1"/>
  <c r="Z27" i="1"/>
  <c r="X27" i="1"/>
  <c r="V27" i="1"/>
  <c r="BF26" i="1"/>
  <c r="AX26" i="1"/>
  <c r="AU26" i="1"/>
  <c r="AP26" i="1"/>
  <c r="AL26" i="1"/>
  <c r="AE26" i="1"/>
  <c r="AF26" i="1" s="1"/>
  <c r="Z26" i="1"/>
  <c r="X26" i="1"/>
  <c r="V26" i="1"/>
  <c r="BF25" i="1"/>
  <c r="AX25" i="1"/>
  <c r="AU25" i="1"/>
  <c r="AP25" i="1"/>
  <c r="AL25" i="1"/>
  <c r="AE25" i="1"/>
  <c r="AF25" i="1" s="1"/>
  <c r="Z25" i="1"/>
  <c r="X25" i="1"/>
  <c r="V25" i="1"/>
  <c r="BF24" i="1"/>
  <c r="AX24" i="1"/>
  <c r="AU24" i="1"/>
  <c r="AP24" i="1"/>
  <c r="AL24" i="1"/>
  <c r="AE24" i="1"/>
  <c r="AF24" i="1" s="1"/>
  <c r="Z24" i="1"/>
  <c r="X24" i="1"/>
  <c r="V24" i="1"/>
  <c r="BF23" i="1"/>
  <c r="AX23" i="1"/>
  <c r="AU23" i="1"/>
  <c r="AP23" i="1"/>
  <c r="AL23" i="1"/>
  <c r="AE23" i="1"/>
  <c r="AF23" i="1" s="1"/>
  <c r="Z23" i="1"/>
  <c r="X23" i="1"/>
  <c r="V23" i="1"/>
  <c r="BF22" i="1"/>
  <c r="AX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L14" i="1"/>
  <c r="AN31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BW10" i="1" s="1"/>
  <c r="CA9" i="1"/>
  <c r="BQ9" i="1"/>
  <c r="BK9" i="1"/>
  <c r="BA9" i="1"/>
  <c r="AU9" i="1"/>
  <c r="AQ9" i="1"/>
  <c r="AK9" i="1"/>
  <c r="AE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E3" i="1"/>
  <c r="U3" i="1" s="1"/>
  <c r="AF2" i="1"/>
  <c r="AV2" i="1" s="1"/>
  <c r="BL2" i="1" s="1"/>
  <c r="CB2" i="1" s="1"/>
  <c r="AU4" i="1" l="1"/>
  <c r="AF48" i="1"/>
  <c r="BJ12" i="1"/>
  <c r="BJ14" i="1"/>
  <c r="BK4" i="1"/>
  <c r="AQ10" i="1"/>
  <c r="BZ12" i="1"/>
  <c r="AB14" i="1"/>
  <c r="BZ14" i="1"/>
  <c r="AA10" i="1"/>
  <c r="BG9" i="1"/>
  <c r="AD12" i="1"/>
  <c r="AT14" i="1"/>
  <c r="AE4" i="1"/>
  <c r="AA9" i="1"/>
  <c r="AD14" i="1"/>
  <c r="AN22" i="1"/>
  <c r="AV22" i="1" s="1"/>
  <c r="AN23" i="1"/>
  <c r="AV23" i="1" s="1"/>
  <c r="AN24" i="1"/>
  <c r="AV24" i="1" s="1"/>
  <c r="AN25" i="1"/>
  <c r="AV25" i="1" s="1"/>
  <c r="AN26" i="1"/>
  <c r="AV26" i="1" s="1"/>
  <c r="AN27" i="1"/>
  <c r="AV27" i="1" s="1"/>
  <c r="AN32" i="1"/>
  <c r="AV32" i="1" s="1"/>
  <c r="AN29" i="1"/>
  <c r="AV29" i="1" s="1"/>
  <c r="AN30" i="1"/>
  <c r="AV30" i="1" s="1"/>
  <c r="AV48" i="1" l="1"/>
  <c r="AV49" i="1" s="1"/>
  <c r="AF50" i="1"/>
  <c r="AF49" i="1"/>
  <c r="AV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2F11DFA-223C-411A-BC47-733872C711D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FF864B0-495F-4DD8-98A3-88C496D9B3C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81572CC-09D0-4CE7-BA73-56B4D6E737E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<sst xmlns="http://schemas.openxmlformats.org/spreadsheetml/2006/main" count="522" uniqueCount="178">
  <si>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</si>
  <si>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</si>
  <si>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</si>
  <si>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</si>
  <si>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</si>
  <si>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</si>
  <si>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</si>
  <si>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</si>
  <si>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</si>
  <si>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</si>
  <si>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</si>
  <si>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</si>
  <si>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</si>
  <si>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</si>
  <si>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</si>
  <si>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</si>
  <si>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</si>
  <si>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</si>
  <si>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</si>
  <si>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</si>
  <si>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</si>
  <si>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U9H-21001</t>
  </si>
  <si>
    <t>Unit Code</t>
  </si>
  <si>
    <r>
      <t xml:space="preserve">H </t>
    </r>
    <r>
      <rPr>
        <sz val="10"/>
        <rFont val="Arial"/>
        <family val="2"/>
      </rPr>
      <t>item</t>
    </r>
  </si>
  <si>
    <t>U9H-20002</t>
  </si>
  <si>
    <t>52H4-B/C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</si>
  <si>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</si>
  <si>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</si>
  <si>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</si>
  <si>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</si>
  <si>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</si>
  <si>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</si>
  <si>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</si>
  <si>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</si>
  <si>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</si>
  <si>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</si>
  <si>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</si>
  <si>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</si>
  <si>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</si>
  <si>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</si>
  <si>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</si>
  <si>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</si>
  <si>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</si>
  <si>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</si>
  <si>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</si>
  <si>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</si>
  <si>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</si>
  <si>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</si>
  <si>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</si>
  <si>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</si>
  <si>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</si>
  <si>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</si>
  <si>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</si>
  <si>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</si>
  <si>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</si>
  <si>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</si>
  <si>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</si>
  <si>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</si>
  <si>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</si>
  <si>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</si>
  <si>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</si>
  <si>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</si>
  <si>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</si>
  <si>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</si>
  <si>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</si>
  <si>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</si>
  <si>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</si>
  <si>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</si>
  <si>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</si>
  <si>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</si>
  <si>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</si>
  <si>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</si>
  <si>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</si>
  <si>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</si>
  <si>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</si>
  <si>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</si>
  <si>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</si>
  <si>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</si>
  <si>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</si>
  <si>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</si>
  <si>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</si>
  <si>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</si>
  <si>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</si>
  <si>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</si>
  <si>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</si>
  <si>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5K-11484Y</t>
  </si>
  <si>
    <t>SILL</t>
  </si>
  <si>
    <t>9K-87106</t>
  </si>
  <si>
    <t>INSIDE TOP RAIL (l)</t>
  </si>
  <si>
    <t>9K-20853</t>
  </si>
  <si>
    <t>5K-11485Y</t>
  </si>
  <si>
    <t>JAMB(L)</t>
  </si>
  <si>
    <t>9K-87107</t>
  </si>
  <si>
    <t>BOTTOM RAIL</t>
  </si>
  <si>
    <t>9K-87111</t>
  </si>
  <si>
    <t>5K-12066</t>
  </si>
  <si>
    <t>JAMB(R)</t>
  </si>
  <si>
    <t>STILE(L)</t>
  </si>
  <si>
    <t>9K-87139</t>
  </si>
  <si>
    <t>BM-4025G</t>
  </si>
  <si>
    <t>FOR ASS</t>
  </si>
  <si>
    <t>S</t>
  </si>
  <si>
    <t>9K-11109</t>
  </si>
  <si>
    <t>ATTACHMENT</t>
  </si>
  <si>
    <t>9K-87109</t>
  </si>
  <si>
    <t>STILE(R)</t>
  </si>
  <si>
    <t>9K-10840</t>
  </si>
  <si>
    <t>9K-30231</t>
  </si>
  <si>
    <t>9K-87110</t>
  </si>
  <si>
    <t>INTERLOCKING STILE(O)</t>
  </si>
  <si>
    <t>9K-86981</t>
  </si>
  <si>
    <t>9K-30171</t>
  </si>
  <si>
    <t>5K-12950</t>
  </si>
  <si>
    <t>9K-30232</t>
  </si>
  <si>
    <t>INTERLOCKING STILE</t>
  </si>
  <si>
    <t>9K-87112</t>
  </si>
  <si>
    <t>9K-30195</t>
  </si>
  <si>
    <t>9K-30233</t>
  </si>
  <si>
    <t>MEETING STILE</t>
  </si>
  <si>
    <t>9K-87113</t>
  </si>
  <si>
    <t>9K-30198</t>
  </si>
  <si>
    <t>9K-87140</t>
  </si>
  <si>
    <t>9K-30186</t>
  </si>
  <si>
    <t>2K-26921</t>
  </si>
  <si>
    <t>M</t>
  </si>
  <si>
    <t>9K-20762</t>
  </si>
  <si>
    <t>9K-20682</t>
  </si>
  <si>
    <t>K-20514</t>
  </si>
  <si>
    <t>9K-30246</t>
  </si>
  <si>
    <t>FOR INTERLOCK STILE</t>
  </si>
  <si>
    <t>MS-4005</t>
  </si>
  <si>
    <t>EF-4020D7</t>
  </si>
  <si>
    <t>9K-11395</t>
  </si>
  <si>
    <t>C5c</t>
  </si>
  <si>
    <t xml:space="preserve"> CHECK SIZE FRAME</t>
  </si>
  <si>
    <t xml:space="preserve"> VISUAL CHECK ( √ )</t>
  </si>
  <si>
    <t>9K-30192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</si>
  <si>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</si>
  <si>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</si>
  <si>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</si>
  <si>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</si>
  <si>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</si>
  <si>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</si>
  <si>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</si>
  <si>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</si>
  <si>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</si>
  <si>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</si>
  <si>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</si>
  <si>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</si>
  <si>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</si>
  <si>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</si>
  <si>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</si>
  <si>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</si>
  <si>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</si>
  <si>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</si>
  <si>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</si>
  <si>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</si>
  <si>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</si>
  <si>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</si>
  <si>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</si>
  <si>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</si>
  <si>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</si>
  <si>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</si>
  <si>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</si>
  <si>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</si>
  <si>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</si>
  <si>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</si>
  <si>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</si>
  <si>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</si>
  <si>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</si>
  <si>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</si>
  <si>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9K-30241</t>
  </si>
  <si>
    <t>YK</t>
  </si>
  <si>
    <t>YS</t>
  </si>
  <si>
    <t>YW</t>
  </si>
  <si>
    <t>DG</t>
  </si>
  <si>
    <t>AT MATERIAL</t>
  </si>
  <si>
    <t>FOR CRESCENT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</si>
</sst>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6DC7FF00-6631-4BB1-A86B-059A9E36D312}"/>
    <cellStyle name="Normal" xfId="0" builtinId="0"/>
    <cellStyle name="Normal 2" xfId="1" xr:uid="{73B2EC51-CF44-4BA1-BE8B-964471CCB51A}"/>
    <cellStyle name="Normal 5" xfId="3" xr:uid="{71ED4434-F496-418D-A1AB-A27E366CF37D}"/>
    <cellStyle name="Normal_COBA 2" xfId="4" xr:uid="{21F6412B-606D-49FF-8D8C-AE59D933C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75426E-A2C1-441E-B4CE-ADA693AF4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B788C27-F2B6-4A14-B3B7-BF1B3B027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85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F494545-ECA5-4039-B491-FD93543E2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9816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462642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1B2783A1-8531-4A8B-A3C4-E115CD20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08645" y="104775"/>
          <a:ext cx="1588497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B61E543-8BA9-43CB-8BA7-F46C0C670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27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FFF25EE-9B63-402B-9AB1-59FE111A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DC1EE39-CEF0-4451-94DE-8A4A06C0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67499" y="7570743"/>
          <a:ext cx="202120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</xdr:colOff>
      <xdr:row>22</xdr:row>
      <xdr:rowOff>1</xdr:rowOff>
    </xdr:from>
    <xdr:to>
      <xdr:col>14</xdr:col>
      <xdr:colOff>238789</xdr:colOff>
      <xdr:row>36</xdr:row>
      <xdr:rowOff>66676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466333C-D5A0-416F-9766-FA73E2CC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1" y="4107181"/>
          <a:ext cx="4201188" cy="2726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8F32-80FB-48F8-992F-3AA66F99BF3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CF32" sqref="CF32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33203125" style="277" customWidth="1"/>
    <col min="13" max="13" width="7.88671875" style="277" customWidth="1"/>
    <col min="14" max="14" width="8.332031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45511.685623958336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45511.685623958336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45511.685623958336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45511.685623958336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45511.685623958336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24">
        <f>W</f>
        <v>4800</v>
      </c>
      <c r="L9" s="32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24">
        <f>$K$9</f>
        <v>4800</v>
      </c>
      <c r="AB9" s="326"/>
      <c r="AC9" s="65"/>
      <c r="AD9" s="61"/>
      <c r="AE9" s="59" t="str">
        <f>IF($O$9&gt;0,$O$9,"")</f>
        <v>U9H-21001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24">
        <f>$K$9</f>
        <v>4800</v>
      </c>
      <c r="AR9" s="326"/>
      <c r="AS9" s="65"/>
      <c r="AT9" s="61"/>
      <c r="AU9" s="59" t="str">
        <f>IF($O$9&gt;0,$O$9,"")</f>
        <v>U9H-21001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24">
        <f>$K$9</f>
        <v>4800</v>
      </c>
      <c r="BH9" s="326"/>
      <c r="BI9" s="65"/>
      <c r="BJ9" s="61"/>
      <c r="BK9" s="59" t="str">
        <f>IF($O$9&gt;0,$O$9,"")</f>
        <v>U9H-21001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24">
        <f>$K$9</f>
        <v>4800</v>
      </c>
      <c r="BX9" s="326"/>
      <c r="BY9" s="65"/>
      <c r="BZ9" s="61"/>
      <c r="CA9" s="59" t="str">
        <f>IF($O$9&gt;0,$O$9,"")</f>
        <v>U9H-21001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24">
        <f>H</f>
        <v>2600</v>
      </c>
      <c r="L10" s="325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24">
        <f>$K$10</f>
        <v>2600</v>
      </c>
      <c r="AB10" s="326"/>
      <c r="AC10" s="65"/>
      <c r="AD10" s="61"/>
      <c r="AE10" s="59" t="str">
        <f>IF($O$10&gt;0,$O$10,"")</f>
        <v>U9H-20002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24">
        <f>$K$10</f>
        <v>2600</v>
      </c>
      <c r="AR10" s="326"/>
      <c r="AS10" s="65"/>
      <c r="AT10" s="61"/>
      <c r="AU10" s="59" t="str">
        <f>IF($O$10&gt;0,$O$10,"")</f>
        <v>U9H-20002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24">
        <f>$K$10</f>
        <v>2600</v>
      </c>
      <c r="BH10" s="326"/>
      <c r="BI10" s="65"/>
      <c r="BJ10" s="61"/>
      <c r="BK10" s="59" t="str">
        <f>IF($O$10&gt;0,$O$10,"")</f>
        <v>U9H-20002</v>
      </c>
      <c r="BL10" s="60"/>
      <c r="BM10" s="3"/>
      <c r="BN10" s="53" t="s">
        <v>22</v>
      </c>
      <c r="BO10" s="36"/>
      <c r="BP10" s="37"/>
      <c r="BQ10" s="54" t="str">
        <f>IF($AK$10&gt;0,$AK$10,"")</f>
        <v>52H4-B/C</v>
      </c>
      <c r="BR10" s="36"/>
      <c r="BS10" s="55"/>
      <c r="BT10" s="62"/>
      <c r="BU10" s="62"/>
      <c r="BV10" s="66" t="s">
        <v>23</v>
      </c>
      <c r="BW10" s="324">
        <f>$K$10</f>
        <v>2600</v>
      </c>
      <c r="BX10" s="326"/>
      <c r="BY10" s="65"/>
      <c r="BZ10" s="61"/>
      <c r="CA10" s="59" t="str">
        <f>IF($O$10&gt;0,$O$10,"")</f>
        <v>U9H-20002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4800</v>
      </c>
      <c r="F11" s="24"/>
      <c r="G11" s="72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4800</v>
      </c>
      <c r="V11" s="24"/>
      <c r="W11" s="72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4800</v>
      </c>
      <c r="AL11" s="24"/>
      <c r="AM11" s="72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4800</v>
      </c>
      <c r="BB11" s="24"/>
      <c r="BC11" s="72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4800</v>
      </c>
      <c r="BR11" s="24"/>
      <c r="BS11" s="72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2600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2600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2600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2600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2600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2520</v>
      </c>
      <c r="M14" s="95" t="s">
        <v>38</v>
      </c>
      <c r="N14" s="97">
        <f>W-40</f>
        <v>4760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2520</v>
      </c>
      <c r="AC14" s="95" t="s">
        <v>38</v>
      </c>
      <c r="AD14" s="102">
        <f>IF($N$14&gt;0,$N$14,"")</f>
        <v>4760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2520</v>
      </c>
      <c r="AS14" s="95" t="s">
        <v>38</v>
      </c>
      <c r="AT14" s="102">
        <f>IF($N$14&gt;0,$N$14,"")</f>
        <v>4760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2520</v>
      </c>
      <c r="BI14" s="95" t="s">
        <v>38</v>
      </c>
      <c r="BJ14" s="102">
        <f>IF($N$14&gt;0,$N$14,"")</f>
        <v>4760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2520</v>
      </c>
      <c r="BY14" s="95" t="s">
        <v>38</v>
      </c>
      <c r="BZ14" s="102">
        <f>IF($N$14&gt;0,$N$14,"")</f>
        <v>4760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4779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3.469554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1122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0.86842799999999998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172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CRESCENT</v>
      </c>
      <c r="BO22" s="199"/>
      <c r="BP22" s="200"/>
      <c r="BQ22" s="204" t="s">
        <v>85</v>
      </c>
      <c r="BR22" s="168"/>
      <c r="BS22" s="180"/>
      <c r="BT22" s="181" t="s">
        <v>174</v>
      </c>
      <c r="BU22" s="171">
        <v>1</v>
      </c>
      <c r="BV22" s="172">
        <f t="shared" ref="BV22:BV59" si="10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W-21</f>
        <v>4779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3.6033659999999998</v>
      </c>
      <c r="AG23" s="4"/>
      <c r="AH23" s="198" t="s">
        <v>88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1122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0.28947600000000001</v>
      </c>
      <c r="AW23" s="4"/>
      <c r="AX23" s="198" t="str">
        <f t="shared" si="7"/>
        <v>SEALER PAD</v>
      </c>
      <c r="AY23" s="199"/>
      <c r="AZ23" s="200"/>
      <c r="BA23" s="167" t="s">
        <v>89</v>
      </c>
      <c r="BB23" s="168"/>
      <c r="BC23" s="180"/>
      <c r="BD23" s="181" t="s">
        <v>172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CRESCENT</v>
      </c>
      <c r="BO23" s="199"/>
      <c r="BP23" s="200"/>
      <c r="BQ23" s="167" t="s">
        <v>90</v>
      </c>
      <c r="BR23" s="168"/>
      <c r="BS23" s="180"/>
      <c r="BT23" s="181" t="s">
        <v>174</v>
      </c>
      <c r="BU23" s="171">
        <v>1</v>
      </c>
      <c r="BV23" s="172">
        <f t="shared" si="10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</v>
      </c>
      <c r="X24" s="207">
        <f>H</f>
        <v>2600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1.2038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0</v>
      </c>
      <c r="AN24" s="207">
        <f>(WS.1/4)-68</f>
        <v>1122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1.8311039999999998</v>
      </c>
      <c r="AW24" s="4"/>
      <c r="AX24" s="198" t="str">
        <f t="shared" si="7"/>
        <v>LABEL</v>
      </c>
      <c r="AY24" s="199"/>
      <c r="AZ24" s="200"/>
      <c r="BA24" s="167" t="s">
        <v>171</v>
      </c>
      <c r="BB24" s="168"/>
      <c r="BC24" s="180"/>
      <c r="BD24" s="181" t="s">
        <v>173</v>
      </c>
      <c r="BE24" s="171">
        <v>1</v>
      </c>
      <c r="BF24" s="172">
        <f t="shared" si="8"/>
        <v>1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CRESCENT CATCH</v>
      </c>
      <c r="BO24" s="199"/>
      <c r="BP24" s="200"/>
      <c r="BQ24" s="167" t="s">
        <v>95</v>
      </c>
      <c r="BR24" s="168"/>
      <c r="BS24" s="180"/>
      <c r="BT24" s="181" t="s">
        <v>173</v>
      </c>
      <c r="BU24" s="171">
        <v>2</v>
      </c>
      <c r="BV24" s="172">
        <f t="shared" si="10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v>2</v>
      </c>
      <c r="X25" s="207">
        <f>H</f>
        <v>2600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1"/>
        <v>1.2038</v>
      </c>
      <c r="AG25" s="4"/>
      <c r="AH25" s="198" t="s">
        <v>97</v>
      </c>
      <c r="AI25" s="199"/>
      <c r="AJ25" s="203"/>
      <c r="AK25" s="167" t="s">
        <v>98</v>
      </c>
      <c r="AL25" s="168" t="str">
        <f t="shared" si="3"/>
        <v>-</v>
      </c>
      <c r="AM25" s="201">
        <v>2</v>
      </c>
      <c r="AN25" s="207">
        <f t="shared" ref="AN25:AN32" si="12">HS.1+10</f>
        <v>2530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1.2978900000000002</v>
      </c>
      <c r="AW25" s="4"/>
      <c r="AX25" s="198" t="str">
        <f t="shared" si="7"/>
        <v>SCREW</v>
      </c>
      <c r="AY25" s="199"/>
      <c r="AZ25" s="200"/>
      <c r="BA25" s="167" t="s">
        <v>99</v>
      </c>
      <c r="BB25" s="168"/>
      <c r="BC25" s="180"/>
      <c r="BD25" s="181" t="s">
        <v>173</v>
      </c>
      <c r="BE25" s="171">
        <v>8</v>
      </c>
      <c r="BF25" s="172">
        <f t="shared" si="8"/>
        <v>8</v>
      </c>
      <c r="BG25" s="183"/>
      <c r="BH25" s="184" t="s">
        <v>100</v>
      </c>
      <c r="BI25" s="185"/>
      <c r="BJ25" s="186"/>
      <c r="BK25" s="187"/>
      <c r="BL25" s="188" t="s">
        <v>101</v>
      </c>
      <c r="BM25" s="4"/>
      <c r="BN25" s="198" t="str">
        <f t="shared" si="9"/>
        <v>BACK PLATE</v>
      </c>
      <c r="BO25" s="199"/>
      <c r="BP25" s="200"/>
      <c r="BQ25" s="167" t="s">
        <v>102</v>
      </c>
      <c r="BR25" s="168"/>
      <c r="BS25" s="180"/>
      <c r="BT25" s="181" t="s">
        <v>173</v>
      </c>
      <c r="BU25" s="171">
        <v>2</v>
      </c>
      <c r="BV25" s="172">
        <f t="shared" si="10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103</v>
      </c>
      <c r="S26" s="199"/>
      <c r="T26" s="200"/>
      <c r="U26" s="167" t="s">
        <v>104</v>
      </c>
      <c r="V26" s="168" t="str">
        <f t="shared" si="0"/>
        <v>-</v>
      </c>
      <c r="W26" s="201">
        <v>2</v>
      </c>
      <c r="X26" s="170">
        <f>W-21</f>
        <v>4779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1.0466010000000001</v>
      </c>
      <c r="AG26" s="4"/>
      <c r="AH26" s="198" t="s">
        <v>105</v>
      </c>
      <c r="AI26" s="199"/>
      <c r="AJ26" s="203"/>
      <c r="AK26" s="167" t="s">
        <v>98</v>
      </c>
      <c r="AL26" s="168" t="str">
        <f t="shared" si="3"/>
        <v>-</v>
      </c>
      <c r="AM26" s="201">
        <v>1</v>
      </c>
      <c r="AN26" s="170">
        <f t="shared" si="12"/>
        <v>2530</v>
      </c>
      <c r="AO26" s="171">
        <v>1</v>
      </c>
      <c r="AP26" s="172">
        <f t="shared" si="4"/>
        <v>1</v>
      </c>
      <c r="AQ26" s="209"/>
      <c r="AR26" s="174"/>
      <c r="AS26" s="175"/>
      <c r="AT26" s="211"/>
      <c r="AU26" s="177">
        <f t="shared" si="5"/>
        <v>0.51300000000000001</v>
      </c>
      <c r="AV26" s="178">
        <f t="shared" si="6"/>
        <v>1.2978900000000002</v>
      </c>
      <c r="AW26" s="4"/>
      <c r="AX26" s="198" t="str">
        <f t="shared" si="7"/>
        <v>SHIM RECEIVER</v>
      </c>
      <c r="AY26" s="199"/>
      <c r="AZ26" s="200"/>
      <c r="BA26" s="167" t="s">
        <v>106</v>
      </c>
      <c r="BB26" s="168"/>
      <c r="BC26" s="180"/>
      <c r="BD26" s="181" t="s">
        <v>150</v>
      </c>
      <c r="BE26" s="171">
        <v>5</v>
      </c>
      <c r="BF26" s="172">
        <f t="shared" si="8"/>
        <v>5</v>
      </c>
      <c r="BG26" s="183"/>
      <c r="BH26" s="184"/>
      <c r="BI26" s="185"/>
      <c r="BJ26" s="186"/>
      <c r="BK26" s="187"/>
      <c r="BL26" s="188" t="s">
        <v>101</v>
      </c>
      <c r="BM26" s="4"/>
      <c r="BN26" s="198" t="str">
        <f t="shared" si="9"/>
        <v>CAP</v>
      </c>
      <c r="BO26" s="199"/>
      <c r="BP26" s="200"/>
      <c r="BQ26" s="167" t="s">
        <v>107</v>
      </c>
      <c r="BR26" s="168"/>
      <c r="BS26" s="180"/>
      <c r="BT26" s="181" t="s">
        <v>174</v>
      </c>
      <c r="BU26" s="171">
        <v>8</v>
      </c>
      <c r="BV26" s="172">
        <f t="shared" si="10"/>
        <v>8</v>
      </c>
      <c r="BW26" s="183" t="s">
        <v>7</v>
      </c>
      <c r="BX26" s="184" t="s">
        <v>7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108</v>
      </c>
      <c r="V27" s="168" t="str">
        <f t="shared" si="0"/>
        <v>-</v>
      </c>
      <c r="W27" s="201">
        <v>2</v>
      </c>
      <c r="X27" s="170">
        <f>W-21</f>
        <v>4779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1.5245009999999999</v>
      </c>
      <c r="AG27" s="4"/>
      <c r="AH27" s="198" t="s">
        <v>109</v>
      </c>
      <c r="AI27" s="199"/>
      <c r="AJ27" s="203"/>
      <c r="AK27" s="167" t="s">
        <v>110</v>
      </c>
      <c r="AL27" s="168" t="str">
        <f t="shared" si="3"/>
        <v>-</v>
      </c>
      <c r="AM27" s="201">
        <v>22</v>
      </c>
      <c r="AN27" s="170">
        <f t="shared" si="12"/>
        <v>2530</v>
      </c>
      <c r="AO27" s="171">
        <v>1</v>
      </c>
      <c r="AP27" s="172">
        <f t="shared" si="4"/>
        <v>1</v>
      </c>
      <c r="AQ27" s="209"/>
      <c r="AR27" s="174" t="str">
        <f>CONCATENATE("as+5 = ",(C.)-45+5)</f>
        <v>as+5 = 560</v>
      </c>
      <c r="AS27" s="175"/>
      <c r="AT27" s="211"/>
      <c r="AU27" s="177">
        <f t="shared" si="5"/>
        <v>0.42399999999999999</v>
      </c>
      <c r="AV27" s="178">
        <f t="shared" si="6"/>
        <v>1.0727200000000001</v>
      </c>
      <c r="AW27" s="4"/>
      <c r="AX27" s="198" t="str">
        <f t="shared" si="7"/>
        <v>HOLE CAP</v>
      </c>
      <c r="AY27" s="199"/>
      <c r="AZ27" s="200"/>
      <c r="BA27" s="167" t="s">
        <v>111</v>
      </c>
      <c r="BB27" s="168"/>
      <c r="BC27" s="180"/>
      <c r="BD27" s="181" t="s">
        <v>174</v>
      </c>
      <c r="BE27" s="171">
        <f>IF(W&lt;=821,2,IF(W&lt;=1921,4,IF(W&lt;=2921,6,IF(W&lt;=3921,8,IF(W&gt;3921,10,0)))))+IF(H&lt;=900,4,IF(H&lt;=1500,6,IF(H&lt;=2500,10,IF(H&lt;=2800,14,0))))</f>
        <v>24</v>
      </c>
      <c r="BF27" s="172">
        <f t="shared" si="8"/>
        <v>24</v>
      </c>
      <c r="BG27" s="212"/>
      <c r="BH27" s="184"/>
      <c r="BI27" s="185"/>
      <c r="BJ27" s="186"/>
      <c r="BK27" s="187"/>
      <c r="BL27" s="188" t="s">
        <v>101</v>
      </c>
      <c r="BM27" s="4"/>
      <c r="BN27" s="198" t="str">
        <f t="shared" si="9"/>
        <v>ROLLER</v>
      </c>
      <c r="BO27" s="199"/>
      <c r="BP27" s="200"/>
      <c r="BQ27" s="167" t="s">
        <v>112</v>
      </c>
      <c r="BR27" s="168"/>
      <c r="BS27" s="180"/>
      <c r="BT27" s="181" t="s">
        <v>173</v>
      </c>
      <c r="BU27" s="171">
        <v>8</v>
      </c>
      <c r="BV27" s="172">
        <f t="shared" si="10"/>
        <v>8</v>
      </c>
      <c r="BW27" s="212" t="s">
        <v>7</v>
      </c>
      <c r="BX27" s="184" t="s">
        <v>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 t="s">
        <v>109</v>
      </c>
      <c r="AI28" s="214"/>
      <c r="AJ28" s="216"/>
      <c r="AK28" s="167" t="s">
        <v>110</v>
      </c>
      <c r="AL28" s="168" t="str">
        <f t="shared" si="3"/>
        <v>-</v>
      </c>
      <c r="AM28" s="201">
        <v>20</v>
      </c>
      <c r="AN28" s="170">
        <f t="shared" si="12"/>
        <v>2530</v>
      </c>
      <c r="AO28" s="171">
        <v>1</v>
      </c>
      <c r="AP28" s="172">
        <f t="shared" si="4"/>
        <v>1</v>
      </c>
      <c r="AQ28" s="209"/>
      <c r="AR28" s="174" t="str">
        <f>CONCATENATE("as+5 = ",(C.)-45+5)</f>
        <v>as+5 = 560</v>
      </c>
      <c r="AS28" s="175"/>
      <c r="AT28" s="211"/>
      <c r="AU28" s="177">
        <f t="shared" si="5"/>
        <v>0.42399999999999999</v>
      </c>
      <c r="AV28" s="178">
        <f t="shared" si="6"/>
        <v>1.0727200000000001</v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tr">
        <f t="shared" ref="BD22:BD60" si="13">IF(BA28&gt;"",VLOOKUP(BA28&amp;$M$10,PART_MASTER,3,FALSE),"")</f>
        <v/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SPECER</v>
      </c>
      <c r="BO28" s="199"/>
      <c r="BP28" s="200"/>
      <c r="BQ28" s="167" t="s">
        <v>113</v>
      </c>
      <c r="BR28" s="168"/>
      <c r="BS28" s="180"/>
      <c r="BT28" s="181" t="s">
        <v>175</v>
      </c>
      <c r="BU28" s="171">
        <v>8</v>
      </c>
      <c r="BV28" s="172">
        <f t="shared" si="10"/>
        <v>8</v>
      </c>
      <c r="BW28" s="183" t="s">
        <v>7</v>
      </c>
      <c r="BX28" s="184" t="s">
        <v>7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 t="s">
        <v>114</v>
      </c>
      <c r="AI29" s="214"/>
      <c r="AJ29" s="216"/>
      <c r="AK29" s="217" t="s">
        <v>115</v>
      </c>
      <c r="AL29" s="168" t="str">
        <f t="shared" si="3"/>
        <v>-</v>
      </c>
      <c r="AM29" s="218">
        <v>4</v>
      </c>
      <c r="AN29" s="170">
        <f t="shared" si="12"/>
        <v>2530</v>
      </c>
      <c r="AO29" s="219">
        <v>1</v>
      </c>
      <c r="AP29" s="221">
        <f t="shared" si="4"/>
        <v>1</v>
      </c>
      <c r="AQ29" s="220"/>
      <c r="AR29" s="174" t="str">
        <f>CONCATENATE("as+5 = ",(C.)-45+5)</f>
        <v>as+5 = 560</v>
      </c>
      <c r="AS29" s="175"/>
      <c r="AT29" s="211"/>
      <c r="AU29" s="177">
        <f t="shared" si="5"/>
        <v>0.86399999999999999</v>
      </c>
      <c r="AV29" s="178">
        <f t="shared" si="6"/>
        <v>2.1859199999999999</v>
      </c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tr">
        <f t="shared" si="13"/>
        <v/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tr">
        <f t="shared" si="9"/>
        <v>SPECER</v>
      </c>
      <c r="BO29" s="199"/>
      <c r="BP29" s="200"/>
      <c r="BQ29" s="167" t="s">
        <v>116</v>
      </c>
      <c r="BR29" s="168"/>
      <c r="BS29" s="180"/>
      <c r="BT29" s="181" t="s">
        <v>175</v>
      </c>
      <c r="BU29" s="171">
        <v>8</v>
      </c>
      <c r="BV29" s="172">
        <f t="shared" si="10"/>
        <v>8</v>
      </c>
      <c r="BW29" s="183" t="s">
        <v>7</v>
      </c>
      <c r="BX29" s="184" t="s">
        <v>7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 t="s">
        <v>114</v>
      </c>
      <c r="AI30" s="199"/>
      <c r="AJ30" s="203"/>
      <c r="AK30" s="167" t="s">
        <v>115</v>
      </c>
      <c r="AL30" s="168" t="str">
        <f t="shared" si="3"/>
        <v>-</v>
      </c>
      <c r="AM30" s="169">
        <v>2</v>
      </c>
      <c r="AN30" s="170">
        <f t="shared" si="12"/>
        <v>2530</v>
      </c>
      <c r="AO30" s="171">
        <v>1</v>
      </c>
      <c r="AP30" s="172">
        <f t="shared" si="4"/>
        <v>1</v>
      </c>
      <c r="AQ30" s="220"/>
      <c r="AR30" s="174" t="str">
        <f>CONCATENATE("as+5 = ",(C.)-45+5)</f>
        <v>as+5 = 560</v>
      </c>
      <c r="AS30" s="175"/>
      <c r="AT30" s="176"/>
      <c r="AU30" s="177">
        <f t="shared" si="5"/>
        <v>0.86399999999999999</v>
      </c>
      <c r="AV30" s="178">
        <f t="shared" si="6"/>
        <v>2.1859199999999999</v>
      </c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tr">
        <f t="shared" si="13"/>
        <v/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tr">
        <f t="shared" si="9"/>
        <v>GUIDER</v>
      </c>
      <c r="BO30" s="199"/>
      <c r="BP30" s="200"/>
      <c r="BQ30" s="167" t="s">
        <v>117</v>
      </c>
      <c r="BR30" s="168"/>
      <c r="BS30" s="180"/>
      <c r="BT30" s="181" t="s">
        <v>175</v>
      </c>
      <c r="BU30" s="171">
        <v>14</v>
      </c>
      <c r="BV30" s="172">
        <f t="shared" si="10"/>
        <v>14</v>
      </c>
      <c r="BW30" s="183" t="s">
        <v>7</v>
      </c>
      <c r="BX30" s="184" t="s">
        <v>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 t="s">
        <v>118</v>
      </c>
      <c r="AI31" s="199"/>
      <c r="AJ31" s="203"/>
      <c r="AK31" s="167" t="s">
        <v>119</v>
      </c>
      <c r="AL31" s="168" t="str">
        <f t="shared" si="3"/>
        <v>-</v>
      </c>
      <c r="AM31" s="222">
        <v>1</v>
      </c>
      <c r="AN31" s="207">
        <f t="shared" si="12"/>
        <v>2530</v>
      </c>
      <c r="AO31" s="171">
        <v>1</v>
      </c>
      <c r="AP31" s="172">
        <f t="shared" si="4"/>
        <v>1</v>
      </c>
      <c r="AQ31" s="220"/>
      <c r="AR31" s="174"/>
      <c r="AS31" s="175"/>
      <c r="AT31" s="211"/>
      <c r="AU31" s="177">
        <f t="shared" si="5"/>
        <v>0.98699999999999999</v>
      </c>
      <c r="AV31" s="178">
        <f t="shared" si="6"/>
        <v>2.4971100000000002</v>
      </c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tr">
        <f t="shared" si="13"/>
        <v/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tr">
        <f t="shared" si="9"/>
        <v>GUIDER</v>
      </c>
      <c r="BO31" s="199"/>
      <c r="BP31" s="200"/>
      <c r="BQ31" s="167" t="s">
        <v>120</v>
      </c>
      <c r="BR31" s="168"/>
      <c r="BS31" s="180"/>
      <c r="BT31" s="181" t="s">
        <v>175</v>
      </c>
      <c r="BU31" s="171">
        <v>2</v>
      </c>
      <c r="BV31" s="172">
        <f t="shared" si="10"/>
        <v>2</v>
      </c>
      <c r="BW31" s="183" t="s">
        <v>7</v>
      </c>
      <c r="BX31" s="184" t="s">
        <v>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 t="s">
        <v>118</v>
      </c>
      <c r="AI32" s="199"/>
      <c r="AJ32" s="203"/>
      <c r="AK32" s="167" t="s">
        <v>121</v>
      </c>
      <c r="AL32" s="168" t="str">
        <f t="shared" si="3"/>
        <v>-</v>
      </c>
      <c r="AM32" s="169">
        <v>1</v>
      </c>
      <c r="AN32" s="170">
        <f t="shared" si="12"/>
        <v>2530</v>
      </c>
      <c r="AO32" s="171">
        <v>1</v>
      </c>
      <c r="AP32" s="172">
        <f t="shared" si="4"/>
        <v>1</v>
      </c>
      <c r="AQ32" s="220"/>
      <c r="AR32" s="174"/>
      <c r="AS32" s="175"/>
      <c r="AT32" s="211"/>
      <c r="AU32" s="177">
        <f t="shared" si="5"/>
        <v>1.07</v>
      </c>
      <c r="AV32" s="178">
        <f t="shared" si="6"/>
        <v>2.7071000000000005</v>
      </c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tr">
        <f t="shared" si="13"/>
        <v/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tr">
        <f t="shared" si="9"/>
        <v>PULLING BLOCK</v>
      </c>
      <c r="BO32" s="199"/>
      <c r="BP32" s="200"/>
      <c r="BQ32" s="167" t="s">
        <v>122</v>
      </c>
      <c r="BR32" s="168"/>
      <c r="BS32" s="180"/>
      <c r="BT32" s="181" t="s">
        <v>174</v>
      </c>
      <c r="BU32" s="171">
        <f>IF(H&lt;=1000,2,IF(H&lt;=2200,4,IF(H&gt;2200,6,"")))</f>
        <v>6</v>
      </c>
      <c r="BV32" s="172">
        <f t="shared" si="10"/>
        <v>6</v>
      </c>
      <c r="BW32" s="183" t="s">
        <v>7</v>
      </c>
      <c r="BX32" s="184" t="s">
        <v>7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tr">
        <f t="shared" si="13"/>
        <v/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AT MATERIAL</v>
      </c>
      <c r="BO33" s="199"/>
      <c r="BP33" s="200"/>
      <c r="BQ33" s="167" t="s">
        <v>123</v>
      </c>
      <c r="BR33" s="168"/>
      <c r="BS33" s="180"/>
      <c r="BT33" s="181" t="s">
        <v>172</v>
      </c>
      <c r="BU33" s="171">
        <f>(16*((WS.1/4)-68))/1000</f>
        <v>17.952000000000002</v>
      </c>
      <c r="BV33" s="172">
        <f t="shared" si="10"/>
        <v>17.952000000000002</v>
      </c>
      <c r="BW33" s="212" t="s">
        <v>124</v>
      </c>
      <c r="BX33" s="184" t="s">
        <v>7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tr">
        <f t="shared" si="13"/>
        <v/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AT MATERIAL</v>
      </c>
      <c r="BO34" s="199"/>
      <c r="BP34" s="200"/>
      <c r="BQ34" s="167" t="s">
        <v>125</v>
      </c>
      <c r="BR34" s="168"/>
      <c r="BS34" s="180"/>
      <c r="BT34" s="181" t="s">
        <v>172</v>
      </c>
      <c r="BU34" s="171">
        <f>HS.1*2/1000</f>
        <v>5.04</v>
      </c>
      <c r="BV34" s="172">
        <f t="shared" si="10"/>
        <v>5.04</v>
      </c>
      <c r="BW34" s="212" t="s">
        <v>124</v>
      </c>
      <c r="BX34" s="184" t="s">
        <v>7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tr">
        <f t="shared" si="13"/>
        <v/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AT MATERIAL</v>
      </c>
      <c r="BO35" s="199"/>
      <c r="BP35" s="200"/>
      <c r="BQ35" s="167" t="s">
        <v>126</v>
      </c>
      <c r="BR35" s="168"/>
      <c r="BS35" s="180"/>
      <c r="BT35" s="181" t="s">
        <v>172</v>
      </c>
      <c r="BU35" s="171">
        <f>HS.1*4/1000</f>
        <v>10.08</v>
      </c>
      <c r="BV35" s="172">
        <f t="shared" si="10"/>
        <v>10.08</v>
      </c>
      <c r="BW35" s="212" t="s">
        <v>124</v>
      </c>
      <c r="BX35" s="184" t="s">
        <v>7</v>
      </c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tr">
        <f t="shared" si="13"/>
        <v/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">
        <v>176</v>
      </c>
      <c r="BO36" s="199"/>
      <c r="BP36" s="200"/>
      <c r="BQ36" s="167" t="s">
        <v>127</v>
      </c>
      <c r="BR36" s="168"/>
      <c r="BS36" s="180"/>
      <c r="BT36" s="181" t="s">
        <v>172</v>
      </c>
      <c r="BU36" s="171">
        <f>((HS.1+10)*2)/1000</f>
        <v>5.0599999999999996</v>
      </c>
      <c r="BV36" s="172">
        <f t="shared" si="10"/>
        <v>5.0599999999999996</v>
      </c>
      <c r="BW36" s="212" t="s">
        <v>124</v>
      </c>
      <c r="BX36" s="184" t="s">
        <v>7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tr">
        <f t="shared" si="13"/>
        <v/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tr">
        <f t="shared" si="9"/>
        <v>LABEL</v>
      </c>
      <c r="BO37" s="199"/>
      <c r="BP37" s="200"/>
      <c r="BQ37" s="167" t="s">
        <v>128</v>
      </c>
      <c r="BR37" s="168"/>
      <c r="BS37" s="180"/>
      <c r="BT37" s="181" t="s">
        <v>173</v>
      </c>
      <c r="BU37" s="171">
        <v>4</v>
      </c>
      <c r="BV37" s="172">
        <f t="shared" si="10"/>
        <v>4</v>
      </c>
      <c r="BW37" s="212"/>
      <c r="BX37" s="184" t="s">
        <v>129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tr">
        <f t="shared" si="13"/>
        <v/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9"/>
        <v>SCREW</v>
      </c>
      <c r="BO38" s="199"/>
      <c r="BP38" s="200"/>
      <c r="BQ38" s="167" t="s">
        <v>130</v>
      </c>
      <c r="BR38" s="168"/>
      <c r="BS38" s="180"/>
      <c r="BT38" s="181" t="s">
        <v>173</v>
      </c>
      <c r="BU38" s="171">
        <v>4</v>
      </c>
      <c r="BV38" s="172">
        <f t="shared" si="10"/>
        <v>4</v>
      </c>
      <c r="BW38" s="212"/>
      <c r="BX38" s="184" t="s">
        <v>7</v>
      </c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tr">
        <f t="shared" si="13"/>
        <v/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9"/>
        <v>SCREW</v>
      </c>
      <c r="BO39" s="199"/>
      <c r="BP39" s="200"/>
      <c r="BQ39" s="167" t="s">
        <v>131</v>
      </c>
      <c r="BR39" s="168"/>
      <c r="BS39" s="180"/>
      <c r="BT39" s="181" t="s">
        <v>173</v>
      </c>
      <c r="BU39" s="171">
        <v>4</v>
      </c>
      <c r="BV39" s="172">
        <f t="shared" si="10"/>
        <v>4</v>
      </c>
      <c r="BW39" s="212"/>
      <c r="BX39" s="184" t="s">
        <v>177</v>
      </c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tr">
        <f t="shared" si="13"/>
        <v/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9"/>
        <v>SCREW</v>
      </c>
      <c r="BO40" s="199"/>
      <c r="BP40" s="200"/>
      <c r="BQ40" s="167" t="s">
        <v>132</v>
      </c>
      <c r="BR40" s="168"/>
      <c r="BS40" s="180"/>
      <c r="BT40" s="181" t="s">
        <v>173</v>
      </c>
      <c r="BU40" s="182">
        <v>16</v>
      </c>
      <c r="BV40" s="172">
        <f t="shared" si="10"/>
        <v>16</v>
      </c>
      <c r="BW40" s="183"/>
      <c r="BX40" s="184" t="s">
        <v>7</v>
      </c>
      <c r="BY40" s="185"/>
      <c r="BZ40" s="186"/>
      <c r="CA40" s="187"/>
      <c r="CB40" s="188" t="s">
        <v>101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tr">
        <f t="shared" si="13"/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>HOLE CAP</v>
      </c>
      <c r="BO41" s="199"/>
      <c r="BP41" s="200"/>
      <c r="BQ41" s="167" t="s">
        <v>111</v>
      </c>
      <c r="BR41" s="168"/>
      <c r="BS41" s="180"/>
      <c r="BT41" s="181" t="s">
        <v>174</v>
      </c>
      <c r="BU41" s="182">
        <v>12</v>
      </c>
      <c r="BV41" s="172">
        <f t="shared" si="10"/>
        <v>12</v>
      </c>
      <c r="BW41" s="183"/>
      <c r="BX41" s="184" t="s">
        <v>7</v>
      </c>
      <c r="BY41" s="185"/>
      <c r="BZ41" s="186"/>
      <c r="CA41" s="187"/>
      <c r="CB41" s="188" t="s">
        <v>101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tr">
        <f t="shared" si="13"/>
        <v/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>GASKET</v>
      </c>
      <c r="BO42" s="199"/>
      <c r="BP42" s="200"/>
      <c r="BQ42" s="167" t="str">
        <f>IF(GTH=5,"K-25041",IF(GTH=6,"9K-20765",IF(GTH=8,"9K-20766","")))</f>
        <v>K-25041</v>
      </c>
      <c r="BR42" s="168"/>
      <c r="BS42" s="180"/>
      <c r="BT42" s="181" t="s">
        <v>172</v>
      </c>
      <c r="BU42" s="182">
        <f>((2*WS.1)+(8*HS.1)-328)/1000</f>
        <v>29.352</v>
      </c>
      <c r="BV42" s="172">
        <f t="shared" si="10"/>
        <v>29.352</v>
      </c>
      <c r="BW42" s="183" t="s">
        <v>124</v>
      </c>
      <c r="BX42" s="184"/>
      <c r="BY42" s="185"/>
      <c r="BZ42" s="186"/>
      <c r="CA42" s="187"/>
      <c r="CB42" s="188" t="s">
        <v>101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134</v>
      </c>
      <c r="C43" s="240"/>
      <c r="D43" s="240"/>
      <c r="E43" s="240"/>
      <c r="F43" s="241"/>
      <c r="G43" s="242"/>
      <c r="H43" s="243"/>
      <c r="I43" s="233"/>
      <c r="J43" s="244" t="s">
        <v>135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tr">
        <f t="shared" si="13"/>
        <v/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tr">
        <f t="shared" si="9"/>
        <v>STOPPER</v>
      </c>
      <c r="BO43" s="199"/>
      <c r="BP43" s="200"/>
      <c r="BQ43" s="167" t="s">
        <v>136</v>
      </c>
      <c r="BR43" s="168"/>
      <c r="BS43" s="180"/>
      <c r="BT43" s="181" t="s">
        <v>175</v>
      </c>
      <c r="BU43" s="182">
        <v>4</v>
      </c>
      <c r="BV43" s="172">
        <f t="shared" si="10"/>
        <v>4</v>
      </c>
      <c r="BW43" s="183"/>
      <c r="BX43" s="250"/>
      <c r="BY43" s="185"/>
      <c r="BZ43" s="186"/>
      <c r="CA43" s="187"/>
      <c r="CB43" s="188" t="s">
        <v>101</v>
      </c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137</v>
      </c>
      <c r="C44" s="335" t="s">
        <v>138</v>
      </c>
      <c r="D44" s="336"/>
      <c r="E44" s="337"/>
      <c r="F44" s="335" t="s">
        <v>139</v>
      </c>
      <c r="G44" s="336"/>
      <c r="H44" s="337"/>
      <c r="I44" s="252"/>
      <c r="J44" s="253" t="s">
        <v>137</v>
      </c>
      <c r="K44" s="335" t="s">
        <v>138</v>
      </c>
      <c r="L44" s="336"/>
      <c r="M44" s="336"/>
      <c r="N44" s="337"/>
      <c r="O44" s="253" t="s">
        <v>140</v>
      </c>
      <c r="P44" s="254" t="s">
        <v>137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tr">
        <f t="shared" si="13"/>
        <v/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tr">
        <f t="shared" ref="BT22:BT57" si="15">IF(BQ44&gt;"",VLOOKUP(BQ44&amp;$M$10,PART_MASTER,3,FALSE),"")</f>
        <v/>
      </c>
      <c r="BU44" s="182"/>
      <c r="BV44" s="172" t="str">
        <f t="shared" si="10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141</v>
      </c>
      <c r="D45" s="257"/>
      <c r="E45" s="257"/>
      <c r="F45" s="258"/>
      <c r="G45" s="259"/>
      <c r="H45" s="260"/>
      <c r="I45" s="261"/>
      <c r="J45" s="262">
        <v>1</v>
      </c>
      <c r="K45" s="263" t="s">
        <v>142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tr">
        <f t="shared" si="13"/>
        <v/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tr">
        <f t="shared" si="15"/>
        <v/>
      </c>
      <c r="BU45" s="182"/>
      <c r="BV45" s="172" t="str">
        <f t="shared" si="10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143</v>
      </c>
      <c r="D46" s="259"/>
      <c r="E46" s="259"/>
      <c r="F46" s="263"/>
      <c r="G46" s="259"/>
      <c r="H46" s="260"/>
      <c r="I46" s="261"/>
      <c r="J46" s="262">
        <v>2</v>
      </c>
      <c r="K46" s="263" t="s">
        <v>144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tr">
        <f t="shared" si="13"/>
        <v/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tr">
        <f t="shared" si="15"/>
        <v/>
      </c>
      <c r="BU46" s="182"/>
      <c r="BV46" s="172" t="str">
        <f t="shared" si="10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145</v>
      </c>
      <c r="D47" s="259"/>
      <c r="E47" s="259"/>
      <c r="F47" s="263"/>
      <c r="G47" s="259"/>
      <c r="H47" s="260"/>
      <c r="I47" s="268"/>
      <c r="J47" s="262">
        <v>3</v>
      </c>
      <c r="K47" s="263" t="s">
        <v>146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tr">
        <f t="shared" si="13"/>
        <v/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tr">
        <f t="shared" si="15"/>
        <v/>
      </c>
      <c r="BU47" s="182"/>
      <c r="BV47" s="172" t="str">
        <f t="shared" si="10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147</v>
      </c>
      <c r="D48" s="259"/>
      <c r="E48" s="259"/>
      <c r="F48" s="263"/>
      <c r="G48" s="259"/>
      <c r="H48" s="260"/>
      <c r="I48" s="268"/>
      <c r="J48" s="262">
        <v>4</v>
      </c>
      <c r="K48" s="263" t="s">
        <v>148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149</v>
      </c>
      <c r="AD48" s="273"/>
      <c r="AE48" s="274" t="s">
        <v>150</v>
      </c>
      <c r="AF48" s="275">
        <f>SUM(AF22:AF47)</f>
        <v>12.051621999999998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149</v>
      </c>
      <c r="AT48" s="273"/>
      <c r="AU48" s="274" t="s">
        <v>150</v>
      </c>
      <c r="AV48" s="275">
        <f>SUM(AV22:AV47)</f>
        <v>17.306278000000002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tr">
        <f t="shared" si="15"/>
        <v/>
      </c>
      <c r="BU48" s="182"/>
      <c r="BV48" s="172" t="str">
        <f t="shared" si="10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151</v>
      </c>
      <c r="D49" s="259"/>
      <c r="E49" s="259"/>
      <c r="F49" s="263"/>
      <c r="G49" s="259"/>
      <c r="H49" s="260"/>
      <c r="I49" s="268"/>
      <c r="J49" s="262">
        <v>5</v>
      </c>
      <c r="K49" s="263" t="s">
        <v>152</v>
      </c>
      <c r="L49" s="259"/>
      <c r="M49" s="259"/>
      <c r="N49" s="264"/>
      <c r="O49" s="265"/>
      <c r="P49" s="266"/>
      <c r="Q49" s="4"/>
      <c r="R49" s="276" t="s">
        <v>153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154</v>
      </c>
      <c r="AE49" s="280" t="s">
        <v>155</v>
      </c>
      <c r="AF49" s="281">
        <f>AF48*0.986</f>
        <v>11.882899291999998</v>
      </c>
      <c r="AG49" s="4"/>
      <c r="AH49" s="276" t="s">
        <v>153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154</v>
      </c>
      <c r="AU49" s="280" t="s">
        <v>155</v>
      </c>
      <c r="AV49" s="281">
        <f>AV48*0.986</f>
        <v>17.063990108000002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tr">
        <f t="shared" si="15"/>
        <v/>
      </c>
      <c r="BU49" s="182"/>
      <c r="BV49" s="172" t="str">
        <f t="shared" si="10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156</v>
      </c>
      <c r="D50" s="259"/>
      <c r="E50" s="259"/>
      <c r="F50" s="263"/>
      <c r="G50" s="259"/>
      <c r="H50" s="260"/>
      <c r="I50" s="268"/>
      <c r="J50" s="262">
        <v>6</v>
      </c>
      <c r="K50" s="263" t="s">
        <v>157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158</v>
      </c>
      <c r="AF50" s="281">
        <f>AF48*0.974*0.986</f>
        <v>11.573943910407998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158</v>
      </c>
      <c r="AV50" s="281">
        <f>AV48*0.974*0.986</f>
        <v>16.620326365192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tr">
        <f t="shared" si="15"/>
        <v/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159</v>
      </c>
      <c r="D51" s="259"/>
      <c r="E51" s="259"/>
      <c r="F51" s="263"/>
      <c r="G51" s="259"/>
      <c r="H51" s="260"/>
      <c r="I51" s="268"/>
      <c r="J51" s="262">
        <v>7</v>
      </c>
      <c r="K51" s="263" t="s">
        <v>160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tr">
        <f t="shared" si="15"/>
        <v/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161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tr">
        <f t="shared" si="15"/>
        <v/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163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tr">
        <f t="shared" si="15"/>
        <v/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164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tr">
        <f t="shared" si="15"/>
        <v/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165</v>
      </c>
      <c r="C55" s="268"/>
      <c r="D55" s="268"/>
      <c r="E55" s="268"/>
      <c r="F55" s="268"/>
      <c r="G55" s="268"/>
      <c r="H55" s="268"/>
      <c r="I55" s="268"/>
      <c r="J55" s="301" t="s">
        <v>166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tr">
        <f t="shared" si="15"/>
        <v/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167</v>
      </c>
      <c r="K56" s="306"/>
      <c r="L56" s="306"/>
      <c r="M56" s="306"/>
      <c r="N56" s="307"/>
      <c r="O56" s="308" t="s">
        <v>168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tr">
        <f t="shared" si="15"/>
        <v/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tr">
        <f t="shared" si="15"/>
        <v/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tr">
        <f t="shared" ref="BT58:BT60" si="16">IF(BQ58&gt;"",VLOOKUP(BQ58&amp;$M$10,PART_MASTER,3,FALSE),"")</f>
        <v/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tr">
        <f t="shared" si="16"/>
        <v/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169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tr">
        <f t="shared" si="16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170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170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170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170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170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2024-07-29T08:15:01Z</dcterms:created>
  <dcterms:modified xsi:type="dcterms:W3CDTF">2024-08-07T09:27:25Z</dcterms:modified>
</cp:coreProperties>
</file>