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7AEDF5E5-EFB6-4053-B95A-1FBF1F600FC7}" xr6:coauthVersionLast="47" xr6:coauthVersionMax="47" xr10:uidLastSave="{00000000-0000-0000-0000-000000000000}"/>
  <bookViews>
    <workbookView xWindow="-108" yWindow="-108" windowWidth="23256" windowHeight="12456" xr2:uid="{F924BB5B-F8F1-4371-9C70-8843723EEB35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U30" i="1"/>
  <c r="BV30" i="1" s="1"/>
  <c r="BU38" i="1"/>
  <c r="BV38" i="1" s="1"/>
  <c r="BU33" i="1"/>
  <c r="BU31" i="1"/>
  <c r="BV31" i="1" s="1"/>
  <c r="BU29" i="1"/>
  <c r="BV29" i="1" s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E27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F43" i="1"/>
  <c r="BD43" i="1"/>
  <c r="AX43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F41" i="1"/>
  <c r="BD41" i="1"/>
  <c r="AX41" i="1"/>
  <c r="AV41" i="1"/>
  <c r="AU41" i="1"/>
  <c r="AP41" i="1"/>
  <c r="AL41" i="1"/>
  <c r="AF41" i="1"/>
  <c r="AE41" i="1"/>
  <c r="Z41" i="1"/>
  <c r="V41" i="1"/>
  <c r="BV40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V37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BD32" i="1"/>
  <c r="AX32" i="1"/>
  <c r="AU32" i="1"/>
  <c r="AP32" i="1"/>
  <c r="AL32" i="1"/>
  <c r="AF32" i="1"/>
  <c r="AE32" i="1"/>
  <c r="Z32" i="1"/>
  <c r="V32" i="1"/>
  <c r="BF31" i="1"/>
  <c r="BD31" i="1"/>
  <c r="AX31" i="1"/>
  <c r="AU31" i="1"/>
  <c r="AV31" i="1" s="1"/>
  <c r="AP31" i="1"/>
  <c r="AL31" i="1"/>
  <c r="AF31" i="1"/>
  <c r="AE31" i="1"/>
  <c r="Z31" i="1"/>
  <c r="V31" i="1"/>
  <c r="BF30" i="1"/>
  <c r="BD30" i="1"/>
  <c r="AX30" i="1"/>
  <c r="AU30" i="1"/>
  <c r="AR30" i="1"/>
  <c r="AP30" i="1"/>
  <c r="AL30" i="1"/>
  <c r="AF30" i="1"/>
  <c r="AE30" i="1"/>
  <c r="Z30" i="1"/>
  <c r="V30" i="1"/>
  <c r="BF29" i="1"/>
  <c r="BD29" i="1"/>
  <c r="AX29" i="1"/>
  <c r="AU29" i="1"/>
  <c r="AR29" i="1"/>
  <c r="AP29" i="1"/>
  <c r="AL29" i="1"/>
  <c r="AF29" i="1"/>
  <c r="AE29" i="1"/>
  <c r="Z29" i="1"/>
  <c r="V29" i="1"/>
  <c r="BV28" i="1"/>
  <c r="BF28" i="1"/>
  <c r="BD28" i="1"/>
  <c r="AX28" i="1"/>
  <c r="AU28" i="1"/>
  <c r="AV28" i="1" s="1"/>
  <c r="AR28" i="1"/>
  <c r="AP28" i="1"/>
  <c r="AN28" i="1"/>
  <c r="AL28" i="1"/>
  <c r="AF28" i="1"/>
  <c r="AE28" i="1"/>
  <c r="Z28" i="1"/>
  <c r="V28" i="1"/>
  <c r="BV27" i="1"/>
  <c r="BF27" i="1"/>
  <c r="AX27" i="1"/>
  <c r="AU27" i="1"/>
  <c r="AR27" i="1"/>
  <c r="AP27" i="1"/>
  <c r="AL27" i="1"/>
  <c r="AE27" i="1"/>
  <c r="AF27" i="1" s="1"/>
  <c r="Z27" i="1"/>
  <c r="X27" i="1"/>
  <c r="V27" i="1"/>
  <c r="BV26" i="1"/>
  <c r="BF26" i="1"/>
  <c r="AX26" i="1"/>
  <c r="AU26" i="1"/>
  <c r="AP26" i="1"/>
  <c r="AL26" i="1"/>
  <c r="AE26" i="1"/>
  <c r="AF26" i="1" s="1"/>
  <c r="Z26" i="1"/>
  <c r="X26" i="1"/>
  <c r="V26" i="1"/>
  <c r="BV25" i="1"/>
  <c r="BF25" i="1"/>
  <c r="AX25" i="1"/>
  <c r="AU25" i="1"/>
  <c r="AP25" i="1"/>
  <c r="AL25" i="1"/>
  <c r="AE25" i="1"/>
  <c r="AF25" i="1" s="1"/>
  <c r="Z25" i="1"/>
  <c r="X25" i="1"/>
  <c r="V25" i="1"/>
  <c r="BV24" i="1"/>
  <c r="BF24" i="1"/>
  <c r="AX24" i="1"/>
  <c r="AU24" i="1"/>
  <c r="AP24" i="1"/>
  <c r="AL24" i="1"/>
  <c r="AE24" i="1"/>
  <c r="AF24" i="1" s="1"/>
  <c r="Z24" i="1"/>
  <c r="X24" i="1"/>
  <c r="V24" i="1"/>
  <c r="BV23" i="1"/>
  <c r="BF23" i="1"/>
  <c r="AX23" i="1"/>
  <c r="AU23" i="1"/>
  <c r="AP23" i="1"/>
  <c r="AL23" i="1"/>
  <c r="AE23" i="1"/>
  <c r="AF23" i="1" s="1"/>
  <c r="Z23" i="1"/>
  <c r="X23" i="1"/>
  <c r="V23" i="1"/>
  <c r="BV22" i="1"/>
  <c r="BF22" i="1"/>
  <c r="AX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X14" i="1"/>
  <c r="BV14" i="1"/>
  <c r="BT14" i="1"/>
  <c r="BQ14" i="1"/>
  <c r="BO14" i="1"/>
  <c r="BL14" i="1"/>
  <c r="BJ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BV33" i="1" s="1"/>
  <c r="L14" i="1"/>
  <c r="AN31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A10" i="1"/>
  <c r="AU10" i="1"/>
  <c r="AE10" i="1"/>
  <c r="M10" i="1"/>
  <c r="K10" i="1"/>
  <c r="BG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E3" i="1"/>
  <c r="U3" i="1" s="1"/>
  <c r="AF2" i="1"/>
  <c r="AV2" i="1" s="1"/>
  <c r="BL2" i="1" s="1"/>
  <c r="CB2" i="1" s="1"/>
  <c r="AU4" i="1" l="1"/>
  <c r="AF48" i="1"/>
  <c r="BV36" i="1"/>
  <c r="BK4" i="1"/>
  <c r="BG9" i="1"/>
  <c r="AD12" i="1"/>
  <c r="AT14" i="1"/>
  <c r="AQ10" i="1"/>
  <c r="BZ12" i="1"/>
  <c r="AB14" i="1"/>
  <c r="BV35" i="1"/>
  <c r="BV42" i="1"/>
  <c r="BJ12" i="1"/>
  <c r="BV34" i="1"/>
  <c r="AA10" i="1"/>
  <c r="BW10" i="1"/>
  <c r="AE4" i="1"/>
  <c r="AD14" i="1"/>
  <c r="AN22" i="1"/>
  <c r="AV22" i="1" s="1"/>
  <c r="AN23" i="1"/>
  <c r="AV23" i="1" s="1"/>
  <c r="AN24" i="1"/>
  <c r="AV24" i="1" s="1"/>
  <c r="AN25" i="1"/>
  <c r="AV25" i="1" s="1"/>
  <c r="AN26" i="1"/>
  <c r="AV26" i="1" s="1"/>
  <c r="AN27" i="1"/>
  <c r="AV27" i="1" s="1"/>
  <c r="AN32" i="1"/>
  <c r="AV32" i="1" s="1"/>
  <c r="AN29" i="1"/>
  <c r="AV29" i="1" s="1"/>
  <c r="AN30" i="1"/>
  <c r="AV30" i="1" s="1"/>
  <c r="AV48" i="1" l="1"/>
  <c r="AV50" i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A939E88-D5FC-4CCD-B246-FE71BD54F8E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C55EFE9-9313-434E-9211-2E7F0B808CE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F6CCDE4-8EEF-4D96-891B-DF992D93BB1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<sst xmlns="http://schemas.openxmlformats.org/spreadsheetml/2006/main" count="586" uniqueCount="190">
  <si>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</si>
  <si>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</si>
  <si>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</si>
  <si>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</si>
  <si>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</si>
  <si>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</si>
  <si>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</si>
  <si>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</si>
  <si>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</si>
  <si>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</si>
  <si>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</si>
  <si>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</si>
  <si>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</si>
  <si>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</si>
  <si>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</si>
  <si>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</si>
  <si>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</si>
  <si>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</si>
  <si>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</si>
  <si>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</si>
  <si>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</si>
  <si>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U9H-21001</t>
  </si>
  <si>
    <t>Unit Code</t>
  </si>
  <si>
    <r>
      <t xml:space="preserve">H </t>
    </r>
    <r>
      <rPr>
        <sz val="10"/>
        <rFont val="Arial"/>
        <family val="2"/>
      </rPr>
      <t>item</t>
    </r>
  </si>
  <si>
    <t>U9H-30003</t>
  </si>
  <si>
    <t>52H4-C/C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</si>
  <si>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</si>
  <si>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</si>
  <si>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</si>
  <si>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</si>
  <si>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</si>
  <si>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</si>
  <si>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</si>
  <si>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</si>
  <si>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</si>
  <si>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</si>
  <si>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</si>
  <si>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</si>
  <si>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</si>
  <si>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</si>
  <si>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</si>
  <si>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</si>
  <si>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</si>
  <si>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</si>
  <si>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</si>
  <si>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</si>
  <si>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</si>
  <si>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</si>
  <si>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</si>
  <si>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</si>
  <si>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</si>
  <si>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</si>
  <si>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</si>
  <si>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</si>
  <si>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</si>
  <si>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</si>
  <si>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</si>
  <si>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</si>
  <si>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</si>
  <si>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</si>
  <si>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</si>
  <si>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</si>
  <si>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</si>
  <si>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</si>
  <si>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</si>
  <si>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</si>
  <si>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</si>
  <si>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</si>
  <si>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</si>
  <si>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</si>
  <si>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</si>
  <si>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</si>
  <si>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</si>
  <si>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</si>
  <si>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</si>
  <si>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</si>
  <si>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</si>
  <si>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</si>
  <si>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</si>
  <si>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</si>
  <si>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</si>
  <si>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</si>
  <si>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</si>
  <si>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</si>
  <si>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</si>
  <si>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5K-11484Y</t>
  </si>
  <si>
    <t>SILL</t>
  </si>
  <si>
    <t>9K-87106</t>
  </si>
  <si>
    <t>INSIDE TOP RAIL (l)</t>
  </si>
  <si>
    <t>9K-20853</t>
  </si>
  <si>
    <t>5K-11485Y</t>
  </si>
  <si>
    <t>JAMB(L)</t>
  </si>
  <si>
    <t>9K-87107</t>
  </si>
  <si>
    <t>BOTTOM RAIL</t>
  </si>
  <si>
    <t>9K-87111</t>
  </si>
  <si>
    <t>5K-12066</t>
  </si>
  <si>
    <t>JAMB(R)</t>
  </si>
  <si>
    <t>STILE(L)</t>
  </si>
  <si>
    <t>9K-87139</t>
  </si>
  <si>
    <t>BM-4025G</t>
  </si>
  <si>
    <t>FOR ASS</t>
  </si>
  <si>
    <t>S</t>
  </si>
  <si>
    <t>9K-11109</t>
  </si>
  <si>
    <t>ATTACHMENT</t>
  </si>
  <si>
    <t>9K-87109</t>
  </si>
  <si>
    <t>STILE(R)</t>
  </si>
  <si>
    <t>9K-10840</t>
  </si>
  <si>
    <t>9K-30231</t>
  </si>
  <si>
    <t>9K-87110</t>
  </si>
  <si>
    <t>INTERLOCKING STILE</t>
  </si>
  <si>
    <t>9K-87112</t>
  </si>
  <si>
    <t>9K-30171</t>
  </si>
  <si>
    <t>5K-12950</t>
  </si>
  <si>
    <t>9K-30232</t>
  </si>
  <si>
    <t>9K-30195</t>
  </si>
  <si>
    <t>9K-30233</t>
  </si>
  <si>
    <t>MEETING STILE</t>
  </si>
  <si>
    <t>9K-87113</t>
  </si>
  <si>
    <t>9K-30198</t>
  </si>
  <si>
    <t>9K-87140</t>
  </si>
  <si>
    <t>9K-30186</t>
  </si>
  <si>
    <t>2K-26921</t>
  </si>
  <si>
    <t>M</t>
  </si>
  <si>
    <t>9K-20762</t>
  </si>
  <si>
    <t>9K-20682</t>
  </si>
  <si>
    <t>K-20514</t>
  </si>
  <si>
    <t>9K-30246</t>
  </si>
  <si>
    <t>FOR INTERLOCK STILE</t>
  </si>
  <si>
    <t>MS-4005</t>
  </si>
  <si>
    <t>EF-4020D7</t>
  </si>
  <si>
    <t>FOR CRESCENT</t>
  </si>
  <si>
    <t>9K-11395</t>
  </si>
  <si>
    <t>C5c</t>
  </si>
  <si>
    <t xml:space="preserve"> CHECK SIZE FRAME</t>
  </si>
  <si>
    <t xml:space="preserve"> VISUAL CHECK ( √ )</t>
  </si>
  <si>
    <t>9K-30192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</si>
  <si>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</si>
  <si>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</si>
  <si>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</si>
  <si>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</si>
  <si>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</si>
  <si>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</si>
  <si>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</si>
  <si>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</si>
  <si>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</si>
  <si>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</si>
  <si>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</si>
  <si>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</si>
  <si>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</si>
  <si>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</si>
  <si>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</si>
  <si>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</si>
  <si>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</si>
  <si>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</si>
  <si>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</si>
  <si>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</si>
  <si>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</si>
  <si>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</si>
  <si>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</si>
  <si>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</si>
  <si>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</si>
  <si>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</si>
  <si>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</si>
  <si>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</si>
  <si>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</si>
  <si>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</si>
  <si>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</si>
  <si>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</si>
  <si>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</si>
  <si>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</si>
  <si>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9K-30241</t>
  </si>
  <si>
    <t>YK</t>
  </si>
  <si>
    <t>YS</t>
  </si>
  <si>
    <t>YW</t>
  </si>
  <si>
    <t>BACK PLATE</t>
  </si>
  <si>
    <t>CAP</t>
  </si>
  <si>
    <t>ROLLER</t>
  </si>
  <si>
    <t>SPECER</t>
  </si>
  <si>
    <t>GUIDER</t>
  </si>
  <si>
    <t>PULLING BLOCK</t>
  </si>
  <si>
    <t>AT MATERIAL</t>
  </si>
  <si>
    <t>SCREW</t>
  </si>
  <si>
    <t>HOLE CAP</t>
  </si>
  <si>
    <t>GASKET</t>
  </si>
  <si>
    <t>STOPPER</t>
  </si>
  <si>
    <t>LABEL</t>
  </si>
  <si>
    <t>CRESCENT</t>
  </si>
  <si>
    <t>CRESCENT CATCH</t>
  </si>
  <si>
    <t>P-10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</si>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</sst>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6409FF08-6394-45DB-BC0E-1B9949ED59F3}"/>
    <cellStyle name="Normal" xfId="0" builtinId="0"/>
    <cellStyle name="Normal 2" xfId="1" xr:uid="{E070FAE5-1101-4C48-BEA6-A2A7249BF49B}"/>
    <cellStyle name="Normal 5" xfId="3" xr:uid="{2C81CD75-0BF0-4082-97EA-3FF3A94F2F54}"/>
    <cellStyle name="Normal_COBA 2" xfId="4" xr:uid="{D99C9ED7-DD8A-4101-AFB6-4F44F8A4A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41780E9-B4A7-45CC-B699-9A1038C1C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57F2226-88A8-4E06-B250-00D3C93E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7543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503466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ACD27BA-9D57-46A6-BDF4-C672F98A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66745" y="104775"/>
          <a:ext cx="1583601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CA0D6CD-2442-41DC-A938-08513F602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76F3D51-357C-4669-82F2-BE6F9D7C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962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4B2327C-0425-4287-9EDA-C65046ED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074FD96-4870-4B51-B024-F0A5D61A7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20669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</xdr:colOff>
      <xdr:row>22</xdr:row>
      <xdr:rowOff>1</xdr:rowOff>
    </xdr:from>
    <xdr:to>
      <xdr:col>14</xdr:col>
      <xdr:colOff>238789</xdr:colOff>
      <xdr:row>36</xdr:row>
      <xdr:rowOff>66676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A910C5E-5C38-4E57-A6D2-404286099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1" y="4107181"/>
          <a:ext cx="4269768" cy="2726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FCC0-68DB-4578-A719-0B918A83595D}">
  <sheetPr>
    <tabColor indexed="14"/>
    <pageSetUpPr fitToPage="1"/>
  </sheetPr>
  <dimension ref="B1:DP68"/>
  <sheetViews>
    <sheetView showGridLines="0" tabSelected="1" topLeftCell="A6" zoomScale="70" zoomScaleNormal="70" zoomScaleSheetLayoutView="70" workbookViewId="0">
      <selection activeCell="CB64" sqref="CB6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6640625" style="277" customWidth="1"/>
    <col min="13" max="13" width="7.88671875" style="277" customWidth="1"/>
    <col min="14" max="14" width="9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45512.445845717593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45512.445845717593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45512.445845717593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45512.445845717593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45512.445845717593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23">
        <f>W</f>
        <v>4800</v>
      </c>
      <c r="L9" s="32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23">
        <f>$K$9</f>
        <v>4800</v>
      </c>
      <c r="AB9" s="325"/>
      <c r="AC9" s="65"/>
      <c r="AD9" s="61"/>
      <c r="AE9" s="59" t="str">
        <f>IF($O$9&gt;0,$O$9,"")</f>
        <v>U9H-21001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23">
        <f>$K$9</f>
        <v>4800</v>
      </c>
      <c r="AR9" s="325"/>
      <c r="AS9" s="65"/>
      <c r="AT9" s="61"/>
      <c r="AU9" s="59" t="str">
        <f>IF($O$9&gt;0,$O$9,"")</f>
        <v>U9H-21001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23">
        <f>$K$9</f>
        <v>4800</v>
      </c>
      <c r="BH9" s="325"/>
      <c r="BI9" s="65"/>
      <c r="BJ9" s="61"/>
      <c r="BK9" s="59" t="str">
        <f>IF($O$9&gt;0,$O$9,"")</f>
        <v>U9H-21001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23">
        <f>$K$9</f>
        <v>4800</v>
      </c>
      <c r="BX9" s="325"/>
      <c r="BY9" s="65"/>
      <c r="BZ9" s="61"/>
      <c r="CA9" s="59" t="str">
        <f>IF($O$9&gt;0,$O$9,"")</f>
        <v>U9H-21001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23">
        <f>H</f>
        <v>2800</v>
      </c>
      <c r="L10" s="324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23">
        <f>$K$10</f>
        <v>2800</v>
      </c>
      <c r="AB10" s="325"/>
      <c r="AC10" s="65"/>
      <c r="AD10" s="61"/>
      <c r="AE10" s="59" t="str">
        <f>IF($O$10&gt;0,$O$10,"")</f>
        <v>U9H-30003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23">
        <f>$K$10</f>
        <v>2800</v>
      </c>
      <c r="AR10" s="325"/>
      <c r="AS10" s="65"/>
      <c r="AT10" s="61"/>
      <c r="AU10" s="59" t="str">
        <f>IF($O$10&gt;0,$O$10,"")</f>
        <v>U9H-30003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23">
        <f>$K$10</f>
        <v>2800</v>
      </c>
      <c r="BH10" s="325"/>
      <c r="BI10" s="65"/>
      <c r="BJ10" s="61"/>
      <c r="BK10" s="59" t="str">
        <f>IF($O$10&gt;0,$O$10,"")</f>
        <v>U9H-30003</v>
      </c>
      <c r="BL10" s="60"/>
      <c r="BM10" s="3"/>
      <c r="BN10" s="53" t="s">
        <v>22</v>
      </c>
      <c r="BO10" s="36"/>
      <c r="BP10" s="37"/>
      <c r="BQ10" s="54" t="str">
        <f>IF($AK$10&gt;0,$AK$10,"")</f>
        <v>52H4-C/C</v>
      </c>
      <c r="BR10" s="36"/>
      <c r="BS10" s="55"/>
      <c r="BT10" s="62"/>
      <c r="BU10" s="62"/>
      <c r="BV10" s="66" t="s">
        <v>23</v>
      </c>
      <c r="BW10" s="323">
        <f>$K$10</f>
        <v>2800</v>
      </c>
      <c r="BX10" s="325"/>
      <c r="BY10" s="65"/>
      <c r="BZ10" s="61"/>
      <c r="CA10" s="59" t="str">
        <f>IF($O$10&gt;0,$O$10,"")</f>
        <v>U9H-30003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4800</v>
      </c>
      <c r="F11" s="24"/>
      <c r="G11" s="72"/>
      <c r="H11" s="326" t="s">
        <v>27</v>
      </c>
      <c r="I11" s="326">
        <v>1</v>
      </c>
      <c r="J11" s="326" t="s">
        <v>28</v>
      </c>
      <c r="K11" s="328" t="s">
        <v>29</v>
      </c>
      <c r="L11" s="329"/>
      <c r="M11" s="332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4800</v>
      </c>
      <c r="V11" s="24"/>
      <c r="W11" s="72"/>
      <c r="X11" s="326" t="s">
        <v>27</v>
      </c>
      <c r="Y11" s="326">
        <f>IF($I$11&gt;0,$I$11,"")</f>
        <v>1</v>
      </c>
      <c r="Z11" s="326" t="s">
        <v>28</v>
      </c>
      <c r="AA11" s="328" t="str">
        <f>IF($K$11&gt;0,$K$11,"")</f>
        <v>TT01</v>
      </c>
      <c r="AB11" s="329"/>
      <c r="AC11" s="332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4800</v>
      </c>
      <c r="AL11" s="24"/>
      <c r="AM11" s="72"/>
      <c r="AN11" s="326" t="s">
        <v>27</v>
      </c>
      <c r="AO11" s="326">
        <f>IF($I$11&gt;0,$I$11,"")</f>
        <v>1</v>
      </c>
      <c r="AP11" s="326" t="s">
        <v>28</v>
      </c>
      <c r="AQ11" s="328" t="str">
        <f>IF($K$11&gt;0,$K$11,"")</f>
        <v>TT01</v>
      </c>
      <c r="AR11" s="329"/>
      <c r="AS11" s="332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4800</v>
      </c>
      <c r="BB11" s="24"/>
      <c r="BC11" s="72"/>
      <c r="BD11" s="326" t="s">
        <v>27</v>
      </c>
      <c r="BE11" s="326">
        <f>IF($I$11&gt;0,$I$11,"")</f>
        <v>1</v>
      </c>
      <c r="BF11" s="326" t="s">
        <v>28</v>
      </c>
      <c r="BG11" s="328" t="str">
        <f>IF($K$11&gt;0,$K$11,"")</f>
        <v>TT01</v>
      </c>
      <c r="BH11" s="329"/>
      <c r="BI11" s="332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4800</v>
      </c>
      <c r="BR11" s="24"/>
      <c r="BS11" s="72"/>
      <c r="BT11" s="326" t="s">
        <v>27</v>
      </c>
      <c r="BU11" s="326">
        <f>IF($I$11&gt;0,$I$11,"")</f>
        <v>1</v>
      </c>
      <c r="BV11" s="326" t="s">
        <v>28</v>
      </c>
      <c r="BW11" s="328" t="str">
        <f>IF($K$11&gt;0,$K$11,"")</f>
        <v>TT01</v>
      </c>
      <c r="BX11" s="329"/>
      <c r="BY11" s="332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2800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2800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2800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2800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2800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2720</v>
      </c>
      <c r="M14" s="95" t="s">
        <v>38</v>
      </c>
      <c r="N14" s="97">
        <f>W-40</f>
        <v>4760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2720</v>
      </c>
      <c r="AC14" s="95" t="s">
        <v>38</v>
      </c>
      <c r="AD14" s="102">
        <f>IF($N$14&gt;0,$N$14,"")</f>
        <v>4760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2720</v>
      </c>
      <c r="AS14" s="95" t="s">
        <v>38</v>
      </c>
      <c r="AT14" s="102">
        <f>IF($N$14&gt;0,$N$14,"")</f>
        <v>4760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2720</v>
      </c>
      <c r="BI14" s="95" t="s">
        <v>38</v>
      </c>
      <c r="BJ14" s="102">
        <f>IF($N$14&gt;0,$N$14,"")</f>
        <v>4760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2720</v>
      </c>
      <c r="BY14" s="95" t="s">
        <v>38</v>
      </c>
      <c r="BZ14" s="102">
        <f>IF($N$14&gt;0,$N$14,"")</f>
        <v>4760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4779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3.469554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1122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0.86842799999999998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171</v>
      </c>
      <c r="BE22" s="171">
        <v>1</v>
      </c>
      <c r="BF22" s="172">
        <f t="shared" ref="BF22:BF60" si="8">IF(BE22="","",Q*BE22)</f>
        <v>1</v>
      </c>
      <c r="BG22" s="183"/>
      <c r="BH22" s="184" t="s">
        <v>7</v>
      </c>
      <c r="BI22" s="185"/>
      <c r="BJ22" s="186"/>
      <c r="BK22" s="205"/>
      <c r="BL22" s="188" t="s">
        <v>7</v>
      </c>
      <c r="BM22" s="4"/>
      <c r="BN22" s="198" t="s">
        <v>174</v>
      </c>
      <c r="BO22" s="199"/>
      <c r="BP22" s="200"/>
      <c r="BQ22" s="204" t="s">
        <v>102</v>
      </c>
      <c r="BR22" s="168"/>
      <c r="BS22" s="180"/>
      <c r="BT22" s="181" t="s">
        <v>172</v>
      </c>
      <c r="BU22" s="171">
        <v>2</v>
      </c>
      <c r="BV22" s="172">
        <f t="shared" ref="BV22:BV44" si="9">IF(BU22="","",Q*BU22)</f>
        <v>2</v>
      </c>
      <c r="BW22" s="183" t="s">
        <v>7</v>
      </c>
      <c r="BX22" s="184" t="s">
        <v>7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W-21</f>
        <v>4779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3.6033659999999998</v>
      </c>
      <c r="AG23" s="4"/>
      <c r="AH23" s="198" t="s">
        <v>88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1122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0.28947600000000001</v>
      </c>
      <c r="AW23" s="4"/>
      <c r="AX23" s="198" t="str">
        <f t="shared" si="7"/>
        <v>SEALER PAD</v>
      </c>
      <c r="AY23" s="199"/>
      <c r="AZ23" s="200"/>
      <c r="BA23" s="167" t="s">
        <v>89</v>
      </c>
      <c r="BB23" s="168"/>
      <c r="BC23" s="180"/>
      <c r="BD23" s="181" t="s">
        <v>171</v>
      </c>
      <c r="BE23" s="171">
        <v>1</v>
      </c>
      <c r="BF23" s="172">
        <f t="shared" si="8"/>
        <v>1</v>
      </c>
      <c r="BG23" s="183"/>
      <c r="BH23" s="184" t="s">
        <v>7</v>
      </c>
      <c r="BI23" s="185"/>
      <c r="BJ23" s="186"/>
      <c r="BK23" s="205"/>
      <c r="BL23" s="188" t="s">
        <v>7</v>
      </c>
      <c r="BM23" s="4"/>
      <c r="BN23" s="198" t="s">
        <v>175</v>
      </c>
      <c r="BO23" s="199"/>
      <c r="BP23" s="200"/>
      <c r="BQ23" s="167" t="s">
        <v>107</v>
      </c>
      <c r="BR23" s="168"/>
      <c r="BS23" s="180"/>
      <c r="BT23" s="181" t="s">
        <v>173</v>
      </c>
      <c r="BU23" s="171">
        <v>12</v>
      </c>
      <c r="BV23" s="172">
        <f t="shared" si="9"/>
        <v>12</v>
      </c>
      <c r="BW23" s="183" t="s">
        <v>7</v>
      </c>
      <c r="BX23" s="184" t="s">
        <v>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</v>
      </c>
      <c r="X24" s="207">
        <f>H</f>
        <v>2800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0">IF(U24&gt;"",(AE24*X24*Z24)/1000,"")</f>
        <v>1.2964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0</v>
      </c>
      <c r="AN24" s="207">
        <f>(WS.1/4)-68</f>
        <v>1122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1.8311039999999998</v>
      </c>
      <c r="AW24" s="4"/>
      <c r="AX24" s="198" t="str">
        <f t="shared" si="7"/>
        <v>LABEL</v>
      </c>
      <c r="AY24" s="199"/>
      <c r="AZ24" s="200"/>
      <c r="BA24" s="167" t="s">
        <v>170</v>
      </c>
      <c r="BB24" s="168"/>
      <c r="BC24" s="180"/>
      <c r="BD24" s="181" t="s">
        <v>172</v>
      </c>
      <c r="BE24" s="171">
        <v>1</v>
      </c>
      <c r="BF24" s="172">
        <f t="shared" si="8"/>
        <v>1</v>
      </c>
      <c r="BG24" s="183"/>
      <c r="BH24" s="184" t="s">
        <v>7</v>
      </c>
      <c r="BI24" s="185"/>
      <c r="BJ24" s="186"/>
      <c r="BK24" s="187"/>
      <c r="BL24" s="188" t="s">
        <v>7</v>
      </c>
      <c r="BM24" s="4"/>
      <c r="BN24" s="198" t="s">
        <v>176</v>
      </c>
      <c r="BO24" s="199"/>
      <c r="BP24" s="200"/>
      <c r="BQ24" s="167" t="s">
        <v>112</v>
      </c>
      <c r="BR24" s="168"/>
      <c r="BS24" s="180"/>
      <c r="BT24" s="181" t="s">
        <v>172</v>
      </c>
      <c r="BU24" s="171">
        <v>8</v>
      </c>
      <c r="BV24" s="172">
        <f t="shared" si="9"/>
        <v>8</v>
      </c>
      <c r="BW24" s="183" t="s">
        <v>7</v>
      </c>
      <c r="BX24" s="184" t="s">
        <v>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v>2</v>
      </c>
      <c r="X25" s="207">
        <f>H</f>
        <v>2800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0"/>
        <v>1.2964</v>
      </c>
      <c r="AG25" s="4"/>
      <c r="AH25" s="198" t="s">
        <v>97</v>
      </c>
      <c r="AI25" s="199"/>
      <c r="AJ25" s="203"/>
      <c r="AK25" s="167" t="s">
        <v>98</v>
      </c>
      <c r="AL25" s="168" t="str">
        <f t="shared" si="3"/>
        <v>-</v>
      </c>
      <c r="AM25" s="201">
        <v>2</v>
      </c>
      <c r="AN25" s="207">
        <f t="shared" ref="AN25:AN32" si="11">HS.1+10</f>
        <v>2730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1.40049</v>
      </c>
      <c r="AW25" s="4"/>
      <c r="AX25" s="198" t="str">
        <f t="shared" si="7"/>
        <v>SCREW</v>
      </c>
      <c r="AY25" s="199"/>
      <c r="AZ25" s="200"/>
      <c r="BA25" s="167" t="s">
        <v>99</v>
      </c>
      <c r="BB25" s="168"/>
      <c r="BC25" s="180"/>
      <c r="BD25" s="181" t="s">
        <v>172</v>
      </c>
      <c r="BE25" s="171">
        <v>8</v>
      </c>
      <c r="BF25" s="172">
        <f t="shared" si="8"/>
        <v>8</v>
      </c>
      <c r="BG25" s="183"/>
      <c r="BH25" s="184" t="s">
        <v>100</v>
      </c>
      <c r="BI25" s="185"/>
      <c r="BJ25" s="186"/>
      <c r="BK25" s="187"/>
      <c r="BL25" s="188" t="s">
        <v>101</v>
      </c>
      <c r="BM25" s="4"/>
      <c r="BN25" s="198" t="s">
        <v>177</v>
      </c>
      <c r="BO25" s="199"/>
      <c r="BP25" s="200"/>
      <c r="BQ25" s="167" t="s">
        <v>113</v>
      </c>
      <c r="BR25" s="168"/>
      <c r="BS25" s="180"/>
      <c r="BT25" s="181" t="s">
        <v>189</v>
      </c>
      <c r="BU25" s="171">
        <v>8</v>
      </c>
      <c r="BV25" s="172">
        <f t="shared" si="9"/>
        <v>8</v>
      </c>
      <c r="BW25" s="183" t="s">
        <v>7</v>
      </c>
      <c r="BX25" s="184" t="s">
        <v>7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103</v>
      </c>
      <c r="S26" s="199"/>
      <c r="T26" s="200"/>
      <c r="U26" s="167" t="s">
        <v>104</v>
      </c>
      <c r="V26" s="168" t="str">
        <f t="shared" si="0"/>
        <v>-</v>
      </c>
      <c r="W26" s="201">
        <v>2</v>
      </c>
      <c r="X26" s="170">
        <f>W-21</f>
        <v>4779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0"/>
        <v>1.0466010000000001</v>
      </c>
      <c r="AG26" s="4"/>
      <c r="AH26" s="198" t="s">
        <v>105</v>
      </c>
      <c r="AI26" s="199"/>
      <c r="AJ26" s="203"/>
      <c r="AK26" s="167" t="s">
        <v>98</v>
      </c>
      <c r="AL26" s="168" t="str">
        <f t="shared" si="3"/>
        <v>-</v>
      </c>
      <c r="AM26" s="201">
        <v>1</v>
      </c>
      <c r="AN26" s="170">
        <f t="shared" si="11"/>
        <v>2730</v>
      </c>
      <c r="AO26" s="171">
        <v>1</v>
      </c>
      <c r="AP26" s="172">
        <f t="shared" si="4"/>
        <v>1</v>
      </c>
      <c r="AQ26" s="209"/>
      <c r="AR26" s="174"/>
      <c r="AS26" s="175"/>
      <c r="AT26" s="211"/>
      <c r="AU26" s="177">
        <f t="shared" si="5"/>
        <v>0.51300000000000001</v>
      </c>
      <c r="AV26" s="178">
        <f t="shared" si="6"/>
        <v>1.40049</v>
      </c>
      <c r="AW26" s="4"/>
      <c r="AX26" s="198" t="str">
        <f t="shared" si="7"/>
        <v>SHIM RECEIVER</v>
      </c>
      <c r="AY26" s="199"/>
      <c r="AZ26" s="200"/>
      <c r="BA26" s="167" t="s">
        <v>106</v>
      </c>
      <c r="BB26" s="168"/>
      <c r="BC26" s="180"/>
      <c r="BD26" s="181" t="s">
        <v>149</v>
      </c>
      <c r="BE26" s="171">
        <v>5</v>
      </c>
      <c r="BF26" s="172">
        <f t="shared" si="8"/>
        <v>5</v>
      </c>
      <c r="BG26" s="183"/>
      <c r="BH26" s="184" t="s">
        <v>7</v>
      </c>
      <c r="BI26" s="185"/>
      <c r="BJ26" s="186"/>
      <c r="BK26" s="187"/>
      <c r="BL26" s="188" t="s">
        <v>101</v>
      </c>
      <c r="BM26" s="4"/>
      <c r="BN26" s="198" t="s">
        <v>177</v>
      </c>
      <c r="BO26" s="199"/>
      <c r="BP26" s="200"/>
      <c r="BQ26" s="167" t="s">
        <v>114</v>
      </c>
      <c r="BR26" s="168"/>
      <c r="BS26" s="180"/>
      <c r="BT26" s="181" t="s">
        <v>189</v>
      </c>
      <c r="BU26" s="171">
        <v>8</v>
      </c>
      <c r="BV26" s="172">
        <f t="shared" si="9"/>
        <v>8</v>
      </c>
      <c r="BW26" s="183" t="s">
        <v>7</v>
      </c>
      <c r="BX26" s="184" t="s">
        <v>7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108</v>
      </c>
      <c r="V27" s="168" t="str">
        <f t="shared" si="0"/>
        <v>-</v>
      </c>
      <c r="W27" s="201">
        <v>2</v>
      </c>
      <c r="X27" s="170">
        <f>W-21</f>
        <v>4779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0"/>
        <v>1.5245009999999999</v>
      </c>
      <c r="AG27" s="4"/>
      <c r="AH27" s="198" t="s">
        <v>109</v>
      </c>
      <c r="AI27" s="199"/>
      <c r="AJ27" s="203"/>
      <c r="AK27" s="167" t="s">
        <v>110</v>
      </c>
      <c r="AL27" s="168" t="str">
        <f t="shared" si="3"/>
        <v>-</v>
      </c>
      <c r="AM27" s="201">
        <v>3</v>
      </c>
      <c r="AN27" s="170">
        <f t="shared" si="11"/>
        <v>2730</v>
      </c>
      <c r="AO27" s="171">
        <v>1</v>
      </c>
      <c r="AP27" s="172">
        <f t="shared" si="4"/>
        <v>1</v>
      </c>
      <c r="AQ27" s="209"/>
      <c r="AR27" s="174" t="str">
        <f>CONCATENATE("as+5 = ",(C.)-45+5)</f>
        <v>as+5 = 560</v>
      </c>
      <c r="AS27" s="175"/>
      <c r="AT27" s="211"/>
      <c r="AU27" s="177">
        <f t="shared" si="5"/>
        <v>0.86399999999999999</v>
      </c>
      <c r="AV27" s="178">
        <f t="shared" si="6"/>
        <v>2.3587199999999999</v>
      </c>
      <c r="AW27" s="4"/>
      <c r="AX27" s="198" t="str">
        <f t="shared" si="7"/>
        <v>HOLE CAP</v>
      </c>
      <c r="AY27" s="199"/>
      <c r="AZ27" s="200"/>
      <c r="BA27" s="167" t="s">
        <v>111</v>
      </c>
      <c r="BB27" s="168"/>
      <c r="BC27" s="180"/>
      <c r="BD27" s="181" t="s">
        <v>173</v>
      </c>
      <c r="BE27" s="171">
        <f>IF(W&lt;=821,2,IF(W&lt;=1921,4,IF(W&lt;=2921,6,IF(W&lt;=3921,6,IF(W&lt;=3921,8,IF(W&gt;3921,10,0))))))+IF(H&lt;=900,4,IF(H&lt;=1500,6,IF(H&lt;=2500,10,IF(H&lt;=2800,14,0))))</f>
        <v>24</v>
      </c>
      <c r="BF27" s="172">
        <f t="shared" si="8"/>
        <v>24</v>
      </c>
      <c r="BG27" s="212"/>
      <c r="BH27" s="184" t="s">
        <v>7</v>
      </c>
      <c r="BI27" s="185"/>
      <c r="BJ27" s="186"/>
      <c r="BK27" s="187"/>
      <c r="BL27" s="188" t="s">
        <v>101</v>
      </c>
      <c r="BM27" s="4"/>
      <c r="BN27" s="198" t="s">
        <v>178</v>
      </c>
      <c r="BO27" s="199"/>
      <c r="BP27" s="200"/>
      <c r="BQ27" s="167" t="s">
        <v>115</v>
      </c>
      <c r="BR27" s="168"/>
      <c r="BS27" s="180"/>
      <c r="BT27" s="181" t="s">
        <v>189</v>
      </c>
      <c r="BU27" s="171">
        <v>14</v>
      </c>
      <c r="BV27" s="172">
        <f t="shared" si="9"/>
        <v>14</v>
      </c>
      <c r="BW27" s="212" t="s">
        <v>7</v>
      </c>
      <c r="BX27" s="184" t="s">
        <v>7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0"/>
        <v/>
      </c>
      <c r="AG28" s="4"/>
      <c r="AH28" s="213" t="s">
        <v>109</v>
      </c>
      <c r="AI28" s="214"/>
      <c r="AJ28" s="216"/>
      <c r="AK28" s="167" t="s">
        <v>110</v>
      </c>
      <c r="AL28" s="168" t="str">
        <f t="shared" si="3"/>
        <v>-</v>
      </c>
      <c r="AM28" s="201">
        <v>1</v>
      </c>
      <c r="AN28" s="170">
        <f t="shared" si="11"/>
        <v>2730</v>
      </c>
      <c r="AO28" s="171">
        <v>1</v>
      </c>
      <c r="AP28" s="172">
        <f t="shared" si="4"/>
        <v>1</v>
      </c>
      <c r="AQ28" s="209"/>
      <c r="AR28" s="174" t="str">
        <f>CONCATENATE("as+5 = ",(C.)-45+5)</f>
        <v>as+5 = 560</v>
      </c>
      <c r="AS28" s="175"/>
      <c r="AT28" s="211"/>
      <c r="AU28" s="177">
        <f t="shared" si="5"/>
        <v>0.86399999999999999</v>
      </c>
      <c r="AV28" s="178">
        <f t="shared" si="6"/>
        <v>2.3587199999999999</v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tr">
        <f t="shared" ref="BD28:BD60" si="12">IF(BA28&gt;"",VLOOKUP(BA28&amp;$M$10,PART_MASTER,3,FALSE),"")</f>
        <v/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">
        <v>178</v>
      </c>
      <c r="BO28" s="199"/>
      <c r="BP28" s="200"/>
      <c r="BQ28" s="167" t="s">
        <v>118</v>
      </c>
      <c r="BR28" s="168"/>
      <c r="BS28" s="180"/>
      <c r="BT28" s="181" t="s">
        <v>189</v>
      </c>
      <c r="BU28" s="171">
        <v>2</v>
      </c>
      <c r="BV28" s="172">
        <f t="shared" si="9"/>
        <v>2</v>
      </c>
      <c r="BW28" s="183" t="s">
        <v>7</v>
      </c>
      <c r="BX28" s="184" t="s">
        <v>7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0"/>
        <v/>
      </c>
      <c r="AG29" s="4"/>
      <c r="AH29" s="213" t="s">
        <v>109</v>
      </c>
      <c r="AI29" s="214"/>
      <c r="AJ29" s="216"/>
      <c r="AK29" s="217" t="s">
        <v>110</v>
      </c>
      <c r="AL29" s="168" t="str">
        <f t="shared" si="3"/>
        <v>-</v>
      </c>
      <c r="AM29" s="218">
        <v>4</v>
      </c>
      <c r="AN29" s="170">
        <f t="shared" si="11"/>
        <v>2730</v>
      </c>
      <c r="AO29" s="219">
        <v>1</v>
      </c>
      <c r="AP29" s="221">
        <f t="shared" si="4"/>
        <v>1</v>
      </c>
      <c r="AQ29" s="220"/>
      <c r="AR29" s="174" t="str">
        <f>CONCATENATE("as+5 = ",(C.)-45+5)</f>
        <v>as+5 = 560</v>
      </c>
      <c r="AS29" s="175"/>
      <c r="AT29" s="211"/>
      <c r="AU29" s="177">
        <f t="shared" si="5"/>
        <v>0.86399999999999999</v>
      </c>
      <c r="AV29" s="178">
        <f t="shared" si="6"/>
        <v>2.3587199999999999</v>
      </c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tr">
        <f t="shared" si="12"/>
        <v/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">
        <v>179</v>
      </c>
      <c r="BO29" s="199"/>
      <c r="BP29" s="200"/>
      <c r="BQ29" s="167" t="s">
        <v>120</v>
      </c>
      <c r="BR29" s="168"/>
      <c r="BS29" s="180"/>
      <c r="BT29" s="181" t="s">
        <v>173</v>
      </c>
      <c r="BU29" s="171">
        <f>IF(H&lt;=1000,2,IF(H&lt;=2200,4,IF(H&gt;2200,6,"")))</f>
        <v>6</v>
      </c>
      <c r="BV29" s="172">
        <f t="shared" si="9"/>
        <v>6</v>
      </c>
      <c r="BW29" s="183" t="s">
        <v>7</v>
      </c>
      <c r="BX29" s="184" t="s">
        <v>7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0"/>
        <v/>
      </c>
      <c r="AG30" s="4"/>
      <c r="AH30" s="198" t="s">
        <v>109</v>
      </c>
      <c r="AI30" s="199"/>
      <c r="AJ30" s="203"/>
      <c r="AK30" s="167" t="s">
        <v>110</v>
      </c>
      <c r="AL30" s="168" t="str">
        <f t="shared" si="3"/>
        <v>-</v>
      </c>
      <c r="AM30" s="169">
        <v>2</v>
      </c>
      <c r="AN30" s="170">
        <f t="shared" si="11"/>
        <v>2730</v>
      </c>
      <c r="AO30" s="171">
        <v>1</v>
      </c>
      <c r="AP30" s="172">
        <f t="shared" si="4"/>
        <v>1</v>
      </c>
      <c r="AQ30" s="220"/>
      <c r="AR30" s="174" t="str">
        <f>CONCATENATE("as+5 = ",(C.)-45+5)</f>
        <v>as+5 = 560</v>
      </c>
      <c r="AS30" s="175"/>
      <c r="AT30" s="176"/>
      <c r="AU30" s="177">
        <f t="shared" si="5"/>
        <v>0.86399999999999999</v>
      </c>
      <c r="AV30" s="178">
        <f t="shared" si="6"/>
        <v>2.3587199999999999</v>
      </c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tr">
        <f t="shared" si="12"/>
        <v/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">
        <v>180</v>
      </c>
      <c r="BO30" s="199"/>
      <c r="BP30" s="200"/>
      <c r="BQ30" s="167" t="s">
        <v>121</v>
      </c>
      <c r="BR30" s="168"/>
      <c r="BS30" s="180"/>
      <c r="BT30" s="181" t="s">
        <v>171</v>
      </c>
      <c r="BU30" s="171">
        <f>(16*((WS.1/4)-68))/1000</f>
        <v>17.952000000000002</v>
      </c>
      <c r="BV30" s="172">
        <f t="shared" si="9"/>
        <v>17.952000000000002</v>
      </c>
      <c r="BW30" s="183" t="s">
        <v>122</v>
      </c>
      <c r="BX30" s="184" t="s">
        <v>7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0"/>
        <v/>
      </c>
      <c r="AG31" s="4"/>
      <c r="AH31" s="198" t="s">
        <v>116</v>
      </c>
      <c r="AI31" s="199"/>
      <c r="AJ31" s="203"/>
      <c r="AK31" s="167" t="s">
        <v>117</v>
      </c>
      <c r="AL31" s="168" t="str">
        <f t="shared" si="3"/>
        <v>-</v>
      </c>
      <c r="AM31" s="222">
        <v>1</v>
      </c>
      <c r="AN31" s="207">
        <f t="shared" si="11"/>
        <v>2730</v>
      </c>
      <c r="AO31" s="171">
        <v>1</v>
      </c>
      <c r="AP31" s="172">
        <f t="shared" si="4"/>
        <v>1</v>
      </c>
      <c r="AQ31" s="220"/>
      <c r="AR31" s="174"/>
      <c r="AS31" s="175"/>
      <c r="AT31" s="211"/>
      <c r="AU31" s="177">
        <f t="shared" si="5"/>
        <v>0.98699999999999999</v>
      </c>
      <c r="AV31" s="178">
        <f t="shared" si="6"/>
        <v>2.6945099999999997</v>
      </c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tr">
        <f t="shared" si="12"/>
        <v/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">
        <v>180</v>
      </c>
      <c r="BO31" s="199"/>
      <c r="BP31" s="200"/>
      <c r="BQ31" s="167" t="s">
        <v>123</v>
      </c>
      <c r="BR31" s="168"/>
      <c r="BS31" s="180"/>
      <c r="BT31" s="181" t="s">
        <v>171</v>
      </c>
      <c r="BU31" s="171">
        <f>HS.1*2/1000</f>
        <v>5.44</v>
      </c>
      <c r="BV31" s="172">
        <f t="shared" si="9"/>
        <v>5.44</v>
      </c>
      <c r="BW31" s="183" t="s">
        <v>122</v>
      </c>
      <c r="BX31" s="184" t="s">
        <v>7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0"/>
        <v/>
      </c>
      <c r="AG32" s="4"/>
      <c r="AH32" s="198" t="s">
        <v>116</v>
      </c>
      <c r="AI32" s="199"/>
      <c r="AJ32" s="203"/>
      <c r="AK32" s="167" t="s">
        <v>119</v>
      </c>
      <c r="AL32" s="168" t="str">
        <f t="shared" si="3"/>
        <v>-</v>
      </c>
      <c r="AM32" s="169">
        <v>1</v>
      </c>
      <c r="AN32" s="170">
        <f t="shared" si="11"/>
        <v>2730</v>
      </c>
      <c r="AO32" s="171">
        <v>1</v>
      </c>
      <c r="AP32" s="172">
        <f t="shared" si="4"/>
        <v>1</v>
      </c>
      <c r="AQ32" s="220"/>
      <c r="AR32" s="174"/>
      <c r="AS32" s="175"/>
      <c r="AT32" s="211"/>
      <c r="AU32" s="177">
        <f t="shared" si="5"/>
        <v>1.07</v>
      </c>
      <c r="AV32" s="178">
        <f t="shared" si="6"/>
        <v>2.9211000000000005</v>
      </c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tr">
        <f t="shared" si="12"/>
        <v/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">
        <v>180</v>
      </c>
      <c r="BO32" s="199"/>
      <c r="BP32" s="200"/>
      <c r="BQ32" s="167" t="s">
        <v>124</v>
      </c>
      <c r="BR32" s="168"/>
      <c r="BS32" s="180"/>
      <c r="BT32" s="181" t="s">
        <v>171</v>
      </c>
      <c r="BU32" s="171">
        <f>HS.1*2/1000</f>
        <v>5.44</v>
      </c>
      <c r="BV32" s="172">
        <f t="shared" si="9"/>
        <v>5.44</v>
      </c>
      <c r="BW32" s="183" t="s">
        <v>122</v>
      </c>
      <c r="BX32" s="184" t="s">
        <v>7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0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tr">
        <f t="shared" si="12"/>
        <v/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">
        <v>180</v>
      </c>
      <c r="BO33" s="199"/>
      <c r="BP33" s="200"/>
      <c r="BQ33" s="167" t="s">
        <v>125</v>
      </c>
      <c r="BR33" s="168"/>
      <c r="BS33" s="180"/>
      <c r="BT33" s="181" t="s">
        <v>171</v>
      </c>
      <c r="BU33" s="171">
        <f>((HS.1+10)*2)/1000</f>
        <v>5.46</v>
      </c>
      <c r="BV33" s="172">
        <f t="shared" si="9"/>
        <v>5.46</v>
      </c>
      <c r="BW33" s="212" t="s">
        <v>122</v>
      </c>
      <c r="BX33" s="184" t="s">
        <v>7</v>
      </c>
      <c r="BY33" s="185"/>
      <c r="BZ33" s="186"/>
      <c r="CA33" s="187"/>
      <c r="CB33" s="188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0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tr">
        <f t="shared" si="12"/>
        <v/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">
        <v>181</v>
      </c>
      <c r="BO34" s="199"/>
      <c r="BP34" s="200"/>
      <c r="BQ34" s="167" t="s">
        <v>128</v>
      </c>
      <c r="BR34" s="168"/>
      <c r="BS34" s="180"/>
      <c r="BT34" s="181" t="s">
        <v>172</v>
      </c>
      <c r="BU34" s="171">
        <v>4</v>
      </c>
      <c r="BV34" s="172">
        <f t="shared" si="9"/>
        <v>4</v>
      </c>
      <c r="BW34" s="212" t="s">
        <v>7</v>
      </c>
      <c r="BX34" s="184" t="s">
        <v>7</v>
      </c>
      <c r="BY34" s="185"/>
      <c r="BZ34" s="186"/>
      <c r="CA34" s="187"/>
      <c r="CB34" s="188" t="s">
        <v>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0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tr">
        <f t="shared" si="12"/>
        <v/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">
        <v>181</v>
      </c>
      <c r="BO35" s="199"/>
      <c r="BP35" s="200"/>
      <c r="BQ35" s="167" t="s">
        <v>129</v>
      </c>
      <c r="BR35" s="168"/>
      <c r="BS35" s="180"/>
      <c r="BT35" s="181" t="s">
        <v>172</v>
      </c>
      <c r="BU35" s="171">
        <v>4</v>
      </c>
      <c r="BV35" s="172">
        <f t="shared" si="9"/>
        <v>4</v>
      </c>
      <c r="BW35" s="212" t="s">
        <v>7</v>
      </c>
      <c r="BX35" s="184" t="s">
        <v>130</v>
      </c>
      <c r="BY35" s="185"/>
      <c r="BZ35" s="186"/>
      <c r="CA35" s="187"/>
      <c r="CB35" s="188" t="s">
        <v>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0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tr">
        <f t="shared" si="12"/>
        <v/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">
        <v>181</v>
      </c>
      <c r="BO36" s="199"/>
      <c r="BP36" s="200"/>
      <c r="BQ36" s="167" t="s">
        <v>131</v>
      </c>
      <c r="BR36" s="168"/>
      <c r="BS36" s="180"/>
      <c r="BT36" s="181" t="s">
        <v>172</v>
      </c>
      <c r="BU36" s="171">
        <v>16</v>
      </c>
      <c r="BV36" s="172">
        <f t="shared" si="9"/>
        <v>16</v>
      </c>
      <c r="BW36" s="212" t="s">
        <v>7</v>
      </c>
      <c r="BX36" s="184" t="s">
        <v>7</v>
      </c>
      <c r="BY36" s="185"/>
      <c r="BZ36" s="186"/>
      <c r="CA36" s="187"/>
      <c r="CB36" s="188" t="s">
        <v>101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0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tr">
        <f t="shared" si="12"/>
        <v/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">
        <v>182</v>
      </c>
      <c r="BO37" s="199"/>
      <c r="BP37" s="200"/>
      <c r="BQ37" s="167" t="s">
        <v>111</v>
      </c>
      <c r="BR37" s="168"/>
      <c r="BS37" s="180"/>
      <c r="BT37" s="181" t="s">
        <v>173</v>
      </c>
      <c r="BU37" s="171">
        <v>12</v>
      </c>
      <c r="BV37" s="172">
        <f t="shared" si="9"/>
        <v>12</v>
      </c>
      <c r="BW37" s="212" t="s">
        <v>7</v>
      </c>
      <c r="BX37" s="184" t="s">
        <v>7</v>
      </c>
      <c r="BY37" s="185"/>
      <c r="BZ37" s="186"/>
      <c r="CA37" s="187"/>
      <c r="CB37" s="188" t="s">
        <v>101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0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tr">
        <f t="shared" si="12"/>
        <v/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">
        <v>183</v>
      </c>
      <c r="BO38" s="199"/>
      <c r="BP38" s="200"/>
      <c r="BQ38" s="167" t="s">
        <v>188</v>
      </c>
      <c r="BR38" s="168"/>
      <c r="BS38" s="180"/>
      <c r="BT38" s="181" t="s">
        <v>171</v>
      </c>
      <c r="BU38" s="171">
        <f>((2*WS.1)+(8*HS.1)-328)/1000</f>
        <v>30.952000000000002</v>
      </c>
      <c r="BV38" s="172">
        <f t="shared" si="9"/>
        <v>30.952000000000002</v>
      </c>
      <c r="BW38" s="212" t="s">
        <v>122</v>
      </c>
      <c r="BX38" s="184" t="s">
        <v>7</v>
      </c>
      <c r="BY38" s="185"/>
      <c r="BZ38" s="186"/>
      <c r="CA38" s="187"/>
      <c r="CB38" s="188" t="s">
        <v>101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0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3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tr">
        <f t="shared" si="12"/>
        <v/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">
        <v>184</v>
      </c>
      <c r="BO39" s="199"/>
      <c r="BP39" s="200"/>
      <c r="BQ39" s="167" t="s">
        <v>135</v>
      </c>
      <c r="BR39" s="168"/>
      <c r="BS39" s="180"/>
      <c r="BT39" s="181" t="s">
        <v>189</v>
      </c>
      <c r="BU39" s="171">
        <v>4</v>
      </c>
      <c r="BV39" s="172">
        <f t="shared" si="9"/>
        <v>4</v>
      </c>
      <c r="BW39" s="212" t="s">
        <v>7</v>
      </c>
      <c r="BX39" s="184" t="s">
        <v>7</v>
      </c>
      <c r="BY39" s="185"/>
      <c r="BZ39" s="186"/>
      <c r="CA39" s="187"/>
      <c r="CB39" s="188" t="s">
        <v>101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0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3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tr">
        <f t="shared" si="12"/>
        <v/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">
        <v>185</v>
      </c>
      <c r="BO40" s="199"/>
      <c r="BP40" s="200"/>
      <c r="BQ40" s="167" t="s">
        <v>126</v>
      </c>
      <c r="BR40" s="168"/>
      <c r="BS40" s="180"/>
      <c r="BT40" s="181" t="s">
        <v>172</v>
      </c>
      <c r="BU40" s="182">
        <v>4</v>
      </c>
      <c r="BV40" s="172">
        <f t="shared" si="9"/>
        <v>4</v>
      </c>
      <c r="BW40" s="183" t="s">
        <v>7</v>
      </c>
      <c r="BX40" s="184" t="s">
        <v>127</v>
      </c>
      <c r="BY40" s="185"/>
      <c r="BZ40" s="186"/>
      <c r="CA40" s="187"/>
      <c r="CB40" s="188" t="s">
        <v>7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0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3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tr">
        <f t="shared" si="12"/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">
        <v>186</v>
      </c>
      <c r="BO41" s="199"/>
      <c r="BP41" s="200"/>
      <c r="BQ41" s="167" t="s">
        <v>85</v>
      </c>
      <c r="BR41" s="168"/>
      <c r="BS41" s="180"/>
      <c r="BT41" s="181" t="s">
        <v>173</v>
      </c>
      <c r="BU41" s="182">
        <v>1</v>
      </c>
      <c r="BV41" s="172">
        <f t="shared" si="9"/>
        <v>1</v>
      </c>
      <c r="BW41" s="183" t="s">
        <v>7</v>
      </c>
      <c r="BX41" s="184" t="s">
        <v>7</v>
      </c>
      <c r="BY41" s="185"/>
      <c r="BZ41" s="186"/>
      <c r="CA41" s="187"/>
      <c r="CB41" s="188" t="s">
        <v>7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0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3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tr">
        <f t="shared" si="12"/>
        <v/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">
        <v>186</v>
      </c>
      <c r="BO42" s="199"/>
      <c r="BP42" s="200"/>
      <c r="BQ42" s="167" t="s">
        <v>90</v>
      </c>
      <c r="BR42" s="168"/>
      <c r="BS42" s="180"/>
      <c r="BT42" s="181" t="s">
        <v>173</v>
      </c>
      <c r="BU42" s="182">
        <v>1</v>
      </c>
      <c r="BV42" s="172">
        <f t="shared" si="9"/>
        <v>1</v>
      </c>
      <c r="BW42" s="183" t="s">
        <v>7</v>
      </c>
      <c r="BX42" s="184" t="s">
        <v>7</v>
      </c>
      <c r="BY42" s="185"/>
      <c r="BZ42" s="186"/>
      <c r="CA42" s="187"/>
      <c r="CB42" s="188" t="s">
        <v>7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0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3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tr">
        <f t="shared" si="12"/>
        <v/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">
        <v>187</v>
      </c>
      <c r="BO43" s="199"/>
      <c r="BP43" s="200"/>
      <c r="BQ43" s="167" t="s">
        <v>95</v>
      </c>
      <c r="BR43" s="168"/>
      <c r="BS43" s="180"/>
      <c r="BT43" s="181" t="s">
        <v>172</v>
      </c>
      <c r="BU43" s="182">
        <v>2</v>
      </c>
      <c r="BV43" s="172">
        <f t="shared" si="9"/>
        <v>2</v>
      </c>
      <c r="BW43" s="183" t="s">
        <v>7</v>
      </c>
      <c r="BX43" s="250" t="s">
        <v>7</v>
      </c>
      <c r="BY43" s="185"/>
      <c r="BZ43" s="186"/>
      <c r="CA43" s="187"/>
      <c r="CB43" s="188" t="s">
        <v>7</v>
      </c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136</v>
      </c>
      <c r="C44" s="334" t="s">
        <v>137</v>
      </c>
      <c r="D44" s="335"/>
      <c r="E44" s="336"/>
      <c r="F44" s="334" t="s">
        <v>138</v>
      </c>
      <c r="G44" s="335"/>
      <c r="H44" s="336"/>
      <c r="I44" s="252"/>
      <c r="J44" s="253" t="s">
        <v>136</v>
      </c>
      <c r="K44" s="334" t="s">
        <v>137</v>
      </c>
      <c r="L44" s="335"/>
      <c r="M44" s="335"/>
      <c r="N44" s="336"/>
      <c r="O44" s="253" t="s">
        <v>139</v>
      </c>
      <c r="P44" s="254" t="s">
        <v>136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0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3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tr">
        <f t="shared" si="12"/>
        <v/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ref="BN44" si="14">IF(BQ44&gt;"",VLOOKUP(BQ44,PART_NAMA,3,FALSE),"")</f>
        <v/>
      </c>
      <c r="BO44" s="199"/>
      <c r="BP44" s="200"/>
      <c r="BQ44" s="167"/>
      <c r="BR44" s="168"/>
      <c r="BS44" s="180"/>
      <c r="BT44" s="181" t="str">
        <f t="shared" ref="BT44" si="15">IF(BQ44&gt;"",VLOOKUP(BQ44&amp;$M$10,PART_MASTER,3,FALSE),"")</f>
        <v/>
      </c>
      <c r="BU44" s="182"/>
      <c r="BV44" s="172" t="str">
        <f t="shared" si="9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140</v>
      </c>
      <c r="D45" s="257"/>
      <c r="E45" s="257"/>
      <c r="F45" s="258"/>
      <c r="G45" s="259"/>
      <c r="H45" s="260"/>
      <c r="I45" s="261"/>
      <c r="J45" s="262">
        <v>1</v>
      </c>
      <c r="K45" s="263" t="s">
        <v>141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0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3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tr">
        <f t="shared" si="12"/>
        <v/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ref="BN45:BN66" si="16">IF(BQ45&gt;"",VLOOKUP(BQ45,PART_NAMA,3,FALSE),"")</f>
        <v/>
      </c>
      <c r="BO45" s="199"/>
      <c r="BP45" s="200"/>
      <c r="BQ45" s="204"/>
      <c r="BR45" s="168"/>
      <c r="BS45" s="180"/>
      <c r="BT45" s="181"/>
      <c r="BU45" s="171"/>
      <c r="BV45" s="172"/>
      <c r="BW45" s="183"/>
      <c r="BX45" s="184"/>
      <c r="BY45" s="185"/>
      <c r="BZ45" s="186"/>
      <c r="CA45" s="205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142</v>
      </c>
      <c r="D46" s="259"/>
      <c r="E46" s="259"/>
      <c r="F46" s="263"/>
      <c r="G46" s="259"/>
      <c r="H46" s="260"/>
      <c r="I46" s="261"/>
      <c r="J46" s="262">
        <v>2</v>
      </c>
      <c r="K46" s="263" t="s">
        <v>143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0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3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tr">
        <f t="shared" si="12"/>
        <v/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16"/>
        <v/>
      </c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205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144</v>
      </c>
      <c r="D47" s="259"/>
      <c r="E47" s="259"/>
      <c r="F47" s="263"/>
      <c r="G47" s="259"/>
      <c r="H47" s="260"/>
      <c r="I47" s="268"/>
      <c r="J47" s="262">
        <v>3</v>
      </c>
      <c r="K47" s="263" t="s">
        <v>145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0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3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tr">
        <f t="shared" si="12"/>
        <v/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16"/>
        <v/>
      </c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146</v>
      </c>
      <c r="D48" s="259"/>
      <c r="E48" s="259"/>
      <c r="F48" s="263"/>
      <c r="G48" s="259"/>
      <c r="H48" s="260"/>
      <c r="I48" s="268"/>
      <c r="J48" s="262">
        <v>4</v>
      </c>
      <c r="K48" s="263" t="s">
        <v>147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148</v>
      </c>
      <c r="AD48" s="273"/>
      <c r="AE48" s="274" t="s">
        <v>149</v>
      </c>
      <c r="AF48" s="275">
        <f>SUM(AF22:AF47)</f>
        <v>12.236822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148</v>
      </c>
      <c r="AT48" s="273"/>
      <c r="AU48" s="274" t="s">
        <v>149</v>
      </c>
      <c r="AV48" s="275">
        <f>SUM(AV22:AV47)</f>
        <v>20.840477999999997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tr">
        <f t="shared" si="12"/>
        <v/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6"/>
        <v/>
      </c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150</v>
      </c>
      <c r="D49" s="259"/>
      <c r="E49" s="259"/>
      <c r="F49" s="263"/>
      <c r="G49" s="259"/>
      <c r="H49" s="260"/>
      <c r="I49" s="268"/>
      <c r="J49" s="262">
        <v>5</v>
      </c>
      <c r="K49" s="263" t="s">
        <v>151</v>
      </c>
      <c r="L49" s="259"/>
      <c r="M49" s="259"/>
      <c r="N49" s="264"/>
      <c r="O49" s="265"/>
      <c r="P49" s="266"/>
      <c r="Q49" s="4"/>
      <c r="R49" s="276" t="s">
        <v>152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153</v>
      </c>
      <c r="AE49" s="280" t="s">
        <v>154</v>
      </c>
      <c r="AF49" s="281">
        <f>AF48*0.986</f>
        <v>12.065506492000001</v>
      </c>
      <c r="AG49" s="4"/>
      <c r="AH49" s="276" t="s">
        <v>152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153</v>
      </c>
      <c r="AU49" s="280" t="s">
        <v>154</v>
      </c>
      <c r="AV49" s="281">
        <f>AV48*0.986</f>
        <v>20.548711307999998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tr">
        <f t="shared" si="12"/>
        <v/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6"/>
        <v/>
      </c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155</v>
      </c>
      <c r="D50" s="259"/>
      <c r="E50" s="259"/>
      <c r="F50" s="263"/>
      <c r="G50" s="259"/>
      <c r="H50" s="260"/>
      <c r="I50" s="268"/>
      <c r="J50" s="262">
        <v>6</v>
      </c>
      <c r="K50" s="263" t="s">
        <v>156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157</v>
      </c>
      <c r="AF50" s="281">
        <f>AF48*0.974*0.986</f>
        <v>11.751803323208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157</v>
      </c>
      <c r="AV50" s="281">
        <f>AV48*0.974*0.986</f>
        <v>20.014444813991997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tr">
        <f t="shared" si="12"/>
        <v/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6"/>
        <v/>
      </c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158</v>
      </c>
      <c r="D51" s="259"/>
      <c r="E51" s="259"/>
      <c r="F51" s="263"/>
      <c r="G51" s="259"/>
      <c r="H51" s="260"/>
      <c r="I51" s="268"/>
      <c r="J51" s="262">
        <v>7</v>
      </c>
      <c r="K51" s="263" t="s">
        <v>159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tr">
        <f t="shared" si="12"/>
        <v/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6"/>
        <v/>
      </c>
      <c r="BO51" s="199"/>
      <c r="BP51" s="200"/>
      <c r="BQ51" s="167"/>
      <c r="BR51" s="168"/>
      <c r="BS51" s="180"/>
      <c r="BT51" s="181"/>
      <c r="BU51" s="171"/>
      <c r="BV51" s="172"/>
      <c r="BW51" s="183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160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161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tr">
        <f t="shared" si="12"/>
        <v/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6"/>
        <v/>
      </c>
      <c r="BO52" s="199"/>
      <c r="BP52" s="200"/>
      <c r="BQ52" s="167"/>
      <c r="BR52" s="168"/>
      <c r="BS52" s="180"/>
      <c r="BT52" s="181"/>
      <c r="BU52" s="171"/>
      <c r="BV52" s="172"/>
      <c r="BW52" s="183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162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tr">
        <f t="shared" si="12"/>
        <v/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6"/>
        <v/>
      </c>
      <c r="BO53" s="199"/>
      <c r="BP53" s="200"/>
      <c r="BQ53" s="167"/>
      <c r="BR53" s="168"/>
      <c r="BS53" s="180"/>
      <c r="BT53" s="181"/>
      <c r="BU53" s="171"/>
      <c r="BV53" s="172"/>
      <c r="BW53" s="183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163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tr">
        <f t="shared" si="12"/>
        <v/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6"/>
        <v/>
      </c>
      <c r="BO54" s="199"/>
      <c r="BP54" s="200"/>
      <c r="BQ54" s="167"/>
      <c r="BR54" s="168"/>
      <c r="BS54" s="180"/>
      <c r="BT54" s="181"/>
      <c r="BU54" s="171"/>
      <c r="BV54" s="172"/>
      <c r="BW54" s="183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164</v>
      </c>
      <c r="C55" s="268"/>
      <c r="D55" s="268"/>
      <c r="E55" s="268"/>
      <c r="F55" s="268"/>
      <c r="G55" s="268"/>
      <c r="H55" s="268"/>
      <c r="I55" s="268"/>
      <c r="J55" s="301" t="s">
        <v>165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tr">
        <f t="shared" si="12"/>
        <v/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6"/>
        <v/>
      </c>
      <c r="BO55" s="199"/>
      <c r="BP55" s="200"/>
      <c r="BQ55" s="167"/>
      <c r="BR55" s="168"/>
      <c r="BS55" s="180"/>
      <c r="BT55" s="181"/>
      <c r="BU55" s="171"/>
      <c r="BV55" s="172"/>
      <c r="BW55" s="183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166</v>
      </c>
      <c r="K56" s="306"/>
      <c r="L56" s="306"/>
      <c r="M56" s="306"/>
      <c r="N56" s="307"/>
      <c r="O56" s="308" t="s">
        <v>167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tr">
        <f t="shared" si="12"/>
        <v/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6"/>
        <v/>
      </c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tr">
        <f t="shared" si="12"/>
        <v/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6"/>
        <v/>
      </c>
      <c r="BO57" s="199"/>
      <c r="BP57" s="200"/>
      <c r="BQ57" s="167"/>
      <c r="BR57" s="168"/>
      <c r="BS57" s="180"/>
      <c r="BT57" s="181"/>
      <c r="BU57" s="171"/>
      <c r="BV57" s="172"/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tr">
        <f t="shared" si="12"/>
        <v/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198" t="str">
        <f t="shared" si="16"/>
        <v/>
      </c>
      <c r="BO58" s="199"/>
      <c r="BP58" s="200"/>
      <c r="BQ58" s="167"/>
      <c r="BR58" s="168"/>
      <c r="BS58" s="180"/>
      <c r="BT58" s="181"/>
      <c r="BU58" s="171"/>
      <c r="BV58" s="172"/>
      <c r="BW58" s="212"/>
      <c r="BX58" s="184"/>
      <c r="BY58" s="185"/>
      <c r="BZ58" s="186"/>
      <c r="CA58" s="187"/>
      <c r="CB58" s="188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tr">
        <f t="shared" si="12"/>
        <v/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6"/>
        <v/>
      </c>
      <c r="BO59" s="199"/>
      <c r="BP59" s="200"/>
      <c r="BQ59" s="167"/>
      <c r="BR59" s="168"/>
      <c r="BS59" s="180"/>
      <c r="BT59" s="181"/>
      <c r="BU59" s="171"/>
      <c r="BV59" s="172"/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168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tr">
        <f t="shared" si="12"/>
        <v/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6"/>
        <v/>
      </c>
      <c r="BO60" s="199"/>
      <c r="BP60" s="200"/>
      <c r="BQ60" s="167"/>
      <c r="BR60" s="168"/>
      <c r="BS60" s="180"/>
      <c r="BT60" s="181"/>
      <c r="BU60" s="171"/>
      <c r="BV60" s="172"/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169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169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169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169</v>
      </c>
      <c r="BN61" s="322" t="str">
        <f t="shared" si="16"/>
        <v/>
      </c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169</v>
      </c>
    </row>
    <row r="62" spans="2:120" x14ac:dyDescent="0.25">
      <c r="BN62" s="277" t="str">
        <f t="shared" si="16"/>
        <v/>
      </c>
      <c r="CC62" s="277"/>
      <c r="CD62" s="277"/>
      <c r="CE62" s="277"/>
      <c r="CF62" s="277"/>
    </row>
    <row r="63" spans="2:120" x14ac:dyDescent="0.25">
      <c r="BN63" s="277" t="str">
        <f t="shared" si="16"/>
        <v/>
      </c>
      <c r="CC63" s="277"/>
      <c r="CD63" s="277"/>
      <c r="CE63" s="277"/>
      <c r="CF63" s="277"/>
    </row>
    <row r="64" spans="2:120" x14ac:dyDescent="0.25">
      <c r="BN64" s="277" t="str">
        <f t="shared" si="16"/>
        <v/>
      </c>
      <c r="CC64" s="277"/>
      <c r="CD64" s="277"/>
      <c r="CE64" s="277"/>
      <c r="CF64" s="277"/>
    </row>
    <row r="65" spans="66:84" x14ac:dyDescent="0.25">
      <c r="BN65" s="277" t="str">
        <f t="shared" si="16"/>
        <v/>
      </c>
      <c r="CC65" s="277"/>
      <c r="CD65" s="277"/>
      <c r="CE65" s="277"/>
      <c r="CF65" s="277"/>
    </row>
    <row r="66" spans="66:84" x14ac:dyDescent="0.25">
      <c r="BN66" s="277" t="str">
        <f t="shared" si="16"/>
        <v/>
      </c>
      <c r="CC66" s="277"/>
      <c r="CD66" s="277"/>
      <c r="CE66" s="277"/>
      <c r="CF66" s="277"/>
    </row>
    <row r="67" spans="66:84" x14ac:dyDescent="0.25">
      <c r="CC67" s="277"/>
      <c r="CD67" s="277"/>
      <c r="CE67" s="277"/>
      <c r="CF67" s="277"/>
    </row>
    <row r="68" spans="66:84" x14ac:dyDescent="0.25">
      <c r="CC68" s="277"/>
      <c r="CD68" s="277"/>
      <c r="CE68" s="277"/>
      <c r="CF68" s="277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2024-07-29T08:19:21Z</dcterms:created>
  <dcterms:modified xsi:type="dcterms:W3CDTF">2024-08-08T03:42:07Z</dcterms:modified>
</cp:coreProperties>
</file>