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9F13748E-8D7D-424D-AB82-3FE8CD7B0C84}" xr6:coauthVersionLast="47" xr6:coauthVersionMax="47" xr10:uidLastSave="{00000000-0000-0000-0000-000000000000}"/>
  <bookViews>
    <workbookView xWindow="-108" yWindow="-108" windowWidth="23256" windowHeight="12456" xr2:uid="{433D88F5-F2DD-49FA-8FE4-5475EAC1A62A}"/>
  </bookViews>
  <sheets>
    <sheet name="FIX_CAL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'FIX_CAL-KD_FIX'!$P$18</definedName>
    <definedName name="BD">"BD"</definedName>
    <definedName name="C." localSheetId="0">'FIX_CAL-KD_FIX'!$P$17</definedName>
    <definedName name="F." localSheetId="0">'FIX_CAL-KD_FIX'!$P$16</definedName>
    <definedName name="GCS" localSheetId="0">'FIX_CAL-KD_FIX'!$O$12</definedName>
    <definedName name="GTH" localSheetId="0">'FIX_CAL-KD_FIX'!$O$11</definedName>
    <definedName name="H" localSheetId="0">'FIX_CAL-KD_FIX'!$E$12</definedName>
    <definedName name="h.1" localSheetId="0">'FIX_CAL-KD_FIX'!$C$14</definedName>
    <definedName name="h.10" localSheetId="0">'FIX_CAL-KD_FIX'!$E$18</definedName>
    <definedName name="h.2" localSheetId="0">'FIX_CAL-KD_FIX'!$C$15</definedName>
    <definedName name="h.3" localSheetId="0">'FIX_CAL-KD_FIX'!$C$16</definedName>
    <definedName name="h.4" localSheetId="0">'FIX_CAL-KD_FIX'!$C$17</definedName>
    <definedName name="h.5" localSheetId="0">'FIX_CAL-KD_FIX'!$C$18</definedName>
    <definedName name="h.6" localSheetId="0">'FIX_CAL-KD_FIX'!$E$14</definedName>
    <definedName name="h.7" localSheetId="0">'FIX_CAL-KD_FIX'!$E$15</definedName>
    <definedName name="h.8" localSheetId="0">'FIX_CAL-KD_FIX'!$E$16</definedName>
    <definedName name="h.9" localSheetId="0">'FIX_CAL-KD_FIX'!$E$17</definedName>
    <definedName name="HS" localSheetId="0">'FIX_CAL-KD_FIX'!$H$12</definedName>
    <definedName name="HS.1" localSheetId="0">'FIX_CAL-KD_FIX'!$L$14</definedName>
    <definedName name="HS.2" localSheetId="0">'FIX_CAL-KD_FIX'!$L$15</definedName>
    <definedName name="HS.3" localSheetId="0">'FIX_CAL-KD_FIX'!$L$16</definedName>
    <definedName name="HS.4" localSheetId="0">'FIX_CAL-KD_FIX'!$L$17</definedName>
    <definedName name="HS.5" localSheetId="0">'FIX_CAL-KD_FIX'!$L$18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'FIX_CAL-KD_FIX'!$1:$61</definedName>
    <definedName name="Q" localSheetId="0">'FIX_CAL-KD_FIX'!$I$11</definedName>
    <definedName name="R." localSheetId="0">'FIX_CAL-KD_FIX'!$C$62</definedName>
    <definedName name="st" hidden="1">[6]Gra_Ord_In_2000!$BA$12:$BA$1655</definedName>
    <definedName name="W" localSheetId="0">'FIX_CAL-KD_FIX'!$E$11</definedName>
    <definedName name="w.1" localSheetId="0">'FIX_CAL-KD_FIX'!$H$14</definedName>
    <definedName name="w.10" localSheetId="0">'FIX_CAL-KD_FIX'!$J$18</definedName>
    <definedName name="w.2" localSheetId="0">'FIX_CAL-KD_FIX'!$H$15</definedName>
    <definedName name="w.3" localSheetId="0">'FIX_CAL-KD_FIX'!$H$16</definedName>
    <definedName name="w.4" localSheetId="0">'FIX_CAL-KD_FIX'!$H$17</definedName>
    <definedName name="w.5" localSheetId="0">'FIX_CAL-KD_FIX'!$H$18</definedName>
    <definedName name="w.6" localSheetId="0">'FIX_CAL-KD_FIX'!$J$14</definedName>
    <definedName name="w.7" localSheetId="0">'FIX_CAL-KD_FIX'!$J$15</definedName>
    <definedName name="w.8" localSheetId="0">'FIX_CAL-KD_FIX'!$J$16</definedName>
    <definedName name="w.9" localSheetId="0">'FIX_CAL-KD_FIX'!$J$17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'FIX_CAL-KD_FIX'!$L$12</definedName>
    <definedName name="WS.1" localSheetId="0">'FIX_CAL-KD_FIX'!$N$14</definedName>
    <definedName name="WS.2" localSheetId="0">'FIX_CAL-KD_FIX'!$N$15</definedName>
    <definedName name="WS.3" localSheetId="0">'FIX_CAL-KD_FIX'!$N$16</definedName>
    <definedName name="WS.4" localSheetId="0">'FIX_CAL-KD_FIX'!$N$17</definedName>
    <definedName name="WS.5" localSheetId="0">'FIX_CAL-KD_FIX'!$N$18</definedName>
    <definedName name="Z_8BD11290_77B3_4D27_9040_BB9D2A7264B2_.wvu.PrintArea" localSheetId="0" hidden="1">'FIX_CAL-KD_FIX'!$1:$61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4" i="1" l="1"/>
  <c r="BU33" i="1"/>
  <c r="BU31" i="1"/>
  <c r="BU29" i="1"/>
  <c r="BU23" i="1"/>
  <c r="BU27" i="1"/>
  <c r="BU26" i="1"/>
  <c r="BF60" i="1"/>
  <c r="BD60" i="1"/>
  <c r="AX60" i="1"/>
  <c r="BE41" i="1"/>
  <c r="BE40" i="1"/>
  <c r="BE39" i="1"/>
  <c r="BE38" i="1"/>
  <c r="BE37" i="1"/>
  <c r="BE36" i="1"/>
  <c r="BE32" i="1"/>
  <c r="BE31" i="1"/>
  <c r="BE27" i="1"/>
  <c r="BE26" i="1"/>
  <c r="BA34" i="1"/>
  <c r="BA35" i="1"/>
  <c r="BA32" i="1"/>
  <c r="BA22" i="1"/>
  <c r="AN22" i="1"/>
  <c r="AN23" i="1"/>
  <c r="AN24" i="1"/>
  <c r="AN25" i="1"/>
  <c r="AN26" i="1"/>
  <c r="AN27" i="1"/>
  <c r="X24" i="1"/>
  <c r="X23" i="1"/>
  <c r="X32" i="1"/>
  <c r="X31" i="1"/>
  <c r="X30" i="1"/>
  <c r="X29" i="1"/>
  <c r="X28" i="1"/>
  <c r="X27" i="1"/>
  <c r="X26" i="1"/>
  <c r="X25" i="1"/>
  <c r="X22" i="1"/>
  <c r="AB29" i="1"/>
  <c r="AB28" i="1"/>
  <c r="BV60" i="1" l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BF45" i="1"/>
  <c r="BD45" i="1"/>
  <c r="AX45" i="1"/>
  <c r="AV45" i="1"/>
  <c r="AU45" i="1"/>
  <c r="AP45" i="1"/>
  <c r="AL45" i="1"/>
  <c r="AF45" i="1"/>
  <c r="AE45" i="1"/>
  <c r="Z45" i="1"/>
  <c r="V45" i="1"/>
  <c r="BF44" i="1"/>
  <c r="AV44" i="1"/>
  <c r="AU44" i="1"/>
  <c r="AP44" i="1"/>
  <c r="AL44" i="1"/>
  <c r="BF43" i="1"/>
  <c r="AV43" i="1"/>
  <c r="AU43" i="1"/>
  <c r="AP43" i="1"/>
  <c r="AL43" i="1"/>
  <c r="BF42" i="1"/>
  <c r="AV42" i="1"/>
  <c r="AU42" i="1"/>
  <c r="AP42" i="1"/>
  <c r="AL42" i="1"/>
  <c r="P42" i="1"/>
  <c r="O42" i="1"/>
  <c r="F42" i="1"/>
  <c r="BF41" i="1"/>
  <c r="AV41" i="1"/>
  <c r="AU41" i="1"/>
  <c r="AP41" i="1"/>
  <c r="AL41" i="1"/>
  <c r="BF40" i="1"/>
  <c r="AV40" i="1"/>
  <c r="AU40" i="1"/>
  <c r="AP40" i="1"/>
  <c r="AL40" i="1"/>
  <c r="BF39" i="1"/>
  <c r="AV39" i="1"/>
  <c r="AU39" i="1"/>
  <c r="AP39" i="1"/>
  <c r="AL39" i="1"/>
  <c r="BF38" i="1"/>
  <c r="AV38" i="1"/>
  <c r="AU38" i="1"/>
  <c r="AP38" i="1"/>
  <c r="AL38" i="1"/>
  <c r="BF37" i="1"/>
  <c r="AV37" i="1"/>
  <c r="AU37" i="1"/>
  <c r="AP37" i="1"/>
  <c r="AL37" i="1"/>
  <c r="BF36" i="1"/>
  <c r="AV36" i="1"/>
  <c r="AU36" i="1"/>
  <c r="AP36" i="1"/>
  <c r="AL36" i="1"/>
  <c r="BV35" i="1"/>
  <c r="BT35" i="1"/>
  <c r="BN35" i="1"/>
  <c r="BF35" i="1"/>
  <c r="AV35" i="1"/>
  <c r="AU35" i="1"/>
  <c r="AP35" i="1"/>
  <c r="AL35" i="1"/>
  <c r="BF34" i="1"/>
  <c r="AV34" i="1"/>
  <c r="AU34" i="1"/>
  <c r="AP34" i="1"/>
  <c r="AL34" i="1"/>
  <c r="BF33" i="1"/>
  <c r="AV33" i="1"/>
  <c r="AU33" i="1"/>
  <c r="AP33" i="1"/>
  <c r="AL33" i="1"/>
  <c r="AF33" i="1"/>
  <c r="AE33" i="1"/>
  <c r="Z33" i="1"/>
  <c r="V33" i="1"/>
  <c r="BF32" i="1"/>
  <c r="AV32" i="1"/>
  <c r="AU32" i="1"/>
  <c r="AP32" i="1"/>
  <c r="AL32" i="1"/>
  <c r="AE32" i="1"/>
  <c r="AF32" i="1" s="1"/>
  <c r="Z32" i="1"/>
  <c r="V32" i="1"/>
  <c r="BF31" i="1"/>
  <c r="AV31" i="1"/>
  <c r="AU31" i="1"/>
  <c r="AP31" i="1"/>
  <c r="AL31" i="1"/>
  <c r="AE31" i="1"/>
  <c r="Z31" i="1"/>
  <c r="V31" i="1"/>
  <c r="BF30" i="1"/>
  <c r="AV30" i="1"/>
  <c r="AU30" i="1"/>
  <c r="AP30" i="1"/>
  <c r="AL30" i="1"/>
  <c r="AE30" i="1"/>
  <c r="AF30" i="1" s="1"/>
  <c r="Z30" i="1"/>
  <c r="V30" i="1"/>
  <c r="BV29" i="1"/>
  <c r="BF29" i="1"/>
  <c r="AV29" i="1"/>
  <c r="AU29" i="1"/>
  <c r="AP29" i="1"/>
  <c r="AL29" i="1"/>
  <c r="AE29" i="1"/>
  <c r="Z29" i="1"/>
  <c r="V29" i="1"/>
  <c r="BV28" i="1"/>
  <c r="BF28" i="1"/>
  <c r="AV28" i="1"/>
  <c r="AU28" i="1"/>
  <c r="AP28" i="1"/>
  <c r="AL28" i="1"/>
  <c r="AE28" i="1"/>
  <c r="AF28" i="1" s="1"/>
  <c r="Z28" i="1"/>
  <c r="V28" i="1"/>
  <c r="BV27" i="1"/>
  <c r="BF27" i="1"/>
  <c r="AU27" i="1"/>
  <c r="AP27" i="1"/>
  <c r="AL27" i="1"/>
  <c r="AE27" i="1"/>
  <c r="AF27" i="1" s="1"/>
  <c r="Z27" i="1"/>
  <c r="V27" i="1"/>
  <c r="BF26" i="1"/>
  <c r="AU26" i="1"/>
  <c r="AP26" i="1"/>
  <c r="AL26" i="1"/>
  <c r="AE26" i="1"/>
  <c r="AF26" i="1" s="1"/>
  <c r="Z26" i="1"/>
  <c r="V26" i="1"/>
  <c r="BF25" i="1"/>
  <c r="AU25" i="1"/>
  <c r="AP25" i="1"/>
  <c r="AL25" i="1"/>
  <c r="AE25" i="1"/>
  <c r="AF25" i="1" s="1"/>
  <c r="Z25" i="1"/>
  <c r="V25" i="1"/>
  <c r="BV24" i="1"/>
  <c r="BF24" i="1"/>
  <c r="AU24" i="1"/>
  <c r="AP24" i="1"/>
  <c r="AL24" i="1"/>
  <c r="AE24" i="1"/>
  <c r="AF24" i="1" s="1"/>
  <c r="Z24" i="1"/>
  <c r="V24" i="1"/>
  <c r="BV23" i="1"/>
  <c r="BF23" i="1"/>
  <c r="AU23" i="1"/>
  <c r="AP23" i="1"/>
  <c r="AL23" i="1"/>
  <c r="AE23" i="1"/>
  <c r="AF23" i="1" s="1"/>
  <c r="Z23" i="1"/>
  <c r="V23" i="1"/>
  <c r="BV22" i="1"/>
  <c r="BF22" i="1"/>
  <c r="AU22" i="1"/>
  <c r="AP22" i="1"/>
  <c r="AL22" i="1"/>
  <c r="AE22" i="1"/>
  <c r="AF22" i="1" s="1"/>
  <c r="Z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BZ17" i="1"/>
  <c r="BX17" i="1"/>
  <c r="BV17" i="1"/>
  <c r="BT17" i="1"/>
  <c r="BQ17" i="1"/>
  <c r="BO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L16" i="1"/>
  <c r="BJ16" i="1"/>
  <c r="BH16" i="1"/>
  <c r="BF16" i="1"/>
  <c r="BD16" i="1"/>
  <c r="BA16" i="1"/>
  <c r="AV16" i="1"/>
  <c r="AT16" i="1"/>
  <c r="AR16" i="1"/>
  <c r="AP16" i="1"/>
  <c r="AN16" i="1"/>
  <c r="AK16" i="1"/>
  <c r="AF16" i="1"/>
  <c r="AD16" i="1"/>
  <c r="AB16" i="1"/>
  <c r="Z16" i="1"/>
  <c r="X16" i="1"/>
  <c r="U16" i="1"/>
  <c r="C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Z14" i="1"/>
  <c r="X14" i="1"/>
  <c r="U14" i="1"/>
  <c r="S14" i="1"/>
  <c r="N14" i="1"/>
  <c r="BV34" i="1" s="1"/>
  <c r="L14" i="1"/>
  <c r="CA12" i="1"/>
  <c r="BZ12" i="1"/>
  <c r="BQ12" i="1"/>
  <c r="BK12" i="1"/>
  <c r="BA12" i="1"/>
  <c r="AU12" i="1"/>
  <c r="AT12" i="1"/>
  <c r="AK12" i="1"/>
  <c r="AE12" i="1"/>
  <c r="U12" i="1"/>
  <c r="N12" i="1"/>
  <c r="AD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T11" i="1" s="1"/>
  <c r="CA10" i="1"/>
  <c r="BQ10" i="1"/>
  <c r="BK10" i="1"/>
  <c r="BG10" i="1"/>
  <c r="BA10" i="1"/>
  <c r="AU10" i="1"/>
  <c r="AQ10" i="1"/>
  <c r="AE10" i="1"/>
  <c r="M10" i="1"/>
  <c r="K10" i="1"/>
  <c r="BW10" i="1" s="1"/>
  <c r="CA9" i="1"/>
  <c r="BW9" i="1"/>
  <c r="BK9" i="1"/>
  <c r="BA9" i="1"/>
  <c r="AU9" i="1"/>
  <c r="AQ9" i="1"/>
  <c r="AK9" i="1"/>
  <c r="AE9" i="1"/>
  <c r="AA9" i="1"/>
  <c r="U9" i="1"/>
  <c r="BQ9" i="1" s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AK3" i="1"/>
  <c r="U3" i="1"/>
  <c r="E3" i="1"/>
  <c r="BQ3" i="1" s="1"/>
  <c r="AF2" i="1"/>
  <c r="AV2" i="1" s="1"/>
  <c r="BL2" i="1" s="1"/>
  <c r="CB2" i="1" s="1"/>
  <c r="AF29" i="1" l="1"/>
  <c r="AF31" i="1"/>
  <c r="CA4" i="1"/>
  <c r="AU4" i="1"/>
  <c r="AE4" i="1"/>
  <c r="AV25" i="1"/>
  <c r="AF48" i="1"/>
  <c r="BV25" i="1"/>
  <c r="BA3" i="1"/>
  <c r="BZ14" i="1"/>
  <c r="AV22" i="1"/>
  <c r="BZ11" i="1"/>
  <c r="BX14" i="1"/>
  <c r="AV26" i="1"/>
  <c r="BJ12" i="1"/>
  <c r="P17" i="1"/>
  <c r="AD11" i="1"/>
  <c r="BH14" i="1"/>
  <c r="BJ14" i="1"/>
  <c r="AA10" i="1"/>
  <c r="BJ11" i="1"/>
  <c r="AR14" i="1"/>
  <c r="BO16" i="1"/>
  <c r="AS22" i="1"/>
  <c r="AV23" i="1"/>
  <c r="BV30" i="1"/>
  <c r="BV26" i="1"/>
  <c r="AT14" i="1"/>
  <c r="AY16" i="1"/>
  <c r="AV24" i="1"/>
  <c r="AV27" i="1"/>
  <c r="BV31" i="1"/>
  <c r="AS23" i="1"/>
  <c r="BV32" i="1"/>
  <c r="AB14" i="1"/>
  <c r="AI16" i="1"/>
  <c r="AD14" i="1"/>
  <c r="S16" i="1"/>
  <c r="AS24" i="1"/>
  <c r="BV33" i="1"/>
  <c r="AV48" i="1" l="1"/>
  <c r="CB17" i="1"/>
  <c r="BL17" i="1"/>
  <c r="AV17" i="1"/>
  <c r="AF17" i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93F6F116-D79D-4058-B5DC-B2546753B99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A560967E-74CC-4FB0-B83C-F22F06E939AB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30BD7036-F0F9-49A9-A15F-EA8B32083D0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<sst xmlns="http://schemas.openxmlformats.org/spreadsheetml/2006/main" count="571" uniqueCount="199">
  <si>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</si>
  <si>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</si>
  <si>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</si>
  <si>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</si>
  <si>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</si>
  <si>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</si>
  <si>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</si>
  <si>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</si>
  <si>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</si>
  <si>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</si>
  <si>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</si>
  <si>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</si>
  <si>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</si>
  <si>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</si>
  <si>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</si>
  <si>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CAL-KD FIX C</t>
  </si>
  <si>
    <t>Delivery Date</t>
  </si>
  <si>
    <t>Elevation Code</t>
  </si>
  <si>
    <t>52F/CL/F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</si>
  <si>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</si>
  <si>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</si>
  <si>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</si>
  <si>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U9E-51024</t>
  </si>
  <si>
    <t>Unit Code</t>
  </si>
  <si>
    <r>
      <t xml:space="preserve">H </t>
    </r>
    <r>
      <rPr>
        <sz val="10"/>
        <rFont val="Arial"/>
        <family val="2"/>
      </rPr>
      <t>item</t>
    </r>
  </si>
  <si>
    <t>U9E-50006</t>
  </si>
  <si>
    <t>52CL-A/SC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</si>
  <si>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</si>
  <si>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</si>
  <si>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</si>
  <si>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</si>
  <si>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</si>
  <si>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</si>
  <si>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</si>
  <si>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</si>
  <si>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</si>
  <si>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</si>
  <si>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</si>
  <si>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</si>
  <si>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</si>
  <si>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</si>
  <si>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</si>
  <si>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</si>
  <si>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</si>
  <si>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</si>
  <si>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</si>
  <si>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</si>
  <si>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</si>
  <si>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</si>
  <si>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</si>
  <si>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</si>
  <si>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</si>
  <si>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</si>
  <si>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</si>
  <si>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</si>
  <si>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</si>
  <si>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</si>
  <si>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</si>
  <si>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</si>
  <si>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</si>
  <si>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</si>
  <si>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</si>
  <si>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</si>
  <si>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</si>
  <si>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</si>
  <si>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</si>
  <si>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</si>
  <si>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</si>
  <si>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</si>
  <si>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</si>
  <si>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</si>
  <si>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</si>
  <si>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</si>
  <si>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</si>
  <si>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</si>
  <si>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</si>
  <si>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</si>
  <si>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</si>
  <si>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</si>
  <si>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</si>
  <si>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</si>
  <si>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</si>
  <si>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</si>
  <si>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</si>
  <si>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</si>
  <si>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2K-33876Y</t>
  </si>
  <si>
    <t>SILL</t>
  </si>
  <si>
    <t>9K-87102</t>
  </si>
  <si>
    <t>BOTTOM RAIL</t>
  </si>
  <si>
    <t>9K-30239</t>
  </si>
  <si>
    <t>9K-20669</t>
  </si>
  <si>
    <t>TRANSOM</t>
  </si>
  <si>
    <t>9K-87116</t>
  </si>
  <si>
    <t>STILE(L)</t>
  </si>
  <si>
    <t>9K-87137</t>
  </si>
  <si>
    <t>9K-20754</t>
  </si>
  <si>
    <t>M</t>
  </si>
  <si>
    <t>9K-20856</t>
  </si>
  <si>
    <t>9K-87131</t>
  </si>
  <si>
    <t>STILE(R)</t>
  </si>
  <si>
    <t>2K-29158</t>
  </si>
  <si>
    <t>2K-22277</t>
  </si>
  <si>
    <t>JAMB(L)</t>
  </si>
  <si>
    <t>9K-87104</t>
  </si>
  <si>
    <t>GLASS BEAD</t>
  </si>
  <si>
    <t>9K-86115</t>
  </si>
  <si>
    <t>2K-29161</t>
  </si>
  <si>
    <t>JAMB(R)</t>
  </si>
  <si>
    <t>MS-4012</t>
  </si>
  <si>
    <t>FOR HANDLE</t>
  </si>
  <si>
    <t>9K-87119</t>
  </si>
  <si>
    <t>9K-20848</t>
  </si>
  <si>
    <t>EF-4008D7-SA</t>
  </si>
  <si>
    <t>S</t>
  </si>
  <si>
    <t>9K-20849</t>
  </si>
  <si>
    <t>BM-4025G</t>
  </si>
  <si>
    <t>FOR JOINT FRAME</t>
  </si>
  <si>
    <t>9K-20850</t>
  </si>
  <si>
    <t>9K-20851</t>
  </si>
  <si>
    <t>EM-4008D8-SA</t>
  </si>
  <si>
    <t>EF-4006D6</t>
  </si>
  <si>
    <t>FOR GLASS BEAD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</si>
  <si>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</si>
  <si>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</si>
  <si>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</si>
  <si>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</si>
  <si>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</si>
  <si>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</si>
  <si>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</si>
  <si>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</si>
  <si>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</si>
  <si>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</si>
  <si>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</si>
  <si>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</si>
  <si>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</si>
  <si>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</si>
  <si>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</si>
  <si>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</si>
  <si>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</si>
  <si>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</si>
  <si>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</si>
  <si>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</si>
  <si>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</si>
  <si>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</si>
  <si>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</si>
  <si>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</si>
  <si>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</si>
  <si>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</si>
  <si>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</si>
  <si>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</si>
  <si>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</si>
  <si>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</si>
  <si>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</si>
  <si>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</si>
  <si>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</si>
  <si>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</si>
  <si>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</si>
  <si>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</si>
  <si>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</si>
  <si>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</si>
  <si>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</si>
  <si>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GLASS BEAD(L)</t>
  </si>
  <si>
    <t>GLASS BEAD(R)</t>
  </si>
  <si>
    <t>BEADING</t>
  </si>
  <si>
    <t>FRICTION STAY</t>
  </si>
  <si>
    <t>SEALER PAD</t>
  </si>
  <si>
    <t>LABEL</t>
  </si>
  <si>
    <t>SCREW</t>
  </si>
  <si>
    <t>SHIM RECEIVER</t>
  </si>
  <si>
    <t>HOLE CAP</t>
  </si>
  <si>
    <t>GASKET</t>
  </si>
  <si>
    <t>CAMLATCH RECEIVER</t>
  </si>
  <si>
    <t>AL PLATE</t>
  </si>
  <si>
    <t>BACKPLATE</t>
  </si>
  <si>
    <t>PULLING BLOCK</t>
  </si>
  <si>
    <t>AT MATERIAL</t>
  </si>
  <si>
    <t>SETTING BLOCK</t>
  </si>
  <si>
    <t>9K-30241</t>
  </si>
  <si>
    <t>EM-4008</t>
  </si>
  <si>
    <t>2K-30630</t>
  </si>
  <si>
    <t>YS</t>
  </si>
  <si>
    <t>YK</t>
  </si>
  <si>
    <t>YW</t>
  </si>
  <si>
    <t>Y</t>
  </si>
  <si>
    <t>FOR FRICTION STAY</t>
  </si>
  <si>
    <t>FOR PULLING BLOCK</t>
  </si>
  <si>
    <t>FOR INSIDE</t>
  </si>
  <si>
    <t>FOR TRANSOM</t>
  </si>
  <si>
    <t>FOR BACKPLATE</t>
  </si>
  <si>
    <t>FOR AL PLATE / BACKPLATE</t>
  </si>
  <si>
    <t>FOR OUTSIDE</t>
  </si>
  <si>
    <t>HANDLE</t>
  </si>
  <si>
    <t>WEATHER STRIP</t>
  </si>
  <si>
    <t>ARMSTOPPER</t>
  </si>
  <si>
    <t>P-20</t>
  </si>
  <si>
    <t>9K-11113</t>
  </si>
  <si>
    <t>EM-4012</t>
  </si>
  <si>
    <t>FOR TOP RAIL, BOTTOM RAIL</t>
  </si>
  <si>
    <t>FOR ARMSTOPPER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</si>
</sst>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</cellXfs>
  <cellStyles count="5">
    <cellStyle name="Currency_FORM New Break Down 2" xfId="2" xr:uid="{A9649C7F-C239-47D8-BE55-A47CF9A23654}"/>
    <cellStyle name="Normal" xfId="0" builtinId="0"/>
    <cellStyle name="Normal 2" xfId="1" xr:uid="{526A9DE8-31B5-49D9-94B4-D695D634DF56}"/>
    <cellStyle name="Normal 5" xfId="3" xr:uid="{8CFD5DC6-DB2E-4164-AAD4-D0A797DACDB7}"/>
    <cellStyle name="Normal_COBA 2" xfId="4" xr:uid="{4D3E3871-B137-4E08-A354-645B82ECB8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4242D83-BFFD-44A3-803B-CAF198046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9BCE0443-31A4-4616-BDE5-6D355FA3B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21272D1D-1869-4EE5-8664-E01067FF9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5754B818-FB6E-49B6-9084-017E84CBE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0263261A-BAA8-467D-B7D3-02078B493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1CCF2A61-CB73-4445-8C0B-30F3B10D0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B9C1FDC-BA62-4393-AFB6-3CB47D421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420717</xdr:colOff>
      <xdr:row>36</xdr:row>
      <xdr:rowOff>120015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E692362D-1027-458E-8E23-68ED184752B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512" r="7000"/>
        <a:stretch/>
      </xdr:blipFill>
      <xdr:spPr bwMode="auto">
        <a:xfrm>
          <a:off x="2720340" y="3726180"/>
          <a:ext cx="3956397" cy="31603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3A50A-F33B-4B8D-85E2-10142C1BB27D}">
  <sheetPr codeName="Sheet58"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X25" sqref="X25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7.441406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7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45516.49930127315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45516.49930127315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45516.49930127315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45516.49930127315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45516.49930127315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CAL-KD FIX 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CAL-KD FIX 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CAL-KD FIX 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CAL-KD FIX 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52F/CL/F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52F/CL/F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52F/CL/F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52F/CL/F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4">
        <f>W</f>
        <v>1000</v>
      </c>
      <c r="L9" s="335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52F/CL/F</v>
      </c>
      <c r="V9" s="36"/>
      <c r="W9" s="55"/>
      <c r="X9" s="62"/>
      <c r="Y9" s="62"/>
      <c r="Z9" s="63" t="s">
        <v>21</v>
      </c>
      <c r="AA9" s="334">
        <f>$K$9</f>
        <v>1000</v>
      </c>
      <c r="AB9" s="335"/>
      <c r="AC9" s="65"/>
      <c r="AD9" s="61"/>
      <c r="AE9" s="59" t="str">
        <f>IF($O$9&gt;0,$O$9,"")</f>
        <v>U9E-51024</v>
      </c>
      <c r="AF9" s="60"/>
      <c r="AG9" s="3"/>
      <c r="AH9" s="53" t="s">
        <v>20</v>
      </c>
      <c r="AI9" s="36"/>
      <c r="AJ9" s="37"/>
      <c r="AK9" s="54" t="str">
        <f>IF($E$9&gt;0,$E$9,"")</f>
        <v>52F/CL/F</v>
      </c>
      <c r="AL9" s="36"/>
      <c r="AM9" s="55"/>
      <c r="AN9" s="62"/>
      <c r="AO9" s="62"/>
      <c r="AP9" s="63" t="s">
        <v>21</v>
      </c>
      <c r="AQ9" s="334">
        <f>$K$9</f>
        <v>1000</v>
      </c>
      <c r="AR9" s="335"/>
      <c r="AS9" s="65"/>
      <c r="AT9" s="61"/>
      <c r="AU9" s="59" t="str">
        <f>IF($O$9&gt;0,$O$9,"")</f>
        <v>U9E-51024</v>
      </c>
      <c r="AV9" s="60"/>
      <c r="AW9" s="3"/>
      <c r="AX9" s="53" t="s">
        <v>20</v>
      </c>
      <c r="AY9" s="36"/>
      <c r="AZ9" s="37"/>
      <c r="BA9" s="54" t="str">
        <f>IF(E9&gt;0,E9,"")</f>
        <v>52F/CL/F</v>
      </c>
      <c r="BB9" s="36"/>
      <c r="BC9" s="55"/>
      <c r="BD9" s="62"/>
      <c r="BE9" s="62"/>
      <c r="BF9" s="63" t="s">
        <v>21</v>
      </c>
      <c r="BG9" s="334">
        <f>$K$9</f>
        <v>1000</v>
      </c>
      <c r="BH9" s="335"/>
      <c r="BI9" s="65"/>
      <c r="BJ9" s="61"/>
      <c r="BK9" s="59" t="str">
        <f>IF($O$9&gt;0,$O$9,"")</f>
        <v>U9E-51024</v>
      </c>
      <c r="BL9" s="60"/>
      <c r="BM9" s="3"/>
      <c r="BN9" s="53" t="s">
        <v>20</v>
      </c>
      <c r="BO9" s="36"/>
      <c r="BP9" s="37"/>
      <c r="BQ9" s="54" t="str">
        <f>IF(U9&gt;0,U9,"")</f>
        <v>52F/CL/F</v>
      </c>
      <c r="BR9" s="36"/>
      <c r="BS9" s="55"/>
      <c r="BT9" s="62"/>
      <c r="BU9" s="62"/>
      <c r="BV9" s="63" t="s">
        <v>21</v>
      </c>
      <c r="BW9" s="334">
        <f>$K$9</f>
        <v>1000</v>
      </c>
      <c r="BX9" s="335"/>
      <c r="BY9" s="65"/>
      <c r="BZ9" s="61"/>
      <c r="CA9" s="59" t="str">
        <f>IF($O$9&gt;0,$O$9,"")</f>
        <v>U9E-51024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4">
        <f>H</f>
        <v>2000</v>
      </c>
      <c r="L10" s="336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4">
        <f>$K$10</f>
        <v>2000</v>
      </c>
      <c r="AB10" s="335"/>
      <c r="AC10" s="65"/>
      <c r="AD10" s="61"/>
      <c r="AE10" s="59" t="str">
        <f>IF($O$10&gt;0,$O$10,"")</f>
        <v>U9E-50006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4">
        <f>$K$10</f>
        <v>2000</v>
      </c>
      <c r="AR10" s="335"/>
      <c r="AS10" s="65"/>
      <c r="AT10" s="61"/>
      <c r="AU10" s="59" t="str">
        <f>IF($O$10&gt;0,$O$10,"")</f>
        <v>U9E-50006</v>
      </c>
      <c r="AV10" s="60"/>
      <c r="AW10" s="3"/>
      <c r="AX10" s="53" t="s">
        <v>23</v>
      </c>
      <c r="AY10" s="36"/>
      <c r="AZ10" s="37"/>
      <c r="BA10" s="54" t="str">
        <f>IF($U$10&gt;0,$U$10,"")</f>
        <v>52F/CL/F</v>
      </c>
      <c r="BB10" s="36"/>
      <c r="BC10" s="55"/>
      <c r="BD10" s="62"/>
      <c r="BE10" s="62"/>
      <c r="BF10" s="66" t="s">
        <v>24</v>
      </c>
      <c r="BG10" s="334">
        <f>$K$10</f>
        <v>2000</v>
      </c>
      <c r="BH10" s="335"/>
      <c r="BI10" s="65"/>
      <c r="BJ10" s="61"/>
      <c r="BK10" s="59" t="str">
        <f>IF($O$10&gt;0,$O$10,"")</f>
        <v>U9E-50006</v>
      </c>
      <c r="BL10" s="60"/>
      <c r="BM10" s="3"/>
      <c r="BN10" s="53" t="s">
        <v>23</v>
      </c>
      <c r="BO10" s="36"/>
      <c r="BP10" s="37"/>
      <c r="BQ10" s="54" t="str">
        <f>IF($AK$10&gt;0,$AK$10,"")</f>
        <v>52CL-A/SC</v>
      </c>
      <c r="BR10" s="36"/>
      <c r="BS10" s="55"/>
      <c r="BT10" s="62"/>
      <c r="BU10" s="62"/>
      <c r="BV10" s="66" t="s">
        <v>24</v>
      </c>
      <c r="BW10" s="334">
        <f>$K$10</f>
        <v>2000</v>
      </c>
      <c r="BX10" s="335"/>
      <c r="BY10" s="65"/>
      <c r="BZ10" s="61"/>
      <c r="CA10" s="59" t="str">
        <f>IF($O$10&gt;0,$O$10,"")</f>
        <v>U9E-50006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2" t="s">
        <v>28</v>
      </c>
      <c r="I11" s="332">
        <v>1</v>
      </c>
      <c r="J11" s="332" t="s">
        <v>29</v>
      </c>
      <c r="K11" s="328" t="s">
        <v>30</v>
      </c>
      <c r="L11" s="329"/>
      <c r="M11" s="323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2" t="s">
        <v>28</v>
      </c>
      <c r="Y11" s="332">
        <f>IF($I$11&gt;0,$I$11,"")</f>
        <v>1</v>
      </c>
      <c r="Z11" s="332" t="s">
        <v>29</v>
      </c>
      <c r="AA11" s="328" t="str">
        <f>IF($K$11&gt;0,$K$11,"")</f>
        <v>TT01</v>
      </c>
      <c r="AB11" s="329"/>
      <c r="AC11" s="323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2" t="s">
        <v>28</v>
      </c>
      <c r="AO11" s="332">
        <f>IF($I$11&gt;0,$I$11,"")</f>
        <v>1</v>
      </c>
      <c r="AP11" s="332" t="s">
        <v>29</v>
      </c>
      <c r="AQ11" s="328" t="str">
        <f>IF($K$11&gt;0,$K$11,"")</f>
        <v>TT01</v>
      </c>
      <c r="AR11" s="329"/>
      <c r="AS11" s="323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2" t="s">
        <v>28</v>
      </c>
      <c r="BE11" s="332">
        <f>IF($I$11&gt;0,$I$11,"")</f>
        <v>1</v>
      </c>
      <c r="BF11" s="332" t="s">
        <v>29</v>
      </c>
      <c r="BG11" s="328" t="str">
        <f>IF($K$11&gt;0,$K$11,"")</f>
        <v>TT01</v>
      </c>
      <c r="BH11" s="329"/>
      <c r="BI11" s="323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2" t="s">
        <v>28</v>
      </c>
      <c r="BU11" s="332">
        <f>IF($I$11&gt;0,$I$11,"")</f>
        <v>1</v>
      </c>
      <c r="BV11" s="332" t="s">
        <v>29</v>
      </c>
      <c r="BW11" s="328" t="str">
        <f>IF($K$11&gt;0,$K$11,"")</f>
        <v>TT01</v>
      </c>
      <c r="BX11" s="329"/>
      <c r="BY11" s="323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3"/>
      <c r="I12" s="333"/>
      <c r="J12" s="333"/>
      <c r="K12" s="330"/>
      <c r="L12" s="331"/>
      <c r="M12" s="324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3"/>
      <c r="Y12" s="333"/>
      <c r="Z12" s="333"/>
      <c r="AA12" s="330"/>
      <c r="AB12" s="331"/>
      <c r="AC12" s="324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3"/>
      <c r="AO12" s="333"/>
      <c r="AP12" s="333"/>
      <c r="AQ12" s="330"/>
      <c r="AR12" s="331"/>
      <c r="AS12" s="324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3"/>
      <c r="BE12" s="333"/>
      <c r="BF12" s="333"/>
      <c r="BG12" s="330"/>
      <c r="BH12" s="331"/>
      <c r="BI12" s="324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3"/>
      <c r="BU12" s="333"/>
      <c r="BV12" s="333"/>
      <c r="BW12" s="330"/>
      <c r="BX12" s="331"/>
      <c r="BY12" s="324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v>1300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1300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1300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1300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1300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>
        <f>H-h.1-h.2-80</f>
        <v>320</v>
      </c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>
        <f>IF($C$16&gt;0,$C$16,"")</f>
        <v>320</v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>
        <f>IF($C$16&gt;0,$C$16,"")</f>
        <v>320</v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>
        <f>IF($C$16&gt;0,$C$16,"")</f>
        <v>320</v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>
        <f>IF($C$16&gt;0,$C$16,"")</f>
        <v>320</v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>
        <f>(HS.1/2)+h.1+45</f>
        <v>990</v>
      </c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>
        <f>IF($P$17&gt;0,$P$17,"")</f>
        <v>990</v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>
        <f>IF($P$17&gt;0,$P$17,"")</f>
        <v>990</v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>
        <f>IF($P$17&gt;0,$P$17,"")</f>
        <v>990</v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>
        <f>IF($P$17&gt;0,$P$17,"")</f>
        <v>990</v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1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 t="str">
        <f>IF(WS.1&lt;=448,"4K-14210",IF(WS.1&lt;=748,"4K-12285",IF(WS.1&lt;=848,"4K-12286",IF(WS.1&gt;848,"4K-15550","4K-15550"))))</f>
        <v>4K-15550</v>
      </c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164</v>
      </c>
      <c r="AY22" s="199"/>
      <c r="AZ22" s="200"/>
      <c r="BA22" s="204" t="str">
        <f>IF(W&lt;=500,"4K-14210",IF(W&lt;=800,"4K-12285",IF(W&lt;=900,"4K-12286","4K-15550")))</f>
        <v>4K-15550</v>
      </c>
      <c r="BB22" s="168"/>
      <c r="BC22" s="180"/>
      <c r="BD22" s="181" t="s">
        <v>180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191</v>
      </c>
      <c r="BO22" s="199"/>
      <c r="BP22" s="200"/>
      <c r="BQ22" s="204" t="s">
        <v>85</v>
      </c>
      <c r="BR22" s="168"/>
      <c r="BS22" s="180"/>
      <c r="BT22" s="181" t="s">
        <v>183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161</v>
      </c>
      <c r="S23" s="199"/>
      <c r="T23" s="200"/>
      <c r="U23" s="167" t="s">
        <v>110</v>
      </c>
      <c r="V23" s="168" t="str">
        <f t="shared" si="0"/>
        <v>-</v>
      </c>
      <c r="W23" s="201">
        <v>1</v>
      </c>
      <c r="X23" s="207">
        <f>h.3-36</f>
        <v>284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0.13900000000000001</v>
      </c>
      <c r="AF23" s="178">
        <f>IF(U23&gt;"",(AE23*X23*Z23)/1000,"")</f>
        <v>3.9476000000000004E-2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2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 t="str">
        <f>IF(WS.1&lt;=448,"4K-14210",IF(WS.1&lt;=748,"4K-12285",IF(WS.1&lt;=848,"4K-12286",IF(WS.1&gt;848,"4K-15550","4K-15550"))))</f>
        <v>4K-15550</v>
      </c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165</v>
      </c>
      <c r="AY23" s="199"/>
      <c r="AZ23" s="200"/>
      <c r="BA23" s="167" t="s">
        <v>117</v>
      </c>
      <c r="BB23" s="168"/>
      <c r="BC23" s="180"/>
      <c r="BD23" s="181" t="s">
        <v>181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174</v>
      </c>
      <c r="BO23" s="199"/>
      <c r="BP23" s="200"/>
      <c r="BQ23" s="167" t="s">
        <v>179</v>
      </c>
      <c r="BR23" s="168"/>
      <c r="BS23" s="180"/>
      <c r="BT23" s="181" t="s">
        <v>181</v>
      </c>
      <c r="BU23" s="171">
        <f>IF(HS.1&gt;950,1,0)</f>
        <v>1</v>
      </c>
      <c r="BV23" s="172">
        <f t="shared" si="8"/>
        <v>1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162</v>
      </c>
      <c r="S24" s="199"/>
      <c r="T24" s="200"/>
      <c r="U24" s="167" t="s">
        <v>110</v>
      </c>
      <c r="V24" s="168" t="str">
        <f t="shared" si="0"/>
        <v>-</v>
      </c>
      <c r="W24" s="201">
        <v>2</v>
      </c>
      <c r="X24" s="207">
        <f>h.3-36</f>
        <v>284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0.13900000000000001</v>
      </c>
      <c r="AF24" s="178">
        <f t="shared" ref="AF24:AF47" si="9">IF(U24&gt;"",(AE24*X24*Z24)/1000,"")</f>
        <v>3.9476000000000004E-2</v>
      </c>
      <c r="AG24" s="4"/>
      <c r="AH24" s="198" t="s">
        <v>93</v>
      </c>
      <c r="AI24" s="199"/>
      <c r="AJ24" s="203"/>
      <c r="AK24" s="167" t="s">
        <v>94</v>
      </c>
      <c r="AL24" s="168" t="str">
        <f t="shared" si="3"/>
        <v>-</v>
      </c>
      <c r="AM24" s="201">
        <v>4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/>
      <c r="AS24" s="175" t="str">
        <f>CONCATENATE("as = ",(HS.1/2))</f>
        <v>as = 645</v>
      </c>
      <c r="AT24" s="176"/>
      <c r="AU24" s="177">
        <f t="shared" si="5"/>
        <v>0.55700000000000005</v>
      </c>
      <c r="AV24" s="178">
        <f t="shared" si="6"/>
        <v>0.71853000000000011</v>
      </c>
      <c r="AW24" s="4"/>
      <c r="AX24" s="198" t="s">
        <v>165</v>
      </c>
      <c r="AY24" s="199"/>
      <c r="AZ24" s="200"/>
      <c r="BA24" s="167" t="s">
        <v>118</v>
      </c>
      <c r="BB24" s="168"/>
      <c r="BC24" s="180"/>
      <c r="BD24" s="181" t="s">
        <v>181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176</v>
      </c>
      <c r="BO24" s="199"/>
      <c r="BP24" s="200"/>
      <c r="BQ24" s="167" t="s">
        <v>90</v>
      </c>
      <c r="BR24" s="168"/>
      <c r="BS24" s="180"/>
      <c r="BT24" s="181" t="s">
        <v>181</v>
      </c>
      <c r="BU24" s="171"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86</v>
      </c>
      <c r="S25" s="199"/>
      <c r="T25" s="200"/>
      <c r="U25" s="167" t="s">
        <v>87</v>
      </c>
      <c r="V25" s="168" t="str">
        <f t="shared" si="0"/>
        <v>-</v>
      </c>
      <c r="W25" s="201">
        <v>1</v>
      </c>
      <c r="X25" s="207">
        <f>W-41</f>
        <v>959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0.57099999999999995</v>
      </c>
      <c r="AF25" s="178">
        <f t="shared" si="9"/>
        <v>0.54758899999999999</v>
      </c>
      <c r="AG25" s="4"/>
      <c r="AH25" s="198" t="s">
        <v>99</v>
      </c>
      <c r="AI25" s="199"/>
      <c r="AJ25" s="203"/>
      <c r="AK25" s="167" t="s">
        <v>94</v>
      </c>
      <c r="AL25" s="168" t="str">
        <f t="shared" si="3"/>
        <v>-</v>
      </c>
      <c r="AM25" s="201">
        <v>2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/>
      <c r="AS25" s="175"/>
      <c r="AT25" s="176"/>
      <c r="AU25" s="177">
        <f t="shared" si="5"/>
        <v>0.55700000000000005</v>
      </c>
      <c r="AV25" s="178">
        <f t="shared" si="6"/>
        <v>0.71853000000000011</v>
      </c>
      <c r="AW25" s="4"/>
      <c r="AX25" s="198" t="s">
        <v>166</v>
      </c>
      <c r="AY25" s="199"/>
      <c r="AZ25" s="200"/>
      <c r="BA25" s="167" t="s">
        <v>177</v>
      </c>
      <c r="BB25" s="168"/>
      <c r="BC25" s="180"/>
      <c r="BD25" s="181" t="s">
        <v>180</v>
      </c>
      <c r="BE25" s="171">
        <v>1</v>
      </c>
      <c r="BF25" s="172">
        <f t="shared" si="7"/>
        <v>1</v>
      </c>
      <c r="BG25" s="183"/>
      <c r="BH25" s="184"/>
      <c r="BI25" s="185"/>
      <c r="BJ25" s="186"/>
      <c r="BK25" s="187"/>
      <c r="BL25" s="188" t="s">
        <v>7</v>
      </c>
      <c r="BM25" s="4"/>
      <c r="BN25" s="198" t="s">
        <v>176</v>
      </c>
      <c r="BO25" s="199"/>
      <c r="BP25" s="200"/>
      <c r="BQ25" s="167" t="s">
        <v>97</v>
      </c>
      <c r="BR25" s="168"/>
      <c r="BS25" s="180"/>
      <c r="BT25" s="181" t="s">
        <v>181</v>
      </c>
      <c r="BU25" s="171">
        <v>2</v>
      </c>
      <c r="BV25" s="172">
        <f t="shared" si="8"/>
        <v>2</v>
      </c>
      <c r="BW25" s="183"/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91</v>
      </c>
      <c r="S26" s="199"/>
      <c r="T26" s="200"/>
      <c r="U26" s="167" t="s">
        <v>92</v>
      </c>
      <c r="V26" s="168" t="str">
        <f t="shared" si="0"/>
        <v>-</v>
      </c>
      <c r="W26" s="201">
        <v>2</v>
      </c>
      <c r="X26" s="170">
        <f>W-41</f>
        <v>959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0.79900000000000004</v>
      </c>
      <c r="AF26" s="178">
        <f t="shared" si="9"/>
        <v>0.76624099999999995</v>
      </c>
      <c r="AG26" s="4"/>
      <c r="AH26" s="198" t="s">
        <v>163</v>
      </c>
      <c r="AI26" s="199"/>
      <c r="AJ26" s="203"/>
      <c r="AK26" s="167" t="s">
        <v>105</v>
      </c>
      <c r="AL26" s="168" t="str">
        <f t="shared" si="3"/>
        <v>-</v>
      </c>
      <c r="AM26" s="201">
        <v>0</v>
      </c>
      <c r="AN26" s="170">
        <f>WS.1-83</f>
        <v>865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0.16608000000000001</v>
      </c>
      <c r="AW26" s="4"/>
      <c r="AX26" s="198" t="s">
        <v>167</v>
      </c>
      <c r="AY26" s="199"/>
      <c r="AZ26" s="200"/>
      <c r="BA26" s="167" t="s">
        <v>119</v>
      </c>
      <c r="BB26" s="168"/>
      <c r="BC26" s="180"/>
      <c r="BD26" s="181" t="s">
        <v>180</v>
      </c>
      <c r="BE26" s="171">
        <f>IF(W&gt;500,8,6)</f>
        <v>8</v>
      </c>
      <c r="BF26" s="172">
        <f t="shared" si="7"/>
        <v>8</v>
      </c>
      <c r="BG26" s="183"/>
      <c r="BH26" s="184" t="s">
        <v>184</v>
      </c>
      <c r="BI26" s="185"/>
      <c r="BJ26" s="186"/>
      <c r="BK26" s="187"/>
      <c r="BL26" s="188"/>
      <c r="BM26" s="4"/>
      <c r="BN26" s="198" t="s">
        <v>170</v>
      </c>
      <c r="BO26" s="199"/>
      <c r="BP26" s="200"/>
      <c r="BQ26" s="167" t="s">
        <v>101</v>
      </c>
      <c r="BR26" s="168"/>
      <c r="BS26" s="180"/>
      <c r="BT26" s="181" t="s">
        <v>181</v>
      </c>
      <c r="BU26" s="171">
        <f>(((WS.1-66)*2)+((HS.1-84)*2))/1000</f>
        <v>4.1760000000000002</v>
      </c>
      <c r="BV26" s="172">
        <f t="shared" si="8"/>
        <v>4.1760000000000002</v>
      </c>
      <c r="BW26" s="183" t="s">
        <v>96</v>
      </c>
      <c r="BX26" s="184" t="s">
        <v>190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91</v>
      </c>
      <c r="S27" s="199"/>
      <c r="T27" s="200"/>
      <c r="U27" s="167" t="s">
        <v>98</v>
      </c>
      <c r="V27" s="168" t="str">
        <f t="shared" si="0"/>
        <v>-</v>
      </c>
      <c r="W27" s="201">
        <v>3</v>
      </c>
      <c r="X27" s="170">
        <f>W-41</f>
        <v>959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0.89500000000000002</v>
      </c>
      <c r="AF27" s="178">
        <f t="shared" si="9"/>
        <v>0.8583050000000001</v>
      </c>
      <c r="AG27" s="4"/>
      <c r="AH27" s="198" t="s">
        <v>163</v>
      </c>
      <c r="AI27" s="199"/>
      <c r="AJ27" s="203"/>
      <c r="AK27" s="167" t="s">
        <v>105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167</v>
      </c>
      <c r="AY27" s="199"/>
      <c r="AZ27" s="200"/>
      <c r="BA27" s="167" t="s">
        <v>178</v>
      </c>
      <c r="BB27" s="168"/>
      <c r="BC27" s="180"/>
      <c r="BD27" s="181" t="s">
        <v>180</v>
      </c>
      <c r="BE27" s="171">
        <f>IF(h.2&gt;960,2,0)</f>
        <v>2</v>
      </c>
      <c r="BF27" s="172">
        <f t="shared" si="7"/>
        <v>2</v>
      </c>
      <c r="BG27" s="212"/>
      <c r="BH27" s="184" t="s">
        <v>185</v>
      </c>
      <c r="BI27" s="185"/>
      <c r="BJ27" s="186"/>
      <c r="BK27" s="187"/>
      <c r="BL27" s="188"/>
      <c r="BM27" s="4"/>
      <c r="BN27" s="198" t="s">
        <v>192</v>
      </c>
      <c r="BO27" s="199"/>
      <c r="BP27" s="200"/>
      <c r="BQ27" s="167" t="s">
        <v>106</v>
      </c>
      <c r="BR27" s="168"/>
      <c r="BS27" s="180"/>
      <c r="BT27" s="181" t="s">
        <v>181</v>
      </c>
      <c r="BU27" s="171">
        <f>(HS.1*2)/1000</f>
        <v>2.58</v>
      </c>
      <c r="BV27" s="172">
        <f t="shared" si="8"/>
        <v>2.58</v>
      </c>
      <c r="BW27" s="212" t="s">
        <v>96</v>
      </c>
      <c r="BX27" s="184"/>
      <c r="BY27" s="185"/>
      <c r="BZ27" s="186"/>
      <c r="CA27" s="187"/>
      <c r="CB27" s="188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102</v>
      </c>
      <c r="S28" s="214"/>
      <c r="T28" s="215"/>
      <c r="U28" s="167" t="s">
        <v>103</v>
      </c>
      <c r="V28" s="168" t="str">
        <f t="shared" si="0"/>
        <v>-</v>
      </c>
      <c r="W28" s="201">
        <v>19</v>
      </c>
      <c r="X28" s="170">
        <f>H</f>
        <v>2000</v>
      </c>
      <c r="Y28" s="171">
        <v>2</v>
      </c>
      <c r="Z28" s="172">
        <f t="shared" si="1"/>
        <v>2</v>
      </c>
      <c r="AA28" s="209"/>
      <c r="AB28" s="174" t="str">
        <f>CONCATENATE("a = ",(h.1+(h.2/2)+40))</f>
        <v>a = 990</v>
      </c>
      <c r="AC28" s="175"/>
      <c r="AD28" s="211"/>
      <c r="AE28" s="177">
        <f t="shared" si="2"/>
        <v>0.57399999999999995</v>
      </c>
      <c r="AF28" s="178">
        <f t="shared" si="9"/>
        <v>2.2959999999999998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167</v>
      </c>
      <c r="AY28" s="199"/>
      <c r="AZ28" s="200"/>
      <c r="BA28" s="167" t="s">
        <v>120</v>
      </c>
      <c r="BB28" s="168"/>
      <c r="BC28" s="180"/>
      <c r="BD28" s="181" t="s">
        <v>180</v>
      </c>
      <c r="BE28" s="171">
        <v>4</v>
      </c>
      <c r="BF28" s="172">
        <f t="shared" si="7"/>
        <v>4</v>
      </c>
      <c r="BG28" s="183"/>
      <c r="BH28" s="184" t="s">
        <v>121</v>
      </c>
      <c r="BI28" s="185"/>
      <c r="BJ28" s="186"/>
      <c r="BK28" s="187"/>
      <c r="BL28" s="188" t="s">
        <v>7</v>
      </c>
      <c r="BM28" s="4"/>
      <c r="BN28" s="198" t="s">
        <v>167</v>
      </c>
      <c r="BO28" s="199"/>
      <c r="BP28" s="200"/>
      <c r="BQ28" s="167" t="s">
        <v>108</v>
      </c>
      <c r="BR28" s="168"/>
      <c r="BS28" s="180"/>
      <c r="BT28" s="181" t="s">
        <v>180</v>
      </c>
      <c r="BU28" s="171">
        <v>2</v>
      </c>
      <c r="BV28" s="172">
        <f t="shared" si="8"/>
        <v>2</v>
      </c>
      <c r="BW28" s="183"/>
      <c r="BX28" s="184" t="s">
        <v>109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107</v>
      </c>
      <c r="S29" s="214"/>
      <c r="T29" s="215"/>
      <c r="U29" s="217" t="s">
        <v>103</v>
      </c>
      <c r="V29" s="168" t="str">
        <f t="shared" si="0"/>
        <v>-</v>
      </c>
      <c r="W29" s="218">
        <v>24</v>
      </c>
      <c r="X29" s="170">
        <f>H</f>
        <v>2000</v>
      </c>
      <c r="Y29" s="219">
        <v>1</v>
      </c>
      <c r="Z29" s="172">
        <f t="shared" si="1"/>
        <v>1</v>
      </c>
      <c r="AA29" s="220"/>
      <c r="AB29" s="174" t="str">
        <f>CONCATENATE("H1+H2/2+40 = ",(h.1+(h.2/2)+40))</f>
        <v>H1+H2/2+40 = 990</v>
      </c>
      <c r="AC29" s="175"/>
      <c r="AD29" s="211"/>
      <c r="AE29" s="177">
        <f t="shared" si="2"/>
        <v>0.57399999999999995</v>
      </c>
      <c r="AF29" s="178">
        <f t="shared" si="9"/>
        <v>1.1479999999999999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167</v>
      </c>
      <c r="AY29" s="199"/>
      <c r="AZ29" s="200"/>
      <c r="BA29" s="167" t="s">
        <v>115</v>
      </c>
      <c r="BB29" s="168"/>
      <c r="BC29" s="180"/>
      <c r="BD29" s="181" t="s">
        <v>180</v>
      </c>
      <c r="BE29" s="171">
        <v>16</v>
      </c>
      <c r="BF29" s="172">
        <f t="shared" si="7"/>
        <v>16</v>
      </c>
      <c r="BG29" s="183"/>
      <c r="BH29" s="184" t="s">
        <v>116</v>
      </c>
      <c r="BI29" s="185"/>
      <c r="BJ29" s="186"/>
      <c r="BK29" s="187"/>
      <c r="BL29" s="188" t="s">
        <v>113</v>
      </c>
      <c r="BM29" s="4"/>
      <c r="BN29" s="198" t="s">
        <v>167</v>
      </c>
      <c r="BO29" s="199"/>
      <c r="BP29" s="200"/>
      <c r="BQ29" s="167" t="s">
        <v>178</v>
      </c>
      <c r="BR29" s="168"/>
      <c r="BS29" s="180"/>
      <c r="BT29" s="181" t="s">
        <v>180</v>
      </c>
      <c r="BU29" s="171">
        <f>IF(HS.1&gt;950,2,0)</f>
        <v>2</v>
      </c>
      <c r="BV29" s="172">
        <f t="shared" si="8"/>
        <v>2</v>
      </c>
      <c r="BW29" s="183"/>
      <c r="BX29" s="184" t="s">
        <v>185</v>
      </c>
      <c r="BY29" s="185"/>
      <c r="BZ29" s="186"/>
      <c r="CA29" s="187"/>
      <c r="CB29" s="188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 t="s">
        <v>104</v>
      </c>
      <c r="S30" s="199"/>
      <c r="T30" s="200"/>
      <c r="U30" s="167" t="s">
        <v>110</v>
      </c>
      <c r="V30" s="168" t="str">
        <f t="shared" si="0"/>
        <v>-</v>
      </c>
      <c r="W30" s="169">
        <v>0</v>
      </c>
      <c r="X30" s="170">
        <f>W-76</f>
        <v>924</v>
      </c>
      <c r="Y30" s="171">
        <v>1</v>
      </c>
      <c r="Z30" s="172">
        <f t="shared" si="1"/>
        <v>1</v>
      </c>
      <c r="AA30" s="220"/>
      <c r="AB30" s="174"/>
      <c r="AC30" s="175"/>
      <c r="AD30" s="176"/>
      <c r="AE30" s="177">
        <f t="shared" si="2"/>
        <v>0.13900000000000001</v>
      </c>
      <c r="AF30" s="178">
        <f t="shared" si="9"/>
        <v>0.12843599999999999</v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168</v>
      </c>
      <c r="AY30" s="199"/>
      <c r="AZ30" s="200"/>
      <c r="BA30" s="167" t="s">
        <v>122</v>
      </c>
      <c r="BB30" s="168"/>
      <c r="BC30" s="180"/>
      <c r="BD30" s="181" t="s">
        <v>180</v>
      </c>
      <c r="BE30" s="171">
        <v>1</v>
      </c>
      <c r="BF30" s="172">
        <f t="shared" si="7"/>
        <v>1</v>
      </c>
      <c r="BG30" s="183"/>
      <c r="BH30" s="184"/>
      <c r="BI30" s="185"/>
      <c r="BJ30" s="186"/>
      <c r="BK30" s="187"/>
      <c r="BL30" s="188" t="s">
        <v>113</v>
      </c>
      <c r="BM30" s="4"/>
      <c r="BN30" s="198" t="s">
        <v>167</v>
      </c>
      <c r="BO30" s="199"/>
      <c r="BP30" s="200"/>
      <c r="BQ30" s="167" t="s">
        <v>112</v>
      </c>
      <c r="BR30" s="168"/>
      <c r="BS30" s="180"/>
      <c r="BT30" s="181" t="s">
        <v>180</v>
      </c>
      <c r="BU30" s="171">
        <v>8</v>
      </c>
      <c r="BV30" s="172">
        <f t="shared" si="8"/>
        <v>8</v>
      </c>
      <c r="BW30" s="183"/>
      <c r="BX30" s="184" t="s">
        <v>184</v>
      </c>
      <c r="BY30" s="185"/>
      <c r="BZ30" s="186"/>
      <c r="CA30" s="187"/>
      <c r="CB30" s="188" t="s">
        <v>113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 t="s">
        <v>161</v>
      </c>
      <c r="S31" s="199"/>
      <c r="T31" s="200"/>
      <c r="U31" s="167" t="s">
        <v>110</v>
      </c>
      <c r="V31" s="168" t="str">
        <f t="shared" si="0"/>
        <v>-</v>
      </c>
      <c r="W31" s="222">
        <v>1</v>
      </c>
      <c r="X31" s="207">
        <f>h.1-36</f>
        <v>264</v>
      </c>
      <c r="Y31" s="171">
        <v>1</v>
      </c>
      <c r="Z31" s="172">
        <f t="shared" si="1"/>
        <v>1</v>
      </c>
      <c r="AA31" s="220"/>
      <c r="AB31" s="174"/>
      <c r="AC31" s="175"/>
      <c r="AD31" s="211"/>
      <c r="AE31" s="177">
        <f t="shared" si="2"/>
        <v>0.13900000000000001</v>
      </c>
      <c r="AF31" s="178">
        <f t="shared" si="9"/>
        <v>3.6696000000000006E-2</v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169</v>
      </c>
      <c r="AY31" s="199"/>
      <c r="AZ31" s="200"/>
      <c r="BA31" s="167" t="s">
        <v>123</v>
      </c>
      <c r="BB31" s="168"/>
      <c r="BC31" s="180"/>
      <c r="BD31" s="181" t="s">
        <v>182</v>
      </c>
      <c r="BE31" s="171">
        <f>IF(W&gt;500,3,2)+IF(h.2&lt;=780,2,IF(h.2&lt;=1160,3,IF(h.2&gt;1160,3,5)))+IF(h.2&lt;=710,2,IF(h.2&lt;=1210,3,IF(h.2&lt;=1710,4,5)))</f>
        <v>10</v>
      </c>
      <c r="BF31" s="172">
        <f t="shared" si="7"/>
        <v>10</v>
      </c>
      <c r="BG31" s="183"/>
      <c r="BH31" s="184"/>
      <c r="BI31" s="185"/>
      <c r="BJ31" s="186"/>
      <c r="BK31" s="187"/>
      <c r="BL31" s="188" t="s">
        <v>113</v>
      </c>
      <c r="BM31" s="4"/>
      <c r="BN31" s="198" t="s">
        <v>170</v>
      </c>
      <c r="BO31" s="199"/>
      <c r="BP31" s="200"/>
      <c r="BQ31" s="167" t="s">
        <v>194</v>
      </c>
      <c r="BR31" s="168"/>
      <c r="BS31" s="180"/>
      <c r="BT31" s="181" t="s">
        <v>181</v>
      </c>
      <c r="BU31" s="171">
        <f>((2*WS.1)+(2*HS.1)-216)/1000</f>
        <v>4.26</v>
      </c>
      <c r="BV31" s="172">
        <f t="shared" si="8"/>
        <v>4.26</v>
      </c>
      <c r="BW31" s="183" t="s">
        <v>96</v>
      </c>
      <c r="BX31" s="184" t="s">
        <v>186</v>
      </c>
      <c r="BY31" s="185"/>
      <c r="BZ31" s="186"/>
      <c r="CA31" s="187"/>
      <c r="CB31" s="188" t="s">
        <v>113</v>
      </c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 t="s">
        <v>162</v>
      </c>
      <c r="S32" s="199"/>
      <c r="T32" s="200"/>
      <c r="U32" s="167" t="s">
        <v>110</v>
      </c>
      <c r="V32" s="168" t="str">
        <f t="shared" si="0"/>
        <v>-</v>
      </c>
      <c r="W32" s="169">
        <v>2</v>
      </c>
      <c r="X32" s="170">
        <f>h.1-36</f>
        <v>264</v>
      </c>
      <c r="Y32" s="171">
        <v>1</v>
      </c>
      <c r="Z32" s="172">
        <f t="shared" si="1"/>
        <v>1</v>
      </c>
      <c r="AA32" s="220"/>
      <c r="AB32" s="174"/>
      <c r="AC32" s="175"/>
      <c r="AD32" s="211"/>
      <c r="AE32" s="177">
        <f t="shared" si="2"/>
        <v>0.13900000000000001</v>
      </c>
      <c r="AF32" s="178">
        <f t="shared" si="9"/>
        <v>3.6696000000000006E-2</v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170</v>
      </c>
      <c r="AY32" s="199"/>
      <c r="AZ32" s="200"/>
      <c r="BA32" s="167" t="str">
        <f>IF(GTH=5,"9K-20523",IF(GTH=6,"2K-22973",IF(GTH=8,"2K-22975","")))</f>
        <v>9K-20523</v>
      </c>
      <c r="BB32" s="168"/>
      <c r="BC32" s="180"/>
      <c r="BD32" s="181" t="s">
        <v>181</v>
      </c>
      <c r="BE32" s="171">
        <f>(((W+(h.1*2))-68)+((W+(h.1*2))-68))/1000</f>
        <v>3.0640000000000001</v>
      </c>
      <c r="BF32" s="172">
        <f t="shared" si="7"/>
        <v>3.0640000000000001</v>
      </c>
      <c r="BG32" s="183" t="s">
        <v>96</v>
      </c>
      <c r="BH32" s="184" t="s">
        <v>186</v>
      </c>
      <c r="BI32" s="185"/>
      <c r="BJ32" s="186"/>
      <c r="BK32" s="187"/>
      <c r="BL32" s="188" t="s">
        <v>113</v>
      </c>
      <c r="BM32" s="4"/>
      <c r="BN32" s="198" t="s">
        <v>167</v>
      </c>
      <c r="BO32" s="199"/>
      <c r="BP32" s="200"/>
      <c r="BQ32" s="167" t="s">
        <v>115</v>
      </c>
      <c r="BR32" s="168"/>
      <c r="BS32" s="180"/>
      <c r="BT32" s="181" t="s">
        <v>180</v>
      </c>
      <c r="BU32" s="171">
        <v>8</v>
      </c>
      <c r="BV32" s="172">
        <f t="shared" si="8"/>
        <v>8</v>
      </c>
      <c r="BW32" s="183"/>
      <c r="BX32" s="184" t="s">
        <v>116</v>
      </c>
      <c r="BY32" s="185"/>
      <c r="BZ32" s="186"/>
      <c r="CA32" s="187"/>
      <c r="CB32" s="188" t="s">
        <v>113</v>
      </c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171</v>
      </c>
      <c r="AY33" s="199"/>
      <c r="AZ33" s="200"/>
      <c r="BA33" s="167" t="s">
        <v>89</v>
      </c>
      <c r="BB33" s="168"/>
      <c r="BC33" s="180"/>
      <c r="BD33" s="181" t="s">
        <v>183</v>
      </c>
      <c r="BE33" s="171">
        <v>1</v>
      </c>
      <c r="BF33" s="172">
        <f t="shared" si="7"/>
        <v>1</v>
      </c>
      <c r="BG33" s="212"/>
      <c r="BH33" s="184"/>
      <c r="BI33" s="185"/>
      <c r="BJ33" s="186"/>
      <c r="BK33" s="187"/>
      <c r="BL33" s="188"/>
      <c r="BM33" s="4"/>
      <c r="BN33" s="198" t="s">
        <v>193</v>
      </c>
      <c r="BO33" s="199"/>
      <c r="BP33" s="200"/>
      <c r="BQ33" s="167" t="s">
        <v>195</v>
      </c>
      <c r="BR33" s="168"/>
      <c r="BS33" s="180"/>
      <c r="BT33" s="181" t="s">
        <v>180</v>
      </c>
      <c r="BU33" s="171">
        <f>IF(AND(WS.1&lt;=948, WS.1&gt;648),2,0)</f>
        <v>2</v>
      </c>
      <c r="BV33" s="172">
        <f t="shared" si="8"/>
        <v>2</v>
      </c>
      <c r="BW33" s="212"/>
      <c r="BX33" s="184" t="s">
        <v>197</v>
      </c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198"/>
      <c r="S34" s="199"/>
      <c r="T34" s="200"/>
      <c r="U34" s="167"/>
      <c r="V34" s="168"/>
      <c r="W34" s="201"/>
      <c r="X34" s="170"/>
      <c r="Y34" s="171"/>
      <c r="Z34" s="172"/>
      <c r="AA34" s="202"/>
      <c r="AB34" s="174"/>
      <c r="AC34" s="175"/>
      <c r="AD34" s="176"/>
      <c r="AE34" s="177"/>
      <c r="AF34" s="178"/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172</v>
      </c>
      <c r="AY34" s="199"/>
      <c r="AZ34" s="200"/>
      <c r="BA34" s="167" t="str">
        <f>IF(W&lt;=500,"9K-11114",IF(W&lt;=900,"9K-11353",""))</f>
        <v/>
      </c>
      <c r="BB34" s="168"/>
      <c r="BC34" s="180"/>
      <c r="BD34" s="181" t="s">
        <v>180</v>
      </c>
      <c r="BE34" s="171">
        <v>2</v>
      </c>
      <c r="BF34" s="172">
        <f t="shared" si="7"/>
        <v>2</v>
      </c>
      <c r="BG34" s="212"/>
      <c r="BH34" s="184" t="s">
        <v>184</v>
      </c>
      <c r="BI34" s="185"/>
      <c r="BJ34" s="186"/>
      <c r="BK34" s="187"/>
      <c r="BL34" s="188" t="s">
        <v>113</v>
      </c>
      <c r="BM34" s="4"/>
      <c r="BN34" s="198" t="s">
        <v>167</v>
      </c>
      <c r="BO34" s="199"/>
      <c r="BP34" s="200"/>
      <c r="BQ34" s="167" t="s">
        <v>196</v>
      </c>
      <c r="BR34" s="168"/>
      <c r="BS34" s="180"/>
      <c r="BT34" s="181" t="s">
        <v>180</v>
      </c>
      <c r="BU34" s="171">
        <f>IF(AND(WS.1&lt;=948, WS.1&gt;648),4,0)</f>
        <v>4</v>
      </c>
      <c r="BV34" s="172">
        <f t="shared" si="8"/>
        <v>4</v>
      </c>
      <c r="BW34" s="212"/>
      <c r="BX34" s="184" t="s">
        <v>198</v>
      </c>
      <c r="BY34" s="185"/>
      <c r="BZ34" s="186"/>
      <c r="CA34" s="187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198"/>
      <c r="S35" s="199"/>
      <c r="T35" s="200"/>
      <c r="U35" s="167"/>
      <c r="V35" s="168"/>
      <c r="W35" s="201"/>
      <c r="X35" s="207"/>
      <c r="Y35" s="171"/>
      <c r="Z35" s="172"/>
      <c r="AA35" s="202"/>
      <c r="AB35" s="174"/>
      <c r="AC35" s="175"/>
      <c r="AD35" s="176"/>
      <c r="AE35" s="177"/>
      <c r="AF35" s="178"/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173</v>
      </c>
      <c r="AY35" s="199"/>
      <c r="AZ35" s="200"/>
      <c r="BA35" s="167" t="str">
        <f>IF(W&gt;900,"5K-18787","")</f>
        <v>5K-18787</v>
      </c>
      <c r="BB35" s="168"/>
      <c r="BC35" s="180"/>
      <c r="BD35" s="181" t="s">
        <v>180</v>
      </c>
      <c r="BE35" s="171">
        <v>2</v>
      </c>
      <c r="BF35" s="172">
        <f t="shared" si="7"/>
        <v>2</v>
      </c>
      <c r="BG35" s="212"/>
      <c r="BH35" s="184" t="s">
        <v>187</v>
      </c>
      <c r="BI35" s="185"/>
      <c r="BJ35" s="186"/>
      <c r="BK35" s="187"/>
      <c r="BL35" s="188"/>
      <c r="BM35" s="4"/>
      <c r="BN35" s="198" t="str">
        <f t="shared" ref="BN22:BN60" si="10">IF(BQ35&gt;"",VLOOKUP(BQ35,PART_NAMA,3,FALSE),"")</f>
        <v/>
      </c>
      <c r="BO35" s="199"/>
      <c r="BP35" s="200"/>
      <c r="BQ35" s="167"/>
      <c r="BR35" s="168"/>
      <c r="BS35" s="180"/>
      <c r="BT35" s="181" t="str">
        <f t="shared" ref="BT22:BT57" si="11">IF(BQ35&gt;"",VLOOKUP(BQ35&amp;$M$10,PART_MASTER,3,FALSE),"")</f>
        <v/>
      </c>
      <c r="BU35" s="171"/>
      <c r="BV35" s="172" t="str">
        <f t="shared" si="8"/>
        <v/>
      </c>
      <c r="BW35" s="212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198"/>
      <c r="S36" s="199"/>
      <c r="T36" s="200"/>
      <c r="U36" s="167"/>
      <c r="V36" s="168"/>
      <c r="W36" s="201"/>
      <c r="X36" s="207"/>
      <c r="Y36" s="171"/>
      <c r="Z36" s="172"/>
      <c r="AA36" s="202"/>
      <c r="AB36" s="174"/>
      <c r="AC36" s="175"/>
      <c r="AD36" s="176"/>
      <c r="AE36" s="177"/>
      <c r="AF36" s="178"/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167</v>
      </c>
      <c r="AY36" s="199"/>
      <c r="AZ36" s="200"/>
      <c r="BA36" s="167" t="s">
        <v>119</v>
      </c>
      <c r="BB36" s="168"/>
      <c r="BC36" s="180"/>
      <c r="BD36" s="181" t="s">
        <v>180</v>
      </c>
      <c r="BE36" s="171">
        <f>IF(AND(W&lt;=700,W&gt;=400),0,IF(AND(W&lt;=1000, W&gt;700),2,0))</f>
        <v>2</v>
      </c>
      <c r="BF36" s="172">
        <f t="shared" si="7"/>
        <v>2</v>
      </c>
      <c r="BG36" s="212"/>
      <c r="BH36" s="184" t="s">
        <v>188</v>
      </c>
      <c r="BI36" s="185"/>
      <c r="BJ36" s="186"/>
      <c r="BK36" s="187"/>
      <c r="BL36" s="188"/>
      <c r="BM36" s="4"/>
      <c r="BN36" s="198"/>
      <c r="BO36" s="199"/>
      <c r="BP36" s="200"/>
      <c r="BQ36" s="204"/>
      <c r="BR36" s="168"/>
      <c r="BS36" s="180"/>
      <c r="BT36" s="181"/>
      <c r="BU36" s="171"/>
      <c r="BV36" s="172"/>
      <c r="BW36" s="183"/>
      <c r="BX36" s="184"/>
      <c r="BY36" s="185"/>
      <c r="BZ36" s="186"/>
      <c r="CA36" s="205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198"/>
      <c r="S37" s="199"/>
      <c r="T37" s="200"/>
      <c r="U37" s="167"/>
      <c r="V37" s="168"/>
      <c r="W37" s="201"/>
      <c r="X37" s="207"/>
      <c r="Y37" s="171"/>
      <c r="Z37" s="172"/>
      <c r="AA37" s="209"/>
      <c r="AB37" s="174"/>
      <c r="AC37" s="175"/>
      <c r="AD37" s="176"/>
      <c r="AE37" s="177"/>
      <c r="AF37" s="178"/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167</v>
      </c>
      <c r="AY37" s="199"/>
      <c r="AZ37" s="200"/>
      <c r="BA37" s="167" t="s">
        <v>119</v>
      </c>
      <c r="BB37" s="168"/>
      <c r="BC37" s="180"/>
      <c r="BD37" s="181" t="s">
        <v>180</v>
      </c>
      <c r="BE37" s="171">
        <f>IF(AND(W&lt;=700,H&gt;=400),2,IF(AND(W&lt;=1000, W&gt;700),4,0))</f>
        <v>4</v>
      </c>
      <c r="BF37" s="172">
        <f t="shared" si="7"/>
        <v>4</v>
      </c>
      <c r="BG37" s="212"/>
      <c r="BH37" s="184" t="s">
        <v>189</v>
      </c>
      <c r="BI37" s="185"/>
      <c r="BJ37" s="186"/>
      <c r="BK37" s="187"/>
      <c r="BL37" s="188" t="s">
        <v>113</v>
      </c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205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198"/>
      <c r="S38" s="199"/>
      <c r="T38" s="200"/>
      <c r="U38" s="167"/>
      <c r="V38" s="168"/>
      <c r="W38" s="201"/>
      <c r="X38" s="170"/>
      <c r="Y38" s="171"/>
      <c r="Z38" s="172"/>
      <c r="AA38" s="209"/>
      <c r="AB38" s="174"/>
      <c r="AC38" s="175"/>
      <c r="AD38" s="211"/>
      <c r="AE38" s="177"/>
      <c r="AF38" s="178"/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174</v>
      </c>
      <c r="AY38" s="199"/>
      <c r="AZ38" s="200"/>
      <c r="BA38" s="167" t="s">
        <v>179</v>
      </c>
      <c r="BB38" s="168"/>
      <c r="BC38" s="180"/>
      <c r="BD38" s="181" t="s">
        <v>181</v>
      </c>
      <c r="BE38" s="171">
        <f>IF(HS.1&gt;950,1,0)</f>
        <v>1</v>
      </c>
      <c r="BF38" s="172">
        <f t="shared" si="7"/>
        <v>1</v>
      </c>
      <c r="BG38" s="212"/>
      <c r="BH38" s="184"/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198"/>
      <c r="S39" s="199"/>
      <c r="T39" s="200"/>
      <c r="U39" s="167"/>
      <c r="V39" s="168"/>
      <c r="W39" s="201"/>
      <c r="X39" s="170"/>
      <c r="Y39" s="171"/>
      <c r="Z39" s="172"/>
      <c r="AA39" s="209"/>
      <c r="AB39" s="174"/>
      <c r="AC39" s="175"/>
      <c r="AD39" s="211"/>
      <c r="AE39" s="177"/>
      <c r="AF39" s="178"/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175</v>
      </c>
      <c r="AY39" s="199"/>
      <c r="AZ39" s="200"/>
      <c r="BA39" s="167" t="s">
        <v>95</v>
      </c>
      <c r="BB39" s="168"/>
      <c r="BC39" s="180"/>
      <c r="BD39" s="181" t="s">
        <v>181</v>
      </c>
      <c r="BE39" s="171">
        <f>((W-41)+(h.2-36))*2/1000</f>
        <v>4.4459999999999997</v>
      </c>
      <c r="BF39" s="172">
        <f t="shared" si="7"/>
        <v>4.4459999999999997</v>
      </c>
      <c r="BG39" s="212" t="s">
        <v>96</v>
      </c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/>
      <c r="W40" s="201"/>
      <c r="X40" s="170"/>
      <c r="Y40" s="171"/>
      <c r="Z40" s="172"/>
      <c r="AA40" s="209"/>
      <c r="AB40" s="174"/>
      <c r="AC40" s="175"/>
      <c r="AD40" s="211"/>
      <c r="AE40" s="177"/>
      <c r="AF40" s="178"/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175</v>
      </c>
      <c r="AY40" s="199"/>
      <c r="AZ40" s="200"/>
      <c r="BA40" s="167" t="s">
        <v>100</v>
      </c>
      <c r="BB40" s="168"/>
      <c r="BC40" s="180"/>
      <c r="BD40" s="181" t="s">
        <v>181</v>
      </c>
      <c r="BE40" s="182">
        <f>(W-41)/1000</f>
        <v>0.95899999999999996</v>
      </c>
      <c r="BF40" s="172">
        <f t="shared" si="7"/>
        <v>0.95899999999999996</v>
      </c>
      <c r="BG40" s="183" t="s">
        <v>96</v>
      </c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124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217"/>
      <c r="V41" s="168"/>
      <c r="W41" s="218"/>
      <c r="X41" s="170"/>
      <c r="Y41" s="219"/>
      <c r="Z41" s="172"/>
      <c r="AA41" s="220"/>
      <c r="AB41" s="174"/>
      <c r="AC41" s="175"/>
      <c r="AD41" s="211"/>
      <c r="AE41" s="177"/>
      <c r="AF41" s="178"/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">
        <v>170</v>
      </c>
      <c r="AY41" s="199"/>
      <c r="AZ41" s="200"/>
      <c r="BA41" s="167" t="s">
        <v>101</v>
      </c>
      <c r="BB41" s="168"/>
      <c r="BC41" s="180"/>
      <c r="BD41" s="181" t="s">
        <v>181</v>
      </c>
      <c r="BE41" s="182">
        <f>(((W-41)*4)+((h.1+h.3-72)*2))/1000</f>
        <v>4.9320000000000004</v>
      </c>
      <c r="BF41" s="172">
        <f t="shared" si="7"/>
        <v>4.9320000000000004</v>
      </c>
      <c r="BG41" s="183" t="s">
        <v>96</v>
      </c>
      <c r="BH41" s="184" t="s">
        <v>190</v>
      </c>
      <c r="BI41" s="185"/>
      <c r="BJ41" s="186"/>
      <c r="BK41" s="187"/>
      <c r="BL41" s="188"/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212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198"/>
      <c r="S42" s="199"/>
      <c r="T42" s="200"/>
      <c r="U42" s="167"/>
      <c r="V42" s="168"/>
      <c r="W42" s="169"/>
      <c r="X42" s="170"/>
      <c r="Y42" s="171"/>
      <c r="Z42" s="172"/>
      <c r="AA42" s="220"/>
      <c r="AB42" s="174"/>
      <c r="AC42" s="175"/>
      <c r="AD42" s="176"/>
      <c r="AE42" s="177"/>
      <c r="AF42" s="178"/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 t="s">
        <v>176</v>
      </c>
      <c r="AY42" s="199"/>
      <c r="AZ42" s="200"/>
      <c r="BA42" s="167" t="s">
        <v>97</v>
      </c>
      <c r="BB42" s="168"/>
      <c r="BC42" s="180"/>
      <c r="BD42" s="181" t="s">
        <v>181</v>
      </c>
      <c r="BE42" s="182">
        <v>4</v>
      </c>
      <c r="BF42" s="172">
        <f t="shared" si="7"/>
        <v>4</v>
      </c>
      <c r="BG42" s="183"/>
      <c r="BH42" s="184"/>
      <c r="BI42" s="185"/>
      <c r="BJ42" s="186"/>
      <c r="BK42" s="187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125</v>
      </c>
      <c r="C43" s="240"/>
      <c r="D43" s="240"/>
      <c r="E43" s="240"/>
      <c r="F43" s="241"/>
      <c r="G43" s="242"/>
      <c r="H43" s="243"/>
      <c r="I43" s="233"/>
      <c r="J43" s="244" t="s">
        <v>126</v>
      </c>
      <c r="K43" s="244"/>
      <c r="L43" s="245"/>
      <c r="M43" s="246"/>
      <c r="N43" s="247"/>
      <c r="O43" s="248"/>
      <c r="P43" s="249"/>
      <c r="Q43" s="4"/>
      <c r="R43" s="198"/>
      <c r="S43" s="199"/>
      <c r="T43" s="200"/>
      <c r="U43" s="167"/>
      <c r="V43" s="168"/>
      <c r="W43" s="222"/>
      <c r="X43" s="207"/>
      <c r="Y43" s="171"/>
      <c r="Z43" s="172"/>
      <c r="AA43" s="220"/>
      <c r="AB43" s="174"/>
      <c r="AC43" s="175"/>
      <c r="AD43" s="211"/>
      <c r="AE43" s="177"/>
      <c r="AF43" s="178"/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 t="s">
        <v>165</v>
      </c>
      <c r="AY43" s="199"/>
      <c r="AZ43" s="200"/>
      <c r="BA43" s="167" t="s">
        <v>111</v>
      </c>
      <c r="BB43" s="168"/>
      <c r="BC43" s="180"/>
      <c r="BD43" s="181" t="s">
        <v>181</v>
      </c>
      <c r="BE43" s="182">
        <v>1</v>
      </c>
      <c r="BF43" s="172">
        <f t="shared" si="7"/>
        <v>1</v>
      </c>
      <c r="BG43" s="183"/>
      <c r="BH43" s="250"/>
      <c r="BI43" s="185"/>
      <c r="BJ43" s="186"/>
      <c r="BK43" s="187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127</v>
      </c>
      <c r="C44" s="325" t="s">
        <v>128</v>
      </c>
      <c r="D44" s="326"/>
      <c r="E44" s="327"/>
      <c r="F44" s="325" t="s">
        <v>129</v>
      </c>
      <c r="G44" s="326"/>
      <c r="H44" s="327"/>
      <c r="I44" s="252"/>
      <c r="J44" s="253" t="s">
        <v>127</v>
      </c>
      <c r="K44" s="325" t="s">
        <v>128</v>
      </c>
      <c r="L44" s="326"/>
      <c r="M44" s="326"/>
      <c r="N44" s="327"/>
      <c r="O44" s="253" t="s">
        <v>130</v>
      </c>
      <c r="P44" s="254" t="s">
        <v>127</v>
      </c>
      <c r="Q44" s="4"/>
      <c r="R44" s="198"/>
      <c r="S44" s="199"/>
      <c r="T44" s="200"/>
      <c r="U44" s="167"/>
      <c r="V44" s="168"/>
      <c r="W44" s="169"/>
      <c r="X44" s="170"/>
      <c r="Y44" s="171"/>
      <c r="Z44" s="172"/>
      <c r="AA44" s="220"/>
      <c r="AB44" s="174"/>
      <c r="AC44" s="175"/>
      <c r="AD44" s="211"/>
      <c r="AE44" s="177"/>
      <c r="AF44" s="178"/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 t="s">
        <v>165</v>
      </c>
      <c r="AY44" s="199"/>
      <c r="AZ44" s="200"/>
      <c r="BA44" s="167" t="s">
        <v>114</v>
      </c>
      <c r="BB44" s="168"/>
      <c r="BC44" s="180"/>
      <c r="BD44" s="181" t="s">
        <v>181</v>
      </c>
      <c r="BE44" s="182">
        <v>1</v>
      </c>
      <c r="BF44" s="172">
        <f t="shared" si="7"/>
        <v>1</v>
      </c>
      <c r="BG44" s="183"/>
      <c r="BH44" s="184"/>
      <c r="BI44" s="185"/>
      <c r="BJ44" s="186"/>
      <c r="BK44" s="187"/>
      <c r="BL44" s="188"/>
      <c r="BM44" s="4"/>
      <c r="BN44" s="198"/>
      <c r="BO44" s="199"/>
      <c r="BP44" s="200"/>
      <c r="BQ44" s="167"/>
      <c r="BR44" s="168"/>
      <c r="BS44" s="180"/>
      <c r="BT44" s="181"/>
      <c r="BU44" s="171"/>
      <c r="BV44" s="172"/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131</v>
      </c>
      <c r="D45" s="257"/>
      <c r="E45" s="257"/>
      <c r="F45" s="258"/>
      <c r="G45" s="259"/>
      <c r="H45" s="260"/>
      <c r="I45" s="261"/>
      <c r="J45" s="262">
        <v>1</v>
      </c>
      <c r="K45" s="263" t="s">
        <v>132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207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 t="str">
        <f t="shared" ref="AX22:AX60" si="13">IF(BA45&gt;"",VLOOKUP(BA45,PART_NAMA,3,FALSE),"")</f>
        <v/>
      </c>
      <c r="AY45" s="199"/>
      <c r="AZ45" s="200"/>
      <c r="BA45" s="167"/>
      <c r="BB45" s="168"/>
      <c r="BC45" s="180"/>
      <c r="BD45" s="181" t="str">
        <f t="shared" ref="BD22:BD60" si="14">IF(BA45&gt;"",VLOOKUP(BA45&amp;$M$10,PART_MASTER,3,FALSE),"")</f>
        <v/>
      </c>
      <c r="BE45" s="182"/>
      <c r="BF45" s="172" t="str">
        <f t="shared" si="7"/>
        <v/>
      </c>
      <c r="BG45" s="183"/>
      <c r="BH45" s="250"/>
      <c r="BI45" s="185"/>
      <c r="BJ45" s="186"/>
      <c r="BK45" s="187"/>
      <c r="BL45" s="188"/>
      <c r="BM45" s="4"/>
      <c r="BN45" s="198"/>
      <c r="BO45" s="199"/>
      <c r="BP45" s="200"/>
      <c r="BQ45" s="167"/>
      <c r="BR45" s="168"/>
      <c r="BS45" s="180"/>
      <c r="BT45" s="181"/>
      <c r="BU45" s="171"/>
      <c r="BV45" s="172"/>
      <c r="BW45" s="183"/>
      <c r="BX45" s="184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133</v>
      </c>
      <c r="D46" s="259"/>
      <c r="E46" s="259"/>
      <c r="F46" s="263"/>
      <c r="G46" s="259"/>
      <c r="H46" s="260"/>
      <c r="I46" s="261"/>
      <c r="J46" s="262">
        <v>2</v>
      </c>
      <c r="K46" s="263" t="s">
        <v>134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204"/>
      <c r="BB46" s="168"/>
      <c r="BC46" s="180"/>
      <c r="BD46" s="181"/>
      <c r="BE46" s="171"/>
      <c r="BF46" s="172"/>
      <c r="BG46" s="183"/>
      <c r="BH46" s="184"/>
      <c r="BI46" s="185"/>
      <c r="BJ46" s="186"/>
      <c r="BK46" s="205"/>
      <c r="BL46" s="188"/>
      <c r="BM46" s="4"/>
      <c r="BN46" s="198"/>
      <c r="BO46" s="199"/>
      <c r="BP46" s="200"/>
      <c r="BQ46" s="167"/>
      <c r="BR46" s="168"/>
      <c r="BS46" s="180"/>
      <c r="BT46" s="181"/>
      <c r="BU46" s="171"/>
      <c r="BV46" s="172"/>
      <c r="BW46" s="183"/>
      <c r="BX46" s="184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135</v>
      </c>
      <c r="D47" s="259"/>
      <c r="E47" s="259"/>
      <c r="F47" s="263"/>
      <c r="G47" s="259"/>
      <c r="H47" s="260"/>
      <c r="I47" s="267"/>
      <c r="J47" s="262">
        <v>3</v>
      </c>
      <c r="K47" s="263" t="s">
        <v>136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205"/>
      <c r="BL47" s="188"/>
      <c r="BM47" s="4"/>
      <c r="BN47" s="198"/>
      <c r="BO47" s="199"/>
      <c r="BP47" s="200"/>
      <c r="BQ47" s="167"/>
      <c r="BR47" s="168"/>
      <c r="BS47" s="180"/>
      <c r="BT47" s="181"/>
      <c r="BU47" s="171"/>
      <c r="BV47" s="172"/>
      <c r="BW47" s="212"/>
      <c r="BX47" s="184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137</v>
      </c>
      <c r="D48" s="259"/>
      <c r="E48" s="259"/>
      <c r="F48" s="263"/>
      <c r="G48" s="259"/>
      <c r="H48" s="260"/>
      <c r="I48" s="267"/>
      <c r="J48" s="262">
        <v>4</v>
      </c>
      <c r="K48" s="263" t="s">
        <v>138</v>
      </c>
      <c r="L48" s="259"/>
      <c r="M48" s="259"/>
      <c r="N48" s="264"/>
      <c r="O48" s="265"/>
      <c r="P48" s="266"/>
      <c r="Q48" s="4"/>
      <c r="R48" s="268" t="s">
        <v>77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139</v>
      </c>
      <c r="AD48" s="272"/>
      <c r="AE48" s="273" t="s">
        <v>140</v>
      </c>
      <c r="AF48" s="274">
        <f>SUM(AF22:AF47)</f>
        <v>6.4569709999999993</v>
      </c>
      <c r="AG48" s="4"/>
      <c r="AH48" s="268" t="s">
        <v>77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139</v>
      </c>
      <c r="AT48" s="272"/>
      <c r="AU48" s="273" t="s">
        <v>140</v>
      </c>
      <c r="AV48" s="274">
        <f>SUM(AV22:AV47)</f>
        <v>2.7195479999999996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183"/>
      <c r="BH48" s="184"/>
      <c r="BI48" s="185"/>
      <c r="BJ48" s="186"/>
      <c r="BK48" s="187"/>
      <c r="BL48" s="188"/>
      <c r="BM48" s="4"/>
      <c r="BN48" s="198"/>
      <c r="BO48" s="199"/>
      <c r="BP48" s="200"/>
      <c r="BQ48" s="167"/>
      <c r="BR48" s="168"/>
      <c r="BS48" s="180"/>
      <c r="BT48" s="181"/>
      <c r="BU48" s="171"/>
      <c r="BV48" s="172"/>
      <c r="BW48" s="212"/>
      <c r="BX48" s="184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141</v>
      </c>
      <c r="D49" s="259"/>
      <c r="E49" s="259"/>
      <c r="F49" s="263"/>
      <c r="G49" s="259"/>
      <c r="H49" s="260"/>
      <c r="I49" s="267"/>
      <c r="J49" s="262">
        <v>5</v>
      </c>
      <c r="K49" s="263" t="s">
        <v>142</v>
      </c>
      <c r="L49" s="259"/>
      <c r="M49" s="259"/>
      <c r="N49" s="264"/>
      <c r="O49" s="265"/>
      <c r="P49" s="266"/>
      <c r="Q49" s="4"/>
      <c r="R49" s="275" t="s">
        <v>143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144</v>
      </c>
      <c r="AE49" s="279" t="s">
        <v>145</v>
      </c>
      <c r="AF49" s="280">
        <f>AF48*0.986</f>
        <v>6.3665734059999997</v>
      </c>
      <c r="AG49" s="4"/>
      <c r="AH49" s="275" t="s">
        <v>143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144</v>
      </c>
      <c r="AU49" s="279" t="s">
        <v>145</v>
      </c>
      <c r="AV49" s="280">
        <f>AV48*0.986</f>
        <v>2.6814743279999997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146</v>
      </c>
      <c r="D50" s="259"/>
      <c r="E50" s="259"/>
      <c r="F50" s="263"/>
      <c r="G50" s="259"/>
      <c r="H50" s="260"/>
      <c r="I50" s="267"/>
      <c r="J50" s="262">
        <v>6</v>
      </c>
      <c r="K50" s="263" t="s">
        <v>147</v>
      </c>
      <c r="L50" s="259"/>
      <c r="M50" s="259"/>
      <c r="N50" s="264"/>
      <c r="O50" s="265"/>
      <c r="P50" s="266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148</v>
      </c>
      <c r="AF50" s="280">
        <f>AF48*0.974*0.986</f>
        <v>6.201042497443999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148</v>
      </c>
      <c r="AV50" s="280">
        <f>AV48*0.974*0.986</f>
        <v>2.6117559954719995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149</v>
      </c>
      <c r="D51" s="259"/>
      <c r="E51" s="259"/>
      <c r="F51" s="263"/>
      <c r="G51" s="259"/>
      <c r="H51" s="260"/>
      <c r="I51" s="267"/>
      <c r="J51" s="262">
        <v>7</v>
      </c>
      <c r="K51" s="263" t="s">
        <v>150</v>
      </c>
      <c r="L51" s="259"/>
      <c r="M51" s="259"/>
      <c r="N51" s="264"/>
      <c r="O51" s="265"/>
      <c r="P51" s="266"/>
      <c r="Q51" s="4"/>
      <c r="R51" s="281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212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4" t="s">
        <v>151</v>
      </c>
      <c r="C52" s="285"/>
      <c r="D52" s="286"/>
      <c r="E52" s="286"/>
      <c r="F52" s="286"/>
      <c r="G52" s="286"/>
      <c r="H52" s="286"/>
      <c r="I52" s="267"/>
      <c r="J52" s="262">
        <v>8</v>
      </c>
      <c r="K52" s="263" t="s">
        <v>152</v>
      </c>
      <c r="L52" s="259"/>
      <c r="M52" s="259"/>
      <c r="N52" s="264"/>
      <c r="O52" s="265"/>
      <c r="P52" s="266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7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8" t="s">
        <v>153</v>
      </c>
      <c r="C53" s="267"/>
      <c r="D53" s="267"/>
      <c r="E53" s="267"/>
      <c r="F53" s="267"/>
      <c r="G53" s="267"/>
      <c r="H53" s="267"/>
      <c r="I53" s="267"/>
      <c r="J53" s="289"/>
      <c r="K53" s="290"/>
      <c r="L53" s="290"/>
      <c r="M53" s="290"/>
      <c r="N53" s="291"/>
      <c r="O53" s="292"/>
      <c r="P53" s="293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4" t="s">
        <v>154</v>
      </c>
      <c r="C54" s="267"/>
      <c r="D54" s="267"/>
      <c r="E54" s="267"/>
      <c r="F54" s="267"/>
      <c r="G54" s="267"/>
      <c r="H54" s="267"/>
      <c r="I54" s="267"/>
      <c r="J54" s="295"/>
      <c r="K54" s="296"/>
      <c r="L54" s="296"/>
      <c r="M54" s="296"/>
      <c r="N54" s="297"/>
      <c r="O54" s="298"/>
      <c r="P54" s="299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183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7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4" t="s">
        <v>155</v>
      </c>
      <c r="C55" s="267"/>
      <c r="D55" s="267"/>
      <c r="E55" s="267"/>
      <c r="F55" s="267"/>
      <c r="G55" s="267"/>
      <c r="H55" s="267"/>
      <c r="I55" s="267"/>
      <c r="J55" s="300" t="s">
        <v>156</v>
      </c>
      <c r="K55" s="292"/>
      <c r="L55" s="286"/>
      <c r="M55" s="286"/>
      <c r="N55" s="301"/>
      <c r="O55" s="259"/>
      <c r="P55" s="302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183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3"/>
      <c r="C56" s="267"/>
      <c r="D56" s="267"/>
      <c r="E56" s="267"/>
      <c r="F56" s="267"/>
      <c r="G56" s="267"/>
      <c r="H56" s="267"/>
      <c r="I56" s="267"/>
      <c r="J56" s="304" t="s">
        <v>157</v>
      </c>
      <c r="K56" s="305"/>
      <c r="L56" s="305"/>
      <c r="M56" s="305"/>
      <c r="N56" s="306"/>
      <c r="O56" s="307" t="s">
        <v>158</v>
      </c>
      <c r="P56" s="308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183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09"/>
      <c r="C57" s="310"/>
      <c r="D57" s="310"/>
      <c r="E57" s="310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1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09"/>
      <c r="C58" s="310"/>
      <c r="D58" s="310"/>
      <c r="E58" s="310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1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7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2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7"/>
      <c r="J59" s="267"/>
      <c r="K59" s="267"/>
      <c r="L59" s="313"/>
      <c r="M59" s="313"/>
      <c r="N59" s="313"/>
      <c r="O59" s="313"/>
      <c r="P59" s="311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2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159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3" t="str">
        <f t="shared" ref="AX60:AX62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2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50"/>
      <c r="BI60" s="185"/>
      <c r="BJ60" s="186"/>
      <c r="BK60" s="205"/>
      <c r="BL60" s="312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50"/>
      <c r="BY60" s="185"/>
      <c r="BZ60" s="186"/>
      <c r="CA60" s="205"/>
      <c r="CB60" s="312"/>
      <c r="CG60" s="3"/>
    </row>
    <row r="61" spans="2:120" ht="15" customHeight="1" x14ac:dyDescent="0.3">
      <c r="P61" s="320" t="s">
        <v>160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160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160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160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160</v>
      </c>
    </row>
    <row r="63" spans="2:120" x14ac:dyDescent="0.25">
      <c r="BT63" s="322"/>
    </row>
    <row r="64" spans="2:120" x14ac:dyDescent="0.25">
      <c r="BT64" s="322"/>
    </row>
    <row r="65" spans="72:72" x14ac:dyDescent="0.25">
      <c r="BT65" s="322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FIX_CAL-KD_FIX</vt:lpstr>
      <vt:lpstr>'FIX_CAL-KD_FIX'!A.</vt:lpstr>
      <vt:lpstr>'FIX_CAL-KD_FIX'!C.</vt:lpstr>
      <vt:lpstr>'FIX_CAL-KD_FIX'!F.</vt:lpstr>
      <vt:lpstr>'FIX_CAL-KD_FIX'!GCS</vt:lpstr>
      <vt:lpstr>'FIX_CAL-KD_FIX'!GTH</vt:lpstr>
      <vt:lpstr>'FIX_CAL-KD_FIX'!H</vt:lpstr>
      <vt:lpstr>'FIX_CAL-KD_FIX'!h.1</vt:lpstr>
      <vt:lpstr>'FIX_CAL-KD_FIX'!h.10</vt:lpstr>
      <vt:lpstr>'FIX_CAL-KD_FIX'!h.2</vt:lpstr>
      <vt:lpstr>'FIX_CAL-KD_FIX'!h.3</vt:lpstr>
      <vt:lpstr>'FIX_CAL-KD_FIX'!h.4</vt:lpstr>
      <vt:lpstr>'FIX_CAL-KD_FIX'!h.5</vt:lpstr>
      <vt:lpstr>'FIX_CAL-KD_FIX'!h.6</vt:lpstr>
      <vt:lpstr>'FIX_CAL-KD_FIX'!h.7</vt:lpstr>
      <vt:lpstr>'FIX_CAL-KD_FIX'!h.8</vt:lpstr>
      <vt:lpstr>'FIX_CAL-KD_FIX'!h.9</vt:lpstr>
      <vt:lpstr>'FIX_CAL-KD_FIX'!HS</vt:lpstr>
      <vt:lpstr>'FIX_CAL-KD_FIX'!HS.1</vt:lpstr>
      <vt:lpstr>'FIX_CAL-KD_FIX'!HS.2</vt:lpstr>
      <vt:lpstr>'FIX_CAL-KD_FIX'!HS.3</vt:lpstr>
      <vt:lpstr>'FIX_CAL-KD_FIX'!HS.4</vt:lpstr>
      <vt:lpstr>'FIX_CAL-KD_FIX'!HS.5</vt:lpstr>
      <vt:lpstr>'FIX_CAL-KD_FIX'!Print_Area</vt:lpstr>
      <vt:lpstr>'FIX_CAL-KD_FIX'!Q</vt:lpstr>
      <vt:lpstr>'FIX_CAL-KD_FIX'!R.</vt:lpstr>
      <vt:lpstr>'FIX_CAL-KD_FIX'!W</vt:lpstr>
      <vt:lpstr>'FIX_CAL-KD_FIX'!w.1</vt:lpstr>
      <vt:lpstr>'FIX_CAL-KD_FIX'!w.10</vt:lpstr>
      <vt:lpstr>'FIX_CAL-KD_FIX'!w.2</vt:lpstr>
      <vt:lpstr>'FIX_CAL-KD_FIX'!w.3</vt:lpstr>
      <vt:lpstr>'FIX_CAL-KD_FIX'!w.4</vt:lpstr>
      <vt:lpstr>'FIX_CAL-KD_FIX'!w.5</vt:lpstr>
      <vt:lpstr>'FIX_CAL-KD_FIX'!w.6</vt:lpstr>
      <vt:lpstr>'FIX_CAL-KD_FIX'!w.7</vt:lpstr>
      <vt:lpstr>'FIX_CAL-KD_FIX'!w.8</vt:lpstr>
      <vt:lpstr>'FIX_CAL-KD_FIX'!w.9</vt:lpstr>
      <vt:lpstr>'FIX_CAL-KD_FIX'!WS</vt:lpstr>
      <vt:lpstr>'FIX_CAL-KD_FIX'!WS.1</vt:lpstr>
      <vt:lpstr>'FIX_CAL-KD_FIX'!WS.2</vt:lpstr>
      <vt:lpstr>'FIX_CAL-KD_FIX'!WS.3</vt:lpstr>
      <vt:lpstr>'FIX_CAL-KD_FIX'!WS.4</vt:lpstr>
      <vt:lpstr>'FIX_CAL-KD_FIX'!WS.5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2024-07-29T09:33:27Z</dcterms:created>
  <dcterms:modified xsi:type="dcterms:W3CDTF">2024-08-12T04:59:03Z</dcterms:modified>
</cp:coreProperties>
</file>