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5A62B8CF-337A-4E3E-ABED-CB4BDEEBDAE3}" xr6:coauthVersionLast="47" xr6:coauthVersionMax="47" xr10:uidLastSave="{00000000-0000-0000-0000-000000000000}"/>
  <bookViews>
    <workbookView xWindow="-108" yWindow="-108" windowWidth="23256" windowHeight="12456" xr2:uid="{976C55A1-0D12-4C5C-A29F-01A2EDBF874B}"/>
  </bookViews>
  <sheets>
    <sheet name="FIX_CAL-KD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'FIX_CAL-KD_FIX'!$P$18</definedName>
    <definedName name="BD">"BD"</definedName>
    <definedName name="C." localSheetId="0">'FIX_CAL-KD_FIX'!$P$17</definedName>
    <definedName name="F." localSheetId="0">'FIX_CAL-KD_FIX'!$P$16</definedName>
    <definedName name="GCS" localSheetId="0">'FIX_CAL-KD_FIX'!$O$12</definedName>
    <definedName name="GTH" localSheetId="0">'FIX_CAL-KD_FIX'!$O$11</definedName>
    <definedName name="H" localSheetId="0">'FIX_CAL-KD_FIX'!$E$12</definedName>
    <definedName name="h.1" localSheetId="0">'FIX_CAL-KD_FIX'!$C$14</definedName>
    <definedName name="h.10" localSheetId="0">'FIX_CAL-KD_FIX'!$E$18</definedName>
    <definedName name="h.2" localSheetId="0">'FIX_CAL-KD_FIX'!$C$15</definedName>
    <definedName name="h.3" localSheetId="0">'FIX_CAL-KD_FIX'!$C$16</definedName>
    <definedName name="h.4" localSheetId="0">'FIX_CAL-KD_FIX'!$C$17</definedName>
    <definedName name="h.5" localSheetId="0">'FIX_CAL-KD_FIX'!$C$18</definedName>
    <definedName name="h.6" localSheetId="0">'FIX_CAL-KD_FIX'!$E$14</definedName>
    <definedName name="h.7" localSheetId="0">'FIX_CAL-KD_FIX'!$E$15</definedName>
    <definedName name="h.8" localSheetId="0">'FIX_CAL-KD_FIX'!$E$16</definedName>
    <definedName name="h.9" localSheetId="0">'FIX_CAL-KD_FIX'!$E$17</definedName>
    <definedName name="HS" localSheetId="0">'FIX_CAL-KD_FIX'!$H$12</definedName>
    <definedName name="HS.1" localSheetId="0">'FIX_CAL-KD_FIX'!$L$14</definedName>
    <definedName name="HS.2" localSheetId="0">'FIX_CAL-KD_FIX'!$L$15</definedName>
    <definedName name="HS.3" localSheetId="0">'FIX_CAL-KD_FIX'!$L$16</definedName>
    <definedName name="HS.4" localSheetId="0">'FIX_CAL-KD_FIX'!$L$17</definedName>
    <definedName name="HS.5" localSheetId="0">'FIX_CAL-KD_FIX'!$L$18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'FIX_CAL-KD_FIX'!$1:$61</definedName>
    <definedName name="Q" localSheetId="0">'FIX_CAL-KD_FIX'!$I$11</definedName>
    <definedName name="R." localSheetId="0">'FIX_CAL-KD_FIX'!$C$62</definedName>
    <definedName name="st" hidden="1">[6]Gra_Ord_In_2000!$BA$12:$BA$1655</definedName>
    <definedName name="W" localSheetId="0">'FIX_CAL-KD_FIX'!$E$11</definedName>
    <definedName name="w.1" localSheetId="0">'FIX_CAL-KD_FIX'!$H$14</definedName>
    <definedName name="w.10" localSheetId="0">'FIX_CAL-KD_FIX'!$J$18</definedName>
    <definedName name="w.2" localSheetId="0">'FIX_CAL-KD_FIX'!$H$15</definedName>
    <definedName name="w.3" localSheetId="0">'FIX_CAL-KD_FIX'!$H$16</definedName>
    <definedName name="w.4" localSheetId="0">'FIX_CAL-KD_FIX'!$H$17</definedName>
    <definedName name="w.5" localSheetId="0">'FIX_CAL-KD_FIX'!$H$18</definedName>
    <definedName name="w.6" localSheetId="0">'FIX_CAL-KD_FIX'!$J$14</definedName>
    <definedName name="w.7" localSheetId="0">'FIX_CAL-KD_FIX'!$J$15</definedName>
    <definedName name="w.8" localSheetId="0">'FIX_CAL-KD_FIX'!$J$16</definedName>
    <definedName name="w.9" localSheetId="0">'FIX_CAL-KD_FIX'!$J$17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'FIX_CAL-KD_FIX'!$L$12</definedName>
    <definedName name="WS.1" localSheetId="0">'FIX_CAL-KD_FIX'!$N$14</definedName>
    <definedName name="WS.2" localSheetId="0">'FIX_CAL-KD_FIX'!$N$15</definedName>
    <definedName name="WS.3" localSheetId="0">'FIX_CAL-KD_FIX'!$N$16</definedName>
    <definedName name="WS.4" localSheetId="0">'FIX_CAL-KD_FIX'!$N$17</definedName>
    <definedName name="WS.5" localSheetId="0">'FIX_CAL-KD_FIX'!$N$18</definedName>
    <definedName name="Z_8BD11290_77B3_4D27_9040_BB9D2A7264B2_.wvu.PrintArea" localSheetId="0" hidden="1">'FIX_CAL-KD_FIX'!$1:$61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7" i="1" l="1"/>
  <c r="BU36" i="1"/>
  <c r="BU34" i="1"/>
  <c r="BU28" i="1"/>
  <c r="BU27" i="1"/>
  <c r="BF60" i="1"/>
  <c r="BD60" i="1"/>
  <c r="AX60" i="1"/>
  <c r="BE42" i="1"/>
  <c r="BF42" i="1" s="1"/>
  <c r="BE41" i="1"/>
  <c r="BE40" i="1"/>
  <c r="BF40" i="1" s="1"/>
  <c r="BE38" i="1"/>
  <c r="BE37" i="1"/>
  <c r="BF37" i="1" s="1"/>
  <c r="BE34" i="1"/>
  <c r="BF34" i="1" s="1"/>
  <c r="BE32" i="1"/>
  <c r="BQ34" i="1"/>
  <c r="BQ23" i="1"/>
  <c r="BA35" i="1"/>
  <c r="BA34" i="1"/>
  <c r="BA22" i="1"/>
  <c r="AM25" i="1"/>
  <c r="W28" i="1"/>
  <c r="AL35" i="1"/>
  <c r="AP35" i="1"/>
  <c r="AU35" i="1"/>
  <c r="AV35" i="1"/>
  <c r="X24" i="1"/>
  <c r="X23" i="1"/>
  <c r="X32" i="1"/>
  <c r="X31" i="1"/>
  <c r="X30" i="1"/>
  <c r="X27" i="1"/>
  <c r="X28" i="1"/>
  <c r="X29" i="1"/>
  <c r="X26" i="1"/>
  <c r="X25" i="1"/>
  <c r="X22" i="1"/>
  <c r="AB29" i="1"/>
  <c r="AB28" i="1"/>
  <c r="BV60" i="1"/>
  <c r="BT60" i="1"/>
  <c r="BN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F47" i="1"/>
  <c r="BD47" i="1"/>
  <c r="AX47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BF45" i="1"/>
  <c r="AV45" i="1"/>
  <c r="AU45" i="1"/>
  <c r="AP45" i="1"/>
  <c r="AL45" i="1"/>
  <c r="AF45" i="1"/>
  <c r="AE45" i="1"/>
  <c r="Z45" i="1"/>
  <c r="V45" i="1"/>
  <c r="BF44" i="1"/>
  <c r="AV44" i="1"/>
  <c r="AU44" i="1"/>
  <c r="AP44" i="1"/>
  <c r="AL44" i="1"/>
  <c r="BF43" i="1"/>
  <c r="AV43" i="1"/>
  <c r="AU43" i="1"/>
  <c r="AP43" i="1"/>
  <c r="AL43" i="1"/>
  <c r="AV42" i="1"/>
  <c r="AU42" i="1"/>
  <c r="AP42" i="1"/>
  <c r="AL42" i="1"/>
  <c r="P42" i="1"/>
  <c r="O42" i="1"/>
  <c r="F42" i="1"/>
  <c r="AV41" i="1"/>
  <c r="AU41" i="1"/>
  <c r="AP41" i="1"/>
  <c r="AL41" i="1"/>
  <c r="AV40" i="1"/>
  <c r="AU40" i="1"/>
  <c r="AP40" i="1"/>
  <c r="AL40" i="1"/>
  <c r="BV39" i="1"/>
  <c r="BT39" i="1"/>
  <c r="BN39" i="1"/>
  <c r="BF39" i="1"/>
  <c r="AV39" i="1"/>
  <c r="AU39" i="1"/>
  <c r="AP39" i="1"/>
  <c r="AL39" i="1"/>
  <c r="BV38" i="1"/>
  <c r="BT38" i="1"/>
  <c r="BN38" i="1"/>
  <c r="BF38" i="1"/>
  <c r="AV38" i="1"/>
  <c r="AU38" i="1"/>
  <c r="AP38" i="1"/>
  <c r="AL38" i="1"/>
  <c r="AV37" i="1"/>
  <c r="AU37" i="1"/>
  <c r="AP37" i="1"/>
  <c r="AL37" i="1"/>
  <c r="BF36" i="1"/>
  <c r="AV36" i="1"/>
  <c r="AU36" i="1"/>
  <c r="AP36" i="1"/>
  <c r="AL36" i="1"/>
  <c r="BF35" i="1"/>
  <c r="BV34" i="1"/>
  <c r="BV33" i="1"/>
  <c r="BF33" i="1"/>
  <c r="AF33" i="1"/>
  <c r="AE33" i="1"/>
  <c r="Z33" i="1"/>
  <c r="V33" i="1"/>
  <c r="BV32" i="1"/>
  <c r="BF32" i="1"/>
  <c r="AE32" i="1"/>
  <c r="Z32" i="1"/>
  <c r="BV31" i="1"/>
  <c r="BF31" i="1"/>
  <c r="AE31" i="1"/>
  <c r="Z31" i="1"/>
  <c r="BV30" i="1"/>
  <c r="BF30" i="1"/>
  <c r="AE30" i="1"/>
  <c r="Z30" i="1"/>
  <c r="BV29" i="1"/>
  <c r="BF29" i="1"/>
  <c r="AE29" i="1"/>
  <c r="Z29" i="1"/>
  <c r="BF28" i="1"/>
  <c r="AV28" i="1"/>
  <c r="AU28" i="1"/>
  <c r="AP28" i="1"/>
  <c r="AL28" i="1"/>
  <c r="AE28" i="1"/>
  <c r="Z28" i="1"/>
  <c r="BF27" i="1"/>
  <c r="AU27" i="1"/>
  <c r="AP27" i="1"/>
  <c r="AL27" i="1"/>
  <c r="AE27" i="1"/>
  <c r="Z27" i="1"/>
  <c r="BV26" i="1"/>
  <c r="BF26" i="1"/>
  <c r="AU26" i="1"/>
  <c r="AP26" i="1"/>
  <c r="AL26" i="1"/>
  <c r="AE26" i="1"/>
  <c r="Z26" i="1"/>
  <c r="BV25" i="1"/>
  <c r="BF25" i="1"/>
  <c r="AU25" i="1"/>
  <c r="AP25" i="1"/>
  <c r="AL25" i="1"/>
  <c r="AE25" i="1"/>
  <c r="Z25" i="1"/>
  <c r="BV24" i="1"/>
  <c r="BF24" i="1"/>
  <c r="AU24" i="1"/>
  <c r="AS24" i="1"/>
  <c r="AP24" i="1"/>
  <c r="AL24" i="1"/>
  <c r="AE24" i="1"/>
  <c r="Z24" i="1"/>
  <c r="BV23" i="1"/>
  <c r="BF23" i="1"/>
  <c r="AU23" i="1"/>
  <c r="AP23" i="1"/>
  <c r="AL23" i="1"/>
  <c r="AE23" i="1"/>
  <c r="Z23" i="1"/>
  <c r="BV22" i="1"/>
  <c r="BF22" i="1"/>
  <c r="AU22" i="1"/>
  <c r="AP22" i="1"/>
  <c r="AL22" i="1"/>
  <c r="AE22" i="1"/>
  <c r="AF22" i="1" s="1"/>
  <c r="Z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F16" i="1"/>
  <c r="AD16" i="1"/>
  <c r="AB16" i="1"/>
  <c r="Z16" i="1"/>
  <c r="X16" i="1"/>
  <c r="U16" i="1"/>
  <c r="S16" i="1"/>
  <c r="C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X14" i="1"/>
  <c r="BV14" i="1"/>
  <c r="BT14" i="1"/>
  <c r="BQ14" i="1"/>
  <c r="BO14" i="1"/>
  <c r="BL14" i="1"/>
  <c r="BH14" i="1"/>
  <c r="BF14" i="1"/>
  <c r="BD14" i="1"/>
  <c r="BA14" i="1"/>
  <c r="AY14" i="1"/>
  <c r="AP14" i="1"/>
  <c r="AN14" i="1"/>
  <c r="AK14" i="1"/>
  <c r="AI14" i="1"/>
  <c r="Z14" i="1"/>
  <c r="X14" i="1"/>
  <c r="U14" i="1"/>
  <c r="S14" i="1"/>
  <c r="N14" i="1"/>
  <c r="L14" i="1"/>
  <c r="AN25" i="1" s="1"/>
  <c r="CA12" i="1"/>
  <c r="BQ12" i="1"/>
  <c r="BK12" i="1"/>
  <c r="BA12" i="1"/>
  <c r="AU12" i="1"/>
  <c r="AK12" i="1"/>
  <c r="AE12" i="1"/>
  <c r="U12" i="1"/>
  <c r="N12" i="1"/>
  <c r="AT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BJ11" i="1" s="1"/>
  <c r="CA10" i="1"/>
  <c r="BQ10" i="1"/>
  <c r="BK10" i="1"/>
  <c r="BG10" i="1"/>
  <c r="BA10" i="1"/>
  <c r="AU10" i="1"/>
  <c r="AE10" i="1"/>
  <c r="M10" i="1"/>
  <c r="K10" i="1"/>
  <c r="AQ10" i="1" s="1"/>
  <c r="CA9" i="1"/>
  <c r="BK9" i="1"/>
  <c r="BA9" i="1"/>
  <c r="AU9" i="1"/>
  <c r="AQ9" i="1"/>
  <c r="AK9" i="1"/>
  <c r="AE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BA3" i="1"/>
  <c r="E3" i="1"/>
  <c r="AK3" i="1" s="1"/>
  <c r="AF2" i="1"/>
  <c r="AV2" i="1" s="1"/>
  <c r="BL2" i="1" s="1"/>
  <c r="CB2" i="1" s="1"/>
  <c r="AF28" i="1" l="1"/>
  <c r="BQ3" i="1"/>
  <c r="AF23" i="1"/>
  <c r="AF24" i="1"/>
  <c r="AT11" i="1"/>
  <c r="BZ11" i="1"/>
  <c r="U3" i="1"/>
  <c r="AD11" i="1"/>
  <c r="AF30" i="1"/>
  <c r="AA9" i="1"/>
  <c r="BW9" i="1"/>
  <c r="AF26" i="1"/>
  <c r="AF27" i="1"/>
  <c r="AF25" i="1"/>
  <c r="AF29" i="1"/>
  <c r="AE4" i="1"/>
  <c r="CA4" i="1"/>
  <c r="AU4" i="1"/>
  <c r="AF31" i="1"/>
  <c r="AV25" i="1"/>
  <c r="AN22" i="1"/>
  <c r="AV22" i="1" s="1"/>
  <c r="AR14" i="1"/>
  <c r="AS22" i="1"/>
  <c r="AN23" i="1"/>
  <c r="AV23" i="1" s="1"/>
  <c r="AN27" i="1"/>
  <c r="AV27" i="1" s="1"/>
  <c r="AN26" i="1"/>
  <c r="AV26" i="1" s="1"/>
  <c r="AA10" i="1"/>
  <c r="BW10" i="1"/>
  <c r="AD12" i="1"/>
  <c r="AT14" i="1"/>
  <c r="BZ12" i="1"/>
  <c r="AB14" i="1"/>
  <c r="AI16" i="1"/>
  <c r="AS23" i="1"/>
  <c r="BJ12" i="1"/>
  <c r="BJ14" i="1"/>
  <c r="P17" i="1"/>
  <c r="AD14" i="1"/>
  <c r="AN24" i="1"/>
  <c r="AV24" i="1" s="1"/>
  <c r="BV27" i="1"/>
  <c r="BV28" i="1"/>
  <c r="AF32" i="1"/>
  <c r="BV35" i="1"/>
  <c r="BV36" i="1"/>
  <c r="BV37" i="1"/>
  <c r="BF41" i="1"/>
  <c r="BZ14" i="1"/>
  <c r="AF48" i="1" l="1"/>
  <c r="AF50" i="1" s="1"/>
  <c r="AV48" i="1"/>
  <c r="BL17" i="1"/>
  <c r="CB17" i="1"/>
  <c r="AV17" i="1"/>
  <c r="AF17" i="1"/>
  <c r="AF49" i="1" l="1"/>
  <c r="AV50" i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F0118042-1E24-4854-8E92-BF693AEAD62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31A1CDFF-5294-4C6D-942A-75AF0A783A5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1CEDA5CD-4EB7-4D4C-BA77-F8B191E5902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<sst xmlns="http://schemas.openxmlformats.org/spreadsheetml/2006/main" count="587" uniqueCount="207">
  <si>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</si>
  <si>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</si>
  <si>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</si>
  <si>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</si>
  <si>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</si>
  <si>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</si>
  <si>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</si>
  <si>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</si>
  <si>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</si>
  <si>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</si>
  <si>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</si>
  <si>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</si>
  <si>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</si>
  <si>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</si>
  <si>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</si>
  <si>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CAL-KD FIX M</t>
  </si>
  <si>
    <t>Delivery Date</t>
  </si>
  <si>
    <t>Elevation Code</t>
  </si>
  <si>
    <t>52F/CL/F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</si>
  <si>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</si>
  <si>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</si>
  <si>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</si>
  <si>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U9E-51032</t>
  </si>
  <si>
    <t>Unit Code</t>
  </si>
  <si>
    <r>
      <t xml:space="preserve">H </t>
    </r>
    <r>
      <rPr>
        <sz val="10"/>
        <rFont val="Arial"/>
        <family val="2"/>
      </rPr>
      <t>item</t>
    </r>
  </si>
  <si>
    <t>U9E-50008</t>
  </si>
  <si>
    <t>52CL-A/SM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</si>
  <si>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</si>
  <si>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</si>
  <si>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</si>
  <si>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</si>
  <si>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</si>
  <si>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</si>
  <si>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</si>
  <si>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</si>
  <si>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</si>
  <si>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</si>
  <si>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</si>
  <si>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</si>
  <si>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</si>
  <si>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</si>
  <si>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</si>
  <si>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</si>
  <si>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</si>
  <si>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</si>
  <si>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</si>
  <si>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</si>
  <si>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</si>
  <si>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</si>
  <si>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</si>
  <si>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</si>
  <si>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</si>
  <si>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</si>
  <si>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</si>
  <si>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</si>
  <si>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</si>
  <si>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</si>
  <si>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</si>
  <si>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</si>
  <si>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</si>
  <si>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</si>
  <si>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</si>
  <si>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</si>
  <si>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</si>
  <si>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</si>
  <si>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</si>
  <si>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</si>
  <si>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</si>
  <si>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</si>
  <si>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</si>
  <si>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</si>
  <si>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</si>
  <si>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</si>
  <si>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</si>
  <si>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</si>
  <si>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</si>
  <si>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</si>
  <si>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</si>
  <si>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</si>
  <si>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</si>
  <si>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</si>
  <si>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</si>
  <si>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</si>
  <si>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</si>
  <si>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</si>
  <si>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9K-11089</t>
  </si>
  <si>
    <t>SILL</t>
  </si>
  <si>
    <t>9K-87102</t>
  </si>
  <si>
    <t>BOTTOM RAIL</t>
  </si>
  <si>
    <t>9K-11090</t>
  </si>
  <si>
    <t>TRANSOM</t>
  </si>
  <si>
    <t>9K-87116</t>
  </si>
  <si>
    <t>STILE(L)</t>
  </si>
  <si>
    <t>9K-87137</t>
  </si>
  <si>
    <t>2K-30630</t>
  </si>
  <si>
    <t>9K-87131</t>
  </si>
  <si>
    <t>STILE(R)</t>
  </si>
  <si>
    <t>9K-20754</t>
  </si>
  <si>
    <t>M</t>
  </si>
  <si>
    <t>9K-20669</t>
  </si>
  <si>
    <t>JAMB(L)</t>
  </si>
  <si>
    <t>9K-87104</t>
  </si>
  <si>
    <t>BEADING</t>
  </si>
  <si>
    <t>9K-86115</t>
  </si>
  <si>
    <t>9K-20856</t>
  </si>
  <si>
    <t>JAMB(R)</t>
  </si>
  <si>
    <t>2K-22277</t>
  </si>
  <si>
    <t>GLASS BEAD</t>
  </si>
  <si>
    <t>9K-87119</t>
  </si>
  <si>
    <t>2K-29161</t>
  </si>
  <si>
    <t>9K-20848</t>
  </si>
  <si>
    <t>EM-4016</t>
  </si>
  <si>
    <t>FOR HANDLE</t>
  </si>
  <si>
    <t>9K-20849</t>
  </si>
  <si>
    <t>EM-4010</t>
  </si>
  <si>
    <t>9K-20850</t>
  </si>
  <si>
    <t>EM-4008</t>
  </si>
  <si>
    <t>9K-20851</t>
  </si>
  <si>
    <t>9K-30250</t>
  </si>
  <si>
    <t>EF-4008D7-SA</t>
  </si>
  <si>
    <t>S</t>
  </si>
  <si>
    <t>EM-4008D8-SA</t>
  </si>
  <si>
    <t>BM-4025G</t>
  </si>
  <si>
    <t>FOR JOINT FRAME</t>
  </si>
  <si>
    <t>FOR PULLING BLOCK</t>
  </si>
  <si>
    <t>EF-4008D7</t>
  </si>
  <si>
    <t>FOR LOCK KEEPER</t>
  </si>
  <si>
    <t>EF-4006D6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</si>
  <si>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</si>
  <si>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</si>
  <si>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</si>
  <si>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</si>
  <si>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</si>
  <si>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</si>
  <si>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</si>
  <si>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</si>
  <si>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</si>
  <si>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</si>
  <si>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</si>
  <si>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</si>
  <si>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</si>
  <si>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</si>
  <si>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</si>
  <si>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</si>
  <si>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</si>
  <si>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</si>
  <si>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</si>
  <si>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</si>
  <si>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</si>
  <si>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</si>
  <si>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</si>
  <si>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</si>
  <si>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</si>
  <si>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</si>
  <si>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</si>
  <si>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</si>
  <si>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</si>
  <si>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</si>
  <si>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</si>
  <si>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</si>
  <si>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</si>
  <si>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</si>
  <si>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</si>
  <si>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</si>
  <si>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</si>
  <si>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</si>
  <si>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</si>
  <si>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GLASS BEAD(L)</t>
  </si>
  <si>
    <t>GLASS BEAD(R)</t>
  </si>
  <si>
    <t>FRICTION STAY</t>
  </si>
  <si>
    <t>SEALER PAD</t>
  </si>
  <si>
    <t>LABEL</t>
  </si>
  <si>
    <t>SCREW</t>
  </si>
  <si>
    <t>SHIM RECEIVER</t>
  </si>
  <si>
    <t>HOLE CAP</t>
  </si>
  <si>
    <t>LOCK KEEPER</t>
  </si>
  <si>
    <t>GASKET</t>
  </si>
  <si>
    <t>AL PLATE</t>
  </si>
  <si>
    <t>BACKPLATE</t>
  </si>
  <si>
    <t>PULLING BLOCK</t>
  </si>
  <si>
    <t>AT MATERIAL</t>
  </si>
  <si>
    <t>SETTING BLOCK</t>
  </si>
  <si>
    <t>9K-30241</t>
  </si>
  <si>
    <t>P-13</t>
  </si>
  <si>
    <t>2K-29158</t>
  </si>
  <si>
    <t>YS</t>
  </si>
  <si>
    <t>YK</t>
  </si>
  <si>
    <t>YW</t>
  </si>
  <si>
    <t>FOR FRICTION STAY</t>
  </si>
  <si>
    <t>FOR GLASS BEAD</t>
  </si>
  <si>
    <t>FOR JAMB (R), FOR JAMB (L), FOR HEAD</t>
  </si>
  <si>
    <t>FOR INSIDE</t>
  </si>
  <si>
    <t xml:space="preserve">FOR FRICTION STAY </t>
  </si>
  <si>
    <t>FOR TRANSOM</t>
  </si>
  <si>
    <t>FOR BACKPLATE</t>
  </si>
  <si>
    <t>FOR AL PLATE / BACKPLATE</t>
  </si>
  <si>
    <t>FOR OUTSIDE</t>
  </si>
  <si>
    <t>HANDLE</t>
  </si>
  <si>
    <t>TRANSMISSION ROD</t>
  </si>
  <si>
    <t>WEATHER STRIP</t>
  </si>
  <si>
    <t>HANDLE CAP</t>
  </si>
  <si>
    <t>ARMSTOPPER</t>
  </si>
  <si>
    <t>9K-11113</t>
  </si>
  <si>
    <t>EM-4012</t>
  </si>
  <si>
    <t>FOR TRANSMISSION ROD</t>
  </si>
  <si>
    <t>FOR TOP RAIL, BOTTOM RAIL</t>
  </si>
  <si>
    <t>FOR ARMSTOPPER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</si>
</sst>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1" xfId="3" applyFont="1" applyBorder="1" applyAlignment="1">
      <alignment vertical="center"/>
    </xf>
    <xf numFmtId="0" fontId="16" fillId="0" borderId="62" xfId="3" applyFont="1" applyBorder="1" applyAlignment="1">
      <alignment vertical="center"/>
    </xf>
    <xf numFmtId="0" fontId="17" fillId="0" borderId="63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4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5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4DEAB65D-8192-42CD-9E6D-8FAEEFB211F6}"/>
    <cellStyle name="Normal" xfId="0" builtinId="0"/>
    <cellStyle name="Normal 2" xfId="1" xr:uid="{F1CB627B-916E-48D2-9444-F8670C15E293}"/>
    <cellStyle name="Normal 5" xfId="3" xr:uid="{994F3875-3D40-44CE-8E71-3CFBBB9BFEF2}"/>
    <cellStyle name="Normal_COBA 2" xfId="4" xr:uid="{FA5D0AE5-52E4-46AC-BA4D-E30F7CE8AF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7D350A7-5E55-4FC8-A836-7DED04E0F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FD2D8C93-9FEE-45AE-BF60-F86BF8955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E85B163A-CF74-4470-85E4-3FE9421DD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97A46B5F-4D1F-45E5-A787-9687B3F5C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4AFBD5A1-87EA-4BCB-9CA2-53B15BC93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78279949-DF52-4E5D-A5A2-0E7E6F0D5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1A7CD2C2-DD8D-483E-AD04-A602B84C3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14</xdr:col>
      <xdr:colOff>420717</xdr:colOff>
      <xdr:row>38</xdr:row>
      <xdr:rowOff>123825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7A9A897B-112F-4C68-8931-0F0E716292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512" r="7000"/>
        <a:stretch/>
      </xdr:blipFill>
      <xdr:spPr bwMode="auto">
        <a:xfrm>
          <a:off x="2720340" y="4107180"/>
          <a:ext cx="3956397" cy="3164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622F4-FB2A-4989-AEA2-DF9EE42300DA}">
  <sheetPr codeName="Sheet59"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AZ52" sqref="AZ52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7.441406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7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45516.621006597219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45516.621006597219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45516.621006597219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45516.621006597219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45516.621006597219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FIX CAL-KD FIX M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FIX CAL-KD FIX M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FIX CAL-KD FIX M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FIX CAL-KD FIX M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52F/CL/F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52F/CL/F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52F/CL/F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52F/CL/F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34">
        <f>W</f>
        <v>1000</v>
      </c>
      <c r="L9" s="335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52F/CL/F</v>
      </c>
      <c r="V9" s="36"/>
      <c r="W9" s="55"/>
      <c r="X9" s="62"/>
      <c r="Y9" s="62"/>
      <c r="Z9" s="63" t="s">
        <v>21</v>
      </c>
      <c r="AA9" s="334">
        <f>$K$9</f>
        <v>1000</v>
      </c>
      <c r="AB9" s="335"/>
      <c r="AC9" s="65"/>
      <c r="AD9" s="61"/>
      <c r="AE9" s="59" t="str">
        <f>IF($O$9&gt;0,$O$9,"")</f>
        <v>U9E-51032</v>
      </c>
      <c r="AF9" s="60"/>
      <c r="AG9" s="3"/>
      <c r="AH9" s="53" t="s">
        <v>20</v>
      </c>
      <c r="AI9" s="36"/>
      <c r="AJ9" s="37"/>
      <c r="AK9" s="54" t="str">
        <f>IF($E$9&gt;0,$E$9,"")</f>
        <v>52F/CL/F</v>
      </c>
      <c r="AL9" s="36"/>
      <c r="AM9" s="55"/>
      <c r="AN9" s="62"/>
      <c r="AO9" s="62"/>
      <c r="AP9" s="63" t="s">
        <v>21</v>
      </c>
      <c r="AQ9" s="334">
        <f>$K$9</f>
        <v>1000</v>
      </c>
      <c r="AR9" s="335"/>
      <c r="AS9" s="65"/>
      <c r="AT9" s="61"/>
      <c r="AU9" s="59" t="str">
        <f>IF($O$9&gt;0,$O$9,"")</f>
        <v>U9E-51032</v>
      </c>
      <c r="AV9" s="60"/>
      <c r="AW9" s="3"/>
      <c r="AX9" s="53" t="s">
        <v>20</v>
      </c>
      <c r="AY9" s="36"/>
      <c r="AZ9" s="37"/>
      <c r="BA9" s="54" t="str">
        <f>IF(E9&gt;0,E9,"")</f>
        <v>52F/CL/F</v>
      </c>
      <c r="BB9" s="36"/>
      <c r="BC9" s="55"/>
      <c r="BD9" s="62"/>
      <c r="BE9" s="62"/>
      <c r="BF9" s="63" t="s">
        <v>21</v>
      </c>
      <c r="BG9" s="334">
        <f>$K$9</f>
        <v>1000</v>
      </c>
      <c r="BH9" s="335"/>
      <c r="BI9" s="65"/>
      <c r="BJ9" s="61"/>
      <c r="BK9" s="59" t="str">
        <f>IF($O$9&gt;0,$O$9,"")</f>
        <v>U9E-51032</v>
      </c>
      <c r="BL9" s="60"/>
      <c r="BM9" s="3"/>
      <c r="BN9" s="53" t="s">
        <v>20</v>
      </c>
      <c r="BO9" s="36"/>
      <c r="BP9" s="37"/>
      <c r="BQ9" s="54" t="str">
        <f>IF(U9&gt;0,U9,"")</f>
        <v>52F/CL/F</v>
      </c>
      <c r="BR9" s="36"/>
      <c r="BS9" s="55"/>
      <c r="BT9" s="62"/>
      <c r="BU9" s="62"/>
      <c r="BV9" s="63" t="s">
        <v>21</v>
      </c>
      <c r="BW9" s="334">
        <f>$K$9</f>
        <v>1000</v>
      </c>
      <c r="BX9" s="335"/>
      <c r="BY9" s="65"/>
      <c r="BZ9" s="61"/>
      <c r="CA9" s="59" t="str">
        <f>IF($O$9&gt;0,$O$9,"")</f>
        <v>U9E-51032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34">
        <f>H</f>
        <v>2000</v>
      </c>
      <c r="L10" s="336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34">
        <f>$K$10</f>
        <v>2000</v>
      </c>
      <c r="AB10" s="335"/>
      <c r="AC10" s="65"/>
      <c r="AD10" s="61"/>
      <c r="AE10" s="59" t="str">
        <f>IF($O$10&gt;0,$O$10,"")</f>
        <v>U9E-50008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34">
        <f>$K$10</f>
        <v>2000</v>
      </c>
      <c r="AR10" s="335"/>
      <c r="AS10" s="65"/>
      <c r="AT10" s="61"/>
      <c r="AU10" s="59" t="str">
        <f>IF($O$10&gt;0,$O$10,"")</f>
        <v>U9E-50008</v>
      </c>
      <c r="AV10" s="60"/>
      <c r="AW10" s="3"/>
      <c r="AX10" s="53" t="s">
        <v>23</v>
      </c>
      <c r="AY10" s="36"/>
      <c r="AZ10" s="37"/>
      <c r="BA10" s="54" t="str">
        <f>IF($U$10&gt;0,$U$10,"")</f>
        <v>52F/CL/F</v>
      </c>
      <c r="BB10" s="36"/>
      <c r="BC10" s="55"/>
      <c r="BD10" s="62"/>
      <c r="BE10" s="62"/>
      <c r="BF10" s="66" t="s">
        <v>24</v>
      </c>
      <c r="BG10" s="334">
        <f>$K$10</f>
        <v>2000</v>
      </c>
      <c r="BH10" s="335"/>
      <c r="BI10" s="65"/>
      <c r="BJ10" s="61"/>
      <c r="BK10" s="59" t="str">
        <f>IF($O$10&gt;0,$O$10,"")</f>
        <v>U9E-50008</v>
      </c>
      <c r="BL10" s="60"/>
      <c r="BM10" s="3"/>
      <c r="BN10" s="53" t="s">
        <v>23</v>
      </c>
      <c r="BO10" s="36"/>
      <c r="BP10" s="37"/>
      <c r="BQ10" s="54" t="str">
        <f>IF($AK$10&gt;0,$AK$10,"")</f>
        <v>52CL-A/SM</v>
      </c>
      <c r="BR10" s="36"/>
      <c r="BS10" s="55"/>
      <c r="BT10" s="62"/>
      <c r="BU10" s="62"/>
      <c r="BV10" s="66" t="s">
        <v>24</v>
      </c>
      <c r="BW10" s="334">
        <f>$K$10</f>
        <v>2000</v>
      </c>
      <c r="BX10" s="335"/>
      <c r="BY10" s="65"/>
      <c r="BZ10" s="61"/>
      <c r="CA10" s="59" t="str">
        <f>IF($O$10&gt;0,$O$10,"")</f>
        <v>U9E-50008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32" t="s">
        <v>28</v>
      </c>
      <c r="I11" s="332">
        <v>1</v>
      </c>
      <c r="J11" s="332" t="s">
        <v>29</v>
      </c>
      <c r="K11" s="328" t="s">
        <v>30</v>
      </c>
      <c r="L11" s="329"/>
      <c r="M11" s="323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32" t="s">
        <v>28</v>
      </c>
      <c r="Y11" s="332">
        <f>IF($I$11&gt;0,$I$11,"")</f>
        <v>1</v>
      </c>
      <c r="Z11" s="332" t="s">
        <v>29</v>
      </c>
      <c r="AA11" s="328" t="str">
        <f>IF($K$11&gt;0,$K$11,"")</f>
        <v>TT01</v>
      </c>
      <c r="AB11" s="329"/>
      <c r="AC11" s="323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32" t="s">
        <v>28</v>
      </c>
      <c r="AO11" s="332">
        <f>IF($I$11&gt;0,$I$11,"")</f>
        <v>1</v>
      </c>
      <c r="AP11" s="332" t="s">
        <v>29</v>
      </c>
      <c r="AQ11" s="328" t="str">
        <f>IF($K$11&gt;0,$K$11,"")</f>
        <v>TT01</v>
      </c>
      <c r="AR11" s="329"/>
      <c r="AS11" s="323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32" t="s">
        <v>28</v>
      </c>
      <c r="BE11" s="332">
        <f>IF($I$11&gt;0,$I$11,"")</f>
        <v>1</v>
      </c>
      <c r="BF11" s="332" t="s">
        <v>29</v>
      </c>
      <c r="BG11" s="328" t="str">
        <f>IF($K$11&gt;0,$K$11,"")</f>
        <v>TT01</v>
      </c>
      <c r="BH11" s="329"/>
      <c r="BI11" s="323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32" t="s">
        <v>28</v>
      </c>
      <c r="BU11" s="332">
        <f>IF($I$11&gt;0,$I$11,"")</f>
        <v>1</v>
      </c>
      <c r="BV11" s="332" t="s">
        <v>29</v>
      </c>
      <c r="BW11" s="328" t="str">
        <f>IF($K$11&gt;0,$K$11,"")</f>
        <v>TT01</v>
      </c>
      <c r="BX11" s="329"/>
      <c r="BY11" s="323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33"/>
      <c r="I12" s="333"/>
      <c r="J12" s="333"/>
      <c r="K12" s="330"/>
      <c r="L12" s="331"/>
      <c r="M12" s="324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33"/>
      <c r="Y12" s="333"/>
      <c r="Z12" s="333"/>
      <c r="AA12" s="330"/>
      <c r="AB12" s="331"/>
      <c r="AC12" s="324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33"/>
      <c r="AO12" s="333"/>
      <c r="AP12" s="333"/>
      <c r="AQ12" s="330"/>
      <c r="AR12" s="331"/>
      <c r="AS12" s="324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33"/>
      <c r="BE12" s="333"/>
      <c r="BF12" s="333"/>
      <c r="BG12" s="330"/>
      <c r="BH12" s="331"/>
      <c r="BI12" s="324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33"/>
      <c r="BU12" s="333"/>
      <c r="BV12" s="333"/>
      <c r="BW12" s="330"/>
      <c r="BX12" s="331"/>
      <c r="BY12" s="324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300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h.2-10</f>
        <v>1290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300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1290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300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1290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300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1290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300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1290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v>1300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1300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1300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1300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1300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>
        <f>H-h.1-h.2-80</f>
        <v>320</v>
      </c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>
        <f>IF($C$16&gt;0,$C$16,"")</f>
        <v>320</v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>
        <f>IF($C$16&gt;0,$C$16,"")</f>
        <v>320</v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>
        <f>IF($C$16&gt;0,$C$16,"")</f>
        <v>320</v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>
        <f>IF($C$16&gt;0,$C$16,"")</f>
        <v>320</v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>
        <f>(HS.1/2)+h.1+45</f>
        <v>990</v>
      </c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>
        <f>IF($P$17&gt;0,$P$17,"")</f>
        <v>990</v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>
        <f>IF($P$17&gt;0,$P$17,"")</f>
        <v>990</v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>
        <f>IF($P$17&gt;0,$P$17,"")</f>
        <v>990</v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>
        <f>IF($P$17&gt;0,$P$17,"")</f>
        <v>990</v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>
        <v>1</v>
      </c>
      <c r="W22" s="201">
        <v>1</v>
      </c>
      <c r="X22" s="170">
        <f>W-41</f>
        <v>959</v>
      </c>
      <c r="Y22" s="171">
        <v>1</v>
      </c>
      <c r="Z22" s="172">
        <f t="shared" ref="Z22:Z47" si="0">IF(Y22&lt;0.1,"",Q*Y22)</f>
        <v>1</v>
      </c>
      <c r="AA22" s="202"/>
      <c r="AB22" s="174"/>
      <c r="AC22" s="175"/>
      <c r="AD22" s="176"/>
      <c r="AE22" s="177">
        <f t="shared" ref="AE22:AE47" si="1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2">IF(AK22&gt;"","-","")</f>
        <v>-</v>
      </c>
      <c r="AM22" s="201">
        <v>1</v>
      </c>
      <c r="AN22" s="170">
        <f>WS.1-32</f>
        <v>916</v>
      </c>
      <c r="AO22" s="171">
        <v>1</v>
      </c>
      <c r="AP22" s="172">
        <f t="shared" ref="AP22:AP47" si="3">IF(AO22&lt;0.1,"",Q*AO22)</f>
        <v>1</v>
      </c>
      <c r="AQ22" s="202"/>
      <c r="AR22" s="174"/>
      <c r="AS22" s="175" t="str">
        <f>IF(WS.1&lt;=748,"4K-12285",IF(WS.1&lt;=848,"4K-12286",IF(WS.1&gt;848,"4K-15550","4K-15550")))</f>
        <v>4K-15550</v>
      </c>
      <c r="AT22" s="176"/>
      <c r="AU22" s="177">
        <f t="shared" ref="AU22:AU38" si="4">IF(AK22&gt;"",VLOOKUP(AK22,MATERIAL_WEIGHT,2,FALSE),"")</f>
        <v>0.48299999999999998</v>
      </c>
      <c r="AV22" s="178">
        <f t="shared" ref="AV22:AV47" si="5">IF(AK22&gt;"",(AU22*AN22*AP22)/1000,"")</f>
        <v>0.44242799999999999</v>
      </c>
      <c r="AW22" s="4"/>
      <c r="AX22" s="198" t="s">
        <v>169</v>
      </c>
      <c r="AY22" s="199"/>
      <c r="AZ22" s="200"/>
      <c r="BA22" s="204" t="str">
        <f>IF(W&lt;=500,"MIN LIMIT",IF(W&lt;=800,"4K-12285",IF(W&lt;=900,"4K-12286","4K-15550")))</f>
        <v>4K-15550</v>
      </c>
      <c r="BB22" s="168"/>
      <c r="BC22" s="180"/>
      <c r="BD22" s="181" t="s">
        <v>185</v>
      </c>
      <c r="BE22" s="171">
        <v>2</v>
      </c>
      <c r="BF22" s="172">
        <f t="shared" ref="BF22:BF60" si="6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197</v>
      </c>
      <c r="BO22" s="199"/>
      <c r="BP22" s="200"/>
      <c r="BQ22" s="204" t="s">
        <v>85</v>
      </c>
      <c r="BR22" s="168"/>
      <c r="BS22" s="180"/>
      <c r="BT22" s="181" t="s">
        <v>187</v>
      </c>
      <c r="BU22" s="171">
        <v>1</v>
      </c>
      <c r="BV22" s="172">
        <f t="shared" ref="BV22:BV59" si="7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167</v>
      </c>
      <c r="S23" s="199"/>
      <c r="T23" s="200"/>
      <c r="U23" s="167" t="s">
        <v>108</v>
      </c>
      <c r="V23" s="168">
        <v>1</v>
      </c>
      <c r="W23" s="201">
        <v>1</v>
      </c>
      <c r="X23" s="207">
        <f>h.3-36</f>
        <v>284</v>
      </c>
      <c r="Y23" s="171">
        <v>1</v>
      </c>
      <c r="Z23" s="172">
        <f t="shared" si="0"/>
        <v>1</v>
      </c>
      <c r="AA23" s="202"/>
      <c r="AB23" s="174"/>
      <c r="AC23" s="175"/>
      <c r="AD23" s="176"/>
      <c r="AE23" s="177">
        <f t="shared" si="1"/>
        <v>0.13900000000000001</v>
      </c>
      <c r="AF23" s="178">
        <f>IF(U23&gt;"",(AE23*X23*Z23)/1000,"")</f>
        <v>3.9476000000000004E-2</v>
      </c>
      <c r="AG23" s="4"/>
      <c r="AH23" s="198" t="s">
        <v>88</v>
      </c>
      <c r="AI23" s="199"/>
      <c r="AJ23" s="203"/>
      <c r="AK23" s="167" t="s">
        <v>84</v>
      </c>
      <c r="AL23" s="168" t="str">
        <f t="shared" si="2"/>
        <v>-</v>
      </c>
      <c r="AM23" s="201">
        <v>2</v>
      </c>
      <c r="AN23" s="207">
        <f>WS.1-32</f>
        <v>916</v>
      </c>
      <c r="AO23" s="182">
        <v>1</v>
      </c>
      <c r="AP23" s="172">
        <f t="shared" si="3"/>
        <v>1</v>
      </c>
      <c r="AQ23" s="202"/>
      <c r="AR23" s="174"/>
      <c r="AS23" s="175" t="str">
        <f>IF(WS.1&lt;=748,"4K-12285",IF(WS.1&lt;=848,"4K-12286",IF(WS.1&gt;848,"4K-15550","4K-15550")))</f>
        <v>4K-15550</v>
      </c>
      <c r="AT23" s="176"/>
      <c r="AU23" s="177">
        <f t="shared" si="4"/>
        <v>0.48299999999999998</v>
      </c>
      <c r="AV23" s="178">
        <f t="shared" si="5"/>
        <v>0.44242799999999999</v>
      </c>
      <c r="AW23" s="4"/>
      <c r="AX23" s="198" t="s">
        <v>170</v>
      </c>
      <c r="AY23" s="199"/>
      <c r="AZ23" s="200"/>
      <c r="BA23" s="167" t="s">
        <v>115</v>
      </c>
      <c r="BB23" s="168"/>
      <c r="BC23" s="180"/>
      <c r="BD23" s="181" t="s">
        <v>186</v>
      </c>
      <c r="BE23" s="171">
        <v>1</v>
      </c>
      <c r="BF23" s="172">
        <f t="shared" si="6"/>
        <v>1</v>
      </c>
      <c r="BG23" s="183"/>
      <c r="BH23" s="184"/>
      <c r="BI23" s="185"/>
      <c r="BJ23" s="186"/>
      <c r="BK23" s="205"/>
      <c r="BL23" s="188"/>
      <c r="BM23" s="4"/>
      <c r="BN23" s="198" t="s">
        <v>198</v>
      </c>
      <c r="BO23" s="199"/>
      <c r="BP23" s="200"/>
      <c r="BQ23" s="167" t="str">
        <f>IF(HS.1&lt;1550,"9K-11092","9K-11332")</f>
        <v>9K-11092</v>
      </c>
      <c r="BR23" s="168"/>
      <c r="BS23" s="180"/>
      <c r="BT23" s="181" t="s">
        <v>185</v>
      </c>
      <c r="BU23" s="171">
        <v>1</v>
      </c>
      <c r="BV23" s="172">
        <f t="shared" si="7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168</v>
      </c>
      <c r="S24" s="199"/>
      <c r="T24" s="200"/>
      <c r="U24" s="167" t="s">
        <v>108</v>
      </c>
      <c r="V24" s="168">
        <v>2</v>
      </c>
      <c r="W24" s="201">
        <v>2</v>
      </c>
      <c r="X24" s="207">
        <f>h.3-36</f>
        <v>284</v>
      </c>
      <c r="Y24" s="171">
        <v>1</v>
      </c>
      <c r="Z24" s="172">
        <f t="shared" si="0"/>
        <v>1</v>
      </c>
      <c r="AA24" s="202"/>
      <c r="AB24" s="174"/>
      <c r="AC24" s="175"/>
      <c r="AD24" s="176"/>
      <c r="AE24" s="177">
        <f t="shared" si="1"/>
        <v>0.13900000000000001</v>
      </c>
      <c r="AF24" s="178">
        <f t="shared" ref="AF24:AF47" si="8">IF(U24&gt;"",(AE24*X24*Z24)/1000,"")</f>
        <v>3.9476000000000004E-2</v>
      </c>
      <c r="AG24" s="4"/>
      <c r="AH24" s="198" t="s">
        <v>92</v>
      </c>
      <c r="AI24" s="199"/>
      <c r="AJ24" s="203"/>
      <c r="AK24" s="167" t="s">
        <v>93</v>
      </c>
      <c r="AL24" s="168" t="str">
        <f t="shared" si="2"/>
        <v>-</v>
      </c>
      <c r="AM24" s="201">
        <v>2</v>
      </c>
      <c r="AN24" s="207">
        <f>HS.1</f>
        <v>1290</v>
      </c>
      <c r="AO24" s="171">
        <v>1</v>
      </c>
      <c r="AP24" s="172">
        <f t="shared" si="3"/>
        <v>1</v>
      </c>
      <c r="AQ24" s="202"/>
      <c r="AR24" s="174"/>
      <c r="AS24" s="175" t="str">
        <f>IF(HS.1&lt;1550,CONCATENATE("as = ",(HS.1/2)),"")</f>
        <v>as = 645</v>
      </c>
      <c r="AT24" s="176"/>
      <c r="AU24" s="177">
        <f t="shared" si="4"/>
        <v>0.55700000000000005</v>
      </c>
      <c r="AV24" s="178">
        <f t="shared" si="5"/>
        <v>0.71853000000000011</v>
      </c>
      <c r="AW24" s="4"/>
      <c r="AX24" s="198" t="s">
        <v>170</v>
      </c>
      <c r="AY24" s="199"/>
      <c r="AZ24" s="200"/>
      <c r="BA24" s="167" t="s">
        <v>117</v>
      </c>
      <c r="BB24" s="168"/>
      <c r="BC24" s="180"/>
      <c r="BD24" s="181" t="s">
        <v>186</v>
      </c>
      <c r="BE24" s="171">
        <v>1</v>
      </c>
      <c r="BF24" s="172">
        <f t="shared" si="6"/>
        <v>1</v>
      </c>
      <c r="BG24" s="183"/>
      <c r="BH24" s="184"/>
      <c r="BI24" s="185"/>
      <c r="BJ24" s="186"/>
      <c r="BK24" s="187"/>
      <c r="BL24" s="188"/>
      <c r="BM24" s="4"/>
      <c r="BN24" s="198" t="s">
        <v>179</v>
      </c>
      <c r="BO24" s="199"/>
      <c r="BP24" s="200"/>
      <c r="BQ24" s="167" t="s">
        <v>94</v>
      </c>
      <c r="BR24" s="168"/>
      <c r="BS24" s="180"/>
      <c r="BT24" s="181" t="s">
        <v>186</v>
      </c>
      <c r="BU24" s="171">
        <v>1</v>
      </c>
      <c r="BV24" s="172">
        <f t="shared" si="7"/>
        <v>1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86</v>
      </c>
      <c r="S25" s="199"/>
      <c r="T25" s="200"/>
      <c r="U25" s="167" t="s">
        <v>87</v>
      </c>
      <c r="V25" s="168">
        <v>1</v>
      </c>
      <c r="W25" s="201">
        <v>1</v>
      </c>
      <c r="X25" s="170">
        <f>W-41</f>
        <v>959</v>
      </c>
      <c r="Y25" s="171">
        <v>1</v>
      </c>
      <c r="Z25" s="172">
        <f t="shared" si="0"/>
        <v>1</v>
      </c>
      <c r="AA25" s="209"/>
      <c r="AB25" s="174"/>
      <c r="AC25" s="175"/>
      <c r="AD25" s="176"/>
      <c r="AE25" s="177">
        <f t="shared" si="1"/>
        <v>0.57099999999999995</v>
      </c>
      <c r="AF25" s="178">
        <f t="shared" si="8"/>
        <v>0.54758899999999999</v>
      </c>
      <c r="AG25" s="4"/>
      <c r="AH25" s="198" t="s">
        <v>96</v>
      </c>
      <c r="AI25" s="199"/>
      <c r="AJ25" s="203"/>
      <c r="AK25" s="167" t="s">
        <v>93</v>
      </c>
      <c r="AL25" s="168" t="str">
        <f t="shared" si="2"/>
        <v>-</v>
      </c>
      <c r="AM25" s="201">
        <f>IF(HS.1&lt;1550,6,8)</f>
        <v>6</v>
      </c>
      <c r="AN25" s="207">
        <f>HS.1</f>
        <v>1290</v>
      </c>
      <c r="AO25" s="171">
        <v>1</v>
      </c>
      <c r="AP25" s="172">
        <f t="shared" si="3"/>
        <v>1</v>
      </c>
      <c r="AQ25" s="209"/>
      <c r="AR25" s="174"/>
      <c r="AS25" s="175"/>
      <c r="AT25" s="176"/>
      <c r="AU25" s="177">
        <f t="shared" si="4"/>
        <v>0.55700000000000005</v>
      </c>
      <c r="AV25" s="178">
        <f t="shared" si="5"/>
        <v>0.71853000000000011</v>
      </c>
      <c r="AW25" s="4"/>
      <c r="AX25" s="198" t="s">
        <v>171</v>
      </c>
      <c r="AY25" s="199"/>
      <c r="AZ25" s="200"/>
      <c r="BA25" s="167" t="s">
        <v>182</v>
      </c>
      <c r="BB25" s="168"/>
      <c r="BC25" s="180"/>
      <c r="BD25" s="181" t="s">
        <v>185</v>
      </c>
      <c r="BE25" s="171">
        <v>1</v>
      </c>
      <c r="BF25" s="172">
        <f t="shared" si="6"/>
        <v>1</v>
      </c>
      <c r="BG25" s="183"/>
      <c r="BH25" s="184"/>
      <c r="BI25" s="185"/>
      <c r="BJ25" s="186"/>
      <c r="BK25" s="187"/>
      <c r="BL25" s="188"/>
      <c r="BM25" s="4"/>
      <c r="BN25" s="198" t="s">
        <v>181</v>
      </c>
      <c r="BO25" s="199"/>
      <c r="BP25" s="200"/>
      <c r="BQ25" s="167" t="s">
        <v>99</v>
      </c>
      <c r="BR25" s="168"/>
      <c r="BS25" s="180"/>
      <c r="BT25" s="181" t="s">
        <v>186</v>
      </c>
      <c r="BU25" s="171">
        <v>2</v>
      </c>
      <c r="BV25" s="172">
        <f t="shared" si="7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90</v>
      </c>
      <c r="S26" s="199"/>
      <c r="T26" s="200"/>
      <c r="U26" s="167" t="s">
        <v>91</v>
      </c>
      <c r="V26" s="168">
        <v>2</v>
      </c>
      <c r="W26" s="201">
        <v>2</v>
      </c>
      <c r="X26" s="170">
        <f>W-41</f>
        <v>959</v>
      </c>
      <c r="Y26" s="171">
        <v>1</v>
      </c>
      <c r="Z26" s="172">
        <f t="shared" si="0"/>
        <v>1</v>
      </c>
      <c r="AA26" s="209"/>
      <c r="AB26" s="174"/>
      <c r="AC26" s="175"/>
      <c r="AD26" s="211"/>
      <c r="AE26" s="177">
        <f t="shared" si="1"/>
        <v>0.79900000000000004</v>
      </c>
      <c r="AF26" s="178">
        <f t="shared" si="8"/>
        <v>0.76624099999999995</v>
      </c>
      <c r="AG26" s="4"/>
      <c r="AH26" s="198" t="s">
        <v>102</v>
      </c>
      <c r="AI26" s="199"/>
      <c r="AJ26" s="203"/>
      <c r="AK26" s="167" t="s">
        <v>103</v>
      </c>
      <c r="AL26" s="168" t="str">
        <f t="shared" si="2"/>
        <v>-</v>
      </c>
      <c r="AM26" s="201">
        <v>0</v>
      </c>
      <c r="AN26" s="170">
        <f>WS.1-83</f>
        <v>865</v>
      </c>
      <c r="AO26" s="171">
        <v>2</v>
      </c>
      <c r="AP26" s="172">
        <f t="shared" si="3"/>
        <v>2</v>
      </c>
      <c r="AQ26" s="209"/>
      <c r="AR26" s="174"/>
      <c r="AS26" s="175"/>
      <c r="AT26" s="211"/>
      <c r="AU26" s="177">
        <f t="shared" si="4"/>
        <v>9.6000000000000002E-2</v>
      </c>
      <c r="AV26" s="178">
        <f t="shared" si="5"/>
        <v>0.16608000000000001</v>
      </c>
      <c r="AW26" s="4"/>
      <c r="AX26" s="198" t="s">
        <v>172</v>
      </c>
      <c r="AY26" s="199"/>
      <c r="AZ26" s="200"/>
      <c r="BA26" s="167" t="s">
        <v>121</v>
      </c>
      <c r="BB26" s="168"/>
      <c r="BC26" s="180"/>
      <c r="BD26" s="181" t="s">
        <v>185</v>
      </c>
      <c r="BE26" s="171">
        <v>8</v>
      </c>
      <c r="BF26" s="172">
        <f t="shared" si="6"/>
        <v>8</v>
      </c>
      <c r="BG26" s="183"/>
      <c r="BH26" s="184" t="s">
        <v>188</v>
      </c>
      <c r="BI26" s="185"/>
      <c r="BJ26" s="186"/>
      <c r="BK26" s="187"/>
      <c r="BL26" s="188"/>
      <c r="BM26" s="4"/>
      <c r="BN26" s="198" t="s">
        <v>181</v>
      </c>
      <c r="BO26" s="199"/>
      <c r="BP26" s="200"/>
      <c r="BQ26" s="167" t="s">
        <v>104</v>
      </c>
      <c r="BR26" s="168"/>
      <c r="BS26" s="180"/>
      <c r="BT26" s="181" t="s">
        <v>186</v>
      </c>
      <c r="BU26" s="171">
        <v>2</v>
      </c>
      <c r="BV26" s="172">
        <f t="shared" si="7"/>
        <v>2</v>
      </c>
      <c r="BW26" s="183"/>
      <c r="BX26" s="184"/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90</v>
      </c>
      <c r="S27" s="199"/>
      <c r="T27" s="200"/>
      <c r="U27" s="167" t="s">
        <v>95</v>
      </c>
      <c r="V27" s="168">
        <v>3</v>
      </c>
      <c r="W27" s="201">
        <v>3</v>
      </c>
      <c r="X27" s="170">
        <f>W-41</f>
        <v>959</v>
      </c>
      <c r="Y27" s="171">
        <v>1</v>
      </c>
      <c r="Z27" s="172">
        <f t="shared" si="0"/>
        <v>1</v>
      </c>
      <c r="AA27" s="209"/>
      <c r="AB27" s="174"/>
      <c r="AC27" s="175"/>
      <c r="AD27" s="211"/>
      <c r="AE27" s="177">
        <f t="shared" si="1"/>
        <v>0.89500000000000002</v>
      </c>
      <c r="AF27" s="178">
        <f t="shared" si="8"/>
        <v>0.8583050000000001</v>
      </c>
      <c r="AG27" s="4"/>
      <c r="AH27" s="198" t="s">
        <v>102</v>
      </c>
      <c r="AI27" s="199"/>
      <c r="AJ27" s="203"/>
      <c r="AK27" s="167" t="s">
        <v>103</v>
      </c>
      <c r="AL27" s="168" t="str">
        <f t="shared" si="2"/>
        <v>-</v>
      </c>
      <c r="AM27" s="201">
        <v>0</v>
      </c>
      <c r="AN27" s="170">
        <f>HS.1-84</f>
        <v>1206</v>
      </c>
      <c r="AO27" s="171">
        <v>2</v>
      </c>
      <c r="AP27" s="172">
        <f t="shared" si="3"/>
        <v>2</v>
      </c>
      <c r="AQ27" s="209"/>
      <c r="AR27" s="174"/>
      <c r="AS27" s="175"/>
      <c r="AT27" s="211"/>
      <c r="AU27" s="177">
        <f t="shared" si="4"/>
        <v>9.6000000000000002E-2</v>
      </c>
      <c r="AV27" s="178">
        <f t="shared" si="5"/>
        <v>0.23155199999999998</v>
      </c>
      <c r="AW27" s="4"/>
      <c r="AX27" s="198" t="s">
        <v>172</v>
      </c>
      <c r="AY27" s="199"/>
      <c r="AZ27" s="200"/>
      <c r="BA27" s="167" t="s">
        <v>116</v>
      </c>
      <c r="BB27" s="168"/>
      <c r="BC27" s="180"/>
      <c r="BD27" s="181" t="s">
        <v>185</v>
      </c>
      <c r="BE27" s="171">
        <v>2</v>
      </c>
      <c r="BF27" s="172">
        <f t="shared" si="6"/>
        <v>2</v>
      </c>
      <c r="BG27" s="212"/>
      <c r="BH27" s="184" t="s">
        <v>124</v>
      </c>
      <c r="BI27" s="185"/>
      <c r="BJ27" s="186"/>
      <c r="BK27" s="187"/>
      <c r="BL27" s="188"/>
      <c r="BM27" s="4"/>
      <c r="BN27" s="198" t="s">
        <v>176</v>
      </c>
      <c r="BO27" s="199"/>
      <c r="BP27" s="200"/>
      <c r="BQ27" s="167" t="s">
        <v>106</v>
      </c>
      <c r="BR27" s="168"/>
      <c r="BS27" s="180"/>
      <c r="BT27" s="181" t="s">
        <v>186</v>
      </c>
      <c r="BU27" s="171">
        <f>(((WS.1-66)*2)+((HS.1-84)*2))/1000</f>
        <v>4.1760000000000002</v>
      </c>
      <c r="BV27" s="172">
        <f t="shared" si="7"/>
        <v>4.1760000000000002</v>
      </c>
      <c r="BW27" s="212" t="s">
        <v>98</v>
      </c>
      <c r="BX27" s="184" t="s">
        <v>196</v>
      </c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100</v>
      </c>
      <c r="S28" s="214"/>
      <c r="T28" s="215"/>
      <c r="U28" s="167" t="s">
        <v>101</v>
      </c>
      <c r="V28" s="168">
        <v>19</v>
      </c>
      <c r="W28" s="201">
        <f>IF(h.2&lt;1560,21,35)</f>
        <v>21</v>
      </c>
      <c r="X28" s="170">
        <f>H</f>
        <v>2000</v>
      </c>
      <c r="Y28" s="171">
        <v>1</v>
      </c>
      <c r="Z28" s="172">
        <f t="shared" si="0"/>
        <v>1</v>
      </c>
      <c r="AA28" s="209"/>
      <c r="AB28" s="174" t="str">
        <f>IF(H&lt;1600,CONCATENATE("a = ",h.1+(h.2/2)+40),CONCATENATE("a = ",h.1+1020))</f>
        <v>a = 1320</v>
      </c>
      <c r="AC28" s="175"/>
      <c r="AD28" s="211"/>
      <c r="AE28" s="177">
        <f t="shared" si="1"/>
        <v>0.57399999999999995</v>
      </c>
      <c r="AF28" s="178">
        <f t="shared" si="8"/>
        <v>1.1479999999999999</v>
      </c>
      <c r="AG28" s="4"/>
      <c r="AH28" s="213"/>
      <c r="AI28" s="214"/>
      <c r="AJ28" s="216"/>
      <c r="AK28" s="167"/>
      <c r="AL28" s="168" t="str">
        <f t="shared" si="2"/>
        <v/>
      </c>
      <c r="AM28" s="201"/>
      <c r="AN28" s="170"/>
      <c r="AO28" s="171"/>
      <c r="AP28" s="172" t="str">
        <f t="shared" si="3"/>
        <v/>
      </c>
      <c r="AQ28" s="209"/>
      <c r="AR28" s="174"/>
      <c r="AS28" s="175"/>
      <c r="AT28" s="211"/>
      <c r="AU28" s="177" t="str">
        <f t="shared" si="4"/>
        <v/>
      </c>
      <c r="AV28" s="178" t="str">
        <f t="shared" si="5"/>
        <v/>
      </c>
      <c r="AW28" s="4"/>
      <c r="AX28" s="198" t="s">
        <v>172</v>
      </c>
      <c r="AY28" s="199"/>
      <c r="AZ28" s="200"/>
      <c r="BA28" s="167" t="s">
        <v>125</v>
      </c>
      <c r="BB28" s="168"/>
      <c r="BC28" s="180"/>
      <c r="BD28" s="181" t="s">
        <v>185</v>
      </c>
      <c r="BE28" s="171">
        <v>4</v>
      </c>
      <c r="BF28" s="172">
        <f t="shared" si="6"/>
        <v>4</v>
      </c>
      <c r="BG28" s="183"/>
      <c r="BH28" s="184" t="s">
        <v>126</v>
      </c>
      <c r="BI28" s="185"/>
      <c r="BJ28" s="186"/>
      <c r="BK28" s="187"/>
      <c r="BL28" s="188"/>
      <c r="BM28" s="4"/>
      <c r="BN28" s="198" t="s">
        <v>199</v>
      </c>
      <c r="BO28" s="199"/>
      <c r="BP28" s="200"/>
      <c r="BQ28" s="167" t="s">
        <v>109</v>
      </c>
      <c r="BR28" s="168"/>
      <c r="BS28" s="180"/>
      <c r="BT28" s="181" t="s">
        <v>186</v>
      </c>
      <c r="BU28" s="171">
        <f>(HS.1*2)/1000</f>
        <v>2.58</v>
      </c>
      <c r="BV28" s="172">
        <f t="shared" si="7"/>
        <v>2.58</v>
      </c>
      <c r="BW28" s="183" t="s">
        <v>98</v>
      </c>
      <c r="BX28" s="184"/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105</v>
      </c>
      <c r="S29" s="214"/>
      <c r="T29" s="215"/>
      <c r="U29" s="217" t="s">
        <v>101</v>
      </c>
      <c r="V29" s="168">
        <v>24</v>
      </c>
      <c r="W29" s="218">
        <v>24</v>
      </c>
      <c r="X29" s="170">
        <f>H</f>
        <v>2000</v>
      </c>
      <c r="Y29" s="219">
        <v>1</v>
      </c>
      <c r="Z29" s="172">
        <f t="shared" si="0"/>
        <v>1</v>
      </c>
      <c r="AA29" s="220"/>
      <c r="AB29" s="174" t="str">
        <f>CONCATENATE("H1+H2/2+40 = ",h.1+(h.2/2)+40)</f>
        <v>H1+H2/2+40 = 990</v>
      </c>
      <c r="AC29" s="175"/>
      <c r="AD29" s="211"/>
      <c r="AE29" s="177">
        <f t="shared" si="1"/>
        <v>0.57399999999999995</v>
      </c>
      <c r="AF29" s="178">
        <f t="shared" si="8"/>
        <v>1.1479999999999999</v>
      </c>
      <c r="AG29" s="4"/>
      <c r="AH29" s="198"/>
      <c r="AI29" s="199"/>
      <c r="AJ29" s="203"/>
      <c r="AK29" s="167"/>
      <c r="AL29" s="168"/>
      <c r="AM29" s="201"/>
      <c r="AN29" s="170"/>
      <c r="AO29" s="171"/>
      <c r="AP29" s="172"/>
      <c r="AQ29" s="202"/>
      <c r="AR29" s="174"/>
      <c r="AS29" s="175"/>
      <c r="AT29" s="176"/>
      <c r="AU29" s="177"/>
      <c r="AV29" s="178"/>
      <c r="AW29" s="4"/>
      <c r="AX29" s="198" t="s">
        <v>172</v>
      </c>
      <c r="AY29" s="199"/>
      <c r="AZ29" s="200"/>
      <c r="BA29" s="167" t="s">
        <v>127</v>
      </c>
      <c r="BB29" s="168"/>
      <c r="BC29" s="180"/>
      <c r="BD29" s="181" t="s">
        <v>185</v>
      </c>
      <c r="BE29" s="171">
        <v>4</v>
      </c>
      <c r="BF29" s="172">
        <f t="shared" si="6"/>
        <v>4</v>
      </c>
      <c r="BG29" s="183"/>
      <c r="BH29" s="184" t="s">
        <v>189</v>
      </c>
      <c r="BI29" s="185"/>
      <c r="BJ29" s="186"/>
      <c r="BK29" s="187"/>
      <c r="BL29" s="188" t="s">
        <v>7</v>
      </c>
      <c r="BM29" s="4"/>
      <c r="BN29" s="198" t="s">
        <v>172</v>
      </c>
      <c r="BO29" s="199"/>
      <c r="BP29" s="200"/>
      <c r="BQ29" s="167" t="s">
        <v>111</v>
      </c>
      <c r="BR29" s="168"/>
      <c r="BS29" s="180"/>
      <c r="BT29" s="181" t="s">
        <v>185</v>
      </c>
      <c r="BU29" s="171">
        <v>2</v>
      </c>
      <c r="BV29" s="172">
        <f t="shared" si="7"/>
        <v>2</v>
      </c>
      <c r="BW29" s="183"/>
      <c r="BX29" s="184" t="s">
        <v>112</v>
      </c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 t="s">
        <v>107</v>
      </c>
      <c r="S30" s="199"/>
      <c r="T30" s="200"/>
      <c r="U30" s="167" t="s">
        <v>108</v>
      </c>
      <c r="V30" s="168">
        <v>0</v>
      </c>
      <c r="W30" s="169">
        <v>0</v>
      </c>
      <c r="X30" s="170">
        <f>W-76</f>
        <v>924</v>
      </c>
      <c r="Y30" s="171">
        <v>2</v>
      </c>
      <c r="Z30" s="172">
        <f t="shared" si="0"/>
        <v>2</v>
      </c>
      <c r="AA30" s="220"/>
      <c r="AB30" s="174"/>
      <c r="AC30" s="175"/>
      <c r="AD30" s="176"/>
      <c r="AE30" s="177">
        <f t="shared" si="1"/>
        <v>0.13900000000000001</v>
      </c>
      <c r="AF30" s="178">
        <f t="shared" si="8"/>
        <v>0.25687199999999999</v>
      </c>
      <c r="AG30" s="4"/>
      <c r="AH30" s="198"/>
      <c r="AI30" s="199"/>
      <c r="AJ30" s="203"/>
      <c r="AK30" s="167"/>
      <c r="AL30" s="168"/>
      <c r="AM30" s="201"/>
      <c r="AN30" s="207"/>
      <c r="AO30" s="182"/>
      <c r="AP30" s="172"/>
      <c r="AQ30" s="202"/>
      <c r="AR30" s="174"/>
      <c r="AS30" s="175"/>
      <c r="AT30" s="176"/>
      <c r="AU30" s="177"/>
      <c r="AV30" s="178"/>
      <c r="AW30" s="4"/>
      <c r="AX30" s="198" t="s">
        <v>172</v>
      </c>
      <c r="AY30" s="199"/>
      <c r="AZ30" s="200"/>
      <c r="BA30" s="167" t="s">
        <v>122</v>
      </c>
      <c r="BB30" s="168"/>
      <c r="BC30" s="180"/>
      <c r="BD30" s="181" t="s">
        <v>185</v>
      </c>
      <c r="BE30" s="171">
        <v>16</v>
      </c>
      <c r="BF30" s="172">
        <f t="shared" si="6"/>
        <v>16</v>
      </c>
      <c r="BG30" s="183"/>
      <c r="BH30" s="184" t="s">
        <v>123</v>
      </c>
      <c r="BI30" s="185"/>
      <c r="BJ30" s="186"/>
      <c r="BK30" s="187"/>
      <c r="BL30" s="188" t="s">
        <v>120</v>
      </c>
      <c r="BM30" s="4"/>
      <c r="BN30" s="198" t="s">
        <v>172</v>
      </c>
      <c r="BO30" s="199"/>
      <c r="BP30" s="200"/>
      <c r="BQ30" s="167" t="s">
        <v>114</v>
      </c>
      <c r="BR30" s="168"/>
      <c r="BS30" s="180"/>
      <c r="BT30" s="181" t="s">
        <v>185</v>
      </c>
      <c r="BU30" s="171">
        <v>6</v>
      </c>
      <c r="BV30" s="172">
        <f t="shared" si="7"/>
        <v>6</v>
      </c>
      <c r="BW30" s="183"/>
      <c r="BX30" s="184" t="s">
        <v>204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 t="s">
        <v>167</v>
      </c>
      <c r="S31" s="199"/>
      <c r="T31" s="200"/>
      <c r="U31" s="167" t="s">
        <v>108</v>
      </c>
      <c r="V31" s="168">
        <v>1</v>
      </c>
      <c r="W31" s="221">
        <v>1</v>
      </c>
      <c r="X31" s="207">
        <f>h.1-36</f>
        <v>264</v>
      </c>
      <c r="Y31" s="171">
        <v>1</v>
      </c>
      <c r="Z31" s="172">
        <f t="shared" si="0"/>
        <v>1</v>
      </c>
      <c r="AA31" s="220"/>
      <c r="AB31" s="174"/>
      <c r="AC31" s="175"/>
      <c r="AD31" s="211"/>
      <c r="AE31" s="177">
        <f t="shared" si="1"/>
        <v>0.13900000000000001</v>
      </c>
      <c r="AF31" s="178">
        <f t="shared" si="8"/>
        <v>3.6696000000000006E-2</v>
      </c>
      <c r="AG31" s="4"/>
      <c r="AH31" s="198"/>
      <c r="AI31" s="199"/>
      <c r="AJ31" s="203"/>
      <c r="AK31" s="167"/>
      <c r="AL31" s="168"/>
      <c r="AM31" s="201"/>
      <c r="AN31" s="207"/>
      <c r="AO31" s="171"/>
      <c r="AP31" s="172"/>
      <c r="AQ31" s="202"/>
      <c r="AR31" s="174"/>
      <c r="AS31" s="175"/>
      <c r="AT31" s="176"/>
      <c r="AU31" s="177"/>
      <c r="AV31" s="178"/>
      <c r="AW31" s="4"/>
      <c r="AX31" s="198" t="s">
        <v>173</v>
      </c>
      <c r="AY31" s="199"/>
      <c r="AZ31" s="200"/>
      <c r="BA31" s="167" t="s">
        <v>128</v>
      </c>
      <c r="BB31" s="168"/>
      <c r="BC31" s="180"/>
      <c r="BD31" s="181" t="s">
        <v>146</v>
      </c>
      <c r="BE31" s="171">
        <v>1</v>
      </c>
      <c r="BF31" s="172">
        <f t="shared" si="6"/>
        <v>1</v>
      </c>
      <c r="BG31" s="183"/>
      <c r="BH31" s="184"/>
      <c r="BI31" s="185"/>
      <c r="BJ31" s="186"/>
      <c r="BK31" s="187"/>
      <c r="BL31" s="188" t="s">
        <v>120</v>
      </c>
      <c r="BM31" s="4"/>
      <c r="BN31" s="198" t="s">
        <v>172</v>
      </c>
      <c r="BO31" s="199"/>
      <c r="BP31" s="200"/>
      <c r="BQ31" s="167" t="s">
        <v>116</v>
      </c>
      <c r="BR31" s="168"/>
      <c r="BS31" s="180"/>
      <c r="BT31" s="181" t="s">
        <v>185</v>
      </c>
      <c r="BU31" s="171">
        <v>2</v>
      </c>
      <c r="BV31" s="172">
        <f t="shared" si="7"/>
        <v>2</v>
      </c>
      <c r="BW31" s="183"/>
      <c r="BX31" s="184" t="s">
        <v>124</v>
      </c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 t="s">
        <v>168</v>
      </c>
      <c r="S32" s="199"/>
      <c r="T32" s="200"/>
      <c r="U32" s="167" t="s">
        <v>108</v>
      </c>
      <c r="V32" s="168">
        <v>2</v>
      </c>
      <c r="W32" s="169">
        <v>2</v>
      </c>
      <c r="X32" s="170">
        <f>h.1-36</f>
        <v>264</v>
      </c>
      <c r="Y32" s="171">
        <v>1</v>
      </c>
      <c r="Z32" s="172">
        <f t="shared" si="0"/>
        <v>1</v>
      </c>
      <c r="AA32" s="220"/>
      <c r="AB32" s="174"/>
      <c r="AC32" s="175"/>
      <c r="AD32" s="211"/>
      <c r="AE32" s="177">
        <f t="shared" si="1"/>
        <v>0.13900000000000001</v>
      </c>
      <c r="AF32" s="178">
        <f t="shared" si="8"/>
        <v>3.6696000000000006E-2</v>
      </c>
      <c r="AG32" s="4"/>
      <c r="AH32" s="198"/>
      <c r="AI32" s="199"/>
      <c r="AJ32" s="203"/>
      <c r="AK32" s="167"/>
      <c r="AL32" s="168"/>
      <c r="AM32" s="201"/>
      <c r="AN32" s="207"/>
      <c r="AO32" s="171"/>
      <c r="AP32" s="172"/>
      <c r="AQ32" s="209"/>
      <c r="AR32" s="174"/>
      <c r="AS32" s="175"/>
      <c r="AT32" s="176"/>
      <c r="AU32" s="177"/>
      <c r="AV32" s="178"/>
      <c r="AW32" s="4"/>
      <c r="AX32" s="198" t="s">
        <v>174</v>
      </c>
      <c r="AY32" s="199"/>
      <c r="AZ32" s="200"/>
      <c r="BA32" s="167" t="s">
        <v>129</v>
      </c>
      <c r="BB32" s="168"/>
      <c r="BC32" s="180"/>
      <c r="BD32" s="181" t="s">
        <v>187</v>
      </c>
      <c r="BE32" s="171">
        <f>IF(W&gt;831,3,2)+IF(h.2&lt;=780,2,IF(h.2&lt;=1160,3,IF(h.2&gt;1160,5,5)))+IF(h.2&lt;=1285,3,IF(h.2&lt;1560,4,5))</f>
        <v>12</v>
      </c>
      <c r="BF32" s="172">
        <f t="shared" si="6"/>
        <v>12</v>
      </c>
      <c r="BG32" s="183"/>
      <c r="BH32" s="184" t="s">
        <v>190</v>
      </c>
      <c r="BI32" s="185"/>
      <c r="BJ32" s="186"/>
      <c r="BK32" s="187"/>
      <c r="BL32" s="188" t="s">
        <v>120</v>
      </c>
      <c r="BM32" s="4"/>
      <c r="BN32" s="198" t="s">
        <v>200</v>
      </c>
      <c r="BO32" s="199"/>
      <c r="BP32" s="200"/>
      <c r="BQ32" s="167" t="s">
        <v>118</v>
      </c>
      <c r="BR32" s="168"/>
      <c r="BS32" s="180"/>
      <c r="BT32" s="181" t="s">
        <v>186</v>
      </c>
      <c r="BU32" s="171">
        <v>2</v>
      </c>
      <c r="BV32" s="172">
        <f t="shared" si="7"/>
        <v>2</v>
      </c>
      <c r="BW32" s="183" t="s">
        <v>7</v>
      </c>
      <c r="BX32" s="184" t="s">
        <v>112</v>
      </c>
      <c r="BY32" s="185"/>
      <c r="BZ32" s="186"/>
      <c r="CA32" s="187"/>
      <c r="CB32" s="188" t="s">
        <v>7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ref="V33:V47" si="9">IF(U33&gt;"","-","")</f>
        <v/>
      </c>
      <c r="W33" s="169"/>
      <c r="X33" s="207"/>
      <c r="Y33" s="171"/>
      <c r="Z33" s="172" t="str">
        <f t="shared" si="0"/>
        <v/>
      </c>
      <c r="AA33" s="220"/>
      <c r="AB33" s="174"/>
      <c r="AC33" s="175"/>
      <c r="AD33" s="211"/>
      <c r="AE33" s="177" t="str">
        <f t="shared" si="1"/>
        <v/>
      </c>
      <c r="AF33" s="178" t="str">
        <f t="shared" si="8"/>
        <v/>
      </c>
      <c r="AG33" s="4"/>
      <c r="AH33" s="198"/>
      <c r="AI33" s="199"/>
      <c r="AJ33" s="203"/>
      <c r="AK33" s="167"/>
      <c r="AL33" s="168"/>
      <c r="AM33" s="201"/>
      <c r="AN33" s="170"/>
      <c r="AO33" s="171"/>
      <c r="AP33" s="172"/>
      <c r="AQ33" s="209"/>
      <c r="AR33" s="174"/>
      <c r="AS33" s="175"/>
      <c r="AT33" s="211"/>
      <c r="AU33" s="177"/>
      <c r="AV33" s="178"/>
      <c r="AW33" s="4"/>
      <c r="AX33" s="198" t="s">
        <v>175</v>
      </c>
      <c r="AY33" s="199"/>
      <c r="AZ33" s="200"/>
      <c r="BA33" s="167" t="s">
        <v>89</v>
      </c>
      <c r="BB33" s="168"/>
      <c r="BC33" s="180"/>
      <c r="BD33" s="181" t="s">
        <v>185</v>
      </c>
      <c r="BE33" s="171">
        <v>2</v>
      </c>
      <c r="BF33" s="172">
        <f t="shared" si="6"/>
        <v>2</v>
      </c>
      <c r="BG33" s="212"/>
      <c r="BH33" s="184"/>
      <c r="BI33" s="185"/>
      <c r="BJ33" s="186"/>
      <c r="BK33" s="187"/>
      <c r="BL33" s="188"/>
      <c r="BM33" s="4"/>
      <c r="BN33" s="198" t="s">
        <v>172</v>
      </c>
      <c r="BO33" s="199"/>
      <c r="BP33" s="200"/>
      <c r="BQ33" s="167" t="s">
        <v>119</v>
      </c>
      <c r="BR33" s="168"/>
      <c r="BS33" s="180"/>
      <c r="BT33" s="181" t="s">
        <v>185</v>
      </c>
      <c r="BU33" s="171">
        <v>8</v>
      </c>
      <c r="BV33" s="172">
        <f t="shared" si="7"/>
        <v>8</v>
      </c>
      <c r="BW33" s="212"/>
      <c r="BX33" s="184" t="s">
        <v>188</v>
      </c>
      <c r="BY33" s="185"/>
      <c r="BZ33" s="186"/>
      <c r="CA33" s="187"/>
      <c r="CB33" s="188" t="s">
        <v>120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198"/>
      <c r="S34" s="199"/>
      <c r="T34" s="200"/>
      <c r="U34" s="167"/>
      <c r="V34" s="168"/>
      <c r="W34" s="201"/>
      <c r="X34" s="170"/>
      <c r="Y34" s="171"/>
      <c r="Z34" s="172"/>
      <c r="AA34" s="202"/>
      <c r="AB34" s="174"/>
      <c r="AC34" s="175"/>
      <c r="AD34" s="176"/>
      <c r="AE34" s="177"/>
      <c r="AF34" s="178"/>
      <c r="AG34" s="4"/>
      <c r="AH34" s="198"/>
      <c r="AI34" s="199"/>
      <c r="AJ34" s="203"/>
      <c r="AK34" s="167"/>
      <c r="AL34" s="168"/>
      <c r="AM34" s="201"/>
      <c r="AN34" s="170"/>
      <c r="AO34" s="171"/>
      <c r="AP34" s="172"/>
      <c r="AQ34" s="209"/>
      <c r="AR34" s="174"/>
      <c r="AS34" s="175"/>
      <c r="AT34" s="211"/>
      <c r="AU34" s="177"/>
      <c r="AV34" s="178"/>
      <c r="AW34" s="4"/>
      <c r="AX34" s="198" t="s">
        <v>176</v>
      </c>
      <c r="AY34" s="199"/>
      <c r="AZ34" s="200"/>
      <c r="BA34" s="167" t="str">
        <f>IF(GTH=5,"9K-20523",IF(GTH=6,"2K-22973",IF(GTH=8,"2K-22975","")))</f>
        <v>9K-20523</v>
      </c>
      <c r="BB34" s="168"/>
      <c r="BC34" s="180"/>
      <c r="BD34" s="181" t="s">
        <v>186</v>
      </c>
      <c r="BE34" s="171">
        <f>((4*W)+((h.1+h.3)*2)-136)/1000</f>
        <v>5.1040000000000001</v>
      </c>
      <c r="BF34" s="172">
        <f t="shared" si="6"/>
        <v>5.1040000000000001</v>
      </c>
      <c r="BG34" s="212" t="s">
        <v>98</v>
      </c>
      <c r="BH34" s="184" t="s">
        <v>191</v>
      </c>
      <c r="BI34" s="185"/>
      <c r="BJ34" s="186"/>
      <c r="BK34" s="187"/>
      <c r="BL34" s="188" t="s">
        <v>120</v>
      </c>
      <c r="BM34" s="4"/>
      <c r="BN34" s="198" t="s">
        <v>176</v>
      </c>
      <c r="BO34" s="199"/>
      <c r="BP34" s="200"/>
      <c r="BQ34" s="167" t="str">
        <f>IF(GTH=5,"9K-20523",IF(GTH=6,"2K-22973",IF(GTH=8,"2K-22975","")))</f>
        <v>9K-20523</v>
      </c>
      <c r="BR34" s="168"/>
      <c r="BS34" s="180"/>
      <c r="BT34" s="181" t="s">
        <v>186</v>
      </c>
      <c r="BU34" s="171">
        <f>((2*WS.1)+(2*HS.1)-216)/1000</f>
        <v>4.26</v>
      </c>
      <c r="BV34" s="172">
        <f t="shared" si="7"/>
        <v>4.26</v>
      </c>
      <c r="BW34" s="212" t="s">
        <v>98</v>
      </c>
      <c r="BX34" s="184" t="s">
        <v>191</v>
      </c>
      <c r="BY34" s="185"/>
      <c r="BZ34" s="186"/>
      <c r="CA34" s="187"/>
      <c r="CB34" s="188" t="s">
        <v>120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198"/>
      <c r="S35" s="199"/>
      <c r="T35" s="200"/>
      <c r="U35" s="167"/>
      <c r="V35" s="168"/>
      <c r="W35" s="201"/>
      <c r="X35" s="207"/>
      <c r="Y35" s="171"/>
      <c r="Z35" s="172"/>
      <c r="AA35" s="202"/>
      <c r="AB35" s="174"/>
      <c r="AC35" s="175"/>
      <c r="AD35" s="176"/>
      <c r="AE35" s="177"/>
      <c r="AF35" s="178"/>
      <c r="AG35" s="4"/>
      <c r="AH35" s="213"/>
      <c r="AI35" s="214"/>
      <c r="AJ35" s="215"/>
      <c r="AK35" s="167"/>
      <c r="AL35" s="168" t="str">
        <f t="shared" si="2"/>
        <v/>
      </c>
      <c r="AM35" s="169"/>
      <c r="AN35" s="170"/>
      <c r="AO35" s="171"/>
      <c r="AP35" s="172" t="str">
        <f t="shared" si="3"/>
        <v/>
      </c>
      <c r="AQ35" s="220"/>
      <c r="AR35" s="174"/>
      <c r="AS35" s="175"/>
      <c r="AT35" s="211"/>
      <c r="AU35" s="177" t="str">
        <f t="shared" si="4"/>
        <v/>
      </c>
      <c r="AV35" s="178" t="str">
        <f t="shared" si="5"/>
        <v/>
      </c>
      <c r="AW35" s="4"/>
      <c r="AX35" s="198" t="s">
        <v>177</v>
      </c>
      <c r="AY35" s="199"/>
      <c r="AZ35" s="200"/>
      <c r="BA35" s="167" t="str">
        <f>IF(W&gt;900,"5K-18787","")</f>
        <v>5K-18787</v>
      </c>
      <c r="BB35" s="168"/>
      <c r="BC35" s="180"/>
      <c r="BD35" s="181" t="s">
        <v>185</v>
      </c>
      <c r="BE35" s="171">
        <v>2</v>
      </c>
      <c r="BF35" s="172">
        <f t="shared" si="6"/>
        <v>2</v>
      </c>
      <c r="BG35" s="212"/>
      <c r="BH35" s="184" t="s">
        <v>192</v>
      </c>
      <c r="BI35" s="185"/>
      <c r="BJ35" s="186"/>
      <c r="BK35" s="187"/>
      <c r="BL35" s="188" t="s">
        <v>120</v>
      </c>
      <c r="BM35" s="4"/>
      <c r="BN35" s="198" t="s">
        <v>172</v>
      </c>
      <c r="BO35" s="199"/>
      <c r="BP35" s="200"/>
      <c r="BQ35" s="167" t="s">
        <v>122</v>
      </c>
      <c r="BR35" s="168"/>
      <c r="BS35" s="180"/>
      <c r="BT35" s="181" t="s">
        <v>185</v>
      </c>
      <c r="BU35" s="171">
        <v>8</v>
      </c>
      <c r="BV35" s="172">
        <f t="shared" si="7"/>
        <v>8</v>
      </c>
      <c r="BW35" s="212"/>
      <c r="BX35" s="184" t="s">
        <v>123</v>
      </c>
      <c r="BY35" s="185"/>
      <c r="BZ35" s="186"/>
      <c r="CA35" s="187"/>
      <c r="CB35" s="188" t="s">
        <v>120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198"/>
      <c r="S36" s="199"/>
      <c r="T36" s="200"/>
      <c r="U36" s="167"/>
      <c r="V36" s="168"/>
      <c r="W36" s="201"/>
      <c r="X36" s="207"/>
      <c r="Y36" s="171"/>
      <c r="Z36" s="172"/>
      <c r="AA36" s="202"/>
      <c r="AB36" s="174"/>
      <c r="AC36" s="175"/>
      <c r="AD36" s="176"/>
      <c r="AE36" s="177"/>
      <c r="AF36" s="178"/>
      <c r="AG36" s="4"/>
      <c r="AH36" s="213"/>
      <c r="AI36" s="214"/>
      <c r="AJ36" s="215"/>
      <c r="AK36" s="167"/>
      <c r="AL36" s="168" t="str">
        <f t="shared" si="2"/>
        <v/>
      </c>
      <c r="AM36" s="169"/>
      <c r="AN36" s="170"/>
      <c r="AO36" s="171"/>
      <c r="AP36" s="172" t="str">
        <f t="shared" si="3"/>
        <v/>
      </c>
      <c r="AQ36" s="220"/>
      <c r="AR36" s="174"/>
      <c r="AS36" s="175"/>
      <c r="AT36" s="211"/>
      <c r="AU36" s="177" t="str">
        <f t="shared" si="4"/>
        <v/>
      </c>
      <c r="AV36" s="178" t="str">
        <f t="shared" si="5"/>
        <v/>
      </c>
      <c r="AW36" s="4"/>
      <c r="AX36" s="198" t="s">
        <v>178</v>
      </c>
      <c r="AY36" s="199"/>
      <c r="AZ36" s="200"/>
      <c r="BA36" s="167" t="s">
        <v>183</v>
      </c>
      <c r="BB36" s="168"/>
      <c r="BC36" s="180"/>
      <c r="BD36" s="181" t="s">
        <v>185</v>
      </c>
      <c r="BE36" s="171">
        <v>2</v>
      </c>
      <c r="BF36" s="172">
        <f t="shared" si="6"/>
        <v>2</v>
      </c>
      <c r="BG36" s="212"/>
      <c r="BH36" s="184" t="s">
        <v>193</v>
      </c>
      <c r="BI36" s="185"/>
      <c r="BJ36" s="186"/>
      <c r="BK36" s="187"/>
      <c r="BL36" s="188"/>
      <c r="BM36" s="4"/>
      <c r="BN36" s="198" t="s">
        <v>201</v>
      </c>
      <c r="BO36" s="199"/>
      <c r="BP36" s="200"/>
      <c r="BQ36" s="167" t="s">
        <v>202</v>
      </c>
      <c r="BR36" s="168"/>
      <c r="BS36" s="180"/>
      <c r="BT36" s="181" t="s">
        <v>185</v>
      </c>
      <c r="BU36" s="171">
        <f>IF(AND(WS.1&lt;=948, WS.1&gt;648),2,0)</f>
        <v>2</v>
      </c>
      <c r="BV36" s="172">
        <f t="shared" si="7"/>
        <v>2</v>
      </c>
      <c r="BW36" s="212"/>
      <c r="BX36" s="184" t="s">
        <v>205</v>
      </c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198"/>
      <c r="S37" s="199"/>
      <c r="T37" s="200"/>
      <c r="U37" s="167"/>
      <c r="V37" s="168"/>
      <c r="W37" s="201"/>
      <c r="X37" s="207"/>
      <c r="Y37" s="171"/>
      <c r="Z37" s="172"/>
      <c r="AA37" s="209"/>
      <c r="AB37" s="174"/>
      <c r="AC37" s="175"/>
      <c r="AD37" s="176"/>
      <c r="AE37" s="177"/>
      <c r="AF37" s="178"/>
      <c r="AG37" s="4"/>
      <c r="AH37" s="213"/>
      <c r="AI37" s="214"/>
      <c r="AJ37" s="215"/>
      <c r="AK37" s="167"/>
      <c r="AL37" s="168" t="str">
        <f t="shared" si="2"/>
        <v/>
      </c>
      <c r="AM37" s="169"/>
      <c r="AN37" s="170"/>
      <c r="AO37" s="171"/>
      <c r="AP37" s="172" t="str">
        <f t="shared" si="3"/>
        <v/>
      </c>
      <c r="AQ37" s="220"/>
      <c r="AR37" s="174"/>
      <c r="AS37" s="175"/>
      <c r="AT37" s="211"/>
      <c r="AU37" s="177" t="str">
        <f t="shared" si="4"/>
        <v/>
      </c>
      <c r="AV37" s="178" t="str">
        <f t="shared" si="5"/>
        <v/>
      </c>
      <c r="AW37" s="4"/>
      <c r="AX37" s="198" t="s">
        <v>172</v>
      </c>
      <c r="AY37" s="199"/>
      <c r="AZ37" s="200"/>
      <c r="BA37" s="167" t="s">
        <v>121</v>
      </c>
      <c r="BB37" s="168"/>
      <c r="BC37" s="180"/>
      <c r="BD37" s="181" t="s">
        <v>185</v>
      </c>
      <c r="BE37" s="171">
        <f>IF(AND(W&lt;=700,W&gt;=400),0,IF(AND(W&lt;=1000, W&gt;700),2,0))</f>
        <v>2</v>
      </c>
      <c r="BF37" s="172">
        <f t="shared" si="6"/>
        <v>2</v>
      </c>
      <c r="BG37" s="212"/>
      <c r="BH37" s="184" t="s">
        <v>194</v>
      </c>
      <c r="BI37" s="185"/>
      <c r="BJ37" s="186"/>
      <c r="BK37" s="187"/>
      <c r="BL37" s="188"/>
      <c r="BM37" s="4"/>
      <c r="BN37" s="198" t="s">
        <v>172</v>
      </c>
      <c r="BO37" s="199"/>
      <c r="BP37" s="200"/>
      <c r="BQ37" s="167" t="s">
        <v>203</v>
      </c>
      <c r="BR37" s="168"/>
      <c r="BS37" s="180"/>
      <c r="BT37" s="181" t="s">
        <v>185</v>
      </c>
      <c r="BU37" s="171">
        <f>IF(AND(WS.1&lt;=948, WS.1&gt;648),4,0)</f>
        <v>4</v>
      </c>
      <c r="BV37" s="172">
        <f t="shared" si="7"/>
        <v>4</v>
      </c>
      <c r="BW37" s="212"/>
      <c r="BX37" s="184" t="s">
        <v>206</v>
      </c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2"/>
      <c r="P38" s="208"/>
      <c r="Q38" s="4"/>
      <c r="R38" s="198"/>
      <c r="S38" s="199"/>
      <c r="T38" s="200"/>
      <c r="U38" s="167"/>
      <c r="V38" s="168"/>
      <c r="W38" s="201"/>
      <c r="X38" s="170"/>
      <c r="Y38" s="171"/>
      <c r="Z38" s="172"/>
      <c r="AA38" s="209"/>
      <c r="AB38" s="174"/>
      <c r="AC38" s="175"/>
      <c r="AD38" s="211"/>
      <c r="AE38" s="177"/>
      <c r="AF38" s="178"/>
      <c r="AG38" s="4"/>
      <c r="AH38" s="213"/>
      <c r="AI38" s="214"/>
      <c r="AJ38" s="215"/>
      <c r="AK38" s="167"/>
      <c r="AL38" s="168" t="str">
        <f t="shared" si="2"/>
        <v/>
      </c>
      <c r="AM38" s="169"/>
      <c r="AN38" s="207"/>
      <c r="AO38" s="171"/>
      <c r="AP38" s="172" t="str">
        <f t="shared" si="3"/>
        <v/>
      </c>
      <c r="AQ38" s="220"/>
      <c r="AR38" s="174"/>
      <c r="AS38" s="175"/>
      <c r="AT38" s="211"/>
      <c r="AU38" s="177" t="str">
        <f t="shared" si="4"/>
        <v/>
      </c>
      <c r="AV38" s="178" t="str">
        <f t="shared" si="5"/>
        <v/>
      </c>
      <c r="AW38" s="4"/>
      <c r="AX38" s="198" t="s">
        <v>172</v>
      </c>
      <c r="AY38" s="199"/>
      <c r="AZ38" s="200"/>
      <c r="BA38" s="167" t="s">
        <v>121</v>
      </c>
      <c r="BB38" s="168"/>
      <c r="BC38" s="180"/>
      <c r="BD38" s="181" t="s">
        <v>185</v>
      </c>
      <c r="BE38" s="171">
        <f>IF(AND(W&lt;=700,H&gt;=400),2,IF(AND(W&lt;=1000, W&gt;700),4,0))</f>
        <v>4</v>
      </c>
      <c r="BF38" s="172">
        <f t="shared" si="6"/>
        <v>4</v>
      </c>
      <c r="BG38" s="212"/>
      <c r="BH38" s="184" t="s">
        <v>195</v>
      </c>
      <c r="BI38" s="185"/>
      <c r="BJ38" s="186"/>
      <c r="BK38" s="187"/>
      <c r="BL38" s="188" t="s">
        <v>120</v>
      </c>
      <c r="BM38" s="4"/>
      <c r="BN38" s="198" t="str">
        <f t="shared" ref="BN22:BN60" si="10">IF(BQ38&gt;"",VLOOKUP(BQ38,PART_NAMA,3,FALSE),"")</f>
        <v/>
      </c>
      <c r="BO38" s="199"/>
      <c r="BP38" s="200"/>
      <c r="BQ38" s="167"/>
      <c r="BR38" s="168"/>
      <c r="BS38" s="180"/>
      <c r="BT38" s="181" t="str">
        <f t="shared" ref="BT22:BT57" si="11">IF(BQ38&gt;"",VLOOKUP(BQ38&amp;$M$10,PART_MASTER,3,FALSE),"")</f>
        <v/>
      </c>
      <c r="BU38" s="171"/>
      <c r="BV38" s="172" t="str">
        <f t="shared" si="7"/>
        <v/>
      </c>
      <c r="BW38" s="212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198"/>
      <c r="S39" s="199"/>
      <c r="T39" s="200"/>
      <c r="U39" s="167"/>
      <c r="V39" s="168"/>
      <c r="W39" s="201"/>
      <c r="X39" s="170"/>
      <c r="Y39" s="171"/>
      <c r="Z39" s="172"/>
      <c r="AA39" s="209"/>
      <c r="AB39" s="174"/>
      <c r="AC39" s="175"/>
      <c r="AD39" s="211"/>
      <c r="AE39" s="177"/>
      <c r="AF39" s="178"/>
      <c r="AG39" s="4"/>
      <c r="AH39" s="213"/>
      <c r="AI39" s="214"/>
      <c r="AJ39" s="215"/>
      <c r="AK39" s="167"/>
      <c r="AL39" s="168" t="str">
        <f t="shared" si="2"/>
        <v/>
      </c>
      <c r="AM39" s="169"/>
      <c r="AN39" s="207"/>
      <c r="AO39" s="171"/>
      <c r="AP39" s="172" t="str">
        <f t="shared" si="3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5"/>
        <v/>
      </c>
      <c r="AW39" s="4"/>
      <c r="AX39" s="198" t="s">
        <v>179</v>
      </c>
      <c r="AY39" s="199"/>
      <c r="AZ39" s="200"/>
      <c r="BA39" s="167" t="s">
        <v>94</v>
      </c>
      <c r="BB39" s="168"/>
      <c r="BC39" s="180"/>
      <c r="BD39" s="181" t="s">
        <v>186</v>
      </c>
      <c r="BE39" s="171">
        <v>1</v>
      </c>
      <c r="BF39" s="172">
        <f t="shared" si="6"/>
        <v>1</v>
      </c>
      <c r="BG39" s="212"/>
      <c r="BH39" s="184"/>
      <c r="BI39" s="185"/>
      <c r="BJ39" s="186"/>
      <c r="BK39" s="187"/>
      <c r="BL39" s="188"/>
      <c r="BM39" s="4"/>
      <c r="BN39" s="198" t="str">
        <f t="shared" si="10"/>
        <v/>
      </c>
      <c r="BO39" s="199"/>
      <c r="BP39" s="200"/>
      <c r="BQ39" s="167"/>
      <c r="BR39" s="168"/>
      <c r="BS39" s="180"/>
      <c r="BT39" s="181" t="str">
        <f t="shared" si="11"/>
        <v/>
      </c>
      <c r="BU39" s="171"/>
      <c r="BV39" s="172" t="str">
        <f t="shared" si="7"/>
        <v/>
      </c>
      <c r="BW39" s="212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/>
      <c r="W40" s="201"/>
      <c r="X40" s="170"/>
      <c r="Y40" s="171"/>
      <c r="Z40" s="172"/>
      <c r="AA40" s="209"/>
      <c r="AB40" s="174"/>
      <c r="AC40" s="175"/>
      <c r="AD40" s="211"/>
      <c r="AE40" s="177"/>
      <c r="AF40" s="178"/>
      <c r="AG40" s="4"/>
      <c r="AH40" s="213"/>
      <c r="AI40" s="214"/>
      <c r="AJ40" s="215"/>
      <c r="AK40" s="167"/>
      <c r="AL40" s="168" t="str">
        <f t="shared" si="2"/>
        <v/>
      </c>
      <c r="AM40" s="169"/>
      <c r="AN40" s="170"/>
      <c r="AO40" s="171"/>
      <c r="AP40" s="172" t="str">
        <f t="shared" si="3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5"/>
        <v/>
      </c>
      <c r="AW40" s="4"/>
      <c r="AX40" s="198" t="s">
        <v>180</v>
      </c>
      <c r="AY40" s="199"/>
      <c r="AZ40" s="200"/>
      <c r="BA40" s="167" t="s">
        <v>97</v>
      </c>
      <c r="BB40" s="168"/>
      <c r="BC40" s="180"/>
      <c r="BD40" s="181" t="s">
        <v>186</v>
      </c>
      <c r="BE40" s="182">
        <f>((W-41)+(h.2-36))*2/1000</f>
        <v>4.4459999999999997</v>
      </c>
      <c r="BF40" s="172">
        <f t="shared" si="6"/>
        <v>4.4459999999999997</v>
      </c>
      <c r="BG40" s="183" t="s">
        <v>98</v>
      </c>
      <c r="BH40" s="184"/>
      <c r="BI40" s="185"/>
      <c r="BJ40" s="186"/>
      <c r="BK40" s="187"/>
      <c r="BL40" s="188"/>
      <c r="BM40" s="4"/>
      <c r="BN40" s="198"/>
      <c r="BO40" s="199"/>
      <c r="BP40" s="200"/>
      <c r="BQ40" s="204"/>
      <c r="BR40" s="168"/>
      <c r="BS40" s="180"/>
      <c r="BT40" s="181"/>
      <c r="BU40" s="171"/>
      <c r="BV40" s="172"/>
      <c r="BW40" s="183"/>
      <c r="BX40" s="184"/>
      <c r="BY40" s="185"/>
      <c r="BZ40" s="186"/>
      <c r="CA40" s="205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3" t="s">
        <v>130</v>
      </c>
      <c r="C41" s="224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5"/>
      <c r="Q41" s="4"/>
      <c r="R41" s="213"/>
      <c r="S41" s="214"/>
      <c r="T41" s="215"/>
      <c r="U41" s="217"/>
      <c r="V41" s="168"/>
      <c r="W41" s="218"/>
      <c r="X41" s="170"/>
      <c r="Y41" s="219"/>
      <c r="Z41" s="172"/>
      <c r="AA41" s="220"/>
      <c r="AB41" s="174"/>
      <c r="AC41" s="175"/>
      <c r="AD41" s="211"/>
      <c r="AE41" s="177"/>
      <c r="AF41" s="178"/>
      <c r="AG41" s="4"/>
      <c r="AH41" s="213"/>
      <c r="AI41" s="214"/>
      <c r="AJ41" s="215"/>
      <c r="AK41" s="167"/>
      <c r="AL41" s="168" t="str">
        <f t="shared" si="2"/>
        <v/>
      </c>
      <c r="AM41" s="169"/>
      <c r="AN41" s="170"/>
      <c r="AO41" s="171"/>
      <c r="AP41" s="172" t="str">
        <f t="shared" si="3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5"/>
        <v/>
      </c>
      <c r="AW41" s="4"/>
      <c r="AX41" s="198" t="s">
        <v>180</v>
      </c>
      <c r="AY41" s="199"/>
      <c r="AZ41" s="200"/>
      <c r="BA41" s="167" t="s">
        <v>184</v>
      </c>
      <c r="BB41" s="168"/>
      <c r="BC41" s="180"/>
      <c r="BD41" s="181" t="s">
        <v>186</v>
      </c>
      <c r="BE41" s="182">
        <f>(W-41)/1000</f>
        <v>0.95899999999999996</v>
      </c>
      <c r="BF41" s="172">
        <f t="shared" si="6"/>
        <v>0.95899999999999996</v>
      </c>
      <c r="BG41" s="183" t="s">
        <v>98</v>
      </c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205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6"/>
      <c r="C42" s="227"/>
      <c r="D42" s="228"/>
      <c r="E42" s="228"/>
      <c r="F42" s="229" t="str">
        <f>IF(E42&gt;"","-","")</f>
        <v/>
      </c>
      <c r="G42" s="230"/>
      <c r="H42" s="231"/>
      <c r="I42" s="232"/>
      <c r="J42" s="233"/>
      <c r="K42" s="234"/>
      <c r="L42" s="193"/>
      <c r="M42" s="235"/>
      <c r="N42" s="233"/>
      <c r="O42" s="236" t="str">
        <f>IF(E42&gt;"",VLOOKUP(E42,MATERIAL_WEIGHT,2,FALSE),"")</f>
        <v/>
      </c>
      <c r="P42" s="237" t="str">
        <f>IF(E42&gt;"",(O42*H42*J42)/1000,"")</f>
        <v/>
      </c>
      <c r="Q42" s="4"/>
      <c r="R42" s="198"/>
      <c r="S42" s="199"/>
      <c r="T42" s="200"/>
      <c r="U42" s="167"/>
      <c r="V42" s="168"/>
      <c r="W42" s="169"/>
      <c r="X42" s="170"/>
      <c r="Y42" s="171"/>
      <c r="Z42" s="172"/>
      <c r="AA42" s="220"/>
      <c r="AB42" s="174"/>
      <c r="AC42" s="175"/>
      <c r="AD42" s="176"/>
      <c r="AE42" s="177"/>
      <c r="AF42" s="178"/>
      <c r="AG42" s="4"/>
      <c r="AH42" s="213"/>
      <c r="AI42" s="214"/>
      <c r="AJ42" s="215"/>
      <c r="AK42" s="167"/>
      <c r="AL42" s="168" t="str">
        <f t="shared" si="2"/>
        <v/>
      </c>
      <c r="AM42" s="169"/>
      <c r="AN42" s="170"/>
      <c r="AO42" s="171"/>
      <c r="AP42" s="172" t="str">
        <f t="shared" si="3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5"/>
        <v/>
      </c>
      <c r="AW42" s="4"/>
      <c r="AX42" s="198" t="s">
        <v>176</v>
      </c>
      <c r="AY42" s="199"/>
      <c r="AZ42" s="200"/>
      <c r="BA42" s="167" t="s">
        <v>106</v>
      </c>
      <c r="BB42" s="168"/>
      <c r="BC42" s="180"/>
      <c r="BD42" s="181" t="s">
        <v>186</v>
      </c>
      <c r="BE42" s="182">
        <f>(((W-41)*4)+((h.1+h.3-72)*2))/1000</f>
        <v>4.9320000000000004</v>
      </c>
      <c r="BF42" s="172">
        <f t="shared" si="6"/>
        <v>4.9320000000000004</v>
      </c>
      <c r="BG42" s="183" t="s">
        <v>98</v>
      </c>
      <c r="BH42" s="184" t="s">
        <v>196</v>
      </c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8" t="s">
        <v>131</v>
      </c>
      <c r="C43" s="239"/>
      <c r="D43" s="239"/>
      <c r="E43" s="239"/>
      <c r="F43" s="240"/>
      <c r="G43" s="241"/>
      <c r="H43" s="242"/>
      <c r="I43" s="232"/>
      <c r="J43" s="243" t="s">
        <v>132</v>
      </c>
      <c r="K43" s="243"/>
      <c r="L43" s="244"/>
      <c r="M43" s="245"/>
      <c r="N43" s="246"/>
      <c r="O43" s="247"/>
      <c r="P43" s="248"/>
      <c r="Q43" s="4"/>
      <c r="R43" s="198"/>
      <c r="S43" s="199"/>
      <c r="T43" s="200"/>
      <c r="U43" s="167"/>
      <c r="V43" s="168"/>
      <c r="W43" s="221"/>
      <c r="X43" s="207"/>
      <c r="Y43" s="171"/>
      <c r="Z43" s="172"/>
      <c r="AA43" s="220"/>
      <c r="AB43" s="174"/>
      <c r="AC43" s="175"/>
      <c r="AD43" s="211"/>
      <c r="AE43" s="177"/>
      <c r="AF43" s="178"/>
      <c r="AG43" s="4"/>
      <c r="AH43" s="213"/>
      <c r="AI43" s="214"/>
      <c r="AJ43" s="215"/>
      <c r="AK43" s="167"/>
      <c r="AL43" s="168" t="str">
        <f t="shared" si="2"/>
        <v/>
      </c>
      <c r="AM43" s="169"/>
      <c r="AN43" s="207"/>
      <c r="AO43" s="171"/>
      <c r="AP43" s="172" t="str">
        <f t="shared" si="3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5"/>
        <v/>
      </c>
      <c r="AW43" s="4"/>
      <c r="AX43" s="198" t="s">
        <v>181</v>
      </c>
      <c r="AY43" s="199"/>
      <c r="AZ43" s="200"/>
      <c r="BA43" s="167" t="s">
        <v>104</v>
      </c>
      <c r="BB43" s="168"/>
      <c r="BC43" s="180"/>
      <c r="BD43" s="181" t="s">
        <v>186</v>
      </c>
      <c r="BE43" s="182">
        <v>4</v>
      </c>
      <c r="BF43" s="172">
        <f t="shared" si="6"/>
        <v>4</v>
      </c>
      <c r="BG43" s="183"/>
      <c r="BH43" s="249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0" t="s">
        <v>133</v>
      </c>
      <c r="C44" s="325" t="s">
        <v>134</v>
      </c>
      <c r="D44" s="326"/>
      <c r="E44" s="327"/>
      <c r="F44" s="325" t="s">
        <v>135</v>
      </c>
      <c r="G44" s="326"/>
      <c r="H44" s="327"/>
      <c r="I44" s="251"/>
      <c r="J44" s="252" t="s">
        <v>133</v>
      </c>
      <c r="K44" s="325" t="s">
        <v>134</v>
      </c>
      <c r="L44" s="326"/>
      <c r="M44" s="326"/>
      <c r="N44" s="327"/>
      <c r="O44" s="252" t="s">
        <v>136</v>
      </c>
      <c r="P44" s="253" t="s">
        <v>133</v>
      </c>
      <c r="Q44" s="4"/>
      <c r="R44" s="198"/>
      <c r="S44" s="199"/>
      <c r="T44" s="200"/>
      <c r="U44" s="167"/>
      <c r="V44" s="168"/>
      <c r="W44" s="169"/>
      <c r="X44" s="170"/>
      <c r="Y44" s="171"/>
      <c r="Z44" s="172"/>
      <c r="AA44" s="220"/>
      <c r="AB44" s="174"/>
      <c r="AC44" s="175"/>
      <c r="AD44" s="211"/>
      <c r="AE44" s="177"/>
      <c r="AF44" s="178"/>
      <c r="AG44" s="4"/>
      <c r="AH44" s="213"/>
      <c r="AI44" s="214"/>
      <c r="AJ44" s="215"/>
      <c r="AK44" s="167"/>
      <c r="AL44" s="168" t="str">
        <f t="shared" si="2"/>
        <v/>
      </c>
      <c r="AM44" s="169"/>
      <c r="AN44" s="170"/>
      <c r="AO44" s="171"/>
      <c r="AP44" s="172" t="str">
        <f t="shared" si="3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5"/>
        <v/>
      </c>
      <c r="AW44" s="4"/>
      <c r="AX44" s="198" t="s">
        <v>170</v>
      </c>
      <c r="AY44" s="199"/>
      <c r="AZ44" s="200"/>
      <c r="BA44" s="167" t="s">
        <v>110</v>
      </c>
      <c r="BB44" s="168"/>
      <c r="BC44" s="180"/>
      <c r="BD44" s="181" t="s">
        <v>186</v>
      </c>
      <c r="BE44" s="182">
        <v>1</v>
      </c>
      <c r="BF44" s="172">
        <f t="shared" si="6"/>
        <v>1</v>
      </c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4">
        <v>1</v>
      </c>
      <c r="C45" s="255" t="s">
        <v>137</v>
      </c>
      <c r="D45" s="256"/>
      <c r="E45" s="256"/>
      <c r="F45" s="257"/>
      <c r="G45" s="258"/>
      <c r="H45" s="259"/>
      <c r="I45" s="260"/>
      <c r="J45" s="261">
        <v>1</v>
      </c>
      <c r="K45" s="262" t="s">
        <v>138</v>
      </c>
      <c r="L45" s="258"/>
      <c r="M45" s="258"/>
      <c r="N45" s="263"/>
      <c r="O45" s="264"/>
      <c r="P45" s="265"/>
      <c r="Q45" s="4"/>
      <c r="R45" s="213"/>
      <c r="S45" s="214"/>
      <c r="T45" s="215"/>
      <c r="U45" s="167"/>
      <c r="V45" s="168" t="str">
        <f t="shared" si="9"/>
        <v/>
      </c>
      <c r="W45" s="169"/>
      <c r="X45" s="207"/>
      <c r="Y45" s="171"/>
      <c r="Z45" s="172" t="str">
        <f t="shared" si="0"/>
        <v/>
      </c>
      <c r="AA45" s="220"/>
      <c r="AB45" s="174"/>
      <c r="AC45" s="175"/>
      <c r="AD45" s="211"/>
      <c r="AE45" s="177" t="str">
        <f t="shared" si="1"/>
        <v/>
      </c>
      <c r="AF45" s="178" t="str">
        <f t="shared" si="8"/>
        <v/>
      </c>
      <c r="AG45" s="4"/>
      <c r="AH45" s="213"/>
      <c r="AI45" s="214"/>
      <c r="AJ45" s="215"/>
      <c r="AK45" s="167"/>
      <c r="AL45" s="168" t="str">
        <f t="shared" si="2"/>
        <v/>
      </c>
      <c r="AM45" s="169"/>
      <c r="AN45" s="207"/>
      <c r="AO45" s="171"/>
      <c r="AP45" s="172" t="str">
        <f t="shared" si="3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5"/>
        <v/>
      </c>
      <c r="AW45" s="4"/>
      <c r="AX45" s="198" t="s">
        <v>170</v>
      </c>
      <c r="AY45" s="199"/>
      <c r="AZ45" s="200"/>
      <c r="BA45" s="167" t="s">
        <v>113</v>
      </c>
      <c r="BB45" s="168"/>
      <c r="BC45" s="180"/>
      <c r="BD45" s="181" t="s">
        <v>186</v>
      </c>
      <c r="BE45" s="182">
        <v>1</v>
      </c>
      <c r="BF45" s="172">
        <f t="shared" si="6"/>
        <v>1</v>
      </c>
      <c r="BG45" s="183"/>
      <c r="BH45" s="249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212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4">
        <v>2</v>
      </c>
      <c r="C46" s="255" t="s">
        <v>139</v>
      </c>
      <c r="D46" s="258"/>
      <c r="E46" s="258"/>
      <c r="F46" s="262"/>
      <c r="G46" s="258"/>
      <c r="H46" s="259"/>
      <c r="I46" s="260"/>
      <c r="J46" s="261">
        <v>2</v>
      </c>
      <c r="K46" s="262" t="s">
        <v>140</v>
      </c>
      <c r="L46" s="258"/>
      <c r="M46" s="258"/>
      <c r="N46" s="263"/>
      <c r="O46" s="264"/>
      <c r="P46" s="265"/>
      <c r="Q46" s="4"/>
      <c r="R46" s="213"/>
      <c r="S46" s="214"/>
      <c r="T46" s="215"/>
      <c r="U46" s="167"/>
      <c r="V46" s="168" t="str">
        <f t="shared" si="9"/>
        <v/>
      </c>
      <c r="W46" s="169"/>
      <c r="X46" s="170"/>
      <c r="Y46" s="171"/>
      <c r="Z46" s="172" t="str">
        <f t="shared" si="0"/>
        <v/>
      </c>
      <c r="AA46" s="220"/>
      <c r="AB46" s="174"/>
      <c r="AC46" s="175"/>
      <c r="AD46" s="211"/>
      <c r="AE46" s="177" t="str">
        <f t="shared" si="1"/>
        <v/>
      </c>
      <c r="AF46" s="178" t="str">
        <f t="shared" si="8"/>
        <v/>
      </c>
      <c r="AG46" s="4"/>
      <c r="AH46" s="213"/>
      <c r="AI46" s="214"/>
      <c r="AJ46" s="215"/>
      <c r="AK46" s="167"/>
      <c r="AL46" s="168" t="str">
        <f t="shared" si="2"/>
        <v/>
      </c>
      <c r="AM46" s="169"/>
      <c r="AN46" s="170"/>
      <c r="AO46" s="171"/>
      <c r="AP46" s="172" t="str">
        <f t="shared" si="3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5"/>
        <v/>
      </c>
      <c r="AW46" s="4"/>
      <c r="AX46" s="198"/>
      <c r="AY46" s="199"/>
      <c r="AZ46" s="200"/>
      <c r="BA46" s="167"/>
      <c r="BB46" s="168"/>
      <c r="BC46" s="180"/>
      <c r="BD46" s="266"/>
      <c r="BE46" s="182"/>
      <c r="BF46" s="172"/>
      <c r="BG46" s="183"/>
      <c r="BH46" s="249"/>
      <c r="BI46" s="185"/>
      <c r="BJ46" s="186"/>
      <c r="BK46" s="187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4">
        <v>3</v>
      </c>
      <c r="C47" s="255" t="s">
        <v>141</v>
      </c>
      <c r="D47" s="258"/>
      <c r="E47" s="258"/>
      <c r="F47" s="262"/>
      <c r="G47" s="258"/>
      <c r="H47" s="259"/>
      <c r="I47" s="267"/>
      <c r="J47" s="261">
        <v>3</v>
      </c>
      <c r="K47" s="262" t="s">
        <v>142</v>
      </c>
      <c r="L47" s="258"/>
      <c r="M47" s="258"/>
      <c r="N47" s="263"/>
      <c r="O47" s="264"/>
      <c r="P47" s="265"/>
      <c r="Q47" s="4"/>
      <c r="R47" s="213"/>
      <c r="S47" s="214"/>
      <c r="T47" s="215"/>
      <c r="U47" s="167"/>
      <c r="V47" s="168" t="str">
        <f t="shared" si="9"/>
        <v/>
      </c>
      <c r="W47" s="169"/>
      <c r="X47" s="170"/>
      <c r="Y47" s="171"/>
      <c r="Z47" s="172" t="str">
        <f t="shared" si="0"/>
        <v/>
      </c>
      <c r="AA47" s="220"/>
      <c r="AB47" s="174"/>
      <c r="AC47" s="175"/>
      <c r="AD47" s="211"/>
      <c r="AE47" s="177" t="str">
        <f t="shared" si="1"/>
        <v/>
      </c>
      <c r="AF47" s="178" t="str">
        <f t="shared" si="8"/>
        <v/>
      </c>
      <c r="AG47" s="4"/>
      <c r="AH47" s="213"/>
      <c r="AI47" s="214"/>
      <c r="AJ47" s="215"/>
      <c r="AK47" s="167"/>
      <c r="AL47" s="168" t="str">
        <f t="shared" si="2"/>
        <v/>
      </c>
      <c r="AM47" s="169"/>
      <c r="AN47" s="170"/>
      <c r="AO47" s="171"/>
      <c r="AP47" s="172" t="str">
        <f t="shared" si="3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5"/>
        <v/>
      </c>
      <c r="AW47" s="4"/>
      <c r="AX47" s="198" t="str">
        <f t="shared" ref="AX22:AX60" si="13">IF(BA47&gt;"",VLOOKUP(BA47,PART_NAMA,3,FALSE),"")</f>
        <v/>
      </c>
      <c r="AY47" s="199"/>
      <c r="AZ47" s="200"/>
      <c r="BA47" s="167"/>
      <c r="BB47" s="168"/>
      <c r="BC47" s="180"/>
      <c r="BD47" s="266" t="str">
        <f t="shared" ref="BD22:BD60" si="14">IF(BA47&gt;"",VLOOKUP(BA47&amp;$M$10,PART_MASTER,3,FALSE),"")</f>
        <v/>
      </c>
      <c r="BE47" s="182"/>
      <c r="BF47" s="172" t="str">
        <f t="shared" si="6"/>
        <v/>
      </c>
      <c r="BG47" s="183"/>
      <c r="BH47" s="249"/>
      <c r="BI47" s="185"/>
      <c r="BJ47" s="186"/>
      <c r="BK47" s="187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183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4">
        <v>4</v>
      </c>
      <c r="C48" s="255" t="s">
        <v>143</v>
      </c>
      <c r="D48" s="258"/>
      <c r="E48" s="258"/>
      <c r="F48" s="262"/>
      <c r="G48" s="258"/>
      <c r="H48" s="259"/>
      <c r="I48" s="267"/>
      <c r="J48" s="261">
        <v>4</v>
      </c>
      <c r="K48" s="262" t="s">
        <v>144</v>
      </c>
      <c r="L48" s="258"/>
      <c r="M48" s="258"/>
      <c r="N48" s="263"/>
      <c r="O48" s="264"/>
      <c r="P48" s="265"/>
      <c r="Q48" s="4"/>
      <c r="R48" s="268" t="s">
        <v>77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145</v>
      </c>
      <c r="AD48" s="272"/>
      <c r="AE48" s="273" t="s">
        <v>146</v>
      </c>
      <c r="AF48" s="274">
        <f>SUM(AF22:AF47)</f>
        <v>5.4374070000000003</v>
      </c>
      <c r="AG48" s="4"/>
      <c r="AH48" s="268" t="s">
        <v>77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145</v>
      </c>
      <c r="AT48" s="272"/>
      <c r="AU48" s="273" t="s">
        <v>146</v>
      </c>
      <c r="AV48" s="274">
        <f>SUM(AV22:AV47)</f>
        <v>2.7195479999999996</v>
      </c>
      <c r="AW48" s="4"/>
      <c r="AX48" s="198"/>
      <c r="AY48" s="199"/>
      <c r="AZ48" s="200"/>
      <c r="BA48" s="204"/>
      <c r="BB48" s="168"/>
      <c r="BC48" s="180"/>
      <c r="BD48" s="181"/>
      <c r="BE48" s="171"/>
      <c r="BF48" s="172"/>
      <c r="BG48" s="183"/>
      <c r="BH48" s="184"/>
      <c r="BI48" s="185"/>
      <c r="BJ48" s="186"/>
      <c r="BK48" s="205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183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4">
        <v>5</v>
      </c>
      <c r="C49" s="255" t="s">
        <v>147</v>
      </c>
      <c r="D49" s="258"/>
      <c r="E49" s="258"/>
      <c r="F49" s="262"/>
      <c r="G49" s="258"/>
      <c r="H49" s="259"/>
      <c r="I49" s="267"/>
      <c r="J49" s="261">
        <v>5</v>
      </c>
      <c r="K49" s="262" t="s">
        <v>148</v>
      </c>
      <c r="L49" s="258"/>
      <c r="M49" s="258"/>
      <c r="N49" s="263"/>
      <c r="O49" s="264"/>
      <c r="P49" s="265"/>
      <c r="Q49" s="4"/>
      <c r="R49" s="275" t="s">
        <v>149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150</v>
      </c>
      <c r="AE49" s="279" t="s">
        <v>151</v>
      </c>
      <c r="AF49" s="280">
        <f>AF48*0.986</f>
        <v>5.3612833020000004</v>
      </c>
      <c r="AG49" s="4"/>
      <c r="AH49" s="275" t="s">
        <v>149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150</v>
      </c>
      <c r="AU49" s="279" t="s">
        <v>151</v>
      </c>
      <c r="AV49" s="280">
        <f>AV48*0.986</f>
        <v>2.6814743279999997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205"/>
      <c r="BL49" s="188"/>
      <c r="BM49" s="4"/>
      <c r="BN49" s="198"/>
      <c r="BO49" s="199"/>
      <c r="BP49" s="200"/>
      <c r="BQ49" s="167"/>
      <c r="BR49" s="168"/>
      <c r="BS49" s="180"/>
      <c r="BT49" s="181"/>
      <c r="BU49" s="171"/>
      <c r="BV49" s="172"/>
      <c r="BW49" s="183"/>
      <c r="BX49" s="184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4">
        <v>6</v>
      </c>
      <c r="C50" s="255" t="s">
        <v>152</v>
      </c>
      <c r="D50" s="258"/>
      <c r="E50" s="258"/>
      <c r="F50" s="262"/>
      <c r="G50" s="258"/>
      <c r="H50" s="259"/>
      <c r="I50" s="267"/>
      <c r="J50" s="261">
        <v>6</v>
      </c>
      <c r="K50" s="262" t="s">
        <v>153</v>
      </c>
      <c r="L50" s="258"/>
      <c r="M50" s="258"/>
      <c r="N50" s="263"/>
      <c r="O50" s="264"/>
      <c r="P50" s="265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154</v>
      </c>
      <c r="AF50" s="280">
        <f>AF48*0.974*0.986</f>
        <v>5.221889936148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154</v>
      </c>
      <c r="AV50" s="280">
        <f>AV48*0.974*0.986</f>
        <v>2.6117559954719995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/>
      <c r="BO50" s="199"/>
      <c r="BP50" s="200"/>
      <c r="BQ50" s="167"/>
      <c r="BR50" s="168"/>
      <c r="BS50" s="180"/>
      <c r="BT50" s="181"/>
      <c r="BU50" s="171"/>
      <c r="BV50" s="172"/>
      <c r="BW50" s="183"/>
      <c r="BX50" s="184"/>
      <c r="BY50" s="185"/>
      <c r="BZ50" s="186"/>
      <c r="CA50" s="187"/>
      <c r="CB50" s="188"/>
      <c r="CG50" s="3"/>
    </row>
    <row r="51" spans="2:120" ht="15" customHeight="1" x14ac:dyDescent="0.25">
      <c r="B51" s="254">
        <v>7</v>
      </c>
      <c r="C51" s="255" t="s">
        <v>155</v>
      </c>
      <c r="D51" s="258"/>
      <c r="E51" s="258"/>
      <c r="F51" s="262"/>
      <c r="G51" s="258"/>
      <c r="H51" s="259"/>
      <c r="I51" s="267"/>
      <c r="J51" s="261">
        <v>7</v>
      </c>
      <c r="K51" s="262" t="s">
        <v>156</v>
      </c>
      <c r="L51" s="258"/>
      <c r="M51" s="258"/>
      <c r="N51" s="263"/>
      <c r="O51" s="264"/>
      <c r="P51" s="265"/>
      <c r="Q51" s="4"/>
      <c r="R51" s="281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183"/>
      <c r="BH51" s="184"/>
      <c r="BI51" s="185"/>
      <c r="BJ51" s="186"/>
      <c r="BK51" s="187"/>
      <c r="BL51" s="188"/>
      <c r="BM51" s="4"/>
      <c r="BN51" s="198"/>
      <c r="BO51" s="199"/>
      <c r="BP51" s="200"/>
      <c r="BQ51" s="167"/>
      <c r="BR51" s="168"/>
      <c r="BS51" s="180"/>
      <c r="BT51" s="181"/>
      <c r="BU51" s="171"/>
      <c r="BV51" s="172"/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4" t="s">
        <v>157</v>
      </c>
      <c r="C52" s="285"/>
      <c r="D52" s="286"/>
      <c r="E52" s="286"/>
      <c r="F52" s="286"/>
      <c r="G52" s="286"/>
      <c r="H52" s="286"/>
      <c r="I52" s="267"/>
      <c r="J52" s="261">
        <v>8</v>
      </c>
      <c r="K52" s="262" t="s">
        <v>158</v>
      </c>
      <c r="L52" s="258"/>
      <c r="M52" s="258"/>
      <c r="N52" s="263"/>
      <c r="O52" s="264"/>
      <c r="P52" s="265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183"/>
      <c r="BH52" s="184"/>
      <c r="BI52" s="185"/>
      <c r="BJ52" s="186"/>
      <c r="BK52" s="187"/>
      <c r="BL52" s="188"/>
      <c r="BM52" s="4"/>
      <c r="BN52" s="198"/>
      <c r="BO52" s="199"/>
      <c r="BP52" s="200"/>
      <c r="BQ52" s="167"/>
      <c r="BR52" s="168"/>
      <c r="BS52" s="180"/>
      <c r="BT52" s="181"/>
      <c r="BU52" s="171"/>
      <c r="BV52" s="172"/>
      <c r="BW52" s="212"/>
      <c r="BX52" s="184"/>
      <c r="BY52" s="185"/>
      <c r="BZ52" s="186"/>
      <c r="CA52" s="187"/>
      <c r="CB52" s="188"/>
      <c r="CG52" s="3"/>
    </row>
    <row r="53" spans="2:120" ht="15" customHeight="1" x14ac:dyDescent="0.25">
      <c r="B53" s="288" t="s">
        <v>159</v>
      </c>
      <c r="C53" s="267"/>
      <c r="D53" s="267"/>
      <c r="E53" s="267"/>
      <c r="F53" s="267"/>
      <c r="G53" s="267"/>
      <c r="H53" s="267"/>
      <c r="I53" s="267"/>
      <c r="J53" s="289"/>
      <c r="K53" s="290"/>
      <c r="L53" s="290"/>
      <c r="M53" s="290"/>
      <c r="N53" s="291"/>
      <c r="O53" s="292"/>
      <c r="P53" s="293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212"/>
      <c r="BH53" s="184"/>
      <c r="BI53" s="185"/>
      <c r="BJ53" s="186"/>
      <c r="BK53" s="187"/>
      <c r="BL53" s="188"/>
      <c r="BM53" s="4"/>
      <c r="BN53" s="198"/>
      <c r="BO53" s="199"/>
      <c r="BP53" s="200"/>
      <c r="BQ53" s="167"/>
      <c r="BR53" s="168"/>
      <c r="BS53" s="180"/>
      <c r="BT53" s="181"/>
      <c r="BU53" s="171"/>
      <c r="BV53" s="172"/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4" t="s">
        <v>160</v>
      </c>
      <c r="C54" s="267"/>
      <c r="D54" s="267"/>
      <c r="E54" s="267"/>
      <c r="F54" s="267"/>
      <c r="G54" s="267"/>
      <c r="H54" s="267"/>
      <c r="I54" s="267"/>
      <c r="J54" s="295"/>
      <c r="K54" s="296"/>
      <c r="L54" s="296"/>
      <c r="M54" s="296"/>
      <c r="N54" s="297"/>
      <c r="O54" s="298"/>
      <c r="P54" s="299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183"/>
      <c r="BH54" s="184"/>
      <c r="BI54" s="185"/>
      <c r="BJ54" s="186"/>
      <c r="BK54" s="187"/>
      <c r="BL54" s="188"/>
      <c r="BM54" s="4"/>
      <c r="BN54" s="198"/>
      <c r="BO54" s="199"/>
      <c r="BP54" s="200"/>
      <c r="BQ54" s="167"/>
      <c r="BR54" s="168"/>
      <c r="BS54" s="180"/>
      <c r="BT54" s="181"/>
      <c r="BU54" s="171"/>
      <c r="BV54" s="172"/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4" t="s">
        <v>161</v>
      </c>
      <c r="C55" s="267"/>
      <c r="D55" s="267"/>
      <c r="E55" s="267"/>
      <c r="F55" s="267"/>
      <c r="G55" s="267"/>
      <c r="H55" s="267"/>
      <c r="I55" s="267"/>
      <c r="J55" s="300" t="s">
        <v>162</v>
      </c>
      <c r="K55" s="292"/>
      <c r="L55" s="286"/>
      <c r="M55" s="286"/>
      <c r="N55" s="301"/>
      <c r="O55" s="258"/>
      <c r="P55" s="302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183"/>
      <c r="BH55" s="184"/>
      <c r="BI55" s="185"/>
      <c r="BJ55" s="186"/>
      <c r="BK55" s="187"/>
      <c r="BL55" s="188"/>
      <c r="BM55" s="4"/>
      <c r="BN55" s="198"/>
      <c r="BO55" s="199"/>
      <c r="BP55" s="200"/>
      <c r="BQ55" s="167"/>
      <c r="BR55" s="168"/>
      <c r="BS55" s="180"/>
      <c r="BT55" s="181"/>
      <c r="BU55" s="171"/>
      <c r="BV55" s="172"/>
      <c r="BW55" s="212"/>
      <c r="BX55" s="184"/>
      <c r="BY55" s="185"/>
      <c r="BZ55" s="186"/>
      <c r="CA55" s="187"/>
      <c r="CB55" s="188"/>
    </row>
    <row r="56" spans="2:120" ht="15.6" x14ac:dyDescent="0.25">
      <c r="B56" s="303"/>
      <c r="C56" s="267"/>
      <c r="D56" s="267"/>
      <c r="E56" s="267"/>
      <c r="F56" s="267"/>
      <c r="G56" s="267"/>
      <c r="H56" s="267"/>
      <c r="I56" s="267"/>
      <c r="J56" s="304" t="s">
        <v>163</v>
      </c>
      <c r="K56" s="305"/>
      <c r="L56" s="305"/>
      <c r="M56" s="305"/>
      <c r="N56" s="306"/>
      <c r="O56" s="307" t="s">
        <v>164</v>
      </c>
      <c r="P56" s="308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183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7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09"/>
      <c r="C57" s="310"/>
      <c r="D57" s="310"/>
      <c r="E57" s="310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1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183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7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09"/>
      <c r="C58" s="310"/>
      <c r="D58" s="310"/>
      <c r="E58" s="310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1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198"/>
      <c r="AY58" s="199"/>
      <c r="AZ58" s="200"/>
      <c r="BA58" s="167"/>
      <c r="BB58" s="168"/>
      <c r="BC58" s="180"/>
      <c r="BD58" s="181"/>
      <c r="BE58" s="171"/>
      <c r="BF58" s="172"/>
      <c r="BG58" s="183"/>
      <c r="BH58" s="184"/>
      <c r="BI58" s="185"/>
      <c r="BJ58" s="186"/>
      <c r="BK58" s="187"/>
      <c r="BL58" s="188"/>
      <c r="BM58" s="4"/>
      <c r="BN58" s="213" t="str">
        <f t="shared" si="10"/>
        <v/>
      </c>
      <c r="BO58" s="199"/>
      <c r="BP58" s="200"/>
      <c r="BQ58" s="287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7"/>
        <v/>
      </c>
      <c r="BW58" s="183"/>
      <c r="BX58" s="249"/>
      <c r="BY58" s="185"/>
      <c r="BZ58" s="186"/>
      <c r="CA58" s="205"/>
      <c r="CB58" s="312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7"/>
      <c r="J59" s="267"/>
      <c r="K59" s="267"/>
      <c r="L59" s="313"/>
      <c r="M59" s="313"/>
      <c r="N59" s="313"/>
      <c r="O59" s="313"/>
      <c r="P59" s="311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198"/>
      <c r="AY59" s="199"/>
      <c r="AZ59" s="200"/>
      <c r="BA59" s="167"/>
      <c r="BB59" s="168"/>
      <c r="BC59" s="180"/>
      <c r="BD59" s="181"/>
      <c r="BE59" s="171"/>
      <c r="BF59" s="172"/>
      <c r="BG59" s="212"/>
      <c r="BH59" s="184"/>
      <c r="BI59" s="185"/>
      <c r="BJ59" s="186"/>
      <c r="BK59" s="187"/>
      <c r="BL59" s="188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7"/>
        <v/>
      </c>
      <c r="BW59" s="183"/>
      <c r="BX59" s="249"/>
      <c r="BY59" s="185"/>
      <c r="BZ59" s="186"/>
      <c r="CA59" s="205"/>
      <c r="CB59" s="312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165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3" t="str">
        <f t="shared" ref="AX60:AX72" si="16">IF(BA60&gt;"",VLOOKUP(BA60,PART_NAMA,3,FALSE),"")</f>
        <v/>
      </c>
      <c r="AY60" s="199"/>
      <c r="AZ60" s="200"/>
      <c r="BA60" s="167"/>
      <c r="BB60" s="168"/>
      <c r="BC60" s="180"/>
      <c r="BD60" s="181" t="str">
        <f t="shared" ref="BD60:BD62" si="17">IF(BA60&gt;"",VLOOKUP(BA60&amp;$M$10,PART_MASTER,3,FALSE),"")</f>
        <v/>
      </c>
      <c r="BE60" s="171"/>
      <c r="BF60" s="172" t="str">
        <f t="shared" ref="BF60" si="18">IF(BE60="","",Q*BE60)</f>
        <v/>
      </c>
      <c r="BG60" s="183"/>
      <c r="BH60" s="249"/>
      <c r="BI60" s="185"/>
      <c r="BJ60" s="186"/>
      <c r="BK60" s="205"/>
      <c r="BL60" s="312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9">IF(BU60="","",Q*BU60)</f>
        <v/>
      </c>
      <c r="BW60" s="183"/>
      <c r="BX60" s="249"/>
      <c r="BY60" s="185"/>
      <c r="BZ60" s="186"/>
      <c r="CA60" s="205"/>
      <c r="CB60" s="312"/>
      <c r="CG60" s="3"/>
    </row>
    <row r="61" spans="2:120" ht="15" customHeight="1" x14ac:dyDescent="0.3">
      <c r="P61" s="320" t="s">
        <v>166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166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166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166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166</v>
      </c>
    </row>
    <row r="63" spans="2:120" x14ac:dyDescent="0.25">
      <c r="BD63" s="322"/>
      <c r="BT63" s="322"/>
    </row>
    <row r="64" spans="2:120" x14ac:dyDescent="0.25">
      <c r="BD64" s="322"/>
      <c r="BT64" s="322"/>
    </row>
    <row r="65" spans="56:72" x14ac:dyDescent="0.25">
      <c r="BD65" s="322"/>
      <c r="BT65" s="322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FIX_CAL-KD_FIX</vt:lpstr>
      <vt:lpstr>'FIX_CAL-KD_FIX'!A.</vt:lpstr>
      <vt:lpstr>'FIX_CAL-KD_FIX'!C.</vt:lpstr>
      <vt:lpstr>'FIX_CAL-KD_FIX'!F.</vt:lpstr>
      <vt:lpstr>'FIX_CAL-KD_FIX'!GCS</vt:lpstr>
      <vt:lpstr>'FIX_CAL-KD_FIX'!GTH</vt:lpstr>
      <vt:lpstr>'FIX_CAL-KD_FIX'!H</vt:lpstr>
      <vt:lpstr>'FIX_CAL-KD_FIX'!h.1</vt:lpstr>
      <vt:lpstr>'FIX_CAL-KD_FIX'!h.10</vt:lpstr>
      <vt:lpstr>'FIX_CAL-KD_FIX'!h.2</vt:lpstr>
      <vt:lpstr>'FIX_CAL-KD_FIX'!h.3</vt:lpstr>
      <vt:lpstr>'FIX_CAL-KD_FIX'!h.4</vt:lpstr>
      <vt:lpstr>'FIX_CAL-KD_FIX'!h.5</vt:lpstr>
      <vt:lpstr>'FIX_CAL-KD_FIX'!h.6</vt:lpstr>
      <vt:lpstr>'FIX_CAL-KD_FIX'!h.7</vt:lpstr>
      <vt:lpstr>'FIX_CAL-KD_FIX'!h.8</vt:lpstr>
      <vt:lpstr>'FIX_CAL-KD_FIX'!h.9</vt:lpstr>
      <vt:lpstr>'FIX_CAL-KD_FIX'!HS</vt:lpstr>
      <vt:lpstr>'FIX_CAL-KD_FIX'!HS.1</vt:lpstr>
      <vt:lpstr>'FIX_CAL-KD_FIX'!HS.2</vt:lpstr>
      <vt:lpstr>'FIX_CAL-KD_FIX'!HS.3</vt:lpstr>
      <vt:lpstr>'FIX_CAL-KD_FIX'!HS.4</vt:lpstr>
      <vt:lpstr>'FIX_CAL-KD_FIX'!HS.5</vt:lpstr>
      <vt:lpstr>'FIX_CAL-KD_FIX'!Print_Area</vt:lpstr>
      <vt:lpstr>'FIX_CAL-KD_FIX'!Q</vt:lpstr>
      <vt:lpstr>'FIX_CAL-KD_FIX'!R.</vt:lpstr>
      <vt:lpstr>'FIX_CAL-KD_FIX'!W</vt:lpstr>
      <vt:lpstr>'FIX_CAL-KD_FIX'!w.1</vt:lpstr>
      <vt:lpstr>'FIX_CAL-KD_FIX'!w.10</vt:lpstr>
      <vt:lpstr>'FIX_CAL-KD_FIX'!w.2</vt:lpstr>
      <vt:lpstr>'FIX_CAL-KD_FIX'!w.3</vt:lpstr>
      <vt:lpstr>'FIX_CAL-KD_FIX'!w.4</vt:lpstr>
      <vt:lpstr>'FIX_CAL-KD_FIX'!w.5</vt:lpstr>
      <vt:lpstr>'FIX_CAL-KD_FIX'!w.6</vt:lpstr>
      <vt:lpstr>'FIX_CAL-KD_FIX'!w.7</vt:lpstr>
      <vt:lpstr>'FIX_CAL-KD_FIX'!w.8</vt:lpstr>
      <vt:lpstr>'FIX_CAL-KD_FIX'!w.9</vt:lpstr>
      <vt:lpstr>'FIX_CAL-KD_FIX'!WS</vt:lpstr>
      <vt:lpstr>'FIX_CAL-KD_FIX'!WS.1</vt:lpstr>
      <vt:lpstr>'FIX_CAL-KD_FIX'!WS.2</vt:lpstr>
      <vt:lpstr>'FIX_CAL-KD_FIX'!WS.3</vt:lpstr>
      <vt:lpstr>'FIX_CAL-KD_FIX'!WS.4</vt:lpstr>
      <vt:lpstr>'FIX_CAL-KD_FIX'!WS.5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2024-07-29T09:37:07Z</dcterms:created>
  <dcterms:modified xsi:type="dcterms:W3CDTF">2024-08-12T07:54:20Z</dcterms:modified>
</cp:coreProperties>
</file>