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0E827E6-459A-4E4D-A263-8E5421548387}" xr6:coauthVersionLast="47" xr6:coauthVersionMax="47" xr10:uidLastSave="{00000000-0000-0000-0000-000000000000}"/>
  <bookViews>
    <workbookView xWindow="-108" yWindow="-108" windowWidth="23256" windowHeight="12456" xr2:uid="{421796ED-10F5-4FBB-95A3-D056289E40CE}"/>
  </bookViews>
  <sheets>
    <sheet name="FIX_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'FIX_CAR-KD_FIX'!$P$18</definedName>
    <definedName name="BD">"BD"</definedName>
    <definedName name="C." localSheetId="0">'FIX_CAR-KD_FIX'!$P$17</definedName>
    <definedName name="F." localSheetId="0">'FIX_CAR-KD_FIX'!$P$16</definedName>
    <definedName name="GCS" localSheetId="0">'FIX_CAR-KD_FIX'!$O$12</definedName>
    <definedName name="GTH" localSheetId="0">'FIX_CAR-KD_FIX'!$O$11</definedName>
    <definedName name="H" localSheetId="0">'FIX_CAR-KD_FIX'!$E$12</definedName>
    <definedName name="h.1" localSheetId="0">'FIX_CAR-KD_FIX'!$C$14</definedName>
    <definedName name="h.10" localSheetId="0">'FIX_CAR-KD_FIX'!$E$18</definedName>
    <definedName name="h.2" localSheetId="0">'FIX_CAR-KD_FIX'!$C$15</definedName>
    <definedName name="h.3" localSheetId="0">'FIX_CAR-KD_FIX'!$C$16</definedName>
    <definedName name="h.4" localSheetId="0">'FIX_CAR-KD_FIX'!$C$17</definedName>
    <definedName name="h.5" localSheetId="0">'FIX_CAR-KD_FIX'!$C$18</definedName>
    <definedName name="h.6" localSheetId="0">'FIX_CAR-KD_FIX'!$E$14</definedName>
    <definedName name="h.7" localSheetId="0">'FIX_CAR-KD_FIX'!$E$15</definedName>
    <definedName name="h.8" localSheetId="0">'FIX_CAR-KD_FIX'!$E$16</definedName>
    <definedName name="h.9" localSheetId="0">'FIX_CAR-KD_FIX'!$E$17</definedName>
    <definedName name="HS" localSheetId="0">'FIX_CAR-KD_FIX'!$H$12</definedName>
    <definedName name="HS.1" localSheetId="0">'FIX_CAR-KD_FIX'!$L$14</definedName>
    <definedName name="HS.2" localSheetId="0">'FIX_CAR-KD_FIX'!$L$15</definedName>
    <definedName name="HS.3" localSheetId="0">'FIX_CAR-KD_FIX'!$L$16</definedName>
    <definedName name="HS.4" localSheetId="0">'FIX_CAR-KD_FIX'!$L$17</definedName>
    <definedName name="HS.5" localSheetId="0">'FIX_CAR-KD_FIX'!$L$18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'FIX_CAR-KD_FIX'!$1:$61</definedName>
    <definedName name="Q" localSheetId="0">'FIX_CAR-KD_FIX'!$I$11</definedName>
    <definedName name="R." localSheetId="0">'FIX_CAR-KD_FIX'!$C$62</definedName>
    <definedName name="st" hidden="1">[6]Gra_Ord_In_2000!$BA$12:$BA$1655</definedName>
    <definedName name="W" localSheetId="0">'FIX_CAR-KD_FIX'!$E$11</definedName>
    <definedName name="w.1" localSheetId="0">'FIX_CAR-KD_FIX'!$H$14</definedName>
    <definedName name="w.10" localSheetId="0">'FIX_CAR-KD_FIX'!$J$18</definedName>
    <definedName name="w.2" localSheetId="0">'FIX_CAR-KD_FIX'!$H$15</definedName>
    <definedName name="w.3" localSheetId="0">'FIX_CAR-KD_FIX'!$H$16</definedName>
    <definedName name="w.4" localSheetId="0">'FIX_CAR-KD_FIX'!$H$17</definedName>
    <definedName name="w.5" localSheetId="0">'FIX_CAR-KD_FIX'!$H$18</definedName>
    <definedName name="w.6" localSheetId="0">'FIX_CAR-KD_FIX'!$J$14</definedName>
    <definedName name="w.7" localSheetId="0">'FIX_CAR-KD_FIX'!$J$15</definedName>
    <definedName name="w.8" localSheetId="0">'FIX_CAR-KD_FIX'!$J$16</definedName>
    <definedName name="w.9" localSheetId="0">'FIX_CAR-KD_FIX'!$J$17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'FIX_CAR-KD_FIX'!$L$12</definedName>
    <definedName name="WS.1" localSheetId="0">'FIX_CAR-KD_FIX'!$N$14</definedName>
    <definedName name="WS.2" localSheetId="0">'FIX_CAR-KD_FIX'!$N$15</definedName>
    <definedName name="WS.3" localSheetId="0">'FIX_CAR-KD_FIX'!$N$16</definedName>
    <definedName name="WS.4" localSheetId="0">'FIX_CAR-KD_FIX'!$N$17</definedName>
    <definedName name="WS.5" localSheetId="0">'FIX_CAR-KD_FIX'!$N$18</definedName>
    <definedName name="Z_8BD11290_77B3_4D27_9040_BB9D2A7264B2_.wvu.PrintArea" localSheetId="0" hidden="1">'FIX_CAR-KD_FIX'!$1:$61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3" i="1"/>
  <c r="BU31" i="1"/>
  <c r="BU29" i="1"/>
  <c r="BU27" i="1"/>
  <c r="BU26" i="1"/>
  <c r="BU23" i="1"/>
  <c r="BF60" i="1"/>
  <c r="BD60" i="1"/>
  <c r="AX60" i="1"/>
  <c r="BE41" i="1"/>
  <c r="BE40" i="1"/>
  <c r="BE39" i="1"/>
  <c r="BE38" i="1"/>
  <c r="BE37" i="1"/>
  <c r="BE36" i="1"/>
  <c r="BE32" i="1"/>
  <c r="BE31" i="1"/>
  <c r="BE27" i="1"/>
  <c r="BE26" i="1"/>
  <c r="X24" i="1"/>
  <c r="X23" i="1"/>
  <c r="X32" i="1"/>
  <c r="X31" i="1"/>
  <c r="X30" i="1"/>
  <c r="X28" i="1"/>
  <c r="X29" i="1"/>
  <c r="X27" i="1"/>
  <c r="X26" i="1"/>
  <c r="X25" i="1"/>
  <c r="X22" i="1"/>
  <c r="AB29" i="1"/>
  <c r="AB28" i="1"/>
  <c r="BV60" i="1" l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AV44" i="1"/>
  <c r="AU44" i="1"/>
  <c r="AP44" i="1"/>
  <c r="AL44" i="1"/>
  <c r="BF43" i="1"/>
  <c r="AV43" i="1"/>
  <c r="AU43" i="1"/>
  <c r="AP43" i="1"/>
  <c r="AL43" i="1"/>
  <c r="BF42" i="1"/>
  <c r="AV42" i="1"/>
  <c r="AU42" i="1"/>
  <c r="AP42" i="1"/>
  <c r="AL42" i="1"/>
  <c r="P42" i="1"/>
  <c r="O42" i="1"/>
  <c r="F42" i="1"/>
  <c r="BF41" i="1"/>
  <c r="AV41" i="1"/>
  <c r="AU41" i="1"/>
  <c r="AP41" i="1"/>
  <c r="AL41" i="1"/>
  <c r="BF40" i="1"/>
  <c r="AV40" i="1"/>
  <c r="AU40" i="1"/>
  <c r="AP40" i="1"/>
  <c r="AL40" i="1"/>
  <c r="BF39" i="1"/>
  <c r="AV39" i="1"/>
  <c r="AU39" i="1"/>
  <c r="AP39" i="1"/>
  <c r="AL39" i="1"/>
  <c r="AV38" i="1"/>
  <c r="AU38" i="1"/>
  <c r="AP38" i="1"/>
  <c r="AL38" i="1"/>
  <c r="BF37" i="1"/>
  <c r="AV37" i="1"/>
  <c r="AU37" i="1"/>
  <c r="AP37" i="1"/>
  <c r="AL37" i="1"/>
  <c r="BV36" i="1"/>
  <c r="BT36" i="1"/>
  <c r="BN36" i="1"/>
  <c r="BF36" i="1"/>
  <c r="AV36" i="1"/>
  <c r="AU36" i="1"/>
  <c r="AP36" i="1"/>
  <c r="AL36" i="1"/>
  <c r="BV35" i="1"/>
  <c r="BT35" i="1"/>
  <c r="BN35" i="1"/>
  <c r="BF35" i="1"/>
  <c r="AV35" i="1"/>
  <c r="AU35" i="1"/>
  <c r="AP35" i="1"/>
  <c r="AL35" i="1"/>
  <c r="BF34" i="1"/>
  <c r="AV34" i="1"/>
  <c r="AU34" i="1"/>
  <c r="AP34" i="1"/>
  <c r="AL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Z32" i="1"/>
  <c r="V32" i="1"/>
  <c r="BF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Z30" i="1"/>
  <c r="V30" i="1"/>
  <c r="BV29" i="1"/>
  <c r="BF29" i="1"/>
  <c r="AV29" i="1"/>
  <c r="AU29" i="1"/>
  <c r="AP29" i="1"/>
  <c r="AL29" i="1"/>
  <c r="AE29" i="1"/>
  <c r="AF29" i="1" s="1"/>
  <c r="Z29" i="1"/>
  <c r="V29" i="1"/>
  <c r="BV28" i="1"/>
  <c r="BF28" i="1"/>
  <c r="AV28" i="1"/>
  <c r="AU28" i="1"/>
  <c r="AP28" i="1"/>
  <c r="AL28" i="1"/>
  <c r="AE28" i="1"/>
  <c r="Z28" i="1"/>
  <c r="V28" i="1"/>
  <c r="BV27" i="1"/>
  <c r="BF27" i="1"/>
  <c r="AU27" i="1"/>
  <c r="AP27" i="1"/>
  <c r="AL27" i="1"/>
  <c r="AE27" i="1"/>
  <c r="AF27" i="1" s="1"/>
  <c r="Z27" i="1"/>
  <c r="V27" i="1"/>
  <c r="BF26" i="1"/>
  <c r="AU26" i="1"/>
  <c r="AP26" i="1"/>
  <c r="AL26" i="1"/>
  <c r="AE26" i="1"/>
  <c r="AF26" i="1" s="1"/>
  <c r="Z26" i="1"/>
  <c r="V26" i="1"/>
  <c r="BF25" i="1"/>
  <c r="AU25" i="1"/>
  <c r="AP25" i="1"/>
  <c r="AL25" i="1"/>
  <c r="AE25" i="1"/>
  <c r="Z25" i="1"/>
  <c r="AF25" i="1"/>
  <c r="V25" i="1"/>
  <c r="BV24" i="1"/>
  <c r="BF24" i="1"/>
  <c r="AU24" i="1"/>
  <c r="AP24" i="1"/>
  <c r="AL24" i="1"/>
  <c r="AE24" i="1"/>
  <c r="Z24" i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AI1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BV34" i="1" s="1"/>
  <c r="L14" i="1"/>
  <c r="BV32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V2" i="1"/>
  <c r="BL2" i="1" s="1"/>
  <c r="CB2" i="1" s="1"/>
  <c r="AF2" i="1"/>
  <c r="AF31" i="1" l="1"/>
  <c r="AF28" i="1"/>
  <c r="AF32" i="1"/>
  <c r="AF23" i="1"/>
  <c r="AF30" i="1"/>
  <c r="AF22" i="1"/>
  <c r="AF24" i="1"/>
  <c r="CA4" i="1"/>
  <c r="AE4" i="1"/>
  <c r="AU4" i="1"/>
  <c r="AV22" i="1"/>
  <c r="AV26" i="1"/>
  <c r="AV23" i="1"/>
  <c r="U3" i="1"/>
  <c r="AS25" i="1"/>
  <c r="BF38" i="1"/>
  <c r="AK3" i="1"/>
  <c r="BV25" i="1"/>
  <c r="AN26" i="1"/>
  <c r="BQ3" i="1"/>
  <c r="BJ12" i="1"/>
  <c r="BJ14" i="1"/>
  <c r="P17" i="1"/>
  <c r="BH14" i="1"/>
  <c r="BZ14" i="1"/>
  <c r="AN22" i="1"/>
  <c r="AA10" i="1"/>
  <c r="AS22" i="1"/>
  <c r="BV26" i="1"/>
  <c r="BV30" i="1"/>
  <c r="AN27" i="1"/>
  <c r="AV27" i="1" s="1"/>
  <c r="BV31" i="1"/>
  <c r="BW10" i="1"/>
  <c r="AR14" i="1"/>
  <c r="AN23" i="1"/>
  <c r="AT14" i="1"/>
  <c r="AN24" i="1"/>
  <c r="AV24" i="1" s="1"/>
  <c r="AB14" i="1"/>
  <c r="AS23" i="1"/>
  <c r="AN25" i="1"/>
  <c r="AV25" i="1" s="1"/>
  <c r="BV33" i="1"/>
  <c r="AF48" i="1" l="1"/>
  <c r="AF50" i="1" s="1"/>
  <c r="CB17" i="1"/>
  <c r="AF17" i="1"/>
  <c r="AV17" i="1"/>
  <c r="BL17" i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E870241-FB1C-407C-823B-6C9376688A4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987DDA5-B8D1-489A-BD5C-01C089C46DD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61A70B5-93D3-4403-9950-053BE4424A1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<sst xmlns="http://schemas.openxmlformats.org/spreadsheetml/2006/main" count="578" uniqueCount="204">
  <si>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</si>
  <si>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</si>
  <si>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</si>
  <si>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</si>
  <si>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</si>
  <si>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</si>
  <si>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</si>
  <si>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</si>
  <si>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</si>
  <si>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</si>
  <si>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</si>
  <si>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</si>
  <si>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</si>
  <si>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</si>
  <si>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</si>
  <si>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CAR-KD FIX C</t>
  </si>
  <si>
    <t>Delivery Date</t>
  </si>
  <si>
    <t>Elevation Code</t>
  </si>
  <si>
    <t>52F/CR/F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</si>
  <si>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</si>
  <si>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</si>
  <si>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</si>
  <si>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U9E-51023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</si>
  <si>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</si>
  <si>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</si>
  <si>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</si>
  <si>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</si>
  <si>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</si>
  <si>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</si>
  <si>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</si>
  <si>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</si>
  <si>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</si>
  <si>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</si>
  <si>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</si>
  <si>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</si>
  <si>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</si>
  <si>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</si>
  <si>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</si>
  <si>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</si>
  <si>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</si>
  <si>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</si>
  <si>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</si>
  <si>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</si>
  <si>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</si>
  <si>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</si>
  <si>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</si>
  <si>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</si>
  <si>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</si>
  <si>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</si>
  <si>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</si>
  <si>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</si>
  <si>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</si>
  <si>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</si>
  <si>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</si>
  <si>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</si>
  <si>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</si>
  <si>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</si>
  <si>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</si>
  <si>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</si>
  <si>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</si>
  <si>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</si>
  <si>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</si>
  <si>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</si>
  <si>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</si>
  <si>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</si>
  <si>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</si>
  <si>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</si>
  <si>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</si>
  <si>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</si>
  <si>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</si>
  <si>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</si>
  <si>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</si>
  <si>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</si>
  <si>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</si>
  <si>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</si>
  <si>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</si>
  <si>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</si>
  <si>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</si>
  <si>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</si>
  <si>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</si>
  <si>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</si>
  <si>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</si>
  <si>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</si>
  <si>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</si>
  <si>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</si>
  <si>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</si>
  <si>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</si>
  <si>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</si>
  <si>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</si>
  <si>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</si>
  <si>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</si>
  <si>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</si>
  <si>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</si>
  <si>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</si>
  <si>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</si>
  <si>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</si>
  <si>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</si>
  <si>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</si>
  <si>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9K-87131</t>
  </si>
  <si>
    <t>STILE(R)</t>
  </si>
  <si>
    <t>2K-29158</t>
  </si>
  <si>
    <t>2K-22277</t>
  </si>
  <si>
    <t>JAMB(L)</t>
  </si>
  <si>
    <t>9K-87104</t>
  </si>
  <si>
    <t>GLASS BEAD</t>
  </si>
  <si>
    <t>9K-86115</t>
  </si>
  <si>
    <t>2K-29161</t>
  </si>
  <si>
    <t>JAMB(R)</t>
  </si>
  <si>
    <t>MS-4012</t>
  </si>
  <si>
    <t>FOR HANDLE</t>
  </si>
  <si>
    <t>9K-87119</t>
  </si>
  <si>
    <t>9K-20848</t>
  </si>
  <si>
    <t>EF-4008D7-SA</t>
  </si>
  <si>
    <t>S</t>
  </si>
  <si>
    <t>GLASS BEAD L</t>
  </si>
  <si>
    <t>9K-20849</t>
  </si>
  <si>
    <t>BM-4025G</t>
  </si>
  <si>
    <t>FOR JOINT FRAME</t>
  </si>
  <si>
    <t>GLASS BEAD R</t>
  </si>
  <si>
    <t>9K-20850</t>
  </si>
  <si>
    <t>9K-20851</t>
  </si>
  <si>
    <t>EM-4008D8-SA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</si>
  <si>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</si>
  <si>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</si>
  <si>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</si>
  <si>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</si>
  <si>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</si>
  <si>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</si>
  <si>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</si>
  <si>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</si>
  <si>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</si>
  <si>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</si>
  <si>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</si>
  <si>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</si>
  <si>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</si>
  <si>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</si>
  <si>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</si>
  <si>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</si>
  <si>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</si>
  <si>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</si>
  <si>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</si>
  <si>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</si>
  <si>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</si>
  <si>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</si>
  <si>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</si>
  <si>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</si>
  <si>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</si>
  <si>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</si>
  <si>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</si>
  <si>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</si>
  <si>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</si>
  <si>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</si>
  <si>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</si>
  <si>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</si>
  <si>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</si>
  <si>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</si>
  <si>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</si>
  <si>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</si>
  <si>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</si>
  <si>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</si>
  <si>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</si>
  <si>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</si>
  <si>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</si>
  <si>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BEADING</t>
  </si>
  <si>
    <t>FRICTION STAY</t>
  </si>
  <si>
    <t>SEALER PAD</t>
  </si>
  <si>
    <t>LABEL</t>
  </si>
  <si>
    <t>SCREW</t>
  </si>
  <si>
    <t>SHIM RECEIVER</t>
  </si>
  <si>
    <t>HOLE CAP</t>
  </si>
  <si>
    <t>GASKET</t>
  </si>
  <si>
    <t>CAMLATCH RECEIVER</t>
  </si>
  <si>
    <t>AL PLATE</t>
  </si>
  <si>
    <t>BACKPLATE</t>
  </si>
  <si>
    <t>PULLING BLOCK</t>
  </si>
  <si>
    <t>AT MATERIAL</t>
  </si>
  <si>
    <t>SETTING BLOCK</t>
  </si>
  <si>
    <t>P-23</t>
  </si>
  <si>
    <t>9K-30241</t>
  </si>
  <si>
    <t>EM-4008</t>
  </si>
  <si>
    <t>P-17</t>
  </si>
  <si>
    <t>P-24</t>
  </si>
  <si>
    <t>P-25</t>
  </si>
  <si>
    <t>2K-30630</t>
  </si>
  <si>
    <t>YS</t>
  </si>
  <si>
    <t>YK</t>
  </si>
  <si>
    <t>YW</t>
  </si>
  <si>
    <t>FOR FRICTION STAY</t>
  </si>
  <si>
    <t>FOR PULLING BLOCK</t>
  </si>
  <si>
    <t>FOR JAMB (R), FOR JAMB (L), FOR HEAD</t>
  </si>
  <si>
    <t>FOR INSIDE</t>
  </si>
  <si>
    <t>FOR TRANSOM</t>
  </si>
  <si>
    <t>FOR BACKPLATE</t>
  </si>
  <si>
    <t>FOR AL PLATE / BACKPLATE</t>
  </si>
  <si>
    <t>FOR OUTSIDE</t>
  </si>
  <si>
    <t>HANDLE</t>
  </si>
  <si>
    <t>WEATHER STRIP</t>
  </si>
  <si>
    <t>ARMSTOPPER</t>
  </si>
  <si>
    <t>P-20</t>
  </si>
  <si>
    <t>9K-11113</t>
  </si>
  <si>
    <t>EM-4012</t>
  </si>
  <si>
    <t>Y</t>
  </si>
  <si>
    <t>FOR TOP RAIL, BOTTOM RAIL</t>
  </si>
  <si>
    <t>FOR ARM 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</si>
</sst>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1CD83DA-6DED-4217-A75E-B93A1EF9C23D}"/>
    <cellStyle name="Normal" xfId="0" builtinId="0"/>
    <cellStyle name="Normal 2" xfId="1" xr:uid="{F5AD991E-F804-484E-A310-EFA3732D0E4C}"/>
    <cellStyle name="Normal 5" xfId="3" xr:uid="{F2AC08D3-7303-43DC-8242-3C8D53EBE132}"/>
    <cellStyle name="Normal_COBA 2" xfId="4" xr:uid="{4B905755-6131-46EB-BD4D-D7E5EEB6C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36B495-9F66-476C-B77F-81B97AF1D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88AFAEA-8110-49DA-AEFE-9F3C14E64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48260C4-DCBC-4282-9651-5F82C405F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D3CD3C1-89DF-4107-B638-8ABE20CEA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0A25188-4892-47F2-9D94-F1DFE855D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20DECDE-EE30-4114-BC82-75D5C113E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64A14F0-9B05-4494-9741-5772E9B28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130142</xdr:colOff>
      <xdr:row>36</xdr:row>
      <xdr:rowOff>127105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2954FFF2-29FA-48CE-AD89-6038ADE4E6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50" r="14286"/>
        <a:stretch/>
      </xdr:blipFill>
      <xdr:spPr bwMode="auto">
        <a:xfrm>
          <a:off x="2720340" y="3726180"/>
          <a:ext cx="3665822" cy="3167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097D-720F-4110-AA27-A985556F986C}">
  <sheetPr codeName="Sheet60">
    <tabColor indexed="14"/>
    <pageSetUpPr fitToPage="1"/>
  </sheetPr>
  <dimension ref="B1:DP69"/>
  <sheetViews>
    <sheetView showGridLines="0" tabSelected="1" zoomScale="70" zoomScaleNormal="70" zoomScaleSheetLayoutView="70" workbookViewId="0">
      <selection activeCell="AB24" sqref="AB24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45516.685625810183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45516.685625810183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45516.685625810183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45516.685625810183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45516.685625810183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CAR-KD FIX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CAR-KD FIX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CAR-KD FIX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CAR-KD FIX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52F/CR/F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U9E-51023</v>
      </c>
      <c r="AF9" s="60"/>
      <c r="AG9" s="3"/>
      <c r="AH9" s="53" t="s">
        <v>20</v>
      </c>
      <c r="AI9" s="36"/>
      <c r="AJ9" s="37"/>
      <c r="AK9" s="54" t="str">
        <f>IF($E$9&gt;0,$E$9,"")</f>
        <v>52F/CR/F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U9E-51023</v>
      </c>
      <c r="AV9" s="60"/>
      <c r="AW9" s="3"/>
      <c r="AX9" s="53" t="s">
        <v>20</v>
      </c>
      <c r="AY9" s="36"/>
      <c r="AZ9" s="37"/>
      <c r="BA9" s="54" t="str">
        <f>IF(E9&gt;0,E9,"")</f>
        <v>52F/CR/F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U9E-51023</v>
      </c>
      <c r="BL9" s="60"/>
      <c r="BM9" s="3"/>
      <c r="BN9" s="53" t="s">
        <v>20</v>
      </c>
      <c r="BO9" s="36"/>
      <c r="BP9" s="37"/>
      <c r="BQ9" s="54" t="str">
        <f>IF(U9&gt;0,U9,"")</f>
        <v>52F/CR/F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U9E-51023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U9E-50005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U9E-50005</v>
      </c>
      <c r="AV10" s="60"/>
      <c r="AW10" s="3"/>
      <c r="AX10" s="53" t="s">
        <v>23</v>
      </c>
      <c r="AY10" s="36"/>
      <c r="AZ10" s="37"/>
      <c r="BA10" s="54" t="str">
        <f>IF($U$10&gt;0,$U$10,"")</f>
        <v>52F/CR/F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U9E-50005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164</v>
      </c>
      <c r="AY22" s="199"/>
      <c r="AZ22" s="200"/>
      <c r="BA22" s="204" t="s">
        <v>177</v>
      </c>
      <c r="BB22" s="168"/>
      <c r="BC22" s="180"/>
      <c r="BD22" s="181" t="s">
        <v>184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195</v>
      </c>
      <c r="BO22" s="199"/>
      <c r="BP22" s="200"/>
      <c r="BQ22" s="204" t="s">
        <v>85</v>
      </c>
      <c r="BR22" s="168"/>
      <c r="BS22" s="180"/>
      <c r="BT22" s="181" t="s">
        <v>201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114</v>
      </c>
      <c r="S23" s="199"/>
      <c r="T23" s="200"/>
      <c r="U23" s="167" t="s">
        <v>110</v>
      </c>
      <c r="V23" s="168" t="str">
        <f t="shared" si="0"/>
        <v>-</v>
      </c>
      <c r="W23" s="201">
        <v>1</v>
      </c>
      <c r="X23" s="170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165</v>
      </c>
      <c r="AY23" s="199"/>
      <c r="AZ23" s="200"/>
      <c r="BA23" s="167" t="s">
        <v>119</v>
      </c>
      <c r="BB23" s="168"/>
      <c r="BC23" s="180"/>
      <c r="BD23" s="181" t="s">
        <v>185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174</v>
      </c>
      <c r="BO23" s="199"/>
      <c r="BP23" s="200"/>
      <c r="BQ23" s="167" t="s">
        <v>183</v>
      </c>
      <c r="BR23" s="168"/>
      <c r="BS23" s="180"/>
      <c r="BT23" s="181" t="s">
        <v>185</v>
      </c>
      <c r="BU23" s="171">
        <f>IF(HS.1&gt;950,1,"")</f>
        <v>1</v>
      </c>
      <c r="BV23" s="172">
        <f t="shared" si="8"/>
        <v>1</v>
      </c>
      <c r="BW23" s="183" t="s">
        <v>7</v>
      </c>
      <c r="BX23" s="184" t="s">
        <v>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118</v>
      </c>
      <c r="S24" s="199"/>
      <c r="T24" s="200"/>
      <c r="U24" s="167" t="s">
        <v>110</v>
      </c>
      <c r="V24" s="168" t="str">
        <f t="shared" si="0"/>
        <v>-</v>
      </c>
      <c r="W24" s="201">
        <v>2</v>
      </c>
      <c r="X24" s="170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165</v>
      </c>
      <c r="AY24" s="199"/>
      <c r="AZ24" s="200"/>
      <c r="BA24" s="167" t="s">
        <v>120</v>
      </c>
      <c r="BB24" s="168"/>
      <c r="BC24" s="180"/>
      <c r="BD24" s="181" t="s">
        <v>185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176</v>
      </c>
      <c r="BO24" s="199"/>
      <c r="BP24" s="200"/>
      <c r="BQ24" s="167" t="s">
        <v>90</v>
      </c>
      <c r="BR24" s="168"/>
      <c r="BS24" s="180"/>
      <c r="BT24" s="181" t="s">
        <v>185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3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166</v>
      </c>
      <c r="AY25" s="199"/>
      <c r="AZ25" s="200"/>
      <c r="BA25" s="167" t="s">
        <v>178</v>
      </c>
      <c r="BB25" s="168"/>
      <c r="BC25" s="180"/>
      <c r="BD25" s="181" t="s">
        <v>184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7</v>
      </c>
      <c r="BM25" s="4"/>
      <c r="BN25" s="198" t="s">
        <v>176</v>
      </c>
      <c r="BO25" s="199"/>
      <c r="BP25" s="200"/>
      <c r="BQ25" s="167" t="s">
        <v>97</v>
      </c>
      <c r="BR25" s="168"/>
      <c r="BS25" s="180"/>
      <c r="BT25" s="181" t="s">
        <v>185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1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163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167</v>
      </c>
      <c r="AY26" s="199"/>
      <c r="AZ26" s="200"/>
      <c r="BA26" s="167" t="s">
        <v>121</v>
      </c>
      <c r="BB26" s="168"/>
      <c r="BC26" s="180"/>
      <c r="BD26" s="181" t="s">
        <v>184</v>
      </c>
      <c r="BE26" s="171">
        <f>IF(W&gt;500,8,6)</f>
        <v>8</v>
      </c>
      <c r="BF26" s="172">
        <f t="shared" si="7"/>
        <v>8</v>
      </c>
      <c r="BG26" s="183"/>
      <c r="BH26" s="184" t="s">
        <v>187</v>
      </c>
      <c r="BI26" s="185"/>
      <c r="BJ26" s="186"/>
      <c r="BK26" s="187"/>
      <c r="BL26" s="188"/>
      <c r="BM26" s="4"/>
      <c r="BN26" s="198" t="s">
        <v>170</v>
      </c>
      <c r="BO26" s="199"/>
      <c r="BP26" s="200"/>
      <c r="BQ26" s="167" t="s">
        <v>101</v>
      </c>
      <c r="BR26" s="168"/>
      <c r="BS26" s="180"/>
      <c r="BT26" s="181" t="s">
        <v>185</v>
      </c>
      <c r="BU26" s="171">
        <f>(((WS.1-66)*2)+((HS.1-84)*2))/1000</f>
        <v>4.1760000000000002</v>
      </c>
      <c r="BV26" s="172">
        <f t="shared" si="8"/>
        <v>4.1760000000000002</v>
      </c>
      <c r="BW26" s="183" t="s">
        <v>96</v>
      </c>
      <c r="BX26" s="184" t="s">
        <v>194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98</v>
      </c>
      <c r="V27" s="168" t="str">
        <f t="shared" si="0"/>
        <v>-</v>
      </c>
      <c r="W27" s="201">
        <v>2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163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167</v>
      </c>
      <c r="AY27" s="199"/>
      <c r="AZ27" s="200"/>
      <c r="BA27" s="167" t="s">
        <v>179</v>
      </c>
      <c r="BB27" s="168"/>
      <c r="BC27" s="180"/>
      <c r="BD27" s="181" t="s">
        <v>184</v>
      </c>
      <c r="BE27" s="171">
        <f>IF(HS.1&gt;950,2,"")</f>
        <v>2</v>
      </c>
      <c r="BF27" s="172">
        <f t="shared" si="7"/>
        <v>2</v>
      </c>
      <c r="BG27" s="212"/>
      <c r="BH27" s="184" t="s">
        <v>188</v>
      </c>
      <c r="BI27" s="185"/>
      <c r="BJ27" s="186"/>
      <c r="BK27" s="187"/>
      <c r="BL27" s="188"/>
      <c r="BM27" s="4"/>
      <c r="BN27" s="198" t="s">
        <v>196</v>
      </c>
      <c r="BO27" s="199"/>
      <c r="BP27" s="200"/>
      <c r="BQ27" s="167" t="s">
        <v>106</v>
      </c>
      <c r="BR27" s="168"/>
      <c r="BS27" s="180"/>
      <c r="BT27" s="181" t="s">
        <v>185</v>
      </c>
      <c r="BU27" s="171">
        <f>(HS.1*2)/1000</f>
        <v>2.58</v>
      </c>
      <c r="BV27" s="172">
        <f t="shared" si="8"/>
        <v>2.58</v>
      </c>
      <c r="BW27" s="212" t="s">
        <v>96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102</v>
      </c>
      <c r="S28" s="214"/>
      <c r="T28" s="215"/>
      <c r="U28" s="167" t="s">
        <v>103</v>
      </c>
      <c r="V28" s="168" t="str">
        <f t="shared" si="0"/>
        <v>-</v>
      </c>
      <c r="W28" s="201">
        <v>23</v>
      </c>
      <c r="X28" s="170">
        <f>H</f>
        <v>2000</v>
      </c>
      <c r="Y28" s="171">
        <v>1</v>
      </c>
      <c r="Z28" s="172">
        <f t="shared" si="1"/>
        <v>1</v>
      </c>
      <c r="AA28" s="209"/>
      <c r="AB28" s="174" t="str">
        <f>CONCATENATE("H1+H2/2+40 = ",(h.1+(h.2/2)+40))</f>
        <v>H1+H2/2+40 = 990</v>
      </c>
      <c r="AC28" s="175"/>
      <c r="AD28" s="211"/>
      <c r="AE28" s="177">
        <f t="shared" si="2"/>
        <v>0.57399999999999995</v>
      </c>
      <c r="AF28" s="178">
        <f t="shared" si="9"/>
        <v>1.1479999999999999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167</v>
      </c>
      <c r="AY28" s="199"/>
      <c r="AZ28" s="200"/>
      <c r="BA28" s="167" t="s">
        <v>122</v>
      </c>
      <c r="BB28" s="168"/>
      <c r="BC28" s="180"/>
      <c r="BD28" s="181" t="s">
        <v>184</v>
      </c>
      <c r="BE28" s="171">
        <v>4</v>
      </c>
      <c r="BF28" s="172">
        <f t="shared" si="7"/>
        <v>4</v>
      </c>
      <c r="BG28" s="183"/>
      <c r="BH28" s="184" t="s">
        <v>123</v>
      </c>
      <c r="BI28" s="185"/>
      <c r="BJ28" s="186"/>
      <c r="BK28" s="187"/>
      <c r="BL28" s="188"/>
      <c r="BM28" s="4"/>
      <c r="BN28" s="198" t="s">
        <v>167</v>
      </c>
      <c r="BO28" s="199"/>
      <c r="BP28" s="200"/>
      <c r="BQ28" s="167" t="s">
        <v>108</v>
      </c>
      <c r="BR28" s="168"/>
      <c r="BS28" s="180"/>
      <c r="BT28" s="181" t="s">
        <v>184</v>
      </c>
      <c r="BU28" s="171">
        <v>2</v>
      </c>
      <c r="BV28" s="172">
        <f t="shared" si="8"/>
        <v>2</v>
      </c>
      <c r="BW28" s="183"/>
      <c r="BX28" s="184" t="s">
        <v>109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107</v>
      </c>
      <c r="S29" s="214"/>
      <c r="T29" s="215"/>
      <c r="U29" s="217" t="s">
        <v>103</v>
      </c>
      <c r="V29" s="168" t="str">
        <f t="shared" si="0"/>
        <v>-</v>
      </c>
      <c r="W29" s="218">
        <v>20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 t="str">
        <f>CONCATENATE("a = ",(h.1+(h.2/2)+40))</f>
        <v>a = 990</v>
      </c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167</v>
      </c>
      <c r="AY29" s="199"/>
      <c r="AZ29" s="200"/>
      <c r="BA29" s="167" t="s">
        <v>116</v>
      </c>
      <c r="BB29" s="168"/>
      <c r="BC29" s="180"/>
      <c r="BD29" s="181" t="s">
        <v>184</v>
      </c>
      <c r="BE29" s="171">
        <v>16</v>
      </c>
      <c r="BF29" s="172">
        <f t="shared" si="7"/>
        <v>16</v>
      </c>
      <c r="BG29" s="183"/>
      <c r="BH29" s="184" t="s">
        <v>117</v>
      </c>
      <c r="BI29" s="185"/>
      <c r="BJ29" s="186"/>
      <c r="BK29" s="187"/>
      <c r="BL29" s="188" t="s">
        <v>113</v>
      </c>
      <c r="BM29" s="4"/>
      <c r="BN29" s="198" t="s">
        <v>167</v>
      </c>
      <c r="BO29" s="199"/>
      <c r="BP29" s="200"/>
      <c r="BQ29" s="167" t="s">
        <v>179</v>
      </c>
      <c r="BR29" s="168"/>
      <c r="BS29" s="180"/>
      <c r="BT29" s="181" t="s">
        <v>184</v>
      </c>
      <c r="BU29" s="171">
        <f>IF(HS.1&gt;950,2,0)</f>
        <v>2</v>
      </c>
      <c r="BV29" s="172">
        <f t="shared" si="8"/>
        <v>2</v>
      </c>
      <c r="BW29" s="183"/>
      <c r="BX29" s="184" t="s">
        <v>188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104</v>
      </c>
      <c r="S30" s="199"/>
      <c r="T30" s="200"/>
      <c r="U30" s="167" t="s">
        <v>110</v>
      </c>
      <c r="V30" s="168" t="str">
        <f t="shared" si="0"/>
        <v>-</v>
      </c>
      <c r="W30" s="169">
        <v>0</v>
      </c>
      <c r="X30" s="170">
        <f>W-76</f>
        <v>924</v>
      </c>
      <c r="Y30" s="171">
        <v>2</v>
      </c>
      <c r="Z30" s="172">
        <f t="shared" si="1"/>
        <v>2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0.25687199999999999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168</v>
      </c>
      <c r="AY30" s="199"/>
      <c r="AZ30" s="200"/>
      <c r="BA30" s="167" t="s">
        <v>124</v>
      </c>
      <c r="BB30" s="168"/>
      <c r="BC30" s="180"/>
      <c r="BD30" s="181" t="s">
        <v>184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113</v>
      </c>
      <c r="BM30" s="4"/>
      <c r="BN30" s="198" t="s">
        <v>167</v>
      </c>
      <c r="BO30" s="199"/>
      <c r="BP30" s="200"/>
      <c r="BQ30" s="167" t="s">
        <v>112</v>
      </c>
      <c r="BR30" s="168"/>
      <c r="BS30" s="180"/>
      <c r="BT30" s="181" t="s">
        <v>184</v>
      </c>
      <c r="BU30" s="171">
        <v>8</v>
      </c>
      <c r="BV30" s="172">
        <f t="shared" si="8"/>
        <v>8</v>
      </c>
      <c r="BW30" s="183"/>
      <c r="BX30" s="184" t="s">
        <v>187</v>
      </c>
      <c r="BY30" s="185"/>
      <c r="BZ30" s="186"/>
      <c r="CA30" s="187"/>
      <c r="CB30" s="188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114</v>
      </c>
      <c r="S31" s="199"/>
      <c r="T31" s="200"/>
      <c r="U31" s="167" t="s">
        <v>110</v>
      </c>
      <c r="V31" s="168" t="str">
        <f t="shared" si="0"/>
        <v>-</v>
      </c>
      <c r="W31" s="222">
        <v>1</v>
      </c>
      <c r="X31" s="207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169</v>
      </c>
      <c r="AY31" s="199"/>
      <c r="AZ31" s="200"/>
      <c r="BA31" s="167" t="s">
        <v>125</v>
      </c>
      <c r="BB31" s="168"/>
      <c r="BC31" s="180"/>
      <c r="BD31" s="181" t="s">
        <v>186</v>
      </c>
      <c r="BE31" s="171">
        <f>IF(h.2&lt;=780,2,IF(h.2&lt;=1160,3,IF(h.2&lt;=1960,5,5)))+IF(h.2&lt;=710,2,IF(h.2&lt;=1210,3,IF(h.2&lt;=1710,4,IF(h.2&gt;1710,5,5))))</f>
        <v>9</v>
      </c>
      <c r="BF31" s="172">
        <f t="shared" si="7"/>
        <v>9</v>
      </c>
      <c r="BG31" s="183"/>
      <c r="BH31" s="184" t="s">
        <v>189</v>
      </c>
      <c r="BI31" s="185"/>
      <c r="BJ31" s="186"/>
      <c r="BK31" s="187"/>
      <c r="BL31" s="188" t="s">
        <v>113</v>
      </c>
      <c r="BM31" s="4"/>
      <c r="BN31" s="198" t="s">
        <v>170</v>
      </c>
      <c r="BO31" s="199"/>
      <c r="BP31" s="200"/>
      <c r="BQ31" s="167" t="s">
        <v>198</v>
      </c>
      <c r="BR31" s="168"/>
      <c r="BS31" s="180"/>
      <c r="BT31" s="181" t="s">
        <v>185</v>
      </c>
      <c r="BU31" s="171">
        <f>((2*WS.1)+(2*HS.1)-216)/1000</f>
        <v>4.26</v>
      </c>
      <c r="BV31" s="172">
        <f t="shared" si="8"/>
        <v>4.26</v>
      </c>
      <c r="BW31" s="183" t="s">
        <v>96</v>
      </c>
      <c r="BX31" s="184" t="s">
        <v>190</v>
      </c>
      <c r="BY31" s="185"/>
      <c r="BZ31" s="186"/>
      <c r="CA31" s="187"/>
      <c r="CB31" s="188" t="s">
        <v>113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118</v>
      </c>
      <c r="S32" s="199"/>
      <c r="T32" s="200"/>
      <c r="U32" s="167" t="s">
        <v>110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170</v>
      </c>
      <c r="AY32" s="199"/>
      <c r="AZ32" s="200"/>
      <c r="BA32" s="167" t="s">
        <v>180</v>
      </c>
      <c r="BB32" s="168"/>
      <c r="BC32" s="180"/>
      <c r="BD32" s="181" t="s">
        <v>185</v>
      </c>
      <c r="BE32" s="171">
        <f>((4*W)+((h.1+h.3)*2)-136)/1000</f>
        <v>5.1040000000000001</v>
      </c>
      <c r="BF32" s="172">
        <f t="shared" si="7"/>
        <v>5.1040000000000001</v>
      </c>
      <c r="BG32" s="183" t="s">
        <v>96</v>
      </c>
      <c r="BH32" s="184" t="s">
        <v>190</v>
      </c>
      <c r="BI32" s="185"/>
      <c r="BJ32" s="186"/>
      <c r="BK32" s="187"/>
      <c r="BL32" s="188" t="s">
        <v>113</v>
      </c>
      <c r="BM32" s="4"/>
      <c r="BN32" s="198" t="s">
        <v>167</v>
      </c>
      <c r="BO32" s="199"/>
      <c r="BP32" s="200"/>
      <c r="BQ32" s="167" t="s">
        <v>116</v>
      </c>
      <c r="BR32" s="168"/>
      <c r="BS32" s="180"/>
      <c r="BT32" s="181" t="s">
        <v>184</v>
      </c>
      <c r="BU32" s="171">
        <v>8</v>
      </c>
      <c r="BV32" s="172">
        <f t="shared" si="8"/>
        <v>8</v>
      </c>
      <c r="BW32" s="183"/>
      <c r="BX32" s="184" t="s">
        <v>117</v>
      </c>
      <c r="BY32" s="185"/>
      <c r="BZ32" s="186"/>
      <c r="CA32" s="187"/>
      <c r="CB32" s="188" t="s">
        <v>113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171</v>
      </c>
      <c r="AY33" s="199"/>
      <c r="AZ33" s="200"/>
      <c r="BA33" s="167" t="s">
        <v>89</v>
      </c>
      <c r="BB33" s="168"/>
      <c r="BC33" s="180"/>
      <c r="BD33" s="181" t="s">
        <v>186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197</v>
      </c>
      <c r="BO33" s="199"/>
      <c r="BP33" s="200"/>
      <c r="BQ33" s="167" t="s">
        <v>199</v>
      </c>
      <c r="BR33" s="168"/>
      <c r="BS33" s="180"/>
      <c r="BT33" s="181" t="s">
        <v>184</v>
      </c>
      <c r="BU33" s="171">
        <f>IF(AND(WS.1&lt;=948, WS.1&gt;648),2,0)</f>
        <v>2</v>
      </c>
      <c r="BV33" s="172">
        <f t="shared" si="8"/>
        <v>2</v>
      </c>
      <c r="BW33" s="212"/>
      <c r="BX33" s="184" t="s">
        <v>202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170"/>
      <c r="Y34" s="171"/>
      <c r="Z34" s="172"/>
      <c r="AA34" s="202"/>
      <c r="AB34" s="174"/>
      <c r="AC34" s="175"/>
      <c r="AD34" s="176"/>
      <c r="AE34" s="177"/>
      <c r="AF34" s="178"/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172</v>
      </c>
      <c r="AY34" s="199"/>
      <c r="AZ34" s="200"/>
      <c r="BA34" s="167" t="s">
        <v>181</v>
      </c>
      <c r="BB34" s="168"/>
      <c r="BC34" s="180"/>
      <c r="BD34" s="181" t="s">
        <v>184</v>
      </c>
      <c r="BE34" s="171">
        <v>2</v>
      </c>
      <c r="BF34" s="172">
        <f t="shared" si="7"/>
        <v>2</v>
      </c>
      <c r="BG34" s="212"/>
      <c r="BH34" s="184" t="s">
        <v>187</v>
      </c>
      <c r="BI34" s="185"/>
      <c r="BJ34" s="186"/>
      <c r="BK34" s="187"/>
      <c r="BL34" s="188" t="s">
        <v>113</v>
      </c>
      <c r="BM34" s="4"/>
      <c r="BN34" s="198" t="s">
        <v>167</v>
      </c>
      <c r="BO34" s="199"/>
      <c r="BP34" s="200"/>
      <c r="BQ34" s="167" t="s">
        <v>200</v>
      </c>
      <c r="BR34" s="168"/>
      <c r="BS34" s="180"/>
      <c r="BT34" s="181" t="s">
        <v>184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203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173</v>
      </c>
      <c r="AY35" s="199"/>
      <c r="AZ35" s="200"/>
      <c r="BA35" s="167" t="s">
        <v>182</v>
      </c>
      <c r="BB35" s="168"/>
      <c r="BC35" s="180"/>
      <c r="BD35" s="181" t="s">
        <v>184</v>
      </c>
      <c r="BE35" s="171">
        <v>2</v>
      </c>
      <c r="BF35" s="172">
        <f t="shared" si="7"/>
        <v>2</v>
      </c>
      <c r="BG35" s="212"/>
      <c r="BH35" s="184" t="s">
        <v>191</v>
      </c>
      <c r="BI35" s="185"/>
      <c r="BJ35" s="186"/>
      <c r="BK35" s="187"/>
      <c r="BL35" s="188"/>
      <c r="BM35" s="4"/>
      <c r="BN35" s="198" t="str">
        <f t="shared" ref="BN22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22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167</v>
      </c>
      <c r="AY36" s="199"/>
      <c r="AZ36" s="200"/>
      <c r="BA36" s="167" t="s">
        <v>121</v>
      </c>
      <c r="BB36" s="168"/>
      <c r="BC36" s="180"/>
      <c r="BD36" s="181" t="s">
        <v>184</v>
      </c>
      <c r="BE36" s="171">
        <f>IF(AND(W&lt;=700,W&gt;=400),0,IF(AND(W&lt;=1000, W&gt;700),2,0))</f>
        <v>2</v>
      </c>
      <c r="BF36" s="172">
        <f t="shared" si="7"/>
        <v>2</v>
      </c>
      <c r="BG36" s="212"/>
      <c r="BH36" s="184" t="s">
        <v>192</v>
      </c>
      <c r="BI36" s="185"/>
      <c r="BJ36" s="186"/>
      <c r="BK36" s="187"/>
      <c r="BL36" s="188"/>
      <c r="BM36" s="4"/>
      <c r="BN36" s="198" t="str">
        <f t="shared" si="10"/>
        <v/>
      </c>
      <c r="BO36" s="199"/>
      <c r="BP36" s="200"/>
      <c r="BQ36" s="167"/>
      <c r="BR36" s="168"/>
      <c r="BS36" s="180"/>
      <c r="BT36" s="181" t="str">
        <f t="shared" si="11"/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9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167</v>
      </c>
      <c r="AY37" s="199"/>
      <c r="AZ37" s="200"/>
      <c r="BA37" s="167" t="s">
        <v>121</v>
      </c>
      <c r="BB37" s="168"/>
      <c r="BC37" s="180"/>
      <c r="BD37" s="181" t="s">
        <v>184</v>
      </c>
      <c r="BE37" s="171">
        <f>IF(AND(W&lt;=700,H&gt;=400),2,IF(AND(W&lt;=1000, W&gt;700),4,0))</f>
        <v>4</v>
      </c>
      <c r="BF37" s="172">
        <f t="shared" si="7"/>
        <v>4</v>
      </c>
      <c r="BG37" s="212"/>
      <c r="BH37" s="184" t="s">
        <v>193</v>
      </c>
      <c r="BI37" s="185"/>
      <c r="BJ37" s="186"/>
      <c r="BK37" s="187"/>
      <c r="BL37" s="188" t="s">
        <v>113</v>
      </c>
      <c r="BM37" s="4"/>
      <c r="BN37" s="198"/>
      <c r="BO37" s="199"/>
      <c r="BP37" s="200"/>
      <c r="BQ37" s="204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174</v>
      </c>
      <c r="AY38" s="199"/>
      <c r="AZ38" s="200"/>
      <c r="BA38" s="167" t="s">
        <v>183</v>
      </c>
      <c r="BB38" s="168"/>
      <c r="BC38" s="180"/>
      <c r="BD38" s="181" t="s">
        <v>185</v>
      </c>
      <c r="BE38" s="171">
        <f>IF(HS.1&gt;950,1,0)</f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175</v>
      </c>
      <c r="AY39" s="199"/>
      <c r="AZ39" s="200"/>
      <c r="BA39" s="167" t="s">
        <v>95</v>
      </c>
      <c r="BB39" s="168"/>
      <c r="BC39" s="180"/>
      <c r="BD39" s="181" t="s">
        <v>185</v>
      </c>
      <c r="BE39" s="171">
        <f>((W-41)+(h.2-36))*2/1000</f>
        <v>4.4459999999999997</v>
      </c>
      <c r="BF39" s="172">
        <f t="shared" si="7"/>
        <v>4.4459999999999997</v>
      </c>
      <c r="BG39" s="212" t="s">
        <v>96</v>
      </c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175</v>
      </c>
      <c r="AY40" s="199"/>
      <c r="AZ40" s="200"/>
      <c r="BA40" s="167" t="s">
        <v>100</v>
      </c>
      <c r="BB40" s="168"/>
      <c r="BC40" s="180"/>
      <c r="BD40" s="181" t="s">
        <v>185</v>
      </c>
      <c r="BE40" s="182">
        <f>(W-41)/1000</f>
        <v>0.95899999999999996</v>
      </c>
      <c r="BF40" s="172">
        <f t="shared" si="7"/>
        <v>0.95899999999999996</v>
      </c>
      <c r="BG40" s="183" t="s">
        <v>96</v>
      </c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217"/>
      <c r="V41" s="168"/>
      <c r="W41" s="218"/>
      <c r="X41" s="170"/>
      <c r="Y41" s="219"/>
      <c r="Z41" s="172"/>
      <c r="AA41" s="220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170</v>
      </c>
      <c r="AY41" s="199"/>
      <c r="AZ41" s="200"/>
      <c r="BA41" s="167" t="s">
        <v>101</v>
      </c>
      <c r="BB41" s="168"/>
      <c r="BC41" s="180"/>
      <c r="BD41" s="181" t="s">
        <v>185</v>
      </c>
      <c r="BE41" s="182">
        <f>(((W-41)*4)+((h.1+h.3-72)*2))/1000</f>
        <v>4.9320000000000004</v>
      </c>
      <c r="BF41" s="172">
        <f t="shared" si="7"/>
        <v>4.9320000000000004</v>
      </c>
      <c r="BG41" s="183" t="s">
        <v>96</v>
      </c>
      <c r="BH41" s="184" t="s">
        <v>194</v>
      </c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198"/>
      <c r="S42" s="199"/>
      <c r="T42" s="200"/>
      <c r="U42" s="167"/>
      <c r="V42" s="168"/>
      <c r="W42" s="169"/>
      <c r="X42" s="170"/>
      <c r="Y42" s="171"/>
      <c r="Z42" s="172"/>
      <c r="AA42" s="220"/>
      <c r="AB42" s="174"/>
      <c r="AC42" s="175"/>
      <c r="AD42" s="176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176</v>
      </c>
      <c r="AY42" s="199"/>
      <c r="AZ42" s="200"/>
      <c r="BA42" s="167" t="s">
        <v>97</v>
      </c>
      <c r="BB42" s="168"/>
      <c r="BC42" s="180"/>
      <c r="BD42" s="181" t="s">
        <v>185</v>
      </c>
      <c r="BE42" s="182">
        <v>4</v>
      </c>
      <c r="BF42" s="172">
        <f t="shared" si="7"/>
        <v>4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212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127</v>
      </c>
      <c r="C43" s="240"/>
      <c r="D43" s="240"/>
      <c r="E43" s="240"/>
      <c r="F43" s="241"/>
      <c r="G43" s="242"/>
      <c r="H43" s="243"/>
      <c r="I43" s="233"/>
      <c r="J43" s="244" t="s">
        <v>128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222"/>
      <c r="X43" s="207"/>
      <c r="Y43" s="171"/>
      <c r="Z43" s="172"/>
      <c r="AA43" s="220"/>
      <c r="AB43" s="174"/>
      <c r="AC43" s="175"/>
      <c r="AD43" s="211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165</v>
      </c>
      <c r="AY43" s="199"/>
      <c r="AZ43" s="200"/>
      <c r="BA43" s="167" t="s">
        <v>111</v>
      </c>
      <c r="BB43" s="168"/>
      <c r="BC43" s="180"/>
      <c r="BD43" s="181" t="s">
        <v>185</v>
      </c>
      <c r="BE43" s="182">
        <v>1</v>
      </c>
      <c r="BF43" s="172">
        <f t="shared" si="7"/>
        <v>1</v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129</v>
      </c>
      <c r="C44" s="326" t="s">
        <v>130</v>
      </c>
      <c r="D44" s="327"/>
      <c r="E44" s="328"/>
      <c r="F44" s="326" t="s">
        <v>131</v>
      </c>
      <c r="G44" s="327"/>
      <c r="H44" s="328"/>
      <c r="I44" s="252"/>
      <c r="J44" s="253" t="s">
        <v>129</v>
      </c>
      <c r="K44" s="326" t="s">
        <v>130</v>
      </c>
      <c r="L44" s="327"/>
      <c r="M44" s="327"/>
      <c r="N44" s="328"/>
      <c r="O44" s="253" t="s">
        <v>132</v>
      </c>
      <c r="P44" s="254" t="s">
        <v>129</v>
      </c>
      <c r="Q44" s="4"/>
      <c r="R44" s="198"/>
      <c r="S44" s="199"/>
      <c r="T44" s="200"/>
      <c r="U44" s="167"/>
      <c r="V44" s="168"/>
      <c r="W44" s="169"/>
      <c r="X44" s="170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">
        <v>165</v>
      </c>
      <c r="AY44" s="199"/>
      <c r="AZ44" s="200"/>
      <c r="BA44" s="167" t="s">
        <v>115</v>
      </c>
      <c r="BB44" s="168"/>
      <c r="BC44" s="180"/>
      <c r="BD44" s="181" t="s">
        <v>185</v>
      </c>
      <c r="BE44" s="182">
        <v>1</v>
      </c>
      <c r="BF44" s="172">
        <f t="shared" si="7"/>
        <v>1</v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133</v>
      </c>
      <c r="D45" s="257"/>
      <c r="E45" s="257"/>
      <c r="F45" s="258"/>
      <c r="G45" s="259"/>
      <c r="H45" s="260"/>
      <c r="I45" s="261"/>
      <c r="J45" s="262">
        <v>1</v>
      </c>
      <c r="K45" s="263" t="s">
        <v>134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ref="AX22:AX60" si="13">IF(BA45&gt;"",VLOOKUP(BA45,PART_NAMA,3,FALSE),"")</f>
        <v/>
      </c>
      <c r="AY45" s="199"/>
      <c r="AZ45" s="200"/>
      <c r="BA45" s="167"/>
      <c r="BB45" s="168"/>
      <c r="BC45" s="180"/>
      <c r="BD45" s="181" t="str">
        <f t="shared" ref="BD22:BD60" si="14">IF(BA45&gt;"",VLOOKUP(BA45&amp;$M$10,PART_MASTER,3,FALSE),"")</f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135</v>
      </c>
      <c r="D46" s="259"/>
      <c r="E46" s="259"/>
      <c r="F46" s="263"/>
      <c r="G46" s="259"/>
      <c r="H46" s="260"/>
      <c r="I46" s="261"/>
      <c r="J46" s="262">
        <v>2</v>
      </c>
      <c r="K46" s="263" t="s">
        <v>136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 t="str">
        <f t="shared" si="13"/>
        <v/>
      </c>
      <c r="AY46" s="199"/>
      <c r="AZ46" s="200"/>
      <c r="BA46" s="167"/>
      <c r="BB46" s="168"/>
      <c r="BC46" s="180"/>
      <c r="BD46" s="267" t="str">
        <f t="shared" si="14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137</v>
      </c>
      <c r="D47" s="259"/>
      <c r="E47" s="259"/>
      <c r="F47" s="263"/>
      <c r="G47" s="259"/>
      <c r="H47" s="260"/>
      <c r="I47" s="268"/>
      <c r="J47" s="262">
        <v>3</v>
      </c>
      <c r="K47" s="263" t="s">
        <v>138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204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139</v>
      </c>
      <c r="D48" s="259"/>
      <c r="E48" s="259"/>
      <c r="F48" s="263"/>
      <c r="G48" s="259"/>
      <c r="H48" s="260"/>
      <c r="I48" s="268"/>
      <c r="J48" s="262">
        <v>4</v>
      </c>
      <c r="K48" s="263" t="s">
        <v>140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141</v>
      </c>
      <c r="AD48" s="273"/>
      <c r="AE48" s="274" t="s">
        <v>142</v>
      </c>
      <c r="AF48" s="275">
        <f>SUM(AF22:AF47)</f>
        <v>5.4374070000000003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141</v>
      </c>
      <c r="AT48" s="273"/>
      <c r="AU48" s="274" t="s">
        <v>142</v>
      </c>
      <c r="AV48" s="275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205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143</v>
      </c>
      <c r="D49" s="259"/>
      <c r="E49" s="259"/>
      <c r="F49" s="263"/>
      <c r="G49" s="259"/>
      <c r="H49" s="260"/>
      <c r="I49" s="268"/>
      <c r="J49" s="262">
        <v>5</v>
      </c>
      <c r="K49" s="263" t="s">
        <v>144</v>
      </c>
      <c r="L49" s="259"/>
      <c r="M49" s="259"/>
      <c r="N49" s="264"/>
      <c r="O49" s="265"/>
      <c r="P49" s="266"/>
      <c r="Q49" s="4"/>
      <c r="R49" s="276" t="s">
        <v>145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146</v>
      </c>
      <c r="AE49" s="280" t="s">
        <v>147</v>
      </c>
      <c r="AF49" s="281">
        <f>AF48*0.986</f>
        <v>5.3612833020000004</v>
      </c>
      <c r="AG49" s="4"/>
      <c r="AH49" s="276" t="s">
        <v>145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146</v>
      </c>
      <c r="AU49" s="280" t="s">
        <v>147</v>
      </c>
      <c r="AV49" s="281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148</v>
      </c>
      <c r="D50" s="259"/>
      <c r="E50" s="259"/>
      <c r="F50" s="263"/>
      <c r="G50" s="259"/>
      <c r="H50" s="260"/>
      <c r="I50" s="268"/>
      <c r="J50" s="262">
        <v>6</v>
      </c>
      <c r="K50" s="263" t="s">
        <v>149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150</v>
      </c>
      <c r="AF50" s="281">
        <f>AF48*0.974*0.986</f>
        <v>5.221889936148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150</v>
      </c>
      <c r="AV50" s="281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82"/>
      <c r="BV50" s="172"/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151</v>
      </c>
      <c r="D51" s="259"/>
      <c r="E51" s="259"/>
      <c r="F51" s="263"/>
      <c r="G51" s="259"/>
      <c r="H51" s="260"/>
      <c r="I51" s="268"/>
      <c r="J51" s="262">
        <v>7</v>
      </c>
      <c r="K51" s="263" t="s">
        <v>152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153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154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157</v>
      </c>
      <c r="C55" s="268"/>
      <c r="D55" s="268"/>
      <c r="E55" s="268"/>
      <c r="F55" s="268"/>
      <c r="G55" s="268"/>
      <c r="H55" s="268"/>
      <c r="I55" s="268"/>
      <c r="J55" s="301" t="s">
        <v>158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159</v>
      </c>
      <c r="K56" s="306"/>
      <c r="L56" s="306"/>
      <c r="M56" s="306"/>
      <c r="N56" s="307"/>
      <c r="O56" s="308" t="s">
        <v>160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183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9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162</v>
      </c>
      <c r="BM61" s="4"/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162</v>
      </c>
    </row>
    <row r="62" spans="2:120" x14ac:dyDescent="0.25">
      <c r="BM62" s="4"/>
    </row>
    <row r="63" spans="2:120" x14ac:dyDescent="0.25">
      <c r="BD63" s="323"/>
      <c r="BM63" s="4"/>
      <c r="BT63" s="323"/>
    </row>
    <row r="64" spans="2:120" x14ac:dyDescent="0.25">
      <c r="BD64" s="323"/>
      <c r="BM64" s="4"/>
      <c r="BT64" s="323"/>
    </row>
    <row r="65" spans="56:72" x14ac:dyDescent="0.25">
      <c r="BD65" s="323"/>
      <c r="BM65" s="4"/>
      <c r="BT65" s="323"/>
    </row>
    <row r="66" spans="56:72" x14ac:dyDescent="0.25">
      <c r="BM66" s="4"/>
    </row>
    <row r="67" spans="56:72" x14ac:dyDescent="0.25">
      <c r="BM67" s="4"/>
    </row>
    <row r="68" spans="56:72" x14ac:dyDescent="0.25">
      <c r="BM68" s="4"/>
    </row>
    <row r="69" spans="56:72" x14ac:dyDescent="0.25">
      <c r="BM69" s="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FIX_CAR-KD_FIX</vt:lpstr>
      <vt:lpstr>'FIX_CAR-KD_FIX'!A.</vt:lpstr>
      <vt:lpstr>'FIX_CAR-KD_FIX'!C.</vt:lpstr>
      <vt:lpstr>'FIX_CAR-KD_FIX'!F.</vt:lpstr>
      <vt:lpstr>'FIX_CAR-KD_FIX'!GCS</vt:lpstr>
      <vt:lpstr>'FIX_CAR-KD_FIX'!GTH</vt:lpstr>
      <vt:lpstr>'FIX_CAR-KD_FIX'!H</vt:lpstr>
      <vt:lpstr>'FIX_CAR-KD_FIX'!h.1</vt:lpstr>
      <vt:lpstr>'FIX_CAR-KD_FIX'!h.10</vt:lpstr>
      <vt:lpstr>'FIX_CAR-KD_FIX'!h.2</vt:lpstr>
      <vt:lpstr>'FIX_CAR-KD_FIX'!h.3</vt:lpstr>
      <vt:lpstr>'FIX_CAR-KD_FIX'!h.4</vt:lpstr>
      <vt:lpstr>'FIX_CAR-KD_FIX'!h.5</vt:lpstr>
      <vt:lpstr>'FIX_CAR-KD_FIX'!h.6</vt:lpstr>
      <vt:lpstr>'FIX_CAR-KD_FIX'!h.7</vt:lpstr>
      <vt:lpstr>'FIX_CAR-KD_FIX'!h.8</vt:lpstr>
      <vt:lpstr>'FIX_CAR-KD_FIX'!h.9</vt:lpstr>
      <vt:lpstr>'FIX_CAR-KD_FIX'!HS</vt:lpstr>
      <vt:lpstr>'FIX_CAR-KD_FIX'!HS.1</vt:lpstr>
      <vt:lpstr>'FIX_CAR-KD_FIX'!HS.2</vt:lpstr>
      <vt:lpstr>'FIX_CAR-KD_FIX'!HS.3</vt:lpstr>
      <vt:lpstr>'FIX_CAR-KD_FIX'!HS.4</vt:lpstr>
      <vt:lpstr>'FIX_CAR-KD_FIX'!HS.5</vt:lpstr>
      <vt:lpstr>'FIX_CAR-KD_FIX'!Print_Area</vt:lpstr>
      <vt:lpstr>'FIX_CAR-KD_FIX'!Q</vt:lpstr>
      <vt:lpstr>'FIX_CAR-KD_FIX'!R.</vt:lpstr>
      <vt:lpstr>'FIX_CAR-KD_FIX'!W</vt:lpstr>
      <vt:lpstr>'FIX_CAR-KD_FIX'!w.1</vt:lpstr>
      <vt:lpstr>'FIX_CAR-KD_FIX'!w.10</vt:lpstr>
      <vt:lpstr>'FIX_CAR-KD_FIX'!w.2</vt:lpstr>
      <vt:lpstr>'FIX_CAR-KD_FIX'!w.3</vt:lpstr>
      <vt:lpstr>'FIX_CAR-KD_FIX'!w.4</vt:lpstr>
      <vt:lpstr>'FIX_CAR-KD_FIX'!w.5</vt:lpstr>
      <vt:lpstr>'FIX_CAR-KD_FIX'!w.6</vt:lpstr>
      <vt:lpstr>'FIX_CAR-KD_FIX'!w.7</vt:lpstr>
      <vt:lpstr>'FIX_CAR-KD_FIX'!w.8</vt:lpstr>
      <vt:lpstr>'FIX_CAR-KD_FIX'!w.9</vt:lpstr>
      <vt:lpstr>'FIX_CAR-KD_FIX'!WS</vt:lpstr>
      <vt:lpstr>'FIX_CAR-KD_FIX'!WS.1</vt:lpstr>
      <vt:lpstr>'FIX_CAR-KD_FIX'!WS.2</vt:lpstr>
      <vt:lpstr>'FIX_CAR-KD_FIX'!WS.3</vt:lpstr>
      <vt:lpstr>'FIX_CAR-KD_FIX'!WS.4</vt:lpstr>
      <vt:lpstr>'FIX_CAR-KD_FIX'!WS.5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2024-07-29T09:38:53Z</dcterms:created>
  <dcterms:modified xsi:type="dcterms:W3CDTF">2024-08-12T09:27:24Z</dcterms:modified>
</cp:coreProperties>
</file>