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EE98C46F-2AE0-4AD9-83CD-BFB22D806AE0}" xr6:coauthVersionLast="47" xr6:coauthVersionMax="47" xr10:uidLastSave="{00000000-0000-0000-0000-000000000000}"/>
  <bookViews>
    <workbookView xWindow="-108" yWindow="-108" windowWidth="23256" windowHeight="12456" xr2:uid="{FBC07BAA-2EEB-4E90-B0AF-6939E44076DE}"/>
  </bookViews>
  <sheets>
    <sheet name="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'TH-KD_FIX'!$P$18</definedName>
    <definedName name="BD">"BD"</definedName>
    <definedName name="C." localSheetId="0">'TH-KD_FIX'!$P$17</definedName>
    <definedName name="F." localSheetId="0">'TH-KD_FIX'!$P$16</definedName>
    <definedName name="GCS" localSheetId="0">'TH-KD_FIX'!$O$12</definedName>
    <definedName name="GTH" localSheetId="0">'TH-KD_FIX'!$O$11</definedName>
    <definedName name="H" localSheetId="0">'TH-KD_FIX'!$E$12</definedName>
    <definedName name="h.1" localSheetId="0">'TH-KD_FIX'!$C$14</definedName>
    <definedName name="h.10" localSheetId="0">'TH-KD_FIX'!$E$18</definedName>
    <definedName name="h.2" localSheetId="0">'TH-KD_FIX'!$C$15</definedName>
    <definedName name="h.3" localSheetId="0">'TH-KD_FIX'!$C$16</definedName>
    <definedName name="h.4" localSheetId="0">'TH-KD_FIX'!$C$17</definedName>
    <definedName name="h.5" localSheetId="0">'TH-KD_FIX'!$C$18</definedName>
    <definedName name="h.6" localSheetId="0">'TH-KD_FIX'!$E$14</definedName>
    <definedName name="h.7" localSheetId="0">'TH-KD_FIX'!$E$15</definedName>
    <definedName name="h.8" localSheetId="0">'TH-KD_FIX'!$E$16</definedName>
    <definedName name="h.9" localSheetId="0">'TH-KD_FIX'!$E$17</definedName>
    <definedName name="HS" localSheetId="0">'TH-KD_FIX'!$H$12</definedName>
    <definedName name="HS.1" localSheetId="0">'TH-KD_FIX'!$L$14</definedName>
    <definedName name="HS.2" localSheetId="0">'TH-KD_FIX'!$L$15</definedName>
    <definedName name="HS.3" localSheetId="0">'TH-KD_FIX'!$L$16</definedName>
    <definedName name="HS.4" localSheetId="0">'TH-KD_FIX'!$L$17</definedName>
    <definedName name="HS.5" localSheetId="0">'TH-KD_FIX'!$L$18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'TH-KD_FIX'!$1:$61</definedName>
    <definedName name="Q" localSheetId="0">'TH-KD_FIX'!$I$11</definedName>
    <definedName name="R." localSheetId="0">'TH-KD_FIX'!$C$62</definedName>
    <definedName name="st" hidden="1">[6]Gra_Ord_In_2000!$BA$12:$BA$1655</definedName>
    <definedName name="W" localSheetId="0">'TH-KD_FIX'!$E$11</definedName>
    <definedName name="w.1" localSheetId="0">'TH-KD_FIX'!$H$14</definedName>
    <definedName name="w.10" localSheetId="0">'TH-KD_FIX'!$J$18</definedName>
    <definedName name="w.2" localSheetId="0">'TH-KD_FIX'!$H$15</definedName>
    <definedName name="w.3" localSheetId="0">'TH-KD_FIX'!$H$16</definedName>
    <definedName name="w.4" localSheetId="0">'TH-KD_FIX'!$H$17</definedName>
    <definedName name="w.5" localSheetId="0">'TH-KD_FIX'!$H$18</definedName>
    <definedName name="w.6" localSheetId="0">'TH-KD_FIX'!$J$14</definedName>
    <definedName name="w.7" localSheetId="0">'TH-KD_FIX'!$J$15</definedName>
    <definedName name="w.8" localSheetId="0">'TH-KD_FIX'!$J$16</definedName>
    <definedName name="w.9" localSheetId="0">'TH-KD_FIX'!$J$17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'TH-KD_FIX'!$L$12</definedName>
    <definedName name="WS.1" localSheetId="0">'TH-KD_FIX'!$N$14</definedName>
    <definedName name="WS.2" localSheetId="0">'TH-KD_FIX'!$N$15</definedName>
    <definedName name="WS.3" localSheetId="0">'TH-KD_FIX'!$N$16</definedName>
    <definedName name="WS.4" localSheetId="0">'TH-KD_FIX'!$N$17</definedName>
    <definedName name="WS.5" localSheetId="0">'TH-KD_FIX'!$N$18</definedName>
    <definedName name="Z_8BD11290_77B3_4D27_9040_BB9D2A7264B2_.wvu.PrintArea" localSheetId="0" hidden="1">'TH-KD_FIX'!$1:$61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3" i="1" l="1"/>
  <c r="BQ34" i="1" l="1"/>
  <c r="BU24" i="1"/>
  <c r="BU25" i="1"/>
  <c r="BU26" i="1"/>
  <c r="BU34" i="1"/>
  <c r="BF60" i="1"/>
  <c r="BD60" i="1"/>
  <c r="AX60" i="1"/>
  <c r="BE37" i="1"/>
  <c r="BE36" i="1"/>
  <c r="BE35" i="1"/>
  <c r="BE34" i="1"/>
  <c r="BE29" i="1"/>
  <c r="BE28" i="1"/>
  <c r="BE27" i="1"/>
  <c r="BA29" i="1"/>
  <c r="BA22" i="1"/>
  <c r="X29" i="1"/>
  <c r="X28" i="1"/>
  <c r="AN27" i="1"/>
  <c r="AN25" i="1"/>
  <c r="AN24" i="1"/>
  <c r="BF36" i="1" l="1"/>
  <c r="BF29" i="1"/>
  <c r="BF28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AF29" i="1" s="1"/>
  <c r="Z29" i="1"/>
  <c r="V29" i="1"/>
  <c r="BV28" i="1"/>
  <c r="AV28" i="1"/>
  <c r="AU28" i="1"/>
  <c r="AP28" i="1"/>
  <c r="AL28" i="1"/>
  <c r="AE28" i="1"/>
  <c r="Z28" i="1"/>
  <c r="V28" i="1"/>
  <c r="BV27" i="1"/>
  <c r="BF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AF26" i="1" s="1"/>
  <c r="Z26" i="1"/>
  <c r="X26" i="1"/>
  <c r="V26" i="1"/>
  <c r="BF25" i="1"/>
  <c r="AU25" i="1"/>
  <c r="AS25" i="1"/>
  <c r="AP25" i="1"/>
  <c r="AL25" i="1"/>
  <c r="AE25" i="1"/>
  <c r="AF25" i="1" s="1"/>
  <c r="Z25" i="1"/>
  <c r="X25" i="1"/>
  <c r="V25" i="1"/>
  <c r="BV24" i="1"/>
  <c r="BF24" i="1"/>
  <c r="AU24" i="1"/>
  <c r="AS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V25" i="1" l="1"/>
  <c r="AF28" i="1"/>
  <c r="AF48" i="1" s="1"/>
  <c r="CA4" i="1"/>
  <c r="AE4" i="1"/>
  <c r="AU4" i="1"/>
  <c r="AV24" i="1"/>
  <c r="AT11" i="1"/>
  <c r="U3" i="1"/>
  <c r="BJ12" i="1"/>
  <c r="BJ14" i="1"/>
  <c r="BV26" i="1"/>
  <c r="AV27" i="1"/>
  <c r="AA10" i="1"/>
  <c r="BJ11" i="1"/>
  <c r="AR14" i="1"/>
  <c r="AT14" i="1"/>
  <c r="S15" i="1"/>
  <c r="BF37" i="1"/>
  <c r="BV32" i="1"/>
  <c r="BV25" i="1"/>
  <c r="AN26" i="1"/>
  <c r="AV26" i="1" s="1"/>
  <c r="AK3" i="1"/>
  <c r="BZ11" i="1"/>
  <c r="BX14" i="1"/>
  <c r="AN22" i="1"/>
  <c r="AV22" i="1" s="1"/>
  <c r="BA3" i="1"/>
  <c r="BH14" i="1"/>
  <c r="AN23" i="1"/>
  <c r="AV23" i="1" s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3EA196C-5C2F-4FD6-A554-3465AA745E1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A8DFF31-0B24-4C2D-8C15-680DC2B0419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3CE3646-2410-4D70-9684-B50718249FA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<sst xmlns="http://schemas.openxmlformats.org/spreadsheetml/2006/main" count="552" uniqueCount="197">
  <si>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</si>
  <si>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</si>
  <si>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</si>
  <si>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</si>
  <si>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</si>
  <si>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</si>
  <si>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</si>
  <si>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</si>
  <si>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</si>
  <si>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</si>
  <si>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</si>
  <si>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</si>
  <si>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</si>
  <si>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</si>
  <si>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</si>
  <si>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FIX M</t>
  </si>
  <si>
    <t>Delivery Date</t>
  </si>
  <si>
    <t>Elevation Code</t>
  </si>
  <si>
    <t>52T/F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</si>
  <si>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</si>
  <si>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</si>
  <si>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</si>
  <si>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U9S-61015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</si>
  <si>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</si>
  <si>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</si>
  <si>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</si>
  <si>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</si>
  <si>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</si>
  <si>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</si>
  <si>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</si>
  <si>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</si>
  <si>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</si>
  <si>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</si>
  <si>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</si>
  <si>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</si>
  <si>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</si>
  <si>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</si>
  <si>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</si>
  <si>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</si>
  <si>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</si>
  <si>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</si>
  <si>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</si>
  <si>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</si>
  <si>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</si>
  <si>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</si>
  <si>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</si>
  <si>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</si>
  <si>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</si>
  <si>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</si>
  <si>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</si>
  <si>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</si>
  <si>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</si>
  <si>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</si>
  <si>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</si>
  <si>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</si>
  <si>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</si>
  <si>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</si>
  <si>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</si>
  <si>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</si>
  <si>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</si>
  <si>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</si>
  <si>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</si>
  <si>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</si>
  <si>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</si>
  <si>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</si>
  <si>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</si>
  <si>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</si>
  <si>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</si>
  <si>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</si>
  <si>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</si>
  <si>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</si>
  <si>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</si>
  <si>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</si>
  <si>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</si>
  <si>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</si>
  <si>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</si>
  <si>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</si>
  <si>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</si>
  <si>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</si>
  <si>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</si>
  <si>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</si>
  <si>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</si>
  <si>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</si>
  <si>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</si>
  <si>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</si>
  <si>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</si>
  <si>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</si>
  <si>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</si>
  <si>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</si>
  <si>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</si>
  <si>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</si>
  <si>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9K-87138</t>
  </si>
  <si>
    <t>9K-20754</t>
  </si>
  <si>
    <t>9K-20669</t>
  </si>
  <si>
    <t>JAMB(L)</t>
  </si>
  <si>
    <t>9K-87104</t>
  </si>
  <si>
    <t>STILE(R)</t>
  </si>
  <si>
    <t>2K-29158</t>
  </si>
  <si>
    <t>M</t>
  </si>
  <si>
    <t>2K-22277</t>
  </si>
  <si>
    <t>JAMB(R)</t>
  </si>
  <si>
    <t>BEADING</t>
  </si>
  <si>
    <t>9K-86115</t>
  </si>
  <si>
    <t>2K-29161</t>
  </si>
  <si>
    <t>GLASS BEAD</t>
  </si>
  <si>
    <t>9K-87119</t>
  </si>
  <si>
    <t>9K-20856</t>
  </si>
  <si>
    <t>9K-30250</t>
  </si>
  <si>
    <t>GLASS BEAD(L)</t>
  </si>
  <si>
    <t>9K-20849</t>
  </si>
  <si>
    <t>EM-4016</t>
  </si>
  <si>
    <t>FOR HANDLE</t>
  </si>
  <si>
    <t>GLASS BEAD(R)</t>
  </si>
  <si>
    <t>EM-4010</t>
  </si>
  <si>
    <t>FOR TRANSMISSION ROD</t>
  </si>
  <si>
    <t>EF-4008D7-SA</t>
  </si>
  <si>
    <t>FOR STAY</t>
  </si>
  <si>
    <t>S</t>
  </si>
  <si>
    <t>EM-4008D8-SA</t>
  </si>
  <si>
    <t>BM-4025G</t>
  </si>
  <si>
    <t>EF-4006D6</t>
  </si>
  <si>
    <t>EF-4008D7</t>
  </si>
  <si>
    <t>9K-11113</t>
  </si>
  <si>
    <t>FOR ASS</t>
  </si>
  <si>
    <t>EM-4012</t>
  </si>
  <si>
    <t>FOR ARMSTOPPER</t>
  </si>
  <si>
    <t>9K-10840</t>
  </si>
  <si>
    <t>9K-30171</t>
  </si>
  <si>
    <t>9K-11141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</si>
  <si>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</si>
  <si>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</si>
  <si>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</si>
  <si>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</si>
  <si>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</si>
  <si>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</si>
  <si>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</si>
  <si>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</si>
  <si>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</si>
  <si>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</si>
  <si>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</si>
  <si>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</si>
  <si>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</si>
  <si>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</si>
  <si>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</si>
  <si>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</si>
  <si>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</si>
  <si>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</si>
  <si>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</si>
  <si>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</si>
  <si>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</si>
  <si>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</si>
  <si>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</si>
  <si>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</si>
  <si>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</si>
  <si>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</si>
  <si>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</si>
  <si>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</si>
  <si>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</si>
  <si>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</si>
  <si>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</si>
  <si>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</si>
  <si>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</si>
  <si>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</si>
  <si>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</si>
  <si>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</si>
  <si>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</si>
  <si>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</si>
  <si>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</si>
  <si>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</si>
  <si>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</si>
  <si>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</si>
  <si>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</si>
  <si>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BACKPLATE</t>
  </si>
  <si>
    <t>LOCK KEEPER</t>
  </si>
  <si>
    <t>AT MATERIAL</t>
  </si>
  <si>
    <t>SETTING BLOCK</t>
  </si>
  <si>
    <t>SEALER PAD</t>
  </si>
  <si>
    <t>9K-30241</t>
  </si>
  <si>
    <t>YS</t>
  </si>
  <si>
    <t>YW</t>
  </si>
  <si>
    <t>YK</t>
  </si>
  <si>
    <t>FOR LOCK KEEPER</t>
  </si>
  <si>
    <t>FOR GLASS BEAD</t>
  </si>
  <si>
    <t>FOR HEAD, FOR JAMB</t>
  </si>
  <si>
    <t>FOR INSIDE</t>
  </si>
  <si>
    <t>FOR BACKPLATE</t>
  </si>
  <si>
    <t>FOR OUTSIDE</t>
  </si>
  <si>
    <t>HANDLE</t>
  </si>
  <si>
    <t>TRANSMISSION ROD</t>
  </si>
  <si>
    <t>WEATHER STRIP</t>
  </si>
  <si>
    <t>HANDLE CAP</t>
  </si>
  <si>
    <t>ARMSTOPPER</t>
  </si>
  <si>
    <t>Y</t>
  </si>
  <si>
    <t>9K-87103</t>
  </si>
  <si>
    <t>9K-87131</t>
  </si>
  <si>
    <t>9K-20850</t>
  </si>
  <si>
    <t>FOR JUMB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</si>
</sst>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54C9E523-4EF9-42E8-918A-879B101E2644}"/>
    <cellStyle name="Normal" xfId="0" builtinId="0"/>
    <cellStyle name="Normal 2" xfId="1" xr:uid="{6E1F5F27-A46C-4AB2-832F-A82B2FFC83CA}"/>
    <cellStyle name="Normal 5" xfId="3" xr:uid="{3954679A-F11E-4F08-AFAE-83CBE7E0E342}"/>
    <cellStyle name="Normal_COBA 2" xfId="4" xr:uid="{0E721B1E-BF24-4419-8131-6B8559CA4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E02181-B1AD-4E61-8DF9-ACD0542BF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9F6576B-E83A-46D6-BC5A-ECF0A280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0837D7C-2CD7-492D-B8E8-667A08AE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E766AFA-E426-43A0-95F8-CFC5351B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7C87FC8-FABA-4B19-A1E5-CD88C1F9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F3A6126-5B48-4727-B993-361E5D786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9EB69BD-76CC-46C1-B4D4-989A2D93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1</xdr:rowOff>
    </xdr:from>
    <xdr:to>
      <xdr:col>12</xdr:col>
      <xdr:colOff>446185</xdr:colOff>
      <xdr:row>36</xdr:row>
      <xdr:rowOff>79772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BB65597-E66C-4980-AA9B-8F64DEE98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1"/>
          <a:ext cx="2930305" cy="312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E8C9-FDA7-444B-B28C-F87E3AA048EA}">
  <sheetPr codeName="Sheet511">
    <tabColor indexed="14"/>
    <pageSetUpPr fitToPage="1"/>
  </sheetPr>
  <dimension ref="B1:DP65"/>
  <sheetViews>
    <sheetView showGridLines="0" tabSelected="1" topLeftCell="AG8" zoomScale="70" zoomScaleNormal="70" zoomScaleSheetLayoutView="70" workbookViewId="0">
      <selection activeCell="BQ26" sqref="BQ26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45519.697495023145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45519.697495023145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45519.697495023145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45519.697495023145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45519.697495023145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FIX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FIX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FIX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FIX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52T/F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U9S-61015</v>
      </c>
      <c r="AF9" s="60"/>
      <c r="AG9" s="3"/>
      <c r="AH9" s="53" t="s">
        <v>20</v>
      </c>
      <c r="AI9" s="36"/>
      <c r="AJ9" s="37"/>
      <c r="AK9" s="54" t="str">
        <f>IF($E$9&gt;0,$E$9,"")</f>
        <v>52T/F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U9S-61015</v>
      </c>
      <c r="AV9" s="60"/>
      <c r="AW9" s="3"/>
      <c r="AX9" s="53" t="s">
        <v>20</v>
      </c>
      <c r="AY9" s="36"/>
      <c r="AZ9" s="37"/>
      <c r="BA9" s="54" t="str">
        <f>IF(E9&gt;0,E9,"")</f>
        <v>52T/F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U9S-61015</v>
      </c>
      <c r="BL9" s="60"/>
      <c r="BM9" s="3"/>
      <c r="BN9" s="53" t="s">
        <v>20</v>
      </c>
      <c r="BO9" s="36"/>
      <c r="BP9" s="37"/>
      <c r="BQ9" s="54" t="str">
        <f>IF(U9&gt;0,U9,"")</f>
        <v>52T/F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U9S-61015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52T/F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1200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1190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1200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1190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1200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1190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1200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1190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1200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1190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740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740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740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740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740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166</v>
      </c>
      <c r="AY22" s="199"/>
      <c r="AZ22" s="200"/>
      <c r="BA22" s="204" t="str">
        <f>IF(h.1&lt;=560,"4K-14211",IF(h.1&lt;=860,"4K-14212",IF(h.1&lt;=1060,"4K-14214","4K-14216")))</f>
        <v>4K-14216</v>
      </c>
      <c r="BB22" s="168"/>
      <c r="BC22" s="180"/>
      <c r="BD22" s="181" t="s">
        <v>178</v>
      </c>
      <c r="BE22" s="171">
        <v>2</v>
      </c>
      <c r="BF22" s="172">
        <f t="shared" ref="BF22:BF42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187</v>
      </c>
      <c r="BO22" s="199"/>
      <c r="BP22" s="200"/>
      <c r="BQ22" s="204" t="s">
        <v>85</v>
      </c>
      <c r="BR22" s="168"/>
      <c r="BS22" s="180"/>
      <c r="BT22" s="181" t="s">
        <v>180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193</v>
      </c>
      <c r="V23" s="168" t="str">
        <f t="shared" si="0"/>
        <v>-</v>
      </c>
      <c r="W23" s="201">
        <v>4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168</v>
      </c>
      <c r="AY23" s="199"/>
      <c r="AZ23" s="200"/>
      <c r="BA23" s="167" t="s">
        <v>119</v>
      </c>
      <c r="BB23" s="168"/>
      <c r="BC23" s="180"/>
      <c r="BD23" s="181" t="s">
        <v>178</v>
      </c>
      <c r="BE23" s="171">
        <v>12</v>
      </c>
      <c r="BF23" s="172">
        <f t="shared" si="7"/>
        <v>12</v>
      </c>
      <c r="BG23" s="183"/>
      <c r="BH23" s="184" t="s">
        <v>123</v>
      </c>
      <c r="BI23" s="185"/>
      <c r="BJ23" s="186"/>
      <c r="BK23" s="205"/>
      <c r="BL23" s="188" t="s">
        <v>117</v>
      </c>
      <c r="BM23" s="4"/>
      <c r="BN23" s="198" t="s">
        <v>188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178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194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HS.1-10</f>
        <v>1180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4K-14216</v>
      </c>
      <c r="AT24" s="176"/>
      <c r="AU24" s="177">
        <f t="shared" si="5"/>
        <v>0.47799999999999998</v>
      </c>
      <c r="AV24" s="178">
        <f t="shared" si="6"/>
        <v>0.56403999999999999</v>
      </c>
      <c r="AW24" s="4"/>
      <c r="AX24" s="198" t="s">
        <v>168</v>
      </c>
      <c r="AY24" s="199"/>
      <c r="AZ24" s="200"/>
      <c r="BA24" s="167" t="s">
        <v>118</v>
      </c>
      <c r="BB24" s="168"/>
      <c r="BC24" s="180"/>
      <c r="BD24" s="181" t="s">
        <v>178</v>
      </c>
      <c r="BE24" s="171">
        <v>8</v>
      </c>
      <c r="BF24" s="172">
        <f t="shared" si="7"/>
        <v>8</v>
      </c>
      <c r="BG24" s="183"/>
      <c r="BH24" s="184" t="s">
        <v>116</v>
      </c>
      <c r="BI24" s="185"/>
      <c r="BJ24" s="186"/>
      <c r="BK24" s="187"/>
      <c r="BL24" s="188"/>
      <c r="BM24" s="4"/>
      <c r="BN24" s="198" t="s">
        <v>175</v>
      </c>
      <c r="BO24" s="199"/>
      <c r="BP24" s="200"/>
      <c r="BQ24" s="167" t="s">
        <v>93</v>
      </c>
      <c r="BR24" s="168"/>
      <c r="BS24" s="180"/>
      <c r="BT24" s="181" t="s">
        <v>180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95</v>
      </c>
      <c r="V25" s="168" t="str">
        <f t="shared" si="0"/>
        <v>-</v>
      </c>
      <c r="W25" s="201">
        <v>37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HS.1-10</f>
        <v>1180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4K-14216</v>
      </c>
      <c r="AT25" s="176"/>
      <c r="AU25" s="177">
        <f t="shared" si="5"/>
        <v>0.47799999999999998</v>
      </c>
      <c r="AV25" s="178">
        <f t="shared" si="6"/>
        <v>0.56403999999999999</v>
      </c>
      <c r="AW25" s="4"/>
      <c r="AX25" s="198" t="s">
        <v>168</v>
      </c>
      <c r="AY25" s="199"/>
      <c r="AZ25" s="200"/>
      <c r="BA25" s="167" t="s">
        <v>121</v>
      </c>
      <c r="BB25" s="168"/>
      <c r="BC25" s="180"/>
      <c r="BD25" s="181" t="s">
        <v>178</v>
      </c>
      <c r="BE25" s="171">
        <v>4</v>
      </c>
      <c r="BF25" s="172">
        <f t="shared" si="7"/>
        <v>4</v>
      </c>
      <c r="BG25" s="183"/>
      <c r="BH25" s="184" t="s">
        <v>181</v>
      </c>
      <c r="BI25" s="185"/>
      <c r="BJ25" s="186"/>
      <c r="BK25" s="187"/>
      <c r="BL25" s="188" t="s">
        <v>7</v>
      </c>
      <c r="BM25" s="4"/>
      <c r="BN25" s="198" t="s">
        <v>189</v>
      </c>
      <c r="BO25" s="199"/>
      <c r="BP25" s="200"/>
      <c r="BQ25" s="167" t="s">
        <v>103</v>
      </c>
      <c r="BR25" s="168"/>
      <c r="BS25" s="180"/>
      <c r="BT25" s="181" t="s">
        <v>180</v>
      </c>
      <c r="BU25" s="171">
        <f>(HS.1*2)/1000</f>
        <v>2.38</v>
      </c>
      <c r="BV25" s="172">
        <f t="shared" si="8"/>
        <v>2.38</v>
      </c>
      <c r="BW25" s="183" t="s">
        <v>98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100</v>
      </c>
      <c r="S26" s="199"/>
      <c r="T26" s="200"/>
      <c r="U26" s="167" t="s">
        <v>95</v>
      </c>
      <c r="V26" s="168" t="str">
        <f t="shared" si="0"/>
        <v>-</v>
      </c>
      <c r="W26" s="201">
        <v>38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168</v>
      </c>
      <c r="AY26" s="199"/>
      <c r="AZ26" s="200"/>
      <c r="BA26" s="167" t="s">
        <v>120</v>
      </c>
      <c r="BB26" s="168"/>
      <c r="BC26" s="180"/>
      <c r="BD26" s="181" t="s">
        <v>178</v>
      </c>
      <c r="BE26" s="171">
        <v>2</v>
      </c>
      <c r="BF26" s="172">
        <f t="shared" si="7"/>
        <v>2</v>
      </c>
      <c r="BG26" s="183"/>
      <c r="BH26" s="184" t="s">
        <v>182</v>
      </c>
      <c r="BI26" s="185"/>
      <c r="BJ26" s="186"/>
      <c r="BK26" s="187"/>
      <c r="BL26" s="188" t="s">
        <v>7</v>
      </c>
      <c r="BM26" s="4"/>
      <c r="BN26" s="198" t="s">
        <v>171</v>
      </c>
      <c r="BO26" s="199"/>
      <c r="BP26" s="200"/>
      <c r="BQ26" s="167" t="s">
        <v>99</v>
      </c>
      <c r="BR26" s="168"/>
      <c r="BS26" s="180"/>
      <c r="BT26" s="181" t="s">
        <v>180</v>
      </c>
      <c r="BU26" s="171">
        <f>(((WS.1-44)+(HS.1-84))*2)/1000</f>
        <v>4.0199999999999996</v>
      </c>
      <c r="BV26" s="172">
        <f t="shared" si="8"/>
        <v>4.0199999999999996</v>
      </c>
      <c r="BW26" s="183" t="s">
        <v>98</v>
      </c>
      <c r="BX26" s="184" t="s">
        <v>186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HS.1-94</f>
        <v>1096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0.21043200000000001</v>
      </c>
      <c r="AW27" s="4"/>
      <c r="AX27" s="198" t="s">
        <v>169</v>
      </c>
      <c r="AY27" s="199"/>
      <c r="AZ27" s="200"/>
      <c r="BA27" s="167" t="s">
        <v>126</v>
      </c>
      <c r="BB27" s="168"/>
      <c r="BC27" s="180"/>
      <c r="BD27" s="181" t="s">
        <v>178</v>
      </c>
      <c r="BE27" s="171">
        <f>IF(W&lt;=1000,1,3)</f>
        <v>1</v>
      </c>
      <c r="BF27" s="172">
        <f t="shared" si="7"/>
        <v>1</v>
      </c>
      <c r="BG27" s="212"/>
      <c r="BH27" s="184"/>
      <c r="BI27" s="185"/>
      <c r="BJ27" s="186"/>
      <c r="BK27" s="187"/>
      <c r="BL27" s="188" t="s">
        <v>117</v>
      </c>
      <c r="BM27" s="4"/>
      <c r="BN27" s="198" t="s">
        <v>190</v>
      </c>
      <c r="BO27" s="199"/>
      <c r="BP27" s="200"/>
      <c r="BQ27" s="167" t="s">
        <v>107</v>
      </c>
      <c r="BR27" s="168"/>
      <c r="BS27" s="180"/>
      <c r="BT27" s="181" t="s">
        <v>192</v>
      </c>
      <c r="BU27" s="171">
        <v>1</v>
      </c>
      <c r="BV27" s="172">
        <f t="shared" si="8"/>
        <v>1</v>
      </c>
      <c r="BW27" s="212"/>
      <c r="BX27" s="184" t="s">
        <v>111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h.2-36</f>
        <v>704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9.7856000000000012E-2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170</v>
      </c>
      <c r="AY28" s="199"/>
      <c r="AZ28" s="200"/>
      <c r="BA28" s="167" t="s">
        <v>127</v>
      </c>
      <c r="BB28" s="168"/>
      <c r="BC28" s="180"/>
      <c r="BD28" s="181" t="s">
        <v>179</v>
      </c>
      <c r="BE28" s="171">
        <f>IF(h.1&lt;=560,4,IF(h.1&lt;=860,6,IF(h.1&lt;=1560,8,10)))</f>
        <v>8</v>
      </c>
      <c r="BF28" s="172">
        <f t="shared" si="7"/>
        <v>8</v>
      </c>
      <c r="BG28" s="183"/>
      <c r="BH28" s="184" t="s">
        <v>183</v>
      </c>
      <c r="BI28" s="185"/>
      <c r="BJ28" s="186"/>
      <c r="BK28" s="187"/>
      <c r="BL28" s="188" t="s">
        <v>117</v>
      </c>
      <c r="BM28" s="4"/>
      <c r="BN28" s="198" t="s">
        <v>168</v>
      </c>
      <c r="BO28" s="199"/>
      <c r="BP28" s="200"/>
      <c r="BQ28" s="167" t="s">
        <v>119</v>
      </c>
      <c r="BR28" s="168"/>
      <c r="BS28" s="180"/>
      <c r="BT28" s="181" t="s">
        <v>178</v>
      </c>
      <c r="BU28" s="171">
        <v>8</v>
      </c>
      <c r="BV28" s="172">
        <f t="shared" si="8"/>
        <v>8</v>
      </c>
      <c r="BW28" s="183"/>
      <c r="BX28" s="184"/>
      <c r="BY28" s="185"/>
      <c r="BZ28" s="186"/>
      <c r="CA28" s="187"/>
      <c r="CB28" s="188" t="s">
        <v>117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112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h.2-36</f>
        <v>704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9.7856000000000012E-2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171</v>
      </c>
      <c r="AY29" s="199"/>
      <c r="AZ29" s="200"/>
      <c r="BA29" s="167" t="str">
        <f>IF(GTH=5,"9K-20523",IF(GTH=6,"2K-22973",IF(GTH=8,"2K-22975","")))</f>
        <v>9K-20523</v>
      </c>
      <c r="BB29" s="168"/>
      <c r="BC29" s="180"/>
      <c r="BD29" s="181" t="s">
        <v>180</v>
      </c>
      <c r="BE29" s="171">
        <f>((2*W)+(2*h.2)-68)/1000</f>
        <v>3.4119999999999999</v>
      </c>
      <c r="BF29" s="172">
        <f t="shared" si="7"/>
        <v>3.4119999999999999</v>
      </c>
      <c r="BG29" s="183" t="s">
        <v>98</v>
      </c>
      <c r="BH29" s="184" t="s">
        <v>184</v>
      </c>
      <c r="BI29" s="185"/>
      <c r="BJ29" s="186"/>
      <c r="BK29" s="187"/>
      <c r="BL29" s="188" t="s">
        <v>117</v>
      </c>
      <c r="BM29" s="4"/>
      <c r="BN29" s="198" t="s">
        <v>191</v>
      </c>
      <c r="BO29" s="199"/>
      <c r="BP29" s="200"/>
      <c r="BQ29" s="167" t="s">
        <v>122</v>
      </c>
      <c r="BR29" s="168"/>
      <c r="BS29" s="180"/>
      <c r="BT29" s="181" t="s">
        <v>178</v>
      </c>
      <c r="BU29" s="171">
        <v>2</v>
      </c>
      <c r="BV29" s="172">
        <f t="shared" si="8"/>
        <v>2</v>
      </c>
      <c r="BW29" s="183"/>
      <c r="BX29" s="184"/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172</v>
      </c>
      <c r="AY30" s="199"/>
      <c r="AZ30" s="200"/>
      <c r="BA30" s="167" t="s">
        <v>128</v>
      </c>
      <c r="BB30" s="168"/>
      <c r="BC30" s="180"/>
      <c r="BD30" s="181" t="s">
        <v>178</v>
      </c>
      <c r="BE30" s="171">
        <v>2</v>
      </c>
      <c r="BF30" s="172">
        <f t="shared" si="7"/>
        <v>2</v>
      </c>
      <c r="BG30" s="183"/>
      <c r="BH30" s="184" t="s">
        <v>196</v>
      </c>
      <c r="BI30" s="185"/>
      <c r="BJ30" s="186"/>
      <c r="BK30" s="187"/>
      <c r="BL30" s="188"/>
      <c r="BM30" s="4"/>
      <c r="BN30" s="198" t="s">
        <v>168</v>
      </c>
      <c r="BO30" s="199"/>
      <c r="BP30" s="200"/>
      <c r="BQ30" s="167" t="s">
        <v>124</v>
      </c>
      <c r="BR30" s="168"/>
      <c r="BS30" s="180"/>
      <c r="BT30" s="181" t="s">
        <v>178</v>
      </c>
      <c r="BU30" s="171">
        <v>4</v>
      </c>
      <c r="BV30" s="172">
        <f t="shared" si="8"/>
        <v>4</v>
      </c>
      <c r="BW30" s="183"/>
      <c r="BX30" s="184" t="s">
        <v>125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">
        <v>118</v>
      </c>
      <c r="BB31" s="168"/>
      <c r="BC31" s="180"/>
      <c r="BD31" s="181" t="s">
        <v>178</v>
      </c>
      <c r="BE31" s="171">
        <v>2</v>
      </c>
      <c r="BF31" s="172">
        <f t="shared" si="7"/>
        <v>2</v>
      </c>
      <c r="BG31" s="183"/>
      <c r="BH31" s="184" t="s">
        <v>185</v>
      </c>
      <c r="BI31" s="185"/>
      <c r="BJ31" s="186"/>
      <c r="BK31" s="187"/>
      <c r="BL31" s="188"/>
      <c r="BM31" s="4"/>
      <c r="BN31" s="198" t="s">
        <v>168</v>
      </c>
      <c r="BO31" s="199"/>
      <c r="BP31" s="200"/>
      <c r="BQ31" s="167" t="s">
        <v>115</v>
      </c>
      <c r="BR31" s="168"/>
      <c r="BS31" s="180"/>
      <c r="BT31" s="181" t="s">
        <v>178</v>
      </c>
      <c r="BU31" s="171">
        <v>8</v>
      </c>
      <c r="BV31" s="172">
        <f t="shared" si="8"/>
        <v>8</v>
      </c>
      <c r="BW31" s="183"/>
      <c r="BX31" s="184" t="s">
        <v>116</v>
      </c>
      <c r="BY31" s="185"/>
      <c r="BZ31" s="186"/>
      <c r="CA31" s="187"/>
      <c r="CB31" s="188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">
        <v>118</v>
      </c>
      <c r="BB32" s="168"/>
      <c r="BC32" s="180"/>
      <c r="BD32" s="181" t="s">
        <v>178</v>
      </c>
      <c r="BE32" s="171">
        <v>4</v>
      </c>
      <c r="BF32" s="172">
        <f t="shared" si="7"/>
        <v>4</v>
      </c>
      <c r="BG32" s="183"/>
      <c r="BH32" s="184" t="s">
        <v>125</v>
      </c>
      <c r="BI32" s="185"/>
      <c r="BJ32" s="186"/>
      <c r="BK32" s="187"/>
      <c r="BL32" s="188" t="s">
        <v>117</v>
      </c>
      <c r="BM32" s="4"/>
      <c r="BN32" s="198" t="s">
        <v>168</v>
      </c>
      <c r="BO32" s="199"/>
      <c r="BP32" s="200"/>
      <c r="BQ32" s="167" t="s">
        <v>110</v>
      </c>
      <c r="BR32" s="168"/>
      <c r="BS32" s="180"/>
      <c r="BT32" s="181" t="s">
        <v>178</v>
      </c>
      <c r="BU32" s="171">
        <v>2</v>
      </c>
      <c r="BV32" s="172">
        <f t="shared" si="8"/>
        <v>2</v>
      </c>
      <c r="BW32" s="183"/>
      <c r="BX32" s="184" t="s">
        <v>111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173</v>
      </c>
      <c r="AY33" s="199"/>
      <c r="AZ33" s="200"/>
      <c r="BA33" s="167" t="s">
        <v>88</v>
      </c>
      <c r="BB33" s="168"/>
      <c r="BC33" s="180"/>
      <c r="BD33" s="181" t="s">
        <v>178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168</v>
      </c>
      <c r="BO33" s="199"/>
      <c r="BP33" s="200"/>
      <c r="BQ33" s="167" t="s">
        <v>113</v>
      </c>
      <c r="BR33" s="168"/>
      <c r="BS33" s="180"/>
      <c r="BT33" s="181" t="s">
        <v>178</v>
      </c>
      <c r="BU33" s="171">
        <v>4</v>
      </c>
      <c r="BV33" s="172">
        <f t="shared" si="8"/>
        <v>4</v>
      </c>
      <c r="BW33" s="212"/>
      <c r="BX33" s="184" t="s">
        <v>114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174</v>
      </c>
      <c r="AY34" s="199"/>
      <c r="AZ34" s="200"/>
      <c r="BA34" s="167" t="s">
        <v>92</v>
      </c>
      <c r="BB34" s="168"/>
      <c r="BC34" s="180"/>
      <c r="BD34" s="181" t="s">
        <v>180</v>
      </c>
      <c r="BE34" s="171">
        <f>((W-41)+(h.1-36))*2/1000</f>
        <v>4.2460000000000004</v>
      </c>
      <c r="BF34" s="172">
        <f t="shared" si="7"/>
        <v>4.2460000000000004</v>
      </c>
      <c r="BG34" s="212" t="s">
        <v>98</v>
      </c>
      <c r="BH34" s="184"/>
      <c r="BI34" s="185"/>
      <c r="BJ34" s="186"/>
      <c r="BK34" s="187"/>
      <c r="BL34" s="188"/>
      <c r="BM34" s="4"/>
      <c r="BN34" s="198" t="s">
        <v>171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180</v>
      </c>
      <c r="BU34" s="171">
        <f>((2*WS.1)+(2*HS.1)-216)/1000</f>
        <v>4.0599999999999996</v>
      </c>
      <c r="BV34" s="172">
        <f t="shared" si="8"/>
        <v>4.0599999999999996</v>
      </c>
      <c r="BW34" s="212" t="s">
        <v>98</v>
      </c>
      <c r="BX34" s="184" t="s">
        <v>184</v>
      </c>
      <c r="BY34" s="185"/>
      <c r="BZ34" s="186"/>
      <c r="CA34" s="187"/>
      <c r="CB34" s="188" t="s">
        <v>117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174</v>
      </c>
      <c r="AY35" s="199"/>
      <c r="AZ35" s="200"/>
      <c r="BA35" s="167" t="s">
        <v>97</v>
      </c>
      <c r="BB35" s="168"/>
      <c r="BC35" s="180"/>
      <c r="BD35" s="181" t="s">
        <v>180</v>
      </c>
      <c r="BE35" s="171">
        <f>(W-41)/1000</f>
        <v>0.95899999999999996</v>
      </c>
      <c r="BF35" s="172">
        <f t="shared" si="7"/>
        <v>0.95899999999999996</v>
      </c>
      <c r="BG35" s="212" t="s">
        <v>98</v>
      </c>
      <c r="BH35" s="184"/>
      <c r="BI35" s="185"/>
      <c r="BJ35" s="186"/>
      <c r="BK35" s="187"/>
      <c r="BL35" s="188"/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171</v>
      </c>
      <c r="AY36" s="199"/>
      <c r="AZ36" s="200"/>
      <c r="BA36" s="167" t="s">
        <v>99</v>
      </c>
      <c r="BB36" s="168"/>
      <c r="BC36" s="180"/>
      <c r="BD36" s="181" t="s">
        <v>180</v>
      </c>
      <c r="BE36" s="171">
        <f>((W-41)+(h.2-36))*2/1000</f>
        <v>3.3260000000000001</v>
      </c>
      <c r="BF36" s="172">
        <f t="shared" si="7"/>
        <v>3.3260000000000001</v>
      </c>
      <c r="BG36" s="212" t="s">
        <v>98</v>
      </c>
      <c r="BH36" s="184" t="s">
        <v>186</v>
      </c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175</v>
      </c>
      <c r="AY37" s="199"/>
      <c r="AZ37" s="200"/>
      <c r="BA37" s="167" t="s">
        <v>106</v>
      </c>
      <c r="BB37" s="168"/>
      <c r="BC37" s="180"/>
      <c r="BD37" s="181" t="s">
        <v>180</v>
      </c>
      <c r="BE37" s="171">
        <f>IF((WS.1*HS.1)/1000000&lt;1.6,2,4)</f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176</v>
      </c>
      <c r="AY38" s="199"/>
      <c r="AZ38" s="200"/>
      <c r="BA38" s="167" t="s">
        <v>109</v>
      </c>
      <c r="BB38" s="168"/>
      <c r="BC38" s="180"/>
      <c r="BD38" s="181" t="s">
        <v>180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176</v>
      </c>
      <c r="AY39" s="199"/>
      <c r="AZ39" s="200"/>
      <c r="BA39" s="167" t="s">
        <v>195</v>
      </c>
      <c r="BB39" s="168"/>
      <c r="BC39" s="180"/>
      <c r="BD39" s="181" t="s">
        <v>180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167</v>
      </c>
      <c r="AY40" s="199"/>
      <c r="AZ40" s="200"/>
      <c r="BA40" s="167" t="s">
        <v>177</v>
      </c>
      <c r="BB40" s="168"/>
      <c r="BC40" s="180"/>
      <c r="BD40" s="181" t="s">
        <v>178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 t="s">
        <v>7</v>
      </c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129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82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ref="AX42" si="13">IF(BA42&gt;"",VLOOKUP(BA42,PART_NAMA,3,FALSE),"")</f>
        <v/>
      </c>
      <c r="AY42" s="199"/>
      <c r="AZ42" s="200"/>
      <c r="BA42" s="167"/>
      <c r="BB42" s="168"/>
      <c r="BC42" s="180"/>
      <c r="BD42" s="181" t="str">
        <f t="shared" ref="BD42" si="14">IF(BA42&gt;"",VLOOKUP(BA42&amp;$M$10,PART_MASTER,3,FALSE),"")</f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130</v>
      </c>
      <c r="C43" s="240"/>
      <c r="D43" s="240"/>
      <c r="E43" s="240"/>
      <c r="F43" s="241"/>
      <c r="G43" s="242"/>
      <c r="H43" s="243"/>
      <c r="I43" s="233"/>
      <c r="J43" s="244" t="s">
        <v>131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132</v>
      </c>
      <c r="C44" s="334" t="s">
        <v>133</v>
      </c>
      <c r="D44" s="335"/>
      <c r="E44" s="336"/>
      <c r="F44" s="334" t="s">
        <v>134</v>
      </c>
      <c r="G44" s="335"/>
      <c r="H44" s="336"/>
      <c r="I44" s="252"/>
      <c r="J44" s="253" t="s">
        <v>132</v>
      </c>
      <c r="K44" s="334" t="s">
        <v>133</v>
      </c>
      <c r="L44" s="335"/>
      <c r="M44" s="335"/>
      <c r="N44" s="336"/>
      <c r="O44" s="253" t="s">
        <v>135</v>
      </c>
      <c r="P44" s="254" t="s">
        <v>132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136</v>
      </c>
      <c r="D45" s="257"/>
      <c r="E45" s="257"/>
      <c r="F45" s="258"/>
      <c r="G45" s="259"/>
      <c r="H45" s="260"/>
      <c r="I45" s="261"/>
      <c r="J45" s="262">
        <v>1</v>
      </c>
      <c r="K45" s="263" t="s">
        <v>137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138</v>
      </c>
      <c r="D46" s="259"/>
      <c r="E46" s="259"/>
      <c r="F46" s="263"/>
      <c r="G46" s="259"/>
      <c r="H46" s="260"/>
      <c r="I46" s="261"/>
      <c r="J46" s="262">
        <v>2</v>
      </c>
      <c r="K46" s="263" t="s">
        <v>139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140</v>
      </c>
      <c r="D47" s="259"/>
      <c r="E47" s="259"/>
      <c r="F47" s="263"/>
      <c r="G47" s="259"/>
      <c r="H47" s="260"/>
      <c r="I47" s="267"/>
      <c r="J47" s="262">
        <v>3</v>
      </c>
      <c r="K47" s="263" t="s">
        <v>141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142</v>
      </c>
      <c r="D48" s="259"/>
      <c r="E48" s="259"/>
      <c r="F48" s="263"/>
      <c r="G48" s="259"/>
      <c r="H48" s="260"/>
      <c r="I48" s="267"/>
      <c r="J48" s="262">
        <v>4</v>
      </c>
      <c r="K48" s="263" t="s">
        <v>143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144</v>
      </c>
      <c r="AD48" s="272"/>
      <c r="AE48" s="273" t="s">
        <v>145</v>
      </c>
      <c r="AF48" s="274">
        <f>SUM(AF22:AF47)</f>
        <v>4.5180090000000002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144</v>
      </c>
      <c r="AT48" s="272"/>
      <c r="AU48" s="273" t="s">
        <v>145</v>
      </c>
      <c r="AV48" s="274">
        <f>SUM(AV22:AV47)</f>
        <v>2.3936719999999996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146</v>
      </c>
      <c r="D49" s="259"/>
      <c r="E49" s="259"/>
      <c r="F49" s="263"/>
      <c r="G49" s="259"/>
      <c r="H49" s="260"/>
      <c r="I49" s="267"/>
      <c r="J49" s="262">
        <v>5</v>
      </c>
      <c r="K49" s="263" t="s">
        <v>147</v>
      </c>
      <c r="L49" s="259"/>
      <c r="M49" s="259"/>
      <c r="N49" s="264"/>
      <c r="O49" s="265"/>
      <c r="P49" s="266"/>
      <c r="Q49" s="4"/>
      <c r="R49" s="275" t="s">
        <v>148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149</v>
      </c>
      <c r="AE49" s="279" t="s">
        <v>150</v>
      </c>
      <c r="AF49" s="280">
        <f>AF48*0.986</f>
        <v>4.4547568740000001</v>
      </c>
      <c r="AG49" s="4"/>
      <c r="AH49" s="275" t="s">
        <v>148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149</v>
      </c>
      <c r="AU49" s="279" t="s">
        <v>150</v>
      </c>
      <c r="AV49" s="280">
        <f>AV48*0.986</f>
        <v>2.3601605919999997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151</v>
      </c>
      <c r="D50" s="259"/>
      <c r="E50" s="259"/>
      <c r="F50" s="263"/>
      <c r="G50" s="259"/>
      <c r="H50" s="260"/>
      <c r="I50" s="267"/>
      <c r="J50" s="262">
        <v>6</v>
      </c>
      <c r="K50" s="263" t="s">
        <v>152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153</v>
      </c>
      <c r="AF50" s="280">
        <f>AF48*0.974*0.986</f>
        <v>4.3389331952759997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153</v>
      </c>
      <c r="AV50" s="280">
        <f>AV48*0.974*0.986</f>
        <v>2.2987964166079995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82"/>
      <c r="BV50" s="172"/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154</v>
      </c>
      <c r="D51" s="259"/>
      <c r="E51" s="259"/>
      <c r="F51" s="263"/>
      <c r="G51" s="259"/>
      <c r="H51" s="260"/>
      <c r="I51" s="267"/>
      <c r="J51" s="262">
        <v>7</v>
      </c>
      <c r="K51" s="263" t="s">
        <v>155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156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157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158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159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160</v>
      </c>
      <c r="C55" s="267"/>
      <c r="D55" s="267"/>
      <c r="E55" s="267"/>
      <c r="F55" s="267"/>
      <c r="G55" s="267"/>
      <c r="H55" s="267"/>
      <c r="I55" s="267"/>
      <c r="J55" s="300" t="s">
        <v>161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162</v>
      </c>
      <c r="K56" s="305"/>
      <c r="L56" s="305"/>
      <c r="M56" s="305"/>
      <c r="N56" s="306"/>
      <c r="O56" s="307" t="s">
        <v>163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164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165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165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165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165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165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TH-KD_FIX</vt:lpstr>
      <vt:lpstr>'TH-KD_FIX'!A.</vt:lpstr>
      <vt:lpstr>'TH-KD_FIX'!C.</vt:lpstr>
      <vt:lpstr>'TH-KD_FIX'!F.</vt:lpstr>
      <vt:lpstr>'TH-KD_FIX'!GCS</vt:lpstr>
      <vt:lpstr>'TH-KD_FIX'!GTH</vt:lpstr>
      <vt:lpstr>'TH-KD_FIX'!H</vt:lpstr>
      <vt:lpstr>'TH-KD_FIX'!h.1</vt:lpstr>
      <vt:lpstr>'TH-KD_FIX'!h.10</vt:lpstr>
      <vt:lpstr>'TH-KD_FIX'!h.2</vt:lpstr>
      <vt:lpstr>'TH-KD_FIX'!h.3</vt:lpstr>
      <vt:lpstr>'TH-KD_FIX'!h.4</vt:lpstr>
      <vt:lpstr>'TH-KD_FIX'!h.5</vt:lpstr>
      <vt:lpstr>'TH-KD_FIX'!h.6</vt:lpstr>
      <vt:lpstr>'TH-KD_FIX'!h.7</vt:lpstr>
      <vt:lpstr>'TH-KD_FIX'!h.8</vt:lpstr>
      <vt:lpstr>'TH-KD_FIX'!h.9</vt:lpstr>
      <vt:lpstr>'TH-KD_FIX'!HS</vt:lpstr>
      <vt:lpstr>'TH-KD_FIX'!HS.1</vt:lpstr>
      <vt:lpstr>'TH-KD_FIX'!HS.2</vt:lpstr>
      <vt:lpstr>'TH-KD_FIX'!HS.3</vt:lpstr>
      <vt:lpstr>'TH-KD_FIX'!HS.4</vt:lpstr>
      <vt:lpstr>'TH-KD_FIX'!HS.5</vt:lpstr>
      <vt:lpstr>'TH-KD_FIX'!Print_Area</vt:lpstr>
      <vt:lpstr>'TH-KD_FIX'!Q</vt:lpstr>
      <vt:lpstr>'TH-KD_FIX'!R.</vt:lpstr>
      <vt:lpstr>'TH-KD_FIX'!W</vt:lpstr>
      <vt:lpstr>'TH-KD_FIX'!w.1</vt:lpstr>
      <vt:lpstr>'TH-KD_FIX'!w.10</vt:lpstr>
      <vt:lpstr>'TH-KD_FIX'!w.2</vt:lpstr>
      <vt:lpstr>'TH-KD_FIX'!w.3</vt:lpstr>
      <vt:lpstr>'TH-KD_FIX'!w.4</vt:lpstr>
      <vt:lpstr>'TH-KD_FIX'!w.5</vt:lpstr>
      <vt:lpstr>'TH-KD_FIX'!w.6</vt:lpstr>
      <vt:lpstr>'TH-KD_FIX'!w.7</vt:lpstr>
      <vt:lpstr>'TH-KD_FIX'!w.8</vt:lpstr>
      <vt:lpstr>'TH-KD_FIX'!w.9</vt:lpstr>
      <vt:lpstr>'TH-KD_FIX'!WS</vt:lpstr>
      <vt:lpstr>'TH-KD_FIX'!WS.1</vt:lpstr>
      <vt:lpstr>'TH-KD_FIX'!WS.2</vt:lpstr>
      <vt:lpstr>'TH-KD_FIX'!WS.3</vt:lpstr>
      <vt:lpstr>'TH-KD_FIX'!WS.4</vt:lpstr>
      <vt:lpstr>'TH-KD_FIX'!WS.5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2024-07-29T09:20:30Z</dcterms:created>
  <dcterms:modified xsi:type="dcterms:W3CDTF">2024-08-15T09:44:24Z</dcterms:modified>
</cp:coreProperties>
</file>