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5C0BF327-4462-431C-B8AD-A05819DF0BFE}" xr6:coauthVersionLast="47" xr6:coauthVersionMax="47" xr10:uidLastSave="{00000000-0000-0000-0000-000000000000}"/>
  <bookViews>
    <workbookView xWindow="-108" yWindow="-108" windowWidth="23256" windowHeight="12456" xr2:uid="{5494408A-C137-4289-B53A-63D2A156F170}"/>
  </bookViews>
  <sheets>
    <sheet name="CAR-K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'CAR-KD'!$P$18</definedName>
    <definedName name="BD">"BD"</definedName>
    <definedName name="C." localSheetId="0">'CAR-KD'!$P$17</definedName>
    <definedName name="F." localSheetId="0">'CAR-KD'!$P$16</definedName>
    <definedName name="GCS" localSheetId="0">'CAR-KD'!$O$12</definedName>
    <definedName name="GTH" localSheetId="0">'CAR-KD'!$O$11</definedName>
    <definedName name="H" localSheetId="0">'CAR-KD'!$E$12</definedName>
    <definedName name="h.1" localSheetId="0">'CAR-KD'!$C$14</definedName>
    <definedName name="h.10" localSheetId="0">'CAR-KD'!$E$18</definedName>
    <definedName name="h.2" localSheetId="0">'CAR-KD'!$C$15</definedName>
    <definedName name="h.3" localSheetId="0">'CAR-KD'!$C$16</definedName>
    <definedName name="h.4" localSheetId="0">'CAR-KD'!$C$17</definedName>
    <definedName name="h.5" localSheetId="0">'CAR-KD'!$C$18</definedName>
    <definedName name="h.6" localSheetId="0">'CAR-KD'!$E$14</definedName>
    <definedName name="h.7" localSheetId="0">'CAR-KD'!$E$15</definedName>
    <definedName name="h.8" localSheetId="0">'CAR-KD'!$E$16</definedName>
    <definedName name="h.9" localSheetId="0">'CAR-KD'!$E$17</definedName>
    <definedName name="HS" localSheetId="0">'CAR-KD'!$H$12</definedName>
    <definedName name="HS.1" localSheetId="0">'CAR-KD'!$L$14</definedName>
    <definedName name="HS.2" localSheetId="0">'CAR-KD'!$L$15</definedName>
    <definedName name="HS.3" localSheetId="0">'CAR-KD'!$L$16</definedName>
    <definedName name="HS.4" localSheetId="0">'CAR-KD'!$L$17</definedName>
    <definedName name="HS.5" localSheetId="0">'CAR-KD'!$L$18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'CAR-KD'!$1:$61</definedName>
    <definedName name="Q" localSheetId="0">'CAR-KD'!$I$11</definedName>
    <definedName name="R." localSheetId="0">'CAR-KD'!$C$62</definedName>
    <definedName name="st" hidden="1">[6]Gra_Ord_In_2000!$BA$12:$BA$1655</definedName>
    <definedName name="W" localSheetId="0">'CAR-KD'!$E$11</definedName>
    <definedName name="w.1" localSheetId="0">'CAR-KD'!$H$14</definedName>
    <definedName name="w.10" localSheetId="0">'CAR-KD'!$J$18</definedName>
    <definedName name="w.2" localSheetId="0">'CAR-KD'!$H$15</definedName>
    <definedName name="w.3" localSheetId="0">'CAR-KD'!$H$16</definedName>
    <definedName name="w.4" localSheetId="0">'CAR-KD'!$H$17</definedName>
    <definedName name="w.5" localSheetId="0">'CAR-KD'!$H$18</definedName>
    <definedName name="w.6" localSheetId="0">'CAR-KD'!$J$14</definedName>
    <definedName name="w.7" localSheetId="0">'CAR-KD'!$J$15</definedName>
    <definedName name="w.8" localSheetId="0">'CAR-KD'!$J$16</definedName>
    <definedName name="w.9" localSheetId="0">'CAR-KD'!$J$17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'CAR-KD'!$L$12</definedName>
    <definedName name="WS.1" localSheetId="0">'CAR-KD'!$N$14</definedName>
    <definedName name="WS.2" localSheetId="0">'CAR-KD'!$N$15</definedName>
    <definedName name="WS.3" localSheetId="0">'CAR-KD'!$N$16</definedName>
    <definedName name="WS.4" localSheetId="0">'CAR-KD'!$N$17</definedName>
    <definedName name="WS.5" localSheetId="0">'CAR-KD'!$N$18</definedName>
    <definedName name="Z_8BD11290_77B3_4D27_9040_BB9D2A7264B2_.wvu.PrintArea" localSheetId="0" hidden="1">'CAR-KD'!$1:$61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3" i="1" l="1"/>
  <c r="BV33" i="1" s="1"/>
  <c r="BU28" i="1"/>
  <c r="BU27" i="1"/>
  <c r="BE31" i="1"/>
  <c r="BE30" i="1"/>
  <c r="BF30" i="1" s="1"/>
  <c r="BE26" i="1"/>
  <c r="BF26" i="1" s="1"/>
  <c r="BQ33" i="1"/>
  <c r="BQ23" i="1"/>
  <c r="BA22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F51" i="1"/>
  <c r="BD51" i="1"/>
  <c r="AX51" i="1"/>
  <c r="BF50" i="1"/>
  <c r="BD50" i="1"/>
  <c r="AX50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BV37" i="1"/>
  <c r="BT37" i="1"/>
  <c r="BN37" i="1"/>
  <c r="AV37" i="1"/>
  <c r="AU37" i="1"/>
  <c r="AP37" i="1"/>
  <c r="AL37" i="1"/>
  <c r="AF37" i="1"/>
  <c r="AE37" i="1"/>
  <c r="Z37" i="1"/>
  <c r="V37" i="1"/>
  <c r="BV36" i="1"/>
  <c r="BT36" i="1"/>
  <c r="BN36" i="1"/>
  <c r="BF36" i="1"/>
  <c r="BD36" i="1"/>
  <c r="AX36" i="1"/>
  <c r="AV36" i="1"/>
  <c r="AU36" i="1"/>
  <c r="AP36" i="1"/>
  <c r="AL36" i="1"/>
  <c r="AF36" i="1"/>
  <c r="AE36" i="1"/>
  <c r="Z36" i="1"/>
  <c r="V36" i="1"/>
  <c r="BF35" i="1"/>
  <c r="BD35" i="1"/>
  <c r="AX35" i="1"/>
  <c r="AV35" i="1"/>
  <c r="AU35" i="1"/>
  <c r="AP35" i="1"/>
  <c r="AL35" i="1"/>
  <c r="AF35" i="1"/>
  <c r="AE35" i="1"/>
  <c r="Z35" i="1"/>
  <c r="V35" i="1"/>
  <c r="BV34" i="1"/>
  <c r="BF34" i="1"/>
  <c r="AV34" i="1"/>
  <c r="AU34" i="1"/>
  <c r="AP34" i="1"/>
  <c r="AL34" i="1"/>
  <c r="AF34" i="1"/>
  <c r="AE34" i="1"/>
  <c r="Z34" i="1"/>
  <c r="V34" i="1"/>
  <c r="BF33" i="1"/>
  <c r="AV33" i="1"/>
  <c r="AU33" i="1"/>
  <c r="AP33" i="1"/>
  <c r="AL33" i="1"/>
  <c r="AF33" i="1"/>
  <c r="AE33" i="1"/>
  <c r="Z33" i="1"/>
  <c r="V33" i="1"/>
  <c r="BV32" i="1"/>
  <c r="BF32" i="1"/>
  <c r="AV32" i="1"/>
  <c r="AU32" i="1"/>
  <c r="AP32" i="1"/>
  <c r="AL32" i="1"/>
  <c r="AF32" i="1"/>
  <c r="AE32" i="1"/>
  <c r="Z32" i="1"/>
  <c r="V32" i="1"/>
  <c r="BV31" i="1"/>
  <c r="BF31" i="1"/>
  <c r="AV31" i="1"/>
  <c r="AU31" i="1"/>
  <c r="AP31" i="1"/>
  <c r="AL31" i="1"/>
  <c r="AF31" i="1"/>
  <c r="AE31" i="1"/>
  <c r="Z31" i="1"/>
  <c r="V31" i="1"/>
  <c r="BV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BF28" i="1"/>
  <c r="AV28" i="1"/>
  <c r="AU28" i="1"/>
  <c r="AP28" i="1"/>
  <c r="AL28" i="1"/>
  <c r="AF28" i="1"/>
  <c r="AE28" i="1"/>
  <c r="Z28" i="1"/>
  <c r="V28" i="1"/>
  <c r="BF27" i="1"/>
  <c r="AU27" i="1"/>
  <c r="AP27" i="1"/>
  <c r="AL27" i="1"/>
  <c r="AF27" i="1"/>
  <c r="AE27" i="1"/>
  <c r="Z27" i="1"/>
  <c r="V27" i="1"/>
  <c r="BV26" i="1"/>
  <c r="AU26" i="1"/>
  <c r="AV26" i="1" s="1"/>
  <c r="AP26" i="1"/>
  <c r="AN26" i="1"/>
  <c r="AL26" i="1"/>
  <c r="AF26" i="1"/>
  <c r="AE26" i="1"/>
  <c r="Z26" i="1"/>
  <c r="V26" i="1"/>
  <c r="BV25" i="1"/>
  <c r="BF25" i="1"/>
  <c r="AU25" i="1"/>
  <c r="AP25" i="1"/>
  <c r="AL25" i="1"/>
  <c r="AE25" i="1"/>
  <c r="AF25" i="1" s="1"/>
  <c r="AB25" i="1"/>
  <c r="Z25" i="1"/>
  <c r="X25" i="1"/>
  <c r="W25" i="1"/>
  <c r="V25" i="1"/>
  <c r="BV24" i="1"/>
  <c r="BF24" i="1"/>
  <c r="AU24" i="1"/>
  <c r="AP24" i="1"/>
  <c r="AL24" i="1"/>
  <c r="AE24" i="1"/>
  <c r="Z24" i="1"/>
  <c r="X24" i="1"/>
  <c r="V24" i="1"/>
  <c r="BV23" i="1"/>
  <c r="BF23" i="1"/>
  <c r="AU23" i="1"/>
  <c r="AV23" i="1" s="1"/>
  <c r="AS23" i="1"/>
  <c r="AP23" i="1"/>
  <c r="AN23" i="1"/>
  <c r="AL23" i="1"/>
  <c r="AE23" i="1"/>
  <c r="AF23" i="1" s="1"/>
  <c r="Z23" i="1"/>
  <c r="X23" i="1"/>
  <c r="V23" i="1"/>
  <c r="BV22" i="1"/>
  <c r="BF22" i="1"/>
  <c r="AU22" i="1"/>
  <c r="AS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V14" i="1"/>
  <c r="BT14" i="1"/>
  <c r="BQ14" i="1"/>
  <c r="BO14" i="1"/>
  <c r="BL14" i="1"/>
  <c r="BJ14" i="1"/>
  <c r="BF14" i="1"/>
  <c r="BD14" i="1"/>
  <c r="BA14" i="1"/>
  <c r="AY14" i="1"/>
  <c r="AT14" i="1"/>
  <c r="AP14" i="1"/>
  <c r="AN14" i="1"/>
  <c r="AK14" i="1"/>
  <c r="AI14" i="1"/>
  <c r="Z14" i="1"/>
  <c r="X14" i="1"/>
  <c r="U14" i="1"/>
  <c r="S14" i="1"/>
  <c r="N14" i="1"/>
  <c r="BV35" i="1" s="1"/>
  <c r="L14" i="1"/>
  <c r="AB14" i="1" s="1"/>
  <c r="CA12" i="1"/>
  <c r="BZ12" i="1"/>
  <c r="BQ12" i="1"/>
  <c r="BK12" i="1"/>
  <c r="BA12" i="1"/>
  <c r="AU12" i="1"/>
  <c r="AT12" i="1"/>
  <c r="AK12" i="1"/>
  <c r="AE12" i="1"/>
  <c r="AD12" i="1"/>
  <c r="U12" i="1"/>
  <c r="N12" i="1"/>
  <c r="BJ12" i="1" s="1"/>
  <c r="CA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D11" i="1"/>
  <c r="AA11" i="1"/>
  <c r="Y11" i="1"/>
  <c r="U11" i="1"/>
  <c r="N11" i="1"/>
  <c r="BZ11" i="1" s="1"/>
  <c r="CA10" i="1"/>
  <c r="BW10" i="1"/>
  <c r="BQ10" i="1"/>
  <c r="BK10" i="1"/>
  <c r="BA10" i="1"/>
  <c r="AU10" i="1"/>
  <c r="AE10" i="1"/>
  <c r="AA10" i="1"/>
  <c r="M10" i="1"/>
  <c r="K10" i="1"/>
  <c r="AQ10" i="1" s="1"/>
  <c r="CA9" i="1"/>
  <c r="BW9" i="1"/>
  <c r="BK9" i="1"/>
  <c r="BA9" i="1"/>
  <c r="AU9" i="1"/>
  <c r="AQ9" i="1"/>
  <c r="AK9" i="1"/>
  <c r="AE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BQ3" i="1"/>
  <c r="BA3" i="1"/>
  <c r="AK3" i="1"/>
  <c r="U3" i="1"/>
  <c r="E3" i="1"/>
  <c r="AF2" i="1"/>
  <c r="AV2" i="1" s="1"/>
  <c r="BL2" i="1" s="1"/>
  <c r="CB2" i="1" s="1"/>
  <c r="AF24" i="1" l="1"/>
  <c r="CA4" i="1"/>
  <c r="AF48" i="1"/>
  <c r="AR14" i="1"/>
  <c r="AE4" i="1"/>
  <c r="AA9" i="1"/>
  <c r="AT11" i="1"/>
  <c r="AD14" i="1"/>
  <c r="AM25" i="1"/>
  <c r="AN25" i="1"/>
  <c r="AV25" i="1" s="1"/>
  <c r="AN27" i="1"/>
  <c r="AV27" i="1" s="1"/>
  <c r="BG10" i="1"/>
  <c r="BX14" i="1"/>
  <c r="AN22" i="1"/>
  <c r="AV22" i="1" s="1"/>
  <c r="AV48" i="1" s="1"/>
  <c r="BV28" i="1"/>
  <c r="AU4" i="1"/>
  <c r="BH14" i="1"/>
  <c r="P17" i="1"/>
  <c r="AS25" i="1"/>
  <c r="BV27" i="1"/>
  <c r="AN24" i="1"/>
  <c r="AV24" i="1" s="1"/>
  <c r="AV50" i="1" l="1"/>
  <c r="AV49" i="1"/>
  <c r="CB17" i="1"/>
  <c r="AV17" i="1"/>
  <c r="AF17" i="1"/>
  <c r="BL17" i="1"/>
  <c r="AF50" i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3952409A-B358-4BDF-8700-214E0034CFBD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6687CA90-A352-4878-B725-6FEE654A9AE4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0E6FEB4C-6BD5-479B-9960-1ABDB583603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<sst xmlns="http://schemas.openxmlformats.org/spreadsheetml/2006/main" count="523" uniqueCount="185">
  <si>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</si>
  <si>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</si>
  <si>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</si>
  <si>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</si>
  <si>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</si>
  <si>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</si>
  <si>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</si>
  <si>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</si>
  <si>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</si>
  <si>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</si>
  <si>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</si>
  <si>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</si>
  <si>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</si>
  <si>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</si>
  <si>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</si>
  <si>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CAR-KD NM</t>
  </si>
  <si>
    <t>Delivery Date</t>
  </si>
  <si>
    <t>Elevation Code</t>
  </si>
  <si>
    <t>52CR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</si>
  <si>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</si>
  <si>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</si>
  <si>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</si>
  <si>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U9E-51025</t>
  </si>
  <si>
    <t>Unit Code</t>
  </si>
  <si>
    <r>
      <t xml:space="preserve">H </t>
    </r>
    <r>
      <rPr>
        <sz val="10"/>
        <rFont val="Arial"/>
        <family val="2"/>
      </rPr>
      <t>item</t>
    </r>
  </si>
  <si>
    <t>U9E-50007</t>
  </si>
  <si>
    <t>52CR-A/SM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</si>
  <si>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</si>
  <si>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</si>
  <si>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</si>
  <si>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</si>
  <si>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</si>
  <si>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</si>
  <si>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</si>
  <si>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</si>
  <si>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</si>
  <si>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</si>
  <si>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</si>
  <si>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</si>
  <si>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</si>
  <si>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</si>
  <si>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</si>
  <si>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</si>
  <si>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</si>
  <si>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</si>
  <si>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</si>
  <si>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</si>
  <si>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</si>
  <si>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</si>
  <si>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</si>
  <si>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</si>
  <si>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</si>
  <si>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</si>
  <si>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</si>
  <si>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</si>
  <si>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</si>
  <si>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</si>
  <si>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</si>
  <si>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</si>
  <si>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</si>
  <si>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</si>
  <si>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</si>
  <si>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</si>
  <si>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</si>
  <si>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</si>
  <si>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</si>
  <si>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</si>
  <si>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</si>
  <si>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</si>
  <si>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</si>
  <si>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</si>
  <si>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</si>
  <si>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</si>
  <si>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</si>
  <si>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</si>
  <si>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</si>
  <si>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</si>
  <si>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</si>
  <si>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</si>
  <si>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</si>
  <si>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</si>
  <si>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</si>
  <si>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</si>
  <si>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</si>
  <si>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</si>
  <si>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9K-11088</t>
  </si>
  <si>
    <t>SILL</t>
  </si>
  <si>
    <t>9K-87103</t>
  </si>
  <si>
    <t>BOTTOM RAIL</t>
  </si>
  <si>
    <t>9K-11090</t>
  </si>
  <si>
    <t>FOR JAMB</t>
  </si>
  <si>
    <t>JAMB(L)</t>
  </si>
  <si>
    <t>9K-87104</t>
  </si>
  <si>
    <t>STILE(L)</t>
  </si>
  <si>
    <t>9K-87137</t>
  </si>
  <si>
    <t>2K-30630</t>
  </si>
  <si>
    <t>JAMB(R)</t>
  </si>
  <si>
    <t>STILE(R)</t>
  </si>
  <si>
    <t>9K-20849</t>
  </si>
  <si>
    <t>9K-20669</t>
  </si>
  <si>
    <t>BEADING</t>
  </si>
  <si>
    <t>9K-86115</t>
  </si>
  <si>
    <t>9K-20754</t>
  </si>
  <si>
    <t>M</t>
  </si>
  <si>
    <t>9K-20856</t>
  </si>
  <si>
    <t>2K-29158</t>
  </si>
  <si>
    <t>2K-22277</t>
  </si>
  <si>
    <t>2K-29161</t>
  </si>
  <si>
    <t>EM-4008</t>
  </si>
  <si>
    <t>FOR PULLING BLOCK</t>
  </si>
  <si>
    <t>EM-4016</t>
  </si>
  <si>
    <t>FOR HANDLE</t>
  </si>
  <si>
    <t>EF-4008D7</t>
  </si>
  <si>
    <t>FOR LOCK KEEPER</t>
  </si>
  <si>
    <t>EM-4010</t>
  </si>
  <si>
    <t>EM-4008D8-SA</t>
  </si>
  <si>
    <t>BM-4025G</t>
  </si>
  <si>
    <t>S</t>
  </si>
  <si>
    <t>9K-30250</t>
  </si>
  <si>
    <t>9K-10840</t>
  </si>
  <si>
    <t>EF-4008D7-SA</t>
  </si>
  <si>
    <t>9K-30171</t>
  </si>
  <si>
    <t>FOR JOINT FRAME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</si>
  <si>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</si>
  <si>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</si>
  <si>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</si>
  <si>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</si>
  <si>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</si>
  <si>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</si>
  <si>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</si>
  <si>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</si>
  <si>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</si>
  <si>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</si>
  <si>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</si>
  <si>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</si>
  <si>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</si>
  <si>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</si>
  <si>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</si>
  <si>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</si>
  <si>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</si>
  <si>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</si>
  <si>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</si>
  <si>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</si>
  <si>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</si>
  <si>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</si>
  <si>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</si>
  <si>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</si>
  <si>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</si>
  <si>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</si>
  <si>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</si>
  <si>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</si>
  <si>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</si>
  <si>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</si>
  <si>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</si>
  <si>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</si>
  <si>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</si>
  <si>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</si>
  <si>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</si>
  <si>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</si>
  <si>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</si>
  <si>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</si>
  <si>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SCREW</t>
  </si>
  <si>
    <t>SHIM RECEIVER</t>
  </si>
  <si>
    <t>HOLE CAP</t>
  </si>
  <si>
    <t>LOCK KEEPER</t>
  </si>
  <si>
    <t>PULLING BLOCK</t>
  </si>
  <si>
    <t>SEALER PAD</t>
  </si>
  <si>
    <t>AT MATERIAL</t>
  </si>
  <si>
    <t>LABEL</t>
  </si>
  <si>
    <t>9K-30241</t>
  </si>
  <si>
    <t>YS</t>
  </si>
  <si>
    <t>YW</t>
  </si>
  <si>
    <t>YK</t>
  </si>
  <si>
    <t>FOR FRICTION STAY</t>
  </si>
  <si>
    <t>FOR JAMB (R), FOR JAMB (L), FOR HEAD</t>
  </si>
  <si>
    <t>HANDLE</t>
  </si>
  <si>
    <t>TRANSMISSION ROD</t>
  </si>
  <si>
    <t>SETTING BLOCK</t>
  </si>
  <si>
    <t>WEATHER STRIP</t>
  </si>
  <si>
    <t>GASKET</t>
  </si>
  <si>
    <t>HANDLE CAP</t>
  </si>
  <si>
    <t>Y</t>
  </si>
  <si>
    <t>FOR OUTSIDE</t>
  </si>
  <si>
    <t>FOR TRANSMISSION ROD</t>
  </si>
  <si>
    <t>FOR INSIDE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</si>
</sst>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49D97984-FF7A-4D2C-9D05-2852AE3DBC52}"/>
    <cellStyle name="Normal" xfId="0" builtinId="0"/>
    <cellStyle name="Normal 2" xfId="1" xr:uid="{9A50F178-256E-49CA-9BDA-69631F1FC124}"/>
    <cellStyle name="Normal 5" xfId="3" xr:uid="{B7EBC5FF-0E9A-4F0F-8DD4-038E2D76F7A8}"/>
    <cellStyle name="Normal_COBA 2" xfId="4" xr:uid="{F4F98201-D66D-47EB-9649-2F61403049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8C0BC1E-0AFC-4F89-ABB3-1FEC71679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F5FED8E5-6E8B-4973-93F4-A56FF40E7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A930730C-E828-4D43-94C5-BBF9FD0A2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57AD7BBB-C1DC-412A-943A-DB075EBBC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8BEEA03A-63FE-49AC-A062-596DEC955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D493083A-2D7A-4CF7-A6EF-2AF34B43F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EA10275B-5600-40EC-BA9D-6AEF0B172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12</xdr:col>
      <xdr:colOff>389573</xdr:colOff>
      <xdr:row>36</xdr:row>
      <xdr:rowOff>14162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D32C6A3E-E885-4EAD-93AF-EDE730E59F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83" r="17967"/>
        <a:stretch/>
      </xdr:blipFill>
      <xdr:spPr bwMode="auto">
        <a:xfrm>
          <a:off x="2720340" y="4107180"/>
          <a:ext cx="2873693" cy="2673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DAD40-E603-4420-AFFF-14CDC7C5DA57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T33" sqref="T33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7.441406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7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45518.383314236111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45518.383314236111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45518.383314236111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45518.383314236111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45518.383314236111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CAR-KD NM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CAR-KD NM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CAR-KD NM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CAR-KD NM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52CR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52CR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52CR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52CR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34">
        <f>W</f>
        <v>1000</v>
      </c>
      <c r="L9" s="335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52CR</v>
      </c>
      <c r="V9" s="36"/>
      <c r="W9" s="55"/>
      <c r="X9" s="62"/>
      <c r="Y9" s="62"/>
      <c r="Z9" s="63" t="s">
        <v>21</v>
      </c>
      <c r="AA9" s="334">
        <f>$K$9</f>
        <v>1000</v>
      </c>
      <c r="AB9" s="335"/>
      <c r="AC9" s="65"/>
      <c r="AD9" s="61"/>
      <c r="AE9" s="59" t="str">
        <f>IF($O$9&gt;0,$O$9,"")</f>
        <v>U9E-51025</v>
      </c>
      <c r="AF9" s="60"/>
      <c r="AG9" s="3"/>
      <c r="AH9" s="53" t="s">
        <v>20</v>
      </c>
      <c r="AI9" s="36"/>
      <c r="AJ9" s="37"/>
      <c r="AK9" s="54" t="str">
        <f>IF($E$9&gt;0,$E$9,"")</f>
        <v>52CR</v>
      </c>
      <c r="AL9" s="36"/>
      <c r="AM9" s="55"/>
      <c r="AN9" s="62"/>
      <c r="AO9" s="62"/>
      <c r="AP9" s="63" t="s">
        <v>21</v>
      </c>
      <c r="AQ9" s="334">
        <f>$K$9</f>
        <v>1000</v>
      </c>
      <c r="AR9" s="335"/>
      <c r="AS9" s="65"/>
      <c r="AT9" s="61"/>
      <c r="AU9" s="59" t="str">
        <f>IF($O$9&gt;0,$O$9,"")</f>
        <v>U9E-51025</v>
      </c>
      <c r="AV9" s="60"/>
      <c r="AW9" s="3"/>
      <c r="AX9" s="53" t="s">
        <v>20</v>
      </c>
      <c r="AY9" s="36"/>
      <c r="AZ9" s="37"/>
      <c r="BA9" s="54" t="str">
        <f>IF(E9&gt;0,E9,"")</f>
        <v>52CR</v>
      </c>
      <c r="BB9" s="36"/>
      <c r="BC9" s="55"/>
      <c r="BD9" s="62"/>
      <c r="BE9" s="62"/>
      <c r="BF9" s="63" t="s">
        <v>21</v>
      </c>
      <c r="BG9" s="334">
        <f>$K$9</f>
        <v>1000</v>
      </c>
      <c r="BH9" s="335"/>
      <c r="BI9" s="65"/>
      <c r="BJ9" s="61"/>
      <c r="BK9" s="59" t="str">
        <f>IF($O$9&gt;0,$O$9,"")</f>
        <v>U9E-51025</v>
      </c>
      <c r="BL9" s="60"/>
      <c r="BM9" s="3"/>
      <c r="BN9" s="53" t="s">
        <v>20</v>
      </c>
      <c r="BO9" s="36"/>
      <c r="BP9" s="37"/>
      <c r="BQ9" s="54" t="str">
        <f>IF(U9&gt;0,U9,"")</f>
        <v>52CR</v>
      </c>
      <c r="BR9" s="36"/>
      <c r="BS9" s="55"/>
      <c r="BT9" s="62"/>
      <c r="BU9" s="62"/>
      <c r="BV9" s="63" t="s">
        <v>21</v>
      </c>
      <c r="BW9" s="334">
        <f>$K$9</f>
        <v>1000</v>
      </c>
      <c r="BX9" s="335"/>
      <c r="BY9" s="65"/>
      <c r="BZ9" s="61"/>
      <c r="CA9" s="59" t="str">
        <f>IF($O$9&gt;0,$O$9,"")</f>
        <v>U9E-51025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34">
        <f>H</f>
        <v>2000</v>
      </c>
      <c r="L10" s="336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34">
        <f>$K$10</f>
        <v>2000</v>
      </c>
      <c r="AB10" s="335"/>
      <c r="AC10" s="65"/>
      <c r="AD10" s="61"/>
      <c r="AE10" s="59" t="str">
        <f>IF($O$10&gt;0,$O$10,"")</f>
        <v>U9E-50007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34">
        <f>$K$10</f>
        <v>2000</v>
      </c>
      <c r="AR10" s="335"/>
      <c r="AS10" s="65"/>
      <c r="AT10" s="61"/>
      <c r="AU10" s="59" t="str">
        <f>IF($O$10&gt;0,$O$10,"")</f>
        <v>U9E-50007</v>
      </c>
      <c r="AV10" s="60"/>
      <c r="AW10" s="3"/>
      <c r="AX10" s="53" t="s">
        <v>23</v>
      </c>
      <c r="AY10" s="36"/>
      <c r="AZ10" s="37"/>
      <c r="BA10" s="54" t="str">
        <f>IF($U$10&gt;0,$U$10,"")</f>
        <v>52CR</v>
      </c>
      <c r="BB10" s="36"/>
      <c r="BC10" s="55"/>
      <c r="BD10" s="62"/>
      <c r="BE10" s="62"/>
      <c r="BF10" s="66" t="s">
        <v>24</v>
      </c>
      <c r="BG10" s="334">
        <f>$K$10</f>
        <v>2000</v>
      </c>
      <c r="BH10" s="335"/>
      <c r="BI10" s="65"/>
      <c r="BJ10" s="61"/>
      <c r="BK10" s="59" t="str">
        <f>IF($O$10&gt;0,$O$10,"")</f>
        <v>U9E-50007</v>
      </c>
      <c r="BL10" s="60"/>
      <c r="BM10" s="3"/>
      <c r="BN10" s="53" t="s">
        <v>23</v>
      </c>
      <c r="BO10" s="36"/>
      <c r="BP10" s="37"/>
      <c r="BQ10" s="54" t="str">
        <f>IF($AK$10&gt;0,$AK$10,"")</f>
        <v>52CR-A/SM</v>
      </c>
      <c r="BR10" s="36"/>
      <c r="BS10" s="55"/>
      <c r="BT10" s="62"/>
      <c r="BU10" s="62"/>
      <c r="BV10" s="66" t="s">
        <v>24</v>
      </c>
      <c r="BW10" s="334">
        <f>$K$10</f>
        <v>2000</v>
      </c>
      <c r="BX10" s="335"/>
      <c r="BY10" s="65"/>
      <c r="BZ10" s="61"/>
      <c r="CA10" s="59" t="str">
        <f>IF($O$10&gt;0,$O$10,"")</f>
        <v>U9E-50007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32" t="s">
        <v>28</v>
      </c>
      <c r="I11" s="332">
        <v>1</v>
      </c>
      <c r="J11" s="332" t="s">
        <v>29</v>
      </c>
      <c r="K11" s="328" t="s">
        <v>30</v>
      </c>
      <c r="L11" s="329"/>
      <c r="M11" s="323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32" t="s">
        <v>28</v>
      </c>
      <c r="Y11" s="332">
        <f>IF($I$11&gt;0,$I$11,"")</f>
        <v>1</v>
      </c>
      <c r="Z11" s="332" t="s">
        <v>29</v>
      </c>
      <c r="AA11" s="328" t="str">
        <f>IF($K$11&gt;0,$K$11,"")</f>
        <v>TT01</v>
      </c>
      <c r="AB11" s="329"/>
      <c r="AC11" s="323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32" t="s">
        <v>28</v>
      </c>
      <c r="AO11" s="332">
        <f>IF($I$11&gt;0,$I$11,"")</f>
        <v>1</v>
      </c>
      <c r="AP11" s="332" t="s">
        <v>29</v>
      </c>
      <c r="AQ11" s="328" t="str">
        <f>IF($K$11&gt;0,$K$11,"")</f>
        <v>TT01</v>
      </c>
      <c r="AR11" s="329"/>
      <c r="AS11" s="323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32" t="s">
        <v>28</v>
      </c>
      <c r="BE11" s="332">
        <f>IF($I$11&gt;0,$I$11,"")</f>
        <v>1</v>
      </c>
      <c r="BF11" s="332" t="s">
        <v>29</v>
      </c>
      <c r="BG11" s="328" t="str">
        <f>IF($K$11&gt;0,$K$11,"")</f>
        <v>TT01</v>
      </c>
      <c r="BH11" s="329"/>
      <c r="BI11" s="323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32" t="s">
        <v>28</v>
      </c>
      <c r="BU11" s="332">
        <f>IF($I$11&gt;0,$I$11,"")</f>
        <v>1</v>
      </c>
      <c r="BV11" s="332" t="s">
        <v>29</v>
      </c>
      <c r="BW11" s="328" t="str">
        <f>IF($K$11&gt;0,$K$11,"")</f>
        <v>TT01</v>
      </c>
      <c r="BX11" s="329"/>
      <c r="BY11" s="323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33"/>
      <c r="I12" s="333"/>
      <c r="J12" s="333"/>
      <c r="K12" s="330"/>
      <c r="L12" s="331"/>
      <c r="M12" s="324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33"/>
      <c r="Y12" s="333"/>
      <c r="Z12" s="333"/>
      <c r="AA12" s="330"/>
      <c r="AB12" s="331"/>
      <c r="AC12" s="324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33"/>
      <c r="AO12" s="333"/>
      <c r="AP12" s="333"/>
      <c r="AQ12" s="330"/>
      <c r="AR12" s="331"/>
      <c r="AS12" s="324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33"/>
      <c r="BE12" s="333"/>
      <c r="BF12" s="333"/>
      <c r="BG12" s="330"/>
      <c r="BH12" s="331"/>
      <c r="BI12" s="324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33"/>
      <c r="BU12" s="333"/>
      <c r="BV12" s="333"/>
      <c r="BW12" s="330"/>
      <c r="BX12" s="331"/>
      <c r="BY12" s="324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/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H-50</f>
        <v>1950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 t="str">
        <f>IF($C$14&gt;0,$C$14,"")</f>
        <v/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1950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 t="str">
        <f>IF($C$14&gt;0,$C$14,"")</f>
        <v/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1950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 t="str">
        <f>IF($C$14&gt;0,$C$14,"")</f>
        <v/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1950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 t="str">
        <f>IF($C$14&gt;0,$C$14,"")</f>
        <v/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1950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/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 t="str">
        <f>IF($C$15&gt;0,$C$15,"")</f>
        <v/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 t="str">
        <f>IF($C$15&gt;0,$C$15,"")</f>
        <v/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 t="str">
        <f>IF($C$15&gt;0,$C$15,"")</f>
        <v/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 t="str">
        <f>IF($C$15&gt;0,$C$15,"")</f>
        <v/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>
        <f>(HS.1/2)+25</f>
        <v>1000</v>
      </c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>
        <f>IF($P$17&gt;0,$P$17,"")</f>
        <v>1000</v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>
        <f>IF($P$17&gt;0,$P$17,"")</f>
        <v>1000</v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>
        <f>IF($P$17&gt;0,$P$17,"")</f>
        <v>1000</v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>
        <f>IF($P$17&gt;0,$P$17,"")</f>
        <v>1000</v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2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2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 t="str">
        <f>IF(WS.1&lt;=748,"4K-12285",IF(WS.1&lt;=848,"4K-12286",IF(WS.1&gt;848,"4K-15550","4K-15550")))</f>
        <v>4K-15550</v>
      </c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160</v>
      </c>
      <c r="AY22" s="199"/>
      <c r="AZ22" s="200"/>
      <c r="BA22" s="204" t="str">
        <f>IF(W&lt;=500,"MIN LIMIT",IF(W&lt;=800,"4K-12285",IF(W&lt;=900,"4K-12286","4K-15550")))</f>
        <v>4K-15550</v>
      </c>
      <c r="BB22" s="168"/>
      <c r="BC22" s="180"/>
      <c r="BD22" s="181" t="s">
        <v>170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175</v>
      </c>
      <c r="BO22" s="199"/>
      <c r="BP22" s="200"/>
      <c r="BQ22" s="204" t="s">
        <v>85</v>
      </c>
      <c r="BR22" s="168"/>
      <c r="BS22" s="180"/>
      <c r="BT22" s="181" t="s">
        <v>171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87</v>
      </c>
      <c r="V23" s="168" t="str">
        <f t="shared" si="0"/>
        <v>-</v>
      </c>
      <c r="W23" s="201">
        <v>1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</v>
      </c>
      <c r="AF23" s="178">
        <f>IF(U23&gt;"",(AE23*X23*Z23)/1000,"")</f>
        <v>0.47949999999999998</v>
      </c>
      <c r="AG23" s="4"/>
      <c r="AH23" s="198" t="s">
        <v>88</v>
      </c>
      <c r="AI23" s="199"/>
      <c r="AJ23" s="203"/>
      <c r="AK23" s="167" t="s">
        <v>84</v>
      </c>
      <c r="AL23" s="168" t="str">
        <f t="shared" si="3"/>
        <v>-</v>
      </c>
      <c r="AM23" s="201">
        <v>1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 t="str">
        <f>IF(WS.1&lt;=748,"4K-12285",IF(WS.1&lt;=848,"4K-12286",IF(WS.1&gt;848,"4K-15550","4K-15550")))</f>
        <v>4K-15550</v>
      </c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161</v>
      </c>
      <c r="AY23" s="199"/>
      <c r="AZ23" s="200"/>
      <c r="BA23" s="167" t="s">
        <v>115</v>
      </c>
      <c r="BB23" s="168"/>
      <c r="BC23" s="180"/>
      <c r="BD23" s="181" t="s">
        <v>170</v>
      </c>
      <c r="BE23" s="171">
        <v>8</v>
      </c>
      <c r="BF23" s="172">
        <f t="shared" si="7"/>
        <v>8</v>
      </c>
      <c r="BG23" s="183"/>
      <c r="BH23" s="184" t="s">
        <v>173</v>
      </c>
      <c r="BI23" s="185"/>
      <c r="BJ23" s="186"/>
      <c r="BK23" s="205"/>
      <c r="BL23" s="188"/>
      <c r="BM23" s="4"/>
      <c r="BN23" s="198" t="s">
        <v>176</v>
      </c>
      <c r="BO23" s="199"/>
      <c r="BP23" s="200"/>
      <c r="BQ23" s="167" t="str">
        <f>IF(HS.1&lt;1550,"9K-11092","9K-11332")</f>
        <v>9K-11332</v>
      </c>
      <c r="BR23" s="168"/>
      <c r="BS23" s="180"/>
      <c r="BT23" s="181" t="s">
        <v>170</v>
      </c>
      <c r="BU23" s="171"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91</v>
      </c>
      <c r="S24" s="199"/>
      <c r="T24" s="200"/>
      <c r="U24" s="167" t="s">
        <v>92</v>
      </c>
      <c r="V24" s="168" t="str">
        <f t="shared" si="0"/>
        <v>-</v>
      </c>
      <c r="W24" s="201">
        <v>11</v>
      </c>
      <c r="X24" s="207">
        <f>H</f>
        <v>2000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0.57399999999999995</v>
      </c>
      <c r="AF24" s="178">
        <f t="shared" ref="AF24:AF47" si="9">IF(U24&gt;"",(AE24*X24*Z24)/1000,"")</f>
        <v>1.1479999999999999</v>
      </c>
      <c r="AG24" s="4"/>
      <c r="AH24" s="198" t="s">
        <v>93</v>
      </c>
      <c r="AI24" s="199"/>
      <c r="AJ24" s="203"/>
      <c r="AK24" s="167" t="s">
        <v>94</v>
      </c>
      <c r="AL24" s="168" t="str">
        <f t="shared" si="3"/>
        <v>-</v>
      </c>
      <c r="AM24" s="201">
        <v>1</v>
      </c>
      <c r="AN24" s="207">
        <f>HS.1</f>
        <v>1950</v>
      </c>
      <c r="AO24" s="171">
        <v>1</v>
      </c>
      <c r="AP24" s="172">
        <f t="shared" si="4"/>
        <v>1</v>
      </c>
      <c r="AQ24" s="202"/>
      <c r="AR24" s="174"/>
      <c r="AS24" s="175"/>
      <c r="AT24" s="176"/>
      <c r="AU24" s="177">
        <f t="shared" si="5"/>
        <v>0.55700000000000005</v>
      </c>
      <c r="AV24" s="178">
        <f t="shared" si="6"/>
        <v>1.0861500000000002</v>
      </c>
      <c r="AW24" s="4"/>
      <c r="AX24" s="198" t="s">
        <v>161</v>
      </c>
      <c r="AY24" s="199"/>
      <c r="AZ24" s="200"/>
      <c r="BA24" s="167" t="s">
        <v>116</v>
      </c>
      <c r="BB24" s="168"/>
      <c r="BC24" s="180"/>
      <c r="BD24" s="181" t="s">
        <v>170</v>
      </c>
      <c r="BE24" s="171">
        <v>8</v>
      </c>
      <c r="BF24" s="172">
        <f t="shared" si="7"/>
        <v>8</v>
      </c>
      <c r="BG24" s="183"/>
      <c r="BH24" s="184" t="s">
        <v>122</v>
      </c>
      <c r="BI24" s="185"/>
      <c r="BJ24" s="186"/>
      <c r="BK24" s="187"/>
      <c r="BL24" s="188" t="s">
        <v>117</v>
      </c>
      <c r="BM24" s="4"/>
      <c r="BN24" s="198" t="s">
        <v>165</v>
      </c>
      <c r="BO24" s="199"/>
      <c r="BP24" s="200"/>
      <c r="BQ24" s="167" t="s">
        <v>95</v>
      </c>
      <c r="BR24" s="168"/>
      <c r="BS24" s="180"/>
      <c r="BT24" s="181" t="s">
        <v>172</v>
      </c>
      <c r="BU24" s="171">
        <v>1</v>
      </c>
      <c r="BV24" s="172">
        <f t="shared" si="8"/>
        <v>1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96</v>
      </c>
      <c r="S25" s="199"/>
      <c r="T25" s="200"/>
      <c r="U25" s="167" t="s">
        <v>92</v>
      </c>
      <c r="V25" s="168" t="str">
        <f t="shared" si="0"/>
        <v>-</v>
      </c>
      <c r="W25" s="201">
        <f>IF(H&lt;1600,10,32)</f>
        <v>32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 t="str">
        <f>IF(H&lt;1600,CONCATENATE("a = ",(H/2)),"")</f>
        <v/>
      </c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97</v>
      </c>
      <c r="AI25" s="199"/>
      <c r="AJ25" s="203"/>
      <c r="AK25" s="167" t="s">
        <v>94</v>
      </c>
      <c r="AL25" s="168" t="str">
        <f t="shared" si="3"/>
        <v>-</v>
      </c>
      <c r="AM25" s="201">
        <f>IF(HS.1&lt;1550,5,7)</f>
        <v>7</v>
      </c>
      <c r="AN25" s="207">
        <f>HS.1</f>
        <v>1950</v>
      </c>
      <c r="AO25" s="171">
        <v>1</v>
      </c>
      <c r="AP25" s="172">
        <f t="shared" si="4"/>
        <v>1</v>
      </c>
      <c r="AQ25" s="209"/>
      <c r="AR25" s="174"/>
      <c r="AS25" s="175" t="str">
        <f>IF(HS.1&lt;1550,CONCATENATE("as = ",(HS.1/2)),"")</f>
        <v/>
      </c>
      <c r="AT25" s="176"/>
      <c r="AU25" s="177">
        <f t="shared" si="5"/>
        <v>0.55700000000000005</v>
      </c>
      <c r="AV25" s="178">
        <f t="shared" si="6"/>
        <v>1.0861500000000002</v>
      </c>
      <c r="AW25" s="4"/>
      <c r="AX25" s="198" t="s">
        <v>162</v>
      </c>
      <c r="AY25" s="199"/>
      <c r="AZ25" s="200"/>
      <c r="BA25" s="167" t="s">
        <v>119</v>
      </c>
      <c r="BB25" s="168"/>
      <c r="BC25" s="180"/>
      <c r="BD25" s="181" t="s">
        <v>139</v>
      </c>
      <c r="BE25" s="171">
        <v>1</v>
      </c>
      <c r="BF25" s="172">
        <f t="shared" si="7"/>
        <v>1</v>
      </c>
      <c r="BG25" s="183"/>
      <c r="BH25" s="184"/>
      <c r="BI25" s="185"/>
      <c r="BJ25" s="186"/>
      <c r="BK25" s="187"/>
      <c r="BL25" s="188" t="s">
        <v>117</v>
      </c>
      <c r="BM25" s="4"/>
      <c r="BN25" s="198" t="s">
        <v>177</v>
      </c>
      <c r="BO25" s="199"/>
      <c r="BP25" s="200"/>
      <c r="BQ25" s="167" t="s">
        <v>99</v>
      </c>
      <c r="BR25" s="168"/>
      <c r="BS25" s="180"/>
      <c r="BT25" s="181" t="s">
        <v>172</v>
      </c>
      <c r="BU25" s="171">
        <v>2</v>
      </c>
      <c r="BV25" s="172">
        <f t="shared" si="8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/>
      <c r="S26" s="199"/>
      <c r="T26" s="200"/>
      <c r="U26" s="167"/>
      <c r="V26" s="168" t="str">
        <f t="shared" si="0"/>
        <v/>
      </c>
      <c r="W26" s="201"/>
      <c r="X26" s="170"/>
      <c r="Y26" s="171"/>
      <c r="Z26" s="172" t="str">
        <f t="shared" si="1"/>
        <v/>
      </c>
      <c r="AA26" s="209"/>
      <c r="AB26" s="174"/>
      <c r="AC26" s="175"/>
      <c r="AD26" s="211"/>
      <c r="AE26" s="177" t="str">
        <f t="shared" si="2"/>
        <v/>
      </c>
      <c r="AF26" s="178" t="str">
        <f t="shared" si="9"/>
        <v/>
      </c>
      <c r="AG26" s="4"/>
      <c r="AH26" s="198" t="s">
        <v>100</v>
      </c>
      <c r="AI26" s="199"/>
      <c r="AJ26" s="203"/>
      <c r="AK26" s="167" t="s">
        <v>101</v>
      </c>
      <c r="AL26" s="168" t="str">
        <f t="shared" si="3"/>
        <v>-</v>
      </c>
      <c r="AM26" s="201">
        <v>0</v>
      </c>
      <c r="AN26" s="170">
        <f>WS.1-83</f>
        <v>865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0.16608000000000001</v>
      </c>
      <c r="AW26" s="4"/>
      <c r="AX26" s="198" t="s">
        <v>163</v>
      </c>
      <c r="AY26" s="199"/>
      <c r="AZ26" s="200"/>
      <c r="BA26" s="167" t="s">
        <v>121</v>
      </c>
      <c r="BB26" s="168"/>
      <c r="BC26" s="180"/>
      <c r="BD26" s="181" t="s">
        <v>171</v>
      </c>
      <c r="BE26" s="171">
        <f>IF(W&lt;=500,2,3)+IF(H&lt;=820,2,IF(H&lt;=1200,3,IF(H&gt;1200,5,5)))+IF(H&lt;=1400,3,IF(H&gt;1400,5,5))</f>
        <v>13</v>
      </c>
      <c r="BF26" s="172">
        <f t="shared" si="7"/>
        <v>13</v>
      </c>
      <c r="BG26" s="183"/>
      <c r="BH26" s="184" t="s">
        <v>174</v>
      </c>
      <c r="BI26" s="185"/>
      <c r="BJ26" s="186"/>
      <c r="BK26" s="187"/>
      <c r="BL26" s="188" t="s">
        <v>117</v>
      </c>
      <c r="BM26" s="4"/>
      <c r="BN26" s="198" t="s">
        <v>177</v>
      </c>
      <c r="BO26" s="199"/>
      <c r="BP26" s="200"/>
      <c r="BQ26" s="167" t="s">
        <v>104</v>
      </c>
      <c r="BR26" s="168"/>
      <c r="BS26" s="180"/>
      <c r="BT26" s="181" t="s">
        <v>172</v>
      </c>
      <c r="BU26" s="171">
        <v>2</v>
      </c>
      <c r="BV26" s="172">
        <f t="shared" si="8"/>
        <v>2</v>
      </c>
      <c r="BW26" s="183"/>
      <c r="BX26" s="184"/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/>
      <c r="S27" s="199"/>
      <c r="T27" s="200"/>
      <c r="U27" s="167"/>
      <c r="V27" s="168" t="str">
        <f t="shared" si="0"/>
        <v/>
      </c>
      <c r="W27" s="201"/>
      <c r="X27" s="170"/>
      <c r="Y27" s="171"/>
      <c r="Z27" s="172" t="str">
        <f t="shared" si="1"/>
        <v/>
      </c>
      <c r="AA27" s="209"/>
      <c r="AB27" s="174"/>
      <c r="AC27" s="175"/>
      <c r="AD27" s="211"/>
      <c r="AE27" s="177" t="str">
        <f t="shared" si="2"/>
        <v/>
      </c>
      <c r="AF27" s="178" t="str">
        <f t="shared" si="9"/>
        <v/>
      </c>
      <c r="AG27" s="4"/>
      <c r="AH27" s="198" t="s">
        <v>100</v>
      </c>
      <c r="AI27" s="199"/>
      <c r="AJ27" s="203"/>
      <c r="AK27" s="167" t="s">
        <v>101</v>
      </c>
      <c r="AL27" s="168" t="str">
        <f t="shared" si="3"/>
        <v>-</v>
      </c>
      <c r="AM27" s="201">
        <v>0</v>
      </c>
      <c r="AN27" s="170">
        <f>HS.1-84</f>
        <v>1866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0.35827199999999998</v>
      </c>
      <c r="AW27" s="4"/>
      <c r="AX27" s="198" t="s">
        <v>164</v>
      </c>
      <c r="AY27" s="199"/>
      <c r="AZ27" s="200"/>
      <c r="BA27" s="167" t="s">
        <v>89</v>
      </c>
      <c r="BB27" s="168"/>
      <c r="BC27" s="180"/>
      <c r="BD27" s="181" t="s">
        <v>170</v>
      </c>
      <c r="BE27" s="171">
        <v>2</v>
      </c>
      <c r="BF27" s="172">
        <f t="shared" si="7"/>
        <v>2</v>
      </c>
      <c r="BG27" s="212"/>
      <c r="BH27" s="184" t="s">
        <v>90</v>
      </c>
      <c r="BI27" s="185"/>
      <c r="BJ27" s="186"/>
      <c r="BK27" s="187"/>
      <c r="BL27" s="188"/>
      <c r="BM27" s="4"/>
      <c r="BN27" s="198" t="s">
        <v>178</v>
      </c>
      <c r="BO27" s="199"/>
      <c r="BP27" s="200"/>
      <c r="BQ27" s="167" t="s">
        <v>107</v>
      </c>
      <c r="BR27" s="168"/>
      <c r="BS27" s="180"/>
      <c r="BT27" s="181" t="s">
        <v>172</v>
      </c>
      <c r="BU27" s="171">
        <f>(HS.1*2)/1000</f>
        <v>3.9</v>
      </c>
      <c r="BV27" s="172">
        <f t="shared" si="8"/>
        <v>3.9</v>
      </c>
      <c r="BW27" s="212" t="s">
        <v>103</v>
      </c>
      <c r="BX27" s="184"/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/>
      <c r="S28" s="214"/>
      <c r="T28" s="215"/>
      <c r="U28" s="167"/>
      <c r="V28" s="168" t="str">
        <f t="shared" si="0"/>
        <v/>
      </c>
      <c r="W28" s="201"/>
      <c r="X28" s="170"/>
      <c r="Y28" s="171"/>
      <c r="Z28" s="172" t="str">
        <f t="shared" si="1"/>
        <v/>
      </c>
      <c r="AA28" s="209"/>
      <c r="AB28" s="174"/>
      <c r="AC28" s="175"/>
      <c r="AD28" s="211"/>
      <c r="AE28" s="177" t="str">
        <f t="shared" si="2"/>
        <v/>
      </c>
      <c r="AF28" s="178" t="str">
        <f t="shared" si="9"/>
        <v/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165</v>
      </c>
      <c r="AY28" s="199"/>
      <c r="AZ28" s="200"/>
      <c r="BA28" s="167" t="s">
        <v>95</v>
      </c>
      <c r="BB28" s="168"/>
      <c r="BC28" s="180"/>
      <c r="BD28" s="181" t="s">
        <v>172</v>
      </c>
      <c r="BE28" s="171">
        <v>1</v>
      </c>
      <c r="BF28" s="172">
        <f t="shared" si="7"/>
        <v>1</v>
      </c>
      <c r="BG28" s="183"/>
      <c r="BH28" s="184" t="s">
        <v>90</v>
      </c>
      <c r="BI28" s="185"/>
      <c r="BJ28" s="186"/>
      <c r="BK28" s="187"/>
      <c r="BL28" s="188"/>
      <c r="BM28" s="4"/>
      <c r="BN28" s="198" t="s">
        <v>179</v>
      </c>
      <c r="BO28" s="199"/>
      <c r="BP28" s="200"/>
      <c r="BQ28" s="167" t="s">
        <v>106</v>
      </c>
      <c r="BR28" s="168"/>
      <c r="BS28" s="180"/>
      <c r="BT28" s="181" t="s">
        <v>172</v>
      </c>
      <c r="BU28" s="171">
        <f>(((WS.1-66)*2)+((HS.1-84)*2))/1000</f>
        <v>5.4960000000000004</v>
      </c>
      <c r="BV28" s="172">
        <f t="shared" si="8"/>
        <v>5.4960000000000004</v>
      </c>
      <c r="BW28" s="183" t="s">
        <v>103</v>
      </c>
      <c r="BX28" s="184" t="s">
        <v>182</v>
      </c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/>
      <c r="S29" s="214"/>
      <c r="T29" s="215"/>
      <c r="U29" s="217"/>
      <c r="V29" s="168" t="str">
        <f t="shared" si="0"/>
        <v/>
      </c>
      <c r="W29" s="218"/>
      <c r="X29" s="170"/>
      <c r="Y29" s="219"/>
      <c r="Z29" s="172" t="str">
        <f t="shared" si="1"/>
        <v/>
      </c>
      <c r="AA29" s="220"/>
      <c r="AB29" s="174"/>
      <c r="AC29" s="175"/>
      <c r="AD29" s="211"/>
      <c r="AE29" s="177" t="str">
        <f t="shared" si="2"/>
        <v/>
      </c>
      <c r="AF29" s="178" t="str">
        <f t="shared" si="9"/>
        <v/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166</v>
      </c>
      <c r="AY29" s="199"/>
      <c r="AZ29" s="200"/>
      <c r="BA29" s="167" t="s">
        <v>98</v>
      </c>
      <c r="BB29" s="168"/>
      <c r="BC29" s="180"/>
      <c r="BD29" s="181" t="s">
        <v>172</v>
      </c>
      <c r="BE29" s="171">
        <v>2</v>
      </c>
      <c r="BF29" s="172">
        <f t="shared" si="7"/>
        <v>2</v>
      </c>
      <c r="BG29" s="183"/>
      <c r="BH29" s="184" t="s">
        <v>90</v>
      </c>
      <c r="BI29" s="185"/>
      <c r="BJ29" s="186"/>
      <c r="BK29" s="187"/>
      <c r="BL29" s="188"/>
      <c r="BM29" s="4"/>
      <c r="BN29" s="198" t="s">
        <v>161</v>
      </c>
      <c r="BO29" s="199"/>
      <c r="BP29" s="200"/>
      <c r="BQ29" s="167" t="s">
        <v>120</v>
      </c>
      <c r="BR29" s="168"/>
      <c r="BS29" s="180"/>
      <c r="BT29" s="181" t="s">
        <v>170</v>
      </c>
      <c r="BU29" s="171">
        <v>8</v>
      </c>
      <c r="BV29" s="172">
        <f t="shared" si="8"/>
        <v>8</v>
      </c>
      <c r="BW29" s="183"/>
      <c r="BX29" s="184" t="s">
        <v>173</v>
      </c>
      <c r="BY29" s="185"/>
      <c r="BZ29" s="186"/>
      <c r="CA29" s="187"/>
      <c r="CB29" s="188" t="s">
        <v>117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167</v>
      </c>
      <c r="AY30" s="199"/>
      <c r="AZ30" s="200"/>
      <c r="BA30" s="167" t="s">
        <v>102</v>
      </c>
      <c r="BB30" s="168"/>
      <c r="BC30" s="180"/>
      <c r="BD30" s="181" t="s">
        <v>172</v>
      </c>
      <c r="BE30" s="171">
        <f>((W-41)+(H-76))*2/1000</f>
        <v>5.766</v>
      </c>
      <c r="BF30" s="172">
        <f t="shared" si="7"/>
        <v>5.766</v>
      </c>
      <c r="BG30" s="183" t="s">
        <v>103</v>
      </c>
      <c r="BH30" s="184"/>
      <c r="BI30" s="185"/>
      <c r="BJ30" s="186"/>
      <c r="BK30" s="187"/>
      <c r="BL30" s="188"/>
      <c r="BM30" s="4"/>
      <c r="BN30" s="198" t="s">
        <v>161</v>
      </c>
      <c r="BO30" s="199"/>
      <c r="BP30" s="200"/>
      <c r="BQ30" s="167" t="s">
        <v>110</v>
      </c>
      <c r="BR30" s="168"/>
      <c r="BS30" s="180"/>
      <c r="BT30" s="181" t="s">
        <v>170</v>
      </c>
      <c r="BU30" s="171">
        <v>2</v>
      </c>
      <c r="BV30" s="172">
        <f t="shared" si="8"/>
        <v>2</v>
      </c>
      <c r="BW30" s="183"/>
      <c r="BX30" s="184" t="s">
        <v>111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167</v>
      </c>
      <c r="AY31" s="199"/>
      <c r="AZ31" s="200"/>
      <c r="BA31" s="167" t="s">
        <v>105</v>
      </c>
      <c r="BB31" s="168"/>
      <c r="BC31" s="180"/>
      <c r="BD31" s="181" t="s">
        <v>172</v>
      </c>
      <c r="BE31" s="171">
        <f>(W-41)/1000</f>
        <v>0.95899999999999996</v>
      </c>
      <c r="BF31" s="172">
        <f t="shared" si="7"/>
        <v>0.95899999999999996</v>
      </c>
      <c r="BG31" s="183" t="s">
        <v>103</v>
      </c>
      <c r="BH31" s="184"/>
      <c r="BI31" s="185"/>
      <c r="BJ31" s="186"/>
      <c r="BK31" s="187"/>
      <c r="BL31" s="188"/>
      <c r="BM31" s="4"/>
      <c r="BN31" s="198" t="s">
        <v>161</v>
      </c>
      <c r="BO31" s="199"/>
      <c r="BP31" s="200"/>
      <c r="BQ31" s="167" t="s">
        <v>114</v>
      </c>
      <c r="BR31" s="168"/>
      <c r="BS31" s="180"/>
      <c r="BT31" s="181" t="s">
        <v>170</v>
      </c>
      <c r="BU31" s="171">
        <v>6</v>
      </c>
      <c r="BV31" s="172">
        <f t="shared" si="8"/>
        <v>6</v>
      </c>
      <c r="BW31" s="183"/>
      <c r="BX31" s="184" t="s">
        <v>183</v>
      </c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168</v>
      </c>
      <c r="AY32" s="199"/>
      <c r="AZ32" s="200"/>
      <c r="BA32" s="167" t="s">
        <v>169</v>
      </c>
      <c r="BB32" s="168"/>
      <c r="BC32" s="180"/>
      <c r="BD32" s="181" t="s">
        <v>170</v>
      </c>
      <c r="BE32" s="171">
        <v>1</v>
      </c>
      <c r="BF32" s="172">
        <f t="shared" si="7"/>
        <v>1</v>
      </c>
      <c r="BG32" s="183"/>
      <c r="BH32" s="184"/>
      <c r="BI32" s="185"/>
      <c r="BJ32" s="186"/>
      <c r="BK32" s="187"/>
      <c r="BL32" s="188"/>
      <c r="BM32" s="4"/>
      <c r="BN32" s="198" t="s">
        <v>161</v>
      </c>
      <c r="BO32" s="199"/>
      <c r="BP32" s="200"/>
      <c r="BQ32" s="167" t="s">
        <v>108</v>
      </c>
      <c r="BR32" s="168"/>
      <c r="BS32" s="180"/>
      <c r="BT32" s="181" t="s">
        <v>170</v>
      </c>
      <c r="BU32" s="171">
        <v>2</v>
      </c>
      <c r="BV32" s="172">
        <f t="shared" si="8"/>
        <v>2</v>
      </c>
      <c r="BW32" s="183"/>
      <c r="BX32" s="184" t="s">
        <v>109</v>
      </c>
      <c r="BY32" s="185"/>
      <c r="BZ32" s="186"/>
      <c r="CA32" s="187"/>
      <c r="CB32" s="188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161</v>
      </c>
      <c r="AY33" s="199"/>
      <c r="AZ33" s="200"/>
      <c r="BA33" s="167" t="s">
        <v>108</v>
      </c>
      <c r="BB33" s="168"/>
      <c r="BC33" s="180"/>
      <c r="BD33" s="181" t="s">
        <v>170</v>
      </c>
      <c r="BE33" s="171">
        <v>2</v>
      </c>
      <c r="BF33" s="172">
        <f t="shared" si="7"/>
        <v>2</v>
      </c>
      <c r="BG33" s="212"/>
      <c r="BH33" s="184" t="s">
        <v>109</v>
      </c>
      <c r="BI33" s="185"/>
      <c r="BJ33" s="186"/>
      <c r="BK33" s="187"/>
      <c r="BL33" s="188"/>
      <c r="BM33" s="4"/>
      <c r="BN33" s="198" t="s">
        <v>179</v>
      </c>
      <c r="BO33" s="199"/>
      <c r="BP33" s="200"/>
      <c r="BQ33" s="167" t="str">
        <f>IF(GTH=5,"9K-20523",IF(GTH=6,"2K-22973",IF(GTH=8,"2K-22975","")))</f>
        <v>9K-20523</v>
      </c>
      <c r="BR33" s="168"/>
      <c r="BS33" s="180"/>
      <c r="BT33" s="181" t="s">
        <v>172</v>
      </c>
      <c r="BU33" s="171">
        <f>((2*WS.1)+(2*HS.1)-216)/1000</f>
        <v>5.58</v>
      </c>
      <c r="BV33" s="172">
        <f t="shared" si="8"/>
        <v>5.58</v>
      </c>
      <c r="BW33" s="212" t="s">
        <v>103</v>
      </c>
      <c r="BX33" s="184" t="s">
        <v>184</v>
      </c>
      <c r="BY33" s="185"/>
      <c r="BZ33" s="186"/>
      <c r="CA33" s="187"/>
      <c r="CB33" s="188" t="s">
        <v>117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161</v>
      </c>
      <c r="AY34" s="199"/>
      <c r="AZ34" s="200"/>
      <c r="BA34" s="167" t="s">
        <v>112</v>
      </c>
      <c r="BB34" s="168"/>
      <c r="BC34" s="180"/>
      <c r="BD34" s="181" t="s">
        <v>170</v>
      </c>
      <c r="BE34" s="171">
        <v>4</v>
      </c>
      <c r="BF34" s="172">
        <f t="shared" si="7"/>
        <v>4</v>
      </c>
      <c r="BG34" s="212"/>
      <c r="BH34" s="184" t="s">
        <v>113</v>
      </c>
      <c r="BI34" s="185"/>
      <c r="BJ34" s="186"/>
      <c r="BK34" s="187"/>
      <c r="BL34" s="188"/>
      <c r="BM34" s="4"/>
      <c r="BN34" s="198" t="s">
        <v>180</v>
      </c>
      <c r="BO34" s="199"/>
      <c r="BP34" s="200"/>
      <c r="BQ34" s="167" t="s">
        <v>118</v>
      </c>
      <c r="BR34" s="168"/>
      <c r="BS34" s="180"/>
      <c r="BT34" s="181" t="s">
        <v>181</v>
      </c>
      <c r="BU34" s="171">
        <v>2</v>
      </c>
      <c r="BV34" s="172">
        <f t="shared" si="8"/>
        <v>2</v>
      </c>
      <c r="BW34" s="212"/>
      <c r="BX34" s="184" t="s">
        <v>111</v>
      </c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tr">
        <f t="shared" ref="AX22:AX60" si="10">IF(BA35&gt;"",VLOOKUP(BA35,PART_NAMA,3,FALSE),"")</f>
        <v/>
      </c>
      <c r="AY35" s="199"/>
      <c r="AZ35" s="200"/>
      <c r="BA35" s="167"/>
      <c r="BB35" s="168"/>
      <c r="BC35" s="180"/>
      <c r="BD35" s="181" t="str">
        <f t="shared" ref="BD22:BD60" si="11">IF(BA35&gt;"",VLOOKUP(BA35&amp;$M$10,PART_MASTER,3,FALSE),"")</f>
        <v/>
      </c>
      <c r="BE35" s="171"/>
      <c r="BF35" s="172" t="str">
        <f t="shared" si="7"/>
        <v/>
      </c>
      <c r="BG35" s="212"/>
      <c r="BH35" s="184"/>
      <c r="BI35" s="185"/>
      <c r="BJ35" s="186"/>
      <c r="BK35" s="187"/>
      <c r="BL35" s="188"/>
      <c r="BM35" s="4"/>
      <c r="BN35" s="198" t="s">
        <v>161</v>
      </c>
      <c r="BO35" s="199"/>
      <c r="BP35" s="200"/>
      <c r="BQ35" s="167" t="s">
        <v>116</v>
      </c>
      <c r="BR35" s="168"/>
      <c r="BS35" s="180"/>
      <c r="BT35" s="181" t="s">
        <v>170</v>
      </c>
      <c r="BU35" s="171">
        <v>8</v>
      </c>
      <c r="BV35" s="172">
        <f t="shared" si="8"/>
        <v>8</v>
      </c>
      <c r="BW35" s="212" t="s">
        <v>7</v>
      </c>
      <c r="BX35" s="184" t="s">
        <v>122</v>
      </c>
      <c r="BY35" s="185"/>
      <c r="BZ35" s="186"/>
      <c r="CA35" s="187"/>
      <c r="CB35" s="188" t="s">
        <v>117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tr">
        <f t="shared" si="10"/>
        <v/>
      </c>
      <c r="AY36" s="199"/>
      <c r="AZ36" s="200"/>
      <c r="BA36" s="167"/>
      <c r="BB36" s="168"/>
      <c r="BC36" s="180"/>
      <c r="BD36" s="181" t="str">
        <f t="shared" si="11"/>
        <v/>
      </c>
      <c r="BE36" s="171"/>
      <c r="BF36" s="172" t="str">
        <f t="shared" si="7"/>
        <v/>
      </c>
      <c r="BG36" s="212"/>
      <c r="BH36" s="184"/>
      <c r="BI36" s="185"/>
      <c r="BJ36" s="186"/>
      <c r="BK36" s="187"/>
      <c r="BL36" s="188"/>
      <c r="BM36" s="4"/>
      <c r="BN36" s="198" t="str">
        <f t="shared" ref="BN22:BN60" si="12">IF(BQ36&gt;"",VLOOKUP(BQ36,PART_NAMA,3,FALSE),"")</f>
        <v/>
      </c>
      <c r="BO36" s="199"/>
      <c r="BP36" s="200"/>
      <c r="BQ36" s="167"/>
      <c r="BR36" s="168"/>
      <c r="BS36" s="180"/>
      <c r="BT36" s="181" t="str">
        <f t="shared" ref="BT22:BT57" si="13">IF(BQ36&gt;"",VLOOKUP(BQ36&amp;$M$10,PART_MASTER,3,FALSE),"")</f>
        <v/>
      </c>
      <c r="BU36" s="171"/>
      <c r="BV36" s="172" t="str">
        <f t="shared" si="8"/>
        <v/>
      </c>
      <c r="BW36" s="212"/>
      <c r="BX36" s="184"/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/>
      <c r="AY37" s="199"/>
      <c r="AZ37" s="200"/>
      <c r="BA37" s="204"/>
      <c r="BB37" s="168"/>
      <c r="BC37" s="180"/>
      <c r="BD37" s="181"/>
      <c r="BE37" s="171"/>
      <c r="BF37" s="172"/>
      <c r="BG37" s="183"/>
      <c r="BH37" s="184"/>
      <c r="BI37" s="185"/>
      <c r="BJ37" s="186"/>
      <c r="BK37" s="205"/>
      <c r="BL37" s="188"/>
      <c r="BM37" s="4"/>
      <c r="BN37" s="198" t="str">
        <f t="shared" si="12"/>
        <v/>
      </c>
      <c r="BO37" s="199"/>
      <c r="BP37" s="200"/>
      <c r="BQ37" s="167"/>
      <c r="BR37" s="168"/>
      <c r="BS37" s="180"/>
      <c r="BT37" s="181" t="str">
        <f t="shared" si="13"/>
        <v/>
      </c>
      <c r="BU37" s="171"/>
      <c r="BV37" s="172" t="str">
        <f t="shared" si="8"/>
        <v/>
      </c>
      <c r="BW37" s="212"/>
      <c r="BX37" s="184"/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/>
      <c r="AY38" s="199"/>
      <c r="AZ38" s="200"/>
      <c r="BA38" s="167"/>
      <c r="BB38" s="168"/>
      <c r="BC38" s="180"/>
      <c r="BD38" s="181"/>
      <c r="BE38" s="171"/>
      <c r="BF38" s="172"/>
      <c r="BG38" s="183"/>
      <c r="BH38" s="184"/>
      <c r="BI38" s="185"/>
      <c r="BJ38" s="186"/>
      <c r="BK38" s="205"/>
      <c r="BL38" s="188"/>
      <c r="BM38" s="4"/>
      <c r="BN38" s="198"/>
      <c r="BO38" s="199"/>
      <c r="BP38" s="200"/>
      <c r="BQ38" s="204"/>
      <c r="BR38" s="168"/>
      <c r="BS38" s="180"/>
      <c r="BT38" s="181"/>
      <c r="BU38" s="171"/>
      <c r="BV38" s="172"/>
      <c r="BW38" s="183"/>
      <c r="BX38" s="184"/>
      <c r="BY38" s="185"/>
      <c r="BZ38" s="186"/>
      <c r="CA38" s="205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4">IF(AK39&gt;"",VLOOKUP(AK39,MATERIAL_WEIGHT,2,FALSE),"")</f>
        <v/>
      </c>
      <c r="AV39" s="178" t="str">
        <f t="shared" si="6"/>
        <v/>
      </c>
      <c r="AW39" s="4"/>
      <c r="AX39" s="198"/>
      <c r="AY39" s="199"/>
      <c r="AZ39" s="200"/>
      <c r="BA39" s="167"/>
      <c r="BB39" s="168"/>
      <c r="BC39" s="180"/>
      <c r="BD39" s="181"/>
      <c r="BE39" s="171"/>
      <c r="BF39" s="172"/>
      <c r="BG39" s="183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205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4"/>
        <v/>
      </c>
      <c r="AV40" s="178" t="str">
        <f t="shared" si="6"/>
        <v/>
      </c>
      <c r="AW40" s="4"/>
      <c r="AX40" s="198"/>
      <c r="AY40" s="199"/>
      <c r="AZ40" s="200"/>
      <c r="BA40" s="167"/>
      <c r="BB40" s="168"/>
      <c r="BC40" s="180"/>
      <c r="BD40" s="181"/>
      <c r="BE40" s="171"/>
      <c r="BF40" s="172"/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123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4"/>
        <v/>
      </c>
      <c r="AV41" s="178" t="str">
        <f t="shared" si="6"/>
        <v/>
      </c>
      <c r="AW41" s="4"/>
      <c r="AX41" s="198"/>
      <c r="AY41" s="199"/>
      <c r="AZ41" s="200"/>
      <c r="BA41" s="167"/>
      <c r="BB41" s="168"/>
      <c r="BC41" s="180"/>
      <c r="BD41" s="181"/>
      <c r="BE41" s="171"/>
      <c r="BF41" s="172"/>
      <c r="BG41" s="183"/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4"/>
        <v/>
      </c>
      <c r="AV42" s="178" t="str">
        <f t="shared" si="6"/>
        <v/>
      </c>
      <c r="AW42" s="4"/>
      <c r="AX42" s="198"/>
      <c r="AY42" s="199"/>
      <c r="AZ42" s="200"/>
      <c r="BA42" s="167"/>
      <c r="BB42" s="168"/>
      <c r="BC42" s="180"/>
      <c r="BD42" s="181"/>
      <c r="BE42" s="171"/>
      <c r="BF42" s="172"/>
      <c r="BG42" s="212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124</v>
      </c>
      <c r="C43" s="240"/>
      <c r="D43" s="240"/>
      <c r="E43" s="240"/>
      <c r="F43" s="241"/>
      <c r="G43" s="242"/>
      <c r="H43" s="243"/>
      <c r="I43" s="233"/>
      <c r="J43" s="244" t="s">
        <v>125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4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71"/>
      <c r="BF43" s="172"/>
      <c r="BG43" s="183"/>
      <c r="BH43" s="184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212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126</v>
      </c>
      <c r="C44" s="325" t="s">
        <v>127</v>
      </c>
      <c r="D44" s="326"/>
      <c r="E44" s="327"/>
      <c r="F44" s="325" t="s">
        <v>128</v>
      </c>
      <c r="G44" s="326"/>
      <c r="H44" s="327"/>
      <c r="I44" s="252"/>
      <c r="J44" s="253" t="s">
        <v>126</v>
      </c>
      <c r="K44" s="325" t="s">
        <v>127</v>
      </c>
      <c r="L44" s="326"/>
      <c r="M44" s="326"/>
      <c r="N44" s="327"/>
      <c r="O44" s="253" t="s">
        <v>129</v>
      </c>
      <c r="P44" s="254" t="s">
        <v>126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4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130</v>
      </c>
      <c r="D45" s="257"/>
      <c r="E45" s="257"/>
      <c r="F45" s="258"/>
      <c r="G45" s="259"/>
      <c r="H45" s="260"/>
      <c r="I45" s="261"/>
      <c r="J45" s="262">
        <v>1</v>
      </c>
      <c r="K45" s="263" t="s">
        <v>131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4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132</v>
      </c>
      <c r="D46" s="259"/>
      <c r="E46" s="259"/>
      <c r="F46" s="263"/>
      <c r="G46" s="259"/>
      <c r="H46" s="260"/>
      <c r="I46" s="261"/>
      <c r="J46" s="262">
        <v>2</v>
      </c>
      <c r="K46" s="263" t="s">
        <v>133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4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187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134</v>
      </c>
      <c r="D47" s="259"/>
      <c r="E47" s="259"/>
      <c r="F47" s="263"/>
      <c r="G47" s="259"/>
      <c r="H47" s="260"/>
      <c r="I47" s="267"/>
      <c r="J47" s="262">
        <v>3</v>
      </c>
      <c r="K47" s="263" t="s">
        <v>135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4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183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136</v>
      </c>
      <c r="D48" s="259"/>
      <c r="E48" s="259"/>
      <c r="F48" s="263"/>
      <c r="G48" s="259"/>
      <c r="H48" s="260"/>
      <c r="I48" s="267"/>
      <c r="J48" s="262">
        <v>4</v>
      </c>
      <c r="K48" s="263" t="s">
        <v>137</v>
      </c>
      <c r="L48" s="259"/>
      <c r="M48" s="259"/>
      <c r="N48" s="264"/>
      <c r="O48" s="265"/>
      <c r="P48" s="266"/>
      <c r="Q48" s="4"/>
      <c r="R48" s="268" t="s">
        <v>77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138</v>
      </c>
      <c r="AD48" s="272"/>
      <c r="AE48" s="273" t="s">
        <v>139</v>
      </c>
      <c r="AF48" s="274">
        <f>SUM(AF22:AF47)</f>
        <v>3.3355559999999995</v>
      </c>
      <c r="AG48" s="4"/>
      <c r="AH48" s="268" t="s">
        <v>77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138</v>
      </c>
      <c r="AT48" s="272"/>
      <c r="AU48" s="273" t="s">
        <v>139</v>
      </c>
      <c r="AV48" s="274">
        <f>SUM(AV22:AV47)</f>
        <v>3.5815079999999999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212"/>
      <c r="BH48" s="184"/>
      <c r="BI48" s="185"/>
      <c r="BJ48" s="186"/>
      <c r="BK48" s="187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183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140</v>
      </c>
      <c r="D49" s="259"/>
      <c r="E49" s="259"/>
      <c r="F49" s="263"/>
      <c r="G49" s="259"/>
      <c r="H49" s="260"/>
      <c r="I49" s="267"/>
      <c r="J49" s="262">
        <v>5</v>
      </c>
      <c r="K49" s="263" t="s">
        <v>141</v>
      </c>
      <c r="L49" s="259"/>
      <c r="M49" s="259"/>
      <c r="N49" s="264"/>
      <c r="O49" s="265"/>
      <c r="P49" s="266"/>
      <c r="Q49" s="4"/>
      <c r="R49" s="275" t="s">
        <v>142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143</v>
      </c>
      <c r="AE49" s="279" t="s">
        <v>144</v>
      </c>
      <c r="AF49" s="280">
        <f>AF48*0.986</f>
        <v>3.2888582159999995</v>
      </c>
      <c r="AG49" s="4"/>
      <c r="AH49" s="275" t="s">
        <v>142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143</v>
      </c>
      <c r="AU49" s="279" t="s">
        <v>144</v>
      </c>
      <c r="AV49" s="280">
        <f>AV48*0.986</f>
        <v>3.531366888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212"/>
      <c r="BH49" s="184"/>
      <c r="BI49" s="185"/>
      <c r="BJ49" s="186"/>
      <c r="BK49" s="187"/>
      <c r="BL49" s="188"/>
      <c r="BM49" s="4"/>
      <c r="BN49" s="198"/>
      <c r="BO49" s="199"/>
      <c r="BP49" s="200"/>
      <c r="BQ49" s="167"/>
      <c r="BR49" s="168"/>
      <c r="BS49" s="180"/>
      <c r="BT49" s="181"/>
      <c r="BU49" s="171"/>
      <c r="BV49" s="172"/>
      <c r="BW49" s="212"/>
      <c r="BX49" s="184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145</v>
      </c>
      <c r="D50" s="259"/>
      <c r="E50" s="259"/>
      <c r="F50" s="263"/>
      <c r="G50" s="259"/>
      <c r="H50" s="260"/>
      <c r="I50" s="267"/>
      <c r="J50" s="262">
        <v>6</v>
      </c>
      <c r="K50" s="263" t="s">
        <v>146</v>
      </c>
      <c r="L50" s="259"/>
      <c r="M50" s="259"/>
      <c r="N50" s="264"/>
      <c r="O50" s="265"/>
      <c r="P50" s="266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147</v>
      </c>
      <c r="AF50" s="280">
        <f>AF48*0.974*0.986</f>
        <v>3.2033479023839995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147</v>
      </c>
      <c r="AV50" s="280">
        <f>AV48*0.974*0.986</f>
        <v>3.439551348912</v>
      </c>
      <c r="AW50" s="4"/>
      <c r="AX50" s="198" t="str">
        <f t="shared" si="10"/>
        <v/>
      </c>
      <c r="AY50" s="199"/>
      <c r="AZ50" s="200"/>
      <c r="BA50" s="167"/>
      <c r="BB50" s="168"/>
      <c r="BC50" s="180"/>
      <c r="BD50" s="181" t="str">
        <f t="shared" si="11"/>
        <v/>
      </c>
      <c r="BE50" s="182"/>
      <c r="BF50" s="172" t="str">
        <f t="shared" si="7"/>
        <v/>
      </c>
      <c r="BG50" s="183"/>
      <c r="BH50" s="250"/>
      <c r="BI50" s="185"/>
      <c r="BJ50" s="186"/>
      <c r="BK50" s="187"/>
      <c r="BL50" s="188"/>
      <c r="BM50" s="4"/>
      <c r="BN50" s="198"/>
      <c r="BO50" s="199"/>
      <c r="BP50" s="200"/>
      <c r="BQ50" s="167"/>
      <c r="BR50" s="168"/>
      <c r="BS50" s="180"/>
      <c r="BT50" s="181"/>
      <c r="BU50" s="171"/>
      <c r="BV50" s="172"/>
      <c r="BW50" s="212"/>
      <c r="BX50" s="184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148</v>
      </c>
      <c r="D51" s="259"/>
      <c r="E51" s="259"/>
      <c r="F51" s="263"/>
      <c r="G51" s="259"/>
      <c r="H51" s="260"/>
      <c r="I51" s="267"/>
      <c r="J51" s="262">
        <v>7</v>
      </c>
      <c r="K51" s="263" t="s">
        <v>149</v>
      </c>
      <c r="L51" s="259"/>
      <c r="M51" s="259"/>
      <c r="N51" s="264"/>
      <c r="O51" s="265"/>
      <c r="P51" s="266"/>
      <c r="Q51" s="4"/>
      <c r="R51" s="281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8" t="str">
        <f t="shared" si="10"/>
        <v/>
      </c>
      <c r="AY51" s="199"/>
      <c r="AZ51" s="200"/>
      <c r="BA51" s="167"/>
      <c r="BB51" s="168"/>
      <c r="BC51" s="180"/>
      <c r="BD51" s="181" t="str">
        <f t="shared" si="11"/>
        <v/>
      </c>
      <c r="BE51" s="171"/>
      <c r="BF51" s="172" t="str">
        <f t="shared" si="7"/>
        <v/>
      </c>
      <c r="BG51" s="212"/>
      <c r="BH51" s="184"/>
      <c r="BI51" s="185"/>
      <c r="BJ51" s="186"/>
      <c r="BK51" s="187"/>
      <c r="BL51" s="188"/>
      <c r="BM51" s="4"/>
      <c r="BN51" s="198"/>
      <c r="BO51" s="199"/>
      <c r="BP51" s="200"/>
      <c r="BQ51" s="167"/>
      <c r="BR51" s="168"/>
      <c r="BS51" s="180"/>
      <c r="BT51" s="181"/>
      <c r="BU51" s="171"/>
      <c r="BV51" s="172"/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4" t="s">
        <v>150</v>
      </c>
      <c r="C52" s="285"/>
      <c r="D52" s="286"/>
      <c r="E52" s="286"/>
      <c r="F52" s="286"/>
      <c r="G52" s="286"/>
      <c r="H52" s="286"/>
      <c r="I52" s="267"/>
      <c r="J52" s="262">
        <v>8</v>
      </c>
      <c r="K52" s="263" t="s">
        <v>151</v>
      </c>
      <c r="L52" s="259"/>
      <c r="M52" s="259"/>
      <c r="N52" s="264"/>
      <c r="O52" s="265"/>
      <c r="P52" s="266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8" t="str">
        <f t="shared" si="10"/>
        <v/>
      </c>
      <c r="AY52" s="199"/>
      <c r="AZ52" s="200"/>
      <c r="BA52" s="287"/>
      <c r="BB52" s="168"/>
      <c r="BC52" s="180"/>
      <c r="BD52" s="181" t="str">
        <f t="shared" si="11"/>
        <v/>
      </c>
      <c r="BE52" s="182"/>
      <c r="BF52" s="172" t="str">
        <f t="shared" si="7"/>
        <v/>
      </c>
      <c r="BG52" s="212"/>
      <c r="BH52" s="250"/>
      <c r="BI52" s="185"/>
      <c r="BJ52" s="186"/>
      <c r="BK52" s="187"/>
      <c r="BL52" s="188"/>
      <c r="BM52" s="4"/>
      <c r="BN52" s="198" t="str">
        <f t="shared" si="12"/>
        <v/>
      </c>
      <c r="BO52" s="199"/>
      <c r="BP52" s="200"/>
      <c r="BQ52" s="287"/>
      <c r="BR52" s="168"/>
      <c r="BS52" s="180"/>
      <c r="BT52" s="181" t="str">
        <f t="shared" si="13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8" t="s">
        <v>152</v>
      </c>
      <c r="C53" s="267"/>
      <c r="D53" s="267"/>
      <c r="E53" s="267"/>
      <c r="F53" s="267"/>
      <c r="G53" s="267"/>
      <c r="H53" s="267"/>
      <c r="I53" s="267"/>
      <c r="J53" s="289"/>
      <c r="K53" s="290"/>
      <c r="L53" s="290"/>
      <c r="M53" s="290"/>
      <c r="N53" s="291"/>
      <c r="O53" s="292"/>
      <c r="P53" s="293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8" t="str">
        <f t="shared" si="10"/>
        <v/>
      </c>
      <c r="AY53" s="199"/>
      <c r="AZ53" s="200"/>
      <c r="BA53" s="167"/>
      <c r="BB53" s="168"/>
      <c r="BC53" s="180"/>
      <c r="BD53" s="181" t="str">
        <f t="shared" si="11"/>
        <v/>
      </c>
      <c r="BE53" s="171"/>
      <c r="BF53" s="172" t="str">
        <f t="shared" si="7"/>
        <v/>
      </c>
      <c r="BG53" s="212"/>
      <c r="BH53" s="184"/>
      <c r="BI53" s="185"/>
      <c r="BJ53" s="186"/>
      <c r="BK53" s="187"/>
      <c r="BL53" s="188"/>
      <c r="BM53" s="4"/>
      <c r="BN53" s="198" t="str">
        <f t="shared" si="12"/>
        <v/>
      </c>
      <c r="BO53" s="199"/>
      <c r="BP53" s="200"/>
      <c r="BQ53" s="167"/>
      <c r="BR53" s="168"/>
      <c r="BS53" s="180"/>
      <c r="BT53" s="181" t="str">
        <f t="shared" si="13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4" t="s">
        <v>153</v>
      </c>
      <c r="C54" s="267"/>
      <c r="D54" s="267"/>
      <c r="E54" s="267"/>
      <c r="F54" s="267"/>
      <c r="G54" s="267"/>
      <c r="H54" s="267"/>
      <c r="I54" s="267"/>
      <c r="J54" s="295"/>
      <c r="K54" s="296"/>
      <c r="L54" s="296"/>
      <c r="M54" s="296"/>
      <c r="N54" s="297"/>
      <c r="O54" s="298"/>
      <c r="P54" s="299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8" t="str">
        <f t="shared" si="10"/>
        <v/>
      </c>
      <c r="AY54" s="199"/>
      <c r="AZ54" s="200"/>
      <c r="BA54" s="287"/>
      <c r="BB54" s="168"/>
      <c r="BC54" s="180"/>
      <c r="BD54" s="181" t="str">
        <f t="shared" si="11"/>
        <v/>
      </c>
      <c r="BE54" s="171"/>
      <c r="BF54" s="172" t="str">
        <f t="shared" si="7"/>
        <v/>
      </c>
      <c r="BG54" s="212"/>
      <c r="BH54" s="184"/>
      <c r="BI54" s="185"/>
      <c r="BJ54" s="186"/>
      <c r="BK54" s="187"/>
      <c r="BL54" s="188"/>
      <c r="BM54" s="4"/>
      <c r="BN54" s="198" t="str">
        <f t="shared" si="12"/>
        <v/>
      </c>
      <c r="BO54" s="199"/>
      <c r="BP54" s="200"/>
      <c r="BQ54" s="287"/>
      <c r="BR54" s="168"/>
      <c r="BS54" s="180"/>
      <c r="BT54" s="181" t="str">
        <f t="shared" si="13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4" t="s">
        <v>154</v>
      </c>
      <c r="C55" s="267"/>
      <c r="D55" s="267"/>
      <c r="E55" s="267"/>
      <c r="F55" s="267"/>
      <c r="G55" s="267"/>
      <c r="H55" s="267"/>
      <c r="I55" s="267"/>
      <c r="J55" s="300" t="s">
        <v>155</v>
      </c>
      <c r="K55" s="292"/>
      <c r="L55" s="286"/>
      <c r="M55" s="286"/>
      <c r="N55" s="301"/>
      <c r="O55" s="259"/>
      <c r="P55" s="302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8" t="str">
        <f t="shared" si="10"/>
        <v/>
      </c>
      <c r="AY55" s="199"/>
      <c r="AZ55" s="200"/>
      <c r="BA55" s="167"/>
      <c r="BB55" s="168"/>
      <c r="BC55" s="180"/>
      <c r="BD55" s="181" t="str">
        <f t="shared" si="11"/>
        <v/>
      </c>
      <c r="BE55" s="171"/>
      <c r="BF55" s="172" t="str">
        <f t="shared" si="7"/>
        <v/>
      </c>
      <c r="BG55" s="212"/>
      <c r="BH55" s="184"/>
      <c r="BI55" s="185"/>
      <c r="BJ55" s="186"/>
      <c r="BK55" s="187"/>
      <c r="BL55" s="188"/>
      <c r="BM55" s="4"/>
      <c r="BN55" s="198" t="str">
        <f t="shared" si="12"/>
        <v/>
      </c>
      <c r="BO55" s="199"/>
      <c r="BP55" s="200"/>
      <c r="BQ55" s="167"/>
      <c r="BR55" s="168"/>
      <c r="BS55" s="180"/>
      <c r="BT55" s="181" t="str">
        <f t="shared" si="13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3"/>
      <c r="C56" s="267"/>
      <c r="D56" s="267"/>
      <c r="E56" s="267"/>
      <c r="F56" s="267"/>
      <c r="G56" s="267"/>
      <c r="H56" s="267"/>
      <c r="I56" s="267"/>
      <c r="J56" s="304" t="s">
        <v>156</v>
      </c>
      <c r="K56" s="305"/>
      <c r="L56" s="305"/>
      <c r="M56" s="305"/>
      <c r="N56" s="306"/>
      <c r="O56" s="307" t="s">
        <v>157</v>
      </c>
      <c r="P56" s="308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8" t="str">
        <f t="shared" si="10"/>
        <v/>
      </c>
      <c r="AY56" s="199"/>
      <c r="AZ56" s="200"/>
      <c r="BA56" s="167"/>
      <c r="BB56" s="168"/>
      <c r="BC56" s="180"/>
      <c r="BD56" s="181" t="str">
        <f t="shared" si="11"/>
        <v/>
      </c>
      <c r="BE56" s="171"/>
      <c r="BF56" s="172" t="str">
        <f t="shared" si="7"/>
        <v/>
      </c>
      <c r="BG56" s="212"/>
      <c r="BH56" s="184"/>
      <c r="BI56" s="185"/>
      <c r="BJ56" s="186"/>
      <c r="BK56" s="187"/>
      <c r="BL56" s="188"/>
      <c r="BM56" s="4"/>
      <c r="BN56" s="198" t="str">
        <f t="shared" si="12"/>
        <v/>
      </c>
      <c r="BO56" s="199"/>
      <c r="BP56" s="200"/>
      <c r="BQ56" s="167"/>
      <c r="BR56" s="168"/>
      <c r="BS56" s="180"/>
      <c r="BT56" s="181" t="str">
        <f t="shared" si="13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09"/>
      <c r="C57" s="310"/>
      <c r="D57" s="310"/>
      <c r="E57" s="310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1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8" t="str">
        <f t="shared" si="10"/>
        <v/>
      </c>
      <c r="AY57" s="199"/>
      <c r="AZ57" s="200"/>
      <c r="BA57" s="167"/>
      <c r="BB57" s="168"/>
      <c r="BC57" s="180"/>
      <c r="BD57" s="181" t="str">
        <f t="shared" si="11"/>
        <v/>
      </c>
      <c r="BE57" s="171"/>
      <c r="BF57" s="172" t="str">
        <f t="shared" si="7"/>
        <v/>
      </c>
      <c r="BG57" s="212"/>
      <c r="BH57" s="184"/>
      <c r="BI57" s="185"/>
      <c r="BJ57" s="186"/>
      <c r="BK57" s="187"/>
      <c r="BL57" s="188"/>
      <c r="BM57" s="4"/>
      <c r="BN57" s="198" t="str">
        <f t="shared" si="12"/>
        <v/>
      </c>
      <c r="BO57" s="199"/>
      <c r="BP57" s="200"/>
      <c r="BQ57" s="167"/>
      <c r="BR57" s="168"/>
      <c r="BS57" s="180"/>
      <c r="BT57" s="181" t="str">
        <f t="shared" si="13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09"/>
      <c r="C58" s="310"/>
      <c r="D58" s="310"/>
      <c r="E58" s="310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1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213" t="str">
        <f t="shared" si="10"/>
        <v/>
      </c>
      <c r="AY58" s="199"/>
      <c r="AZ58" s="200"/>
      <c r="BA58" s="287"/>
      <c r="BB58" s="168"/>
      <c r="BC58" s="180"/>
      <c r="BD58" s="181" t="str">
        <f t="shared" si="11"/>
        <v/>
      </c>
      <c r="BE58" s="171"/>
      <c r="BF58" s="172" t="str">
        <f t="shared" si="7"/>
        <v/>
      </c>
      <c r="BG58" s="183"/>
      <c r="BH58" s="250"/>
      <c r="BI58" s="185"/>
      <c r="BJ58" s="186"/>
      <c r="BK58" s="205"/>
      <c r="BL58" s="312"/>
      <c r="BM58" s="4"/>
      <c r="BN58" s="213" t="str">
        <f t="shared" si="12"/>
        <v/>
      </c>
      <c r="BO58" s="199"/>
      <c r="BP58" s="200"/>
      <c r="BQ58" s="287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2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7"/>
      <c r="J59" s="267"/>
      <c r="K59" s="267"/>
      <c r="L59" s="313"/>
      <c r="M59" s="313"/>
      <c r="N59" s="313"/>
      <c r="O59" s="313"/>
      <c r="P59" s="311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213" t="str">
        <f t="shared" si="10"/>
        <v/>
      </c>
      <c r="AY59" s="199"/>
      <c r="AZ59" s="200"/>
      <c r="BA59" s="167"/>
      <c r="BB59" s="168"/>
      <c r="BC59" s="180"/>
      <c r="BD59" s="181" t="str">
        <f t="shared" si="11"/>
        <v/>
      </c>
      <c r="BE59" s="171"/>
      <c r="BF59" s="172" t="str">
        <f t="shared" si="7"/>
        <v/>
      </c>
      <c r="BG59" s="183"/>
      <c r="BH59" s="250"/>
      <c r="BI59" s="185"/>
      <c r="BJ59" s="186"/>
      <c r="BK59" s="205"/>
      <c r="BL59" s="312"/>
      <c r="BM59" s="4"/>
      <c r="BN59" s="213" t="str">
        <f t="shared" si="12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2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158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3" t="str">
        <f t="shared" si="10"/>
        <v/>
      </c>
      <c r="AY60" s="199"/>
      <c r="AZ60" s="200"/>
      <c r="BA60" s="167"/>
      <c r="BB60" s="168"/>
      <c r="BC60" s="180"/>
      <c r="BD60" s="181" t="str">
        <f t="shared" si="11"/>
        <v/>
      </c>
      <c r="BE60" s="171"/>
      <c r="BF60" s="172" t="str">
        <f t="shared" si="7"/>
        <v/>
      </c>
      <c r="BG60" s="183"/>
      <c r="BH60" s="250"/>
      <c r="BI60" s="185"/>
      <c r="BJ60" s="186"/>
      <c r="BK60" s="205"/>
      <c r="BL60" s="312"/>
      <c r="BM60" s="4"/>
      <c r="BN60" s="213" t="str">
        <f t="shared" si="12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6">IF(BU60="","",Q*BU60)</f>
        <v/>
      </c>
      <c r="BW60" s="183"/>
      <c r="BX60" s="250"/>
      <c r="BY60" s="185"/>
      <c r="BZ60" s="186"/>
      <c r="CA60" s="205"/>
      <c r="CB60" s="312"/>
      <c r="CG60" s="3"/>
    </row>
    <row r="61" spans="2:120" ht="15" customHeight="1" x14ac:dyDescent="0.3">
      <c r="P61" s="320" t="s">
        <v>159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159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159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159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159</v>
      </c>
    </row>
    <row r="63" spans="2:120" x14ac:dyDescent="0.25">
      <c r="BT63" s="322"/>
    </row>
    <row r="64" spans="2:120" x14ac:dyDescent="0.25">
      <c r="BT64" s="322"/>
    </row>
    <row r="65" spans="72:72" x14ac:dyDescent="0.25">
      <c r="BT65" s="322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CAR-KD</vt:lpstr>
      <vt:lpstr>'CAR-KD'!A.</vt:lpstr>
      <vt:lpstr>'CAR-KD'!C.</vt:lpstr>
      <vt:lpstr>'CAR-KD'!F.</vt:lpstr>
      <vt:lpstr>'CAR-KD'!GCS</vt:lpstr>
      <vt:lpstr>'CAR-KD'!GTH</vt:lpstr>
      <vt:lpstr>'CAR-KD'!H</vt:lpstr>
      <vt:lpstr>'CAR-KD'!h.1</vt:lpstr>
      <vt:lpstr>'CAR-KD'!h.10</vt:lpstr>
      <vt:lpstr>'CAR-KD'!h.2</vt:lpstr>
      <vt:lpstr>'CAR-KD'!h.3</vt:lpstr>
      <vt:lpstr>'CAR-KD'!h.4</vt:lpstr>
      <vt:lpstr>'CAR-KD'!h.5</vt:lpstr>
      <vt:lpstr>'CAR-KD'!h.6</vt:lpstr>
      <vt:lpstr>'CAR-KD'!h.7</vt:lpstr>
      <vt:lpstr>'CAR-KD'!h.8</vt:lpstr>
      <vt:lpstr>'CAR-KD'!h.9</vt:lpstr>
      <vt:lpstr>'CAR-KD'!HS</vt:lpstr>
      <vt:lpstr>'CAR-KD'!HS.1</vt:lpstr>
      <vt:lpstr>'CAR-KD'!HS.2</vt:lpstr>
      <vt:lpstr>'CAR-KD'!HS.3</vt:lpstr>
      <vt:lpstr>'CAR-KD'!HS.4</vt:lpstr>
      <vt:lpstr>'CAR-KD'!HS.5</vt:lpstr>
      <vt:lpstr>'CAR-KD'!Print_Area</vt:lpstr>
      <vt:lpstr>'CAR-KD'!Q</vt:lpstr>
      <vt:lpstr>'CAR-KD'!R.</vt:lpstr>
      <vt:lpstr>'CAR-KD'!W</vt:lpstr>
      <vt:lpstr>'CAR-KD'!w.1</vt:lpstr>
      <vt:lpstr>'CAR-KD'!w.10</vt:lpstr>
      <vt:lpstr>'CAR-KD'!w.2</vt:lpstr>
      <vt:lpstr>'CAR-KD'!w.3</vt:lpstr>
      <vt:lpstr>'CAR-KD'!w.4</vt:lpstr>
      <vt:lpstr>'CAR-KD'!w.5</vt:lpstr>
      <vt:lpstr>'CAR-KD'!w.6</vt:lpstr>
      <vt:lpstr>'CAR-KD'!w.7</vt:lpstr>
      <vt:lpstr>'CAR-KD'!w.8</vt:lpstr>
      <vt:lpstr>'CAR-KD'!w.9</vt:lpstr>
      <vt:lpstr>'CAR-KD'!WS</vt:lpstr>
      <vt:lpstr>'CAR-KD'!WS.1</vt:lpstr>
      <vt:lpstr>'CAR-KD'!WS.2</vt:lpstr>
      <vt:lpstr>'CAR-KD'!WS.3</vt:lpstr>
      <vt:lpstr>'CAR-KD'!WS.4</vt:lpstr>
      <vt:lpstr>'CAR-KD'!WS.5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2024-07-30T01:55:30Z</dcterms:created>
  <dcterms:modified xsi:type="dcterms:W3CDTF">2024-08-14T02:12:05Z</dcterms:modified>
</cp:coreProperties>
</file>