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1906B19B-1C1C-4CBE-8ECD-5576EAA0B41A}" xr6:coauthVersionLast="47" xr6:coauthVersionMax="47" xr10:uidLastSave="{00000000-0000-0000-0000-000000000000}"/>
  <bookViews>
    <workbookView xWindow="-108" yWindow="-108" windowWidth="23256" windowHeight="12456" xr2:uid="{9D507367-C364-464D-B228-54B63E904A84}"/>
  </bookViews>
  <sheets>
    <sheet name="FIX_TH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'FIX_TH-KD'!$P$18</definedName>
    <definedName name="BD">"BD"</definedName>
    <definedName name="C." localSheetId="0">'FIX_TH-KD'!$P$17</definedName>
    <definedName name="F." localSheetId="0">'FIX_TH-KD'!$P$16</definedName>
    <definedName name="GCS" localSheetId="0">'FIX_TH-KD'!$O$12</definedName>
    <definedName name="GTH" localSheetId="0">'FIX_TH-KD'!$O$11</definedName>
    <definedName name="H" localSheetId="0">'FIX_TH-KD'!$E$12</definedName>
    <definedName name="h.1" localSheetId="0">'FIX_TH-KD'!$C$14</definedName>
    <definedName name="h.10" localSheetId="0">'FIX_TH-KD'!$E$18</definedName>
    <definedName name="h.2" localSheetId="0">'FIX_TH-KD'!$C$15</definedName>
    <definedName name="h.3" localSheetId="0">'FIX_TH-KD'!$C$16</definedName>
    <definedName name="h.4" localSheetId="0">'FIX_TH-KD'!$C$17</definedName>
    <definedName name="h.5" localSheetId="0">'FIX_TH-KD'!$C$18</definedName>
    <definedName name="h.6" localSheetId="0">'FIX_TH-KD'!$E$14</definedName>
    <definedName name="h.7" localSheetId="0">'FIX_TH-KD'!$E$15</definedName>
    <definedName name="h.8" localSheetId="0">'FIX_TH-KD'!$E$16</definedName>
    <definedName name="h.9" localSheetId="0">'FIX_TH-KD'!$E$17</definedName>
    <definedName name="HS" localSheetId="0">'FIX_TH-KD'!$H$12</definedName>
    <definedName name="HS.1" localSheetId="0">'FIX_TH-KD'!$L$14</definedName>
    <definedName name="HS.2" localSheetId="0">'FIX_TH-KD'!$L$15</definedName>
    <definedName name="HS.3" localSheetId="0">'FIX_TH-KD'!$L$16</definedName>
    <definedName name="HS.4" localSheetId="0">'FIX_TH-KD'!$L$17</definedName>
    <definedName name="HS.5" localSheetId="0">'FIX_TH-KD'!$L$18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'FIX_TH-KD'!$1:$61</definedName>
    <definedName name="Q" localSheetId="0">'FIX_TH-KD'!$I$11</definedName>
    <definedName name="R." localSheetId="0">'FIX_TH-KD'!$C$62</definedName>
    <definedName name="st" hidden="1">[6]Gra_Ord_In_2000!$BA$12:$BA$1655</definedName>
    <definedName name="W" localSheetId="0">'FIX_TH-KD'!$E$11</definedName>
    <definedName name="w.1" localSheetId="0">'FIX_TH-KD'!$H$14</definedName>
    <definedName name="w.10" localSheetId="0">'FIX_TH-KD'!$J$18</definedName>
    <definedName name="w.2" localSheetId="0">'FIX_TH-KD'!$H$15</definedName>
    <definedName name="w.3" localSheetId="0">'FIX_TH-KD'!$H$16</definedName>
    <definedName name="w.4" localSheetId="0">'FIX_TH-KD'!$H$17</definedName>
    <definedName name="w.5" localSheetId="0">'FIX_TH-KD'!$H$18</definedName>
    <definedName name="w.6" localSheetId="0">'FIX_TH-KD'!$J$14</definedName>
    <definedName name="w.7" localSheetId="0">'FIX_TH-KD'!$J$15</definedName>
    <definedName name="w.8" localSheetId="0">'FIX_TH-KD'!$J$16</definedName>
    <definedName name="w.9" localSheetId="0">'FIX_TH-KD'!$J$17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'FIX_TH-KD'!$L$12</definedName>
    <definedName name="WS.1" localSheetId="0">'FIX_TH-KD'!$N$14</definedName>
    <definedName name="WS.2" localSheetId="0">'FIX_TH-KD'!$N$15</definedName>
    <definedName name="WS.3" localSheetId="0">'FIX_TH-KD'!$N$16</definedName>
    <definedName name="WS.4" localSheetId="0">'FIX_TH-KD'!$N$17</definedName>
    <definedName name="WS.5" localSheetId="0">'FIX_TH-KD'!$N$18</definedName>
    <definedName name="Z_8BD11290_77B3_4D27_9040_BB9D2A7264B2_.wvu.PrintArea" localSheetId="0" hidden="1">'FIX_TH-KD'!$1:$61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5" i="1" l="1"/>
  <c r="BU28" i="1"/>
  <c r="BU24" i="1"/>
  <c r="BU23" i="1"/>
  <c r="BQ28" i="1"/>
  <c r="BF37" i="1" l="1"/>
  <c r="BE37" i="1"/>
  <c r="BE36" i="1"/>
  <c r="BE35" i="1"/>
  <c r="BE30" i="1"/>
  <c r="BF30" i="1" s="1"/>
  <c r="BE29" i="1"/>
  <c r="BF29" i="1" s="1"/>
  <c r="BE28" i="1"/>
  <c r="BE27" i="1"/>
  <c r="BF27" i="1" s="1"/>
  <c r="BA36" i="1"/>
  <c r="BA22" i="1"/>
  <c r="X29" i="1"/>
  <c r="X28" i="1"/>
  <c r="X27" i="1"/>
  <c r="X26" i="1"/>
  <c r="X25" i="1"/>
  <c r="X24" i="1"/>
  <c r="X23" i="1"/>
  <c r="X22" i="1"/>
  <c r="BF35" i="1"/>
  <c r="BF34" i="1"/>
  <c r="BF28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BV42" i="1"/>
  <c r="BT42" i="1"/>
  <c r="BN42" i="1"/>
  <c r="AV42" i="1"/>
  <c r="AU42" i="1"/>
  <c r="AP42" i="1"/>
  <c r="AL42" i="1"/>
  <c r="AF42" i="1"/>
  <c r="AE42" i="1"/>
  <c r="Z42" i="1"/>
  <c r="V42" i="1"/>
  <c r="P42" i="1"/>
  <c r="O42" i="1"/>
  <c r="F42" i="1"/>
  <c r="BV41" i="1"/>
  <c r="BT41" i="1"/>
  <c r="BN41" i="1"/>
  <c r="AV41" i="1"/>
  <c r="AU41" i="1"/>
  <c r="AP41" i="1"/>
  <c r="AL41" i="1"/>
  <c r="AF41" i="1"/>
  <c r="AE41" i="1"/>
  <c r="Z41" i="1"/>
  <c r="V41" i="1"/>
  <c r="BV40" i="1"/>
  <c r="BT40" i="1"/>
  <c r="BN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BF38" i="1"/>
  <c r="BD38" i="1"/>
  <c r="AX38" i="1"/>
  <c r="AV38" i="1"/>
  <c r="AU38" i="1"/>
  <c r="AP38" i="1"/>
  <c r="AL38" i="1"/>
  <c r="AV37" i="1"/>
  <c r="AU37" i="1"/>
  <c r="AP37" i="1"/>
  <c r="AL37" i="1"/>
  <c r="AV36" i="1"/>
  <c r="AU36" i="1"/>
  <c r="AP36" i="1"/>
  <c r="AL36" i="1"/>
  <c r="AV35" i="1"/>
  <c r="AU35" i="1"/>
  <c r="AP35" i="1"/>
  <c r="AL35" i="1"/>
  <c r="AV34" i="1"/>
  <c r="AU34" i="1"/>
  <c r="AP34" i="1"/>
  <c r="AL34" i="1"/>
  <c r="BF33" i="1"/>
  <c r="AV33" i="1"/>
  <c r="AU33" i="1"/>
  <c r="AP33" i="1"/>
  <c r="AL33" i="1"/>
  <c r="BF32" i="1"/>
  <c r="AV32" i="1"/>
  <c r="AU32" i="1"/>
  <c r="AP32" i="1"/>
  <c r="AL32" i="1"/>
  <c r="BV31" i="1"/>
  <c r="BT31" i="1"/>
  <c r="BN31" i="1"/>
  <c r="BF31" i="1"/>
  <c r="AV31" i="1"/>
  <c r="AU31" i="1"/>
  <c r="AP31" i="1"/>
  <c r="AL31" i="1"/>
  <c r="AF31" i="1"/>
  <c r="AE31" i="1"/>
  <c r="Z31" i="1"/>
  <c r="V31" i="1"/>
  <c r="BV30" i="1"/>
  <c r="BT30" i="1"/>
  <c r="BN30" i="1"/>
  <c r="AV30" i="1"/>
  <c r="AU30" i="1"/>
  <c r="AP30" i="1"/>
  <c r="AL30" i="1"/>
  <c r="AF30" i="1"/>
  <c r="AE30" i="1"/>
  <c r="Z30" i="1"/>
  <c r="V30" i="1"/>
  <c r="AV29" i="1"/>
  <c r="AU29" i="1"/>
  <c r="AP29" i="1"/>
  <c r="AL29" i="1"/>
  <c r="AE29" i="1"/>
  <c r="Z29" i="1"/>
  <c r="V29" i="1"/>
  <c r="BV28" i="1"/>
  <c r="AV28" i="1"/>
  <c r="AU28" i="1"/>
  <c r="AP28" i="1"/>
  <c r="AL28" i="1"/>
  <c r="AE28" i="1"/>
  <c r="AF28" i="1" s="1"/>
  <c r="Z28" i="1"/>
  <c r="V28" i="1"/>
  <c r="BV27" i="1"/>
  <c r="AU27" i="1"/>
  <c r="AP27" i="1"/>
  <c r="AL27" i="1"/>
  <c r="AE27" i="1"/>
  <c r="Z27" i="1"/>
  <c r="V27" i="1"/>
  <c r="BV26" i="1"/>
  <c r="BF26" i="1"/>
  <c r="AU26" i="1"/>
  <c r="AP26" i="1"/>
  <c r="AL26" i="1"/>
  <c r="AE26" i="1"/>
  <c r="Z26" i="1"/>
  <c r="V26" i="1"/>
  <c r="BF25" i="1"/>
  <c r="AU25" i="1"/>
  <c r="AP25" i="1"/>
  <c r="AL25" i="1"/>
  <c r="AE25" i="1"/>
  <c r="Z25" i="1"/>
  <c r="V25" i="1"/>
  <c r="BF24" i="1"/>
  <c r="AU24" i="1"/>
  <c r="AP24" i="1"/>
  <c r="AL24" i="1"/>
  <c r="AE24" i="1"/>
  <c r="AF24" i="1" s="1"/>
  <c r="Z24" i="1"/>
  <c r="V24" i="1"/>
  <c r="BF23" i="1"/>
  <c r="AU23" i="1"/>
  <c r="AP23" i="1"/>
  <c r="AL23" i="1"/>
  <c r="AE23" i="1"/>
  <c r="Z23" i="1"/>
  <c r="V23" i="1"/>
  <c r="BV22" i="1"/>
  <c r="BF22" i="1"/>
  <c r="AU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D15" i="1"/>
  <c r="AB15" i="1"/>
  <c r="Z15" i="1"/>
  <c r="X15" i="1"/>
  <c r="U15" i="1"/>
  <c r="C15" i="1"/>
  <c r="AI15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CA12" i="1"/>
  <c r="BZ12" i="1"/>
  <c r="BQ12" i="1"/>
  <c r="BK12" i="1"/>
  <c r="BA12" i="1"/>
  <c r="AU12" i="1"/>
  <c r="AK12" i="1"/>
  <c r="AE12" i="1"/>
  <c r="AD12" i="1"/>
  <c r="U12" i="1"/>
  <c r="N12" i="1"/>
  <c r="BJ12" i="1" s="1"/>
  <c r="CA11" i="1"/>
  <c r="BZ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AK3" i="1"/>
  <c r="E3" i="1"/>
  <c r="BA3" i="1" s="1"/>
  <c r="AF2" i="1"/>
  <c r="AV2" i="1" s="1"/>
  <c r="BL2" i="1" s="1"/>
  <c r="CB2" i="1" s="1"/>
  <c r="AF22" i="1" l="1"/>
  <c r="AF29" i="1"/>
  <c r="AF27" i="1"/>
  <c r="AF26" i="1"/>
  <c r="AF23" i="1"/>
  <c r="AF25" i="1"/>
  <c r="AN22" i="1"/>
  <c r="AV22" i="1" s="1"/>
  <c r="AT14" i="1"/>
  <c r="S15" i="1"/>
  <c r="BG9" i="1"/>
  <c r="AE4" i="1"/>
  <c r="AA9" i="1"/>
  <c r="AT11" i="1"/>
  <c r="AD14" i="1"/>
  <c r="BF36" i="1"/>
  <c r="BK4" i="1"/>
  <c r="U3" i="1"/>
  <c r="CA4" i="1"/>
  <c r="BW9" i="1"/>
  <c r="AT12" i="1"/>
  <c r="L14" i="1"/>
  <c r="BV24" i="1" s="1"/>
  <c r="BO15" i="1"/>
  <c r="AN26" i="1"/>
  <c r="AV26" i="1" s="1"/>
  <c r="BZ14" i="1"/>
  <c r="AN23" i="1"/>
  <c r="AV23" i="1" s="1"/>
  <c r="BJ14" i="1"/>
  <c r="BV23" i="1"/>
  <c r="AF48" i="1" l="1"/>
  <c r="AF50" i="1" s="1"/>
  <c r="BV29" i="1"/>
  <c r="AN24" i="1"/>
  <c r="AV24" i="1" s="1"/>
  <c r="AN27" i="1"/>
  <c r="AV27" i="1" s="1"/>
  <c r="BH14" i="1"/>
  <c r="BV25" i="1"/>
  <c r="AS25" i="1"/>
  <c r="AB14" i="1"/>
  <c r="AR14" i="1"/>
  <c r="BX14" i="1"/>
  <c r="AN25" i="1"/>
  <c r="AV25" i="1" s="1"/>
  <c r="AS24" i="1"/>
  <c r="AV48" i="1" l="1"/>
  <c r="AF49" i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627B55A9-BBDB-4D73-98AA-40F66EBB50A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0A7A534-E61C-47DF-89F5-57B143C85E6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DE916D4-33DF-4C31-96FC-B057AC9E75C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<sst xmlns="http://schemas.openxmlformats.org/spreadsheetml/2006/main" count="519" uniqueCount="184">
  <si>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</si>
  <si>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</si>
  <si>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</si>
  <si>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</si>
  <si>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</si>
  <si>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</si>
  <si>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</si>
  <si>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</si>
  <si>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</si>
  <si>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</si>
  <si>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</si>
  <si>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</si>
  <si>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</si>
  <si>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</si>
  <si>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</si>
  <si>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TH-KD NC</t>
  </si>
  <si>
    <t>Delivery Date</t>
  </si>
  <si>
    <t>Elevation Code</t>
  </si>
  <si>
    <t>52F/T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</si>
  <si>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</si>
  <si>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</si>
  <si>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</si>
  <si>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U9S-61010</t>
  </si>
  <si>
    <t>Unit Code</t>
  </si>
  <si>
    <r>
      <t xml:space="preserve">H </t>
    </r>
    <r>
      <rPr>
        <sz val="10"/>
        <rFont val="Arial"/>
        <family val="2"/>
      </rPr>
      <t>item</t>
    </r>
  </si>
  <si>
    <t>U9S-60003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</si>
  <si>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</si>
  <si>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</si>
  <si>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</si>
  <si>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</si>
  <si>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</si>
  <si>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</si>
  <si>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</si>
  <si>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</si>
  <si>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</si>
  <si>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</si>
  <si>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</si>
  <si>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</si>
  <si>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</si>
  <si>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</si>
  <si>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</si>
  <si>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</si>
  <si>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</si>
  <si>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</si>
  <si>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</si>
  <si>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</si>
  <si>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</si>
  <si>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</si>
  <si>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</si>
  <si>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</si>
  <si>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</si>
  <si>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</si>
  <si>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</si>
  <si>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</si>
  <si>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</si>
  <si>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</si>
  <si>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</si>
  <si>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</si>
  <si>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</si>
  <si>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</si>
  <si>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</si>
  <si>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</si>
  <si>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</si>
  <si>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</si>
  <si>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</si>
  <si>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</si>
  <si>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</si>
  <si>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</si>
  <si>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</si>
  <si>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</si>
  <si>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</si>
  <si>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</si>
  <si>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</si>
  <si>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</si>
  <si>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</si>
  <si>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</si>
  <si>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</si>
  <si>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</si>
  <si>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</si>
  <si>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</si>
  <si>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</si>
  <si>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</si>
  <si>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</si>
  <si>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</si>
  <si>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</si>
  <si>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</si>
  <si>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</si>
  <si>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BOTTOM RAIL</t>
  </si>
  <si>
    <t>9K-30254</t>
  </si>
  <si>
    <t>9K-20669</t>
  </si>
  <si>
    <t>TRANSOM</t>
  </si>
  <si>
    <t>STILE(L)</t>
  </si>
  <si>
    <t>9K-87138</t>
  </si>
  <si>
    <t>9K-20754</t>
  </si>
  <si>
    <t>2K-22277</t>
  </si>
  <si>
    <t>M</t>
  </si>
  <si>
    <t>JAMB(L)</t>
  </si>
  <si>
    <t>9K-87104</t>
  </si>
  <si>
    <t>STILE(R)</t>
  </si>
  <si>
    <t>2K-29158</t>
  </si>
  <si>
    <t>2K-29161</t>
  </si>
  <si>
    <t>JAMB(R)</t>
  </si>
  <si>
    <t>BEADING</t>
  </si>
  <si>
    <t>9K-86115</t>
  </si>
  <si>
    <t>MS-4012</t>
  </si>
  <si>
    <t>FOR HANDLE</t>
  </si>
  <si>
    <t>GLASS BEAD</t>
  </si>
  <si>
    <t>9K-87119</t>
  </si>
  <si>
    <t>9K-20856</t>
  </si>
  <si>
    <t>EF-4008D7-SA</t>
  </si>
  <si>
    <t>FOR STAY</t>
  </si>
  <si>
    <t>S</t>
  </si>
  <si>
    <t>GLASS BEAD(L)</t>
  </si>
  <si>
    <t>BM-4025G</t>
  </si>
  <si>
    <t>GLASS BEAD(R)</t>
  </si>
  <si>
    <t>9K-20849</t>
  </si>
  <si>
    <t>EM-4008D8-SA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</si>
  <si>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</si>
  <si>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</si>
  <si>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</si>
  <si>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</si>
  <si>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</si>
  <si>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</si>
  <si>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</si>
  <si>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</si>
  <si>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</si>
  <si>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</si>
  <si>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</si>
  <si>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</si>
  <si>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</si>
  <si>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</si>
  <si>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</si>
  <si>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</si>
  <si>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</si>
  <si>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</si>
  <si>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</si>
  <si>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</si>
  <si>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</si>
  <si>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</si>
  <si>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</si>
  <si>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</si>
  <si>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</si>
  <si>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</si>
  <si>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</si>
  <si>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</si>
  <si>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</si>
  <si>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</si>
  <si>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</si>
  <si>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</si>
  <si>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</si>
  <si>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</si>
  <si>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</si>
  <si>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</si>
  <si>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</si>
  <si>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</si>
  <si>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</si>
  <si>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</si>
  <si>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</si>
  <si>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</si>
  <si>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CAMLATCH RECEIVER</t>
  </si>
  <si>
    <t>SEALER PAD</t>
  </si>
  <si>
    <t>AT MATERIAL</t>
  </si>
  <si>
    <t>GASKET</t>
  </si>
  <si>
    <t>SETTING BLOCK</t>
  </si>
  <si>
    <t>LABEL</t>
  </si>
  <si>
    <t>SCREW</t>
  </si>
  <si>
    <t>SHIM RECEIVER</t>
  </si>
  <si>
    <t>HOLE CAP</t>
  </si>
  <si>
    <t>9K-30241</t>
  </si>
  <si>
    <t>YS</t>
  </si>
  <si>
    <t>Y</t>
  </si>
  <si>
    <t>YK</t>
  </si>
  <si>
    <t>FOR OUTSIDE</t>
  </si>
  <si>
    <t>FOR GLASS BEAD</t>
  </si>
  <si>
    <t>FOR INSIDE</t>
  </si>
  <si>
    <t>FOR HEAD, FOR JAMB</t>
  </si>
  <si>
    <t>HANDLE</t>
  </si>
  <si>
    <t>WEATHER STRIP</t>
  </si>
  <si>
    <t>YW</t>
  </si>
  <si>
    <t>FOR JOINT FRAME</t>
  </si>
  <si>
    <t>9K-87102</t>
  </si>
  <si>
    <t>9K-87116</t>
  </si>
  <si>
    <t>9K-20848</t>
  </si>
  <si>
    <t>9K-20851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</si>
</sst>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4834F6C6-81B7-4CD6-8705-819BEB3EBB89}"/>
    <cellStyle name="Normal" xfId="0" builtinId="0"/>
    <cellStyle name="Normal 2" xfId="1" xr:uid="{871DBCAC-F2CE-4673-8D0B-15846E5C9BD2}"/>
    <cellStyle name="Normal 5" xfId="3" xr:uid="{4E896F54-D224-428D-ADA3-4E123828D77F}"/>
    <cellStyle name="Normal_COBA 2" xfId="4" xr:uid="{6878A493-955E-4974-9FCC-1C1A6B21D2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5CC2A26-F2AE-4C81-A4B4-26063AA26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C3424CC-0B16-4F5C-8993-C1865A29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31D4E018-8C3B-4052-9320-1BA8A84A9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6054558C-828F-4460-B026-7776C412D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F0BC8940-3CE8-4A87-BC30-C95A6D126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FF28623-1C1D-4D65-8F0E-EB9009FCD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2BB6E3E3-BC24-4652-A656-AFC413F50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94302</xdr:colOff>
      <xdr:row>39</xdr:row>
      <xdr:rowOff>63818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5713A4DD-7545-484A-8D1D-46E814BBE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297680"/>
          <a:ext cx="3119442" cy="3104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39A1-04FC-4087-9311-6BC75E099BB2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O15" sqref="O15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45520.603691550925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45520.603691550925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45520.603691550925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45520.603691550925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45520.603691550925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TH-KD NC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TH-KD NC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TH-KD NC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TH-KD NC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52F/T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52F/T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52F/T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52F/T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52F/T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U9S-61010</v>
      </c>
      <c r="AF9" s="60"/>
      <c r="AG9" s="3"/>
      <c r="AH9" s="53" t="s">
        <v>20</v>
      </c>
      <c r="AI9" s="36"/>
      <c r="AJ9" s="37"/>
      <c r="AK9" s="54" t="str">
        <f>IF($E$9&gt;0,$E$9,"")</f>
        <v>52F/T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U9S-61010</v>
      </c>
      <c r="AV9" s="60"/>
      <c r="AW9" s="3"/>
      <c r="AX9" s="53" t="s">
        <v>20</v>
      </c>
      <c r="AY9" s="36"/>
      <c r="AZ9" s="37"/>
      <c r="BA9" s="54" t="str">
        <f>IF(E9&gt;0,E9,"")</f>
        <v>52F/T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U9S-61010</v>
      </c>
      <c r="BL9" s="60"/>
      <c r="BM9" s="3"/>
      <c r="BN9" s="53" t="s">
        <v>20</v>
      </c>
      <c r="BO9" s="36"/>
      <c r="BP9" s="37"/>
      <c r="BQ9" s="54" t="str">
        <f>IF(U9&gt;0,U9,"")</f>
        <v>52F/T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U9S-61010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U9S-60003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U9S-60003</v>
      </c>
      <c r="AV10" s="60"/>
      <c r="AW10" s="3"/>
      <c r="AX10" s="53" t="s">
        <v>23</v>
      </c>
      <c r="AY10" s="36"/>
      <c r="AZ10" s="37"/>
      <c r="BA10" s="54" t="str">
        <f>IF($U$10&gt;0,$U$10,"")</f>
        <v>52F/T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U9S-60003</v>
      </c>
      <c r="BL10" s="60"/>
      <c r="BM10" s="3"/>
      <c r="BN10" s="53" t="s">
        <v>23</v>
      </c>
      <c r="BO10" s="36"/>
      <c r="BP10" s="37"/>
      <c r="BQ10" s="54" t="str">
        <f>IF($AK$10&gt;0,$AK$10,"")</f>
        <v>52T-A/SC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U9S-60003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1430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1430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1430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1430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1430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4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158</v>
      </c>
      <c r="AY22" s="199"/>
      <c r="AZ22" s="200"/>
      <c r="BA22" s="204" t="str">
        <f>IF(h.2&lt;=560,"4K-14211",IF(h.2&lt;=8600,"4K-14212",IF(h.2&lt;=1060,"4K-14214","4K-14216")))</f>
        <v>4K-14212</v>
      </c>
      <c r="BB22" s="168"/>
      <c r="BC22" s="180"/>
      <c r="BD22" s="181" t="s">
        <v>169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176</v>
      </c>
      <c r="BO22" s="199"/>
      <c r="BP22" s="200"/>
      <c r="BQ22" s="204" t="s">
        <v>85</v>
      </c>
      <c r="BR22" s="168"/>
      <c r="BS22" s="180"/>
      <c r="BT22" s="181" t="s">
        <v>178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180</v>
      </c>
      <c r="V23" s="168" t="str">
        <f t="shared" si="0"/>
        <v>-</v>
      </c>
      <c r="W23" s="201">
        <v>1</v>
      </c>
      <c r="X23" s="170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0.57099999999999995</v>
      </c>
      <c r="AF23" s="178">
        <f>IF(U23&gt;"",(AE23*X23*Z23)/1000,"")</f>
        <v>0.54758899999999999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3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159</v>
      </c>
      <c r="AY23" s="199"/>
      <c r="AZ23" s="200"/>
      <c r="BA23" s="167" t="s">
        <v>88</v>
      </c>
      <c r="BB23" s="168"/>
      <c r="BC23" s="180"/>
      <c r="BD23" s="181" t="s">
        <v>170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163</v>
      </c>
      <c r="BO23" s="199"/>
      <c r="BP23" s="200"/>
      <c r="BQ23" s="167" t="s">
        <v>89</v>
      </c>
      <c r="BR23" s="168"/>
      <c r="BS23" s="180"/>
      <c r="BT23" s="181" t="s">
        <v>171</v>
      </c>
      <c r="BU23" s="171">
        <f>IF((WS.1*HS.1)/1000000&lt;1.6,2,4)</f>
        <v>2</v>
      </c>
      <c r="BV23" s="172">
        <f t="shared" si="8"/>
        <v>2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181</v>
      </c>
      <c r="V24" s="168" t="str">
        <f t="shared" si="0"/>
        <v>-</v>
      </c>
      <c r="W24" s="201">
        <v>3</v>
      </c>
      <c r="X24" s="170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0.79900000000000004</v>
      </c>
      <c r="AF24" s="178">
        <f t="shared" ref="AF24:AF47" si="9">IF(U24&gt;"",(AE24*X24*Z24)/1000,"")</f>
        <v>0.76624099999999995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1</v>
      </c>
      <c r="AN24" s="207">
        <f>HS.1</f>
        <v>1430</v>
      </c>
      <c r="AO24" s="171">
        <v>1</v>
      </c>
      <c r="AP24" s="172">
        <f t="shared" si="4"/>
        <v>1</v>
      </c>
      <c r="AQ24" s="202"/>
      <c r="AR24" s="174"/>
      <c r="AS24" s="175" t="str">
        <f>IF(HS.1&lt;=550,"4K-14211",IF(HS.1&lt;=850,"4K-14212",IF(HS.1&lt;=1050,"4K-14214","4K-14216")))</f>
        <v>4K-14216</v>
      </c>
      <c r="AT24" s="176"/>
      <c r="AU24" s="177">
        <f t="shared" si="5"/>
        <v>0.47799999999999998</v>
      </c>
      <c r="AV24" s="178">
        <f t="shared" si="6"/>
        <v>0.68353999999999993</v>
      </c>
      <c r="AW24" s="4"/>
      <c r="AX24" s="198" t="s">
        <v>160</v>
      </c>
      <c r="AY24" s="199"/>
      <c r="AZ24" s="200"/>
      <c r="BA24" s="167" t="s">
        <v>182</v>
      </c>
      <c r="BB24" s="168"/>
      <c r="BC24" s="180"/>
      <c r="BD24" s="181" t="s">
        <v>171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177</v>
      </c>
      <c r="BO24" s="199"/>
      <c r="BP24" s="200"/>
      <c r="BQ24" s="167" t="s">
        <v>100</v>
      </c>
      <c r="BR24" s="168"/>
      <c r="BS24" s="180"/>
      <c r="BT24" s="181" t="s">
        <v>171</v>
      </c>
      <c r="BU24" s="171">
        <f>(HS.1*2)/1000</f>
        <v>2.86</v>
      </c>
      <c r="BV24" s="172">
        <f t="shared" si="8"/>
        <v>2.86</v>
      </c>
      <c r="BW24" s="183" t="s">
        <v>95</v>
      </c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97</v>
      </c>
      <c r="V25" s="168" t="str">
        <f t="shared" si="0"/>
        <v>-</v>
      </c>
      <c r="W25" s="201">
        <v>27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92</v>
      </c>
      <c r="AL25" s="168" t="str">
        <f t="shared" si="3"/>
        <v>-</v>
      </c>
      <c r="AM25" s="201">
        <v>2</v>
      </c>
      <c r="AN25" s="207">
        <f>HS.1</f>
        <v>1430</v>
      </c>
      <c r="AO25" s="171">
        <v>1</v>
      </c>
      <c r="AP25" s="172">
        <f t="shared" si="4"/>
        <v>1</v>
      </c>
      <c r="AQ25" s="209"/>
      <c r="AR25" s="174"/>
      <c r="AS25" s="175" t="str">
        <f>IF(HS.1&lt;=550,"4K-14211",IF(HS.1&lt;=850,"4K-14212",IF(HS.1&lt;=1050,"4K-14214","4K-14216")))</f>
        <v>4K-14216</v>
      </c>
      <c r="AT25" s="176"/>
      <c r="AU25" s="177">
        <f t="shared" si="5"/>
        <v>0.47799999999999998</v>
      </c>
      <c r="AV25" s="178">
        <f t="shared" si="6"/>
        <v>0.68353999999999993</v>
      </c>
      <c r="AW25" s="4"/>
      <c r="AX25" s="198" t="s">
        <v>160</v>
      </c>
      <c r="AY25" s="199"/>
      <c r="AZ25" s="200"/>
      <c r="BA25" s="167" t="s">
        <v>183</v>
      </c>
      <c r="BB25" s="168"/>
      <c r="BC25" s="180"/>
      <c r="BD25" s="181" t="s">
        <v>171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/>
      <c r="BM25" s="4"/>
      <c r="BN25" s="198" t="s">
        <v>162</v>
      </c>
      <c r="BO25" s="199"/>
      <c r="BP25" s="200"/>
      <c r="BQ25" s="167" t="s">
        <v>94</v>
      </c>
      <c r="BR25" s="168"/>
      <c r="BS25" s="180"/>
      <c r="BT25" s="181" t="s">
        <v>171</v>
      </c>
      <c r="BU25" s="171">
        <f>(((WS.1-44)+(HS.1-84))*2)/1000</f>
        <v>4.5</v>
      </c>
      <c r="BV25" s="172">
        <f t="shared" si="8"/>
        <v>4.5</v>
      </c>
      <c r="BW25" s="183" t="s">
        <v>95</v>
      </c>
      <c r="BX25" s="184" t="s">
        <v>172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101</v>
      </c>
      <c r="S26" s="199"/>
      <c r="T26" s="200"/>
      <c r="U26" s="167" t="s">
        <v>97</v>
      </c>
      <c r="V26" s="168" t="str">
        <f t="shared" si="0"/>
        <v>-</v>
      </c>
      <c r="W26" s="201">
        <v>28</v>
      </c>
      <c r="X26" s="207">
        <f>H</f>
        <v>2000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160</v>
      </c>
      <c r="AY26" s="199"/>
      <c r="AZ26" s="200"/>
      <c r="BA26" s="167" t="s">
        <v>115</v>
      </c>
      <c r="BB26" s="168"/>
      <c r="BC26" s="180"/>
      <c r="BD26" s="181" t="s">
        <v>171</v>
      </c>
      <c r="BE26" s="171">
        <v>1</v>
      </c>
      <c r="BF26" s="172">
        <f t="shared" si="7"/>
        <v>1</v>
      </c>
      <c r="BG26" s="183"/>
      <c r="BH26" s="184"/>
      <c r="BI26" s="185"/>
      <c r="BJ26" s="186"/>
      <c r="BK26" s="187"/>
      <c r="BL26" s="188"/>
      <c r="BM26" s="4"/>
      <c r="BN26" s="198" t="s">
        <v>165</v>
      </c>
      <c r="BO26" s="199"/>
      <c r="BP26" s="200"/>
      <c r="BQ26" s="167" t="s">
        <v>109</v>
      </c>
      <c r="BR26" s="168"/>
      <c r="BS26" s="180"/>
      <c r="BT26" s="181" t="s">
        <v>169</v>
      </c>
      <c r="BU26" s="171">
        <v>8</v>
      </c>
      <c r="BV26" s="172">
        <f t="shared" si="8"/>
        <v>8</v>
      </c>
      <c r="BW26" s="183"/>
      <c r="BX26" s="184" t="s">
        <v>110</v>
      </c>
      <c r="BY26" s="185"/>
      <c r="BZ26" s="186"/>
      <c r="CA26" s="187"/>
      <c r="CB26" s="188" t="s">
        <v>111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106</v>
      </c>
      <c r="S27" s="199"/>
      <c r="T27" s="200"/>
      <c r="U27" s="167" t="s">
        <v>107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1346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0.258432</v>
      </c>
      <c r="AW27" s="4"/>
      <c r="AX27" s="198" t="s">
        <v>161</v>
      </c>
      <c r="AY27" s="199"/>
      <c r="AZ27" s="200"/>
      <c r="BA27" s="167" t="s">
        <v>93</v>
      </c>
      <c r="BB27" s="168"/>
      <c r="BC27" s="180"/>
      <c r="BD27" s="181" t="s">
        <v>171</v>
      </c>
      <c r="BE27" s="171">
        <f>((W-41)+(h.2-36))*2/1000</f>
        <v>4.726</v>
      </c>
      <c r="BF27" s="172">
        <f t="shared" si="7"/>
        <v>4.726</v>
      </c>
      <c r="BG27" s="212" t="s">
        <v>95</v>
      </c>
      <c r="BH27" s="184"/>
      <c r="BI27" s="185"/>
      <c r="BJ27" s="186"/>
      <c r="BK27" s="187"/>
      <c r="BL27" s="188"/>
      <c r="BM27" s="4"/>
      <c r="BN27" s="198" t="s">
        <v>165</v>
      </c>
      <c r="BO27" s="199"/>
      <c r="BP27" s="200"/>
      <c r="BQ27" s="167" t="s">
        <v>104</v>
      </c>
      <c r="BR27" s="168"/>
      <c r="BS27" s="180"/>
      <c r="BT27" s="181" t="s">
        <v>169</v>
      </c>
      <c r="BU27" s="171">
        <v>2</v>
      </c>
      <c r="BV27" s="172">
        <f t="shared" si="8"/>
        <v>2</v>
      </c>
      <c r="BW27" s="212"/>
      <c r="BX27" s="184" t="s">
        <v>105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112</v>
      </c>
      <c r="S28" s="214"/>
      <c r="T28" s="215"/>
      <c r="U28" s="167" t="s">
        <v>107</v>
      </c>
      <c r="V28" s="168" t="str">
        <f t="shared" si="0"/>
        <v>-</v>
      </c>
      <c r="W28" s="201">
        <v>1</v>
      </c>
      <c r="X28" s="170">
        <f>h.1-36</f>
        <v>464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6.4496000000000012E-2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161</v>
      </c>
      <c r="AY28" s="199"/>
      <c r="AZ28" s="200"/>
      <c r="BA28" s="167" t="s">
        <v>99</v>
      </c>
      <c r="BB28" s="168"/>
      <c r="BC28" s="180"/>
      <c r="BD28" s="181" t="s">
        <v>171</v>
      </c>
      <c r="BE28" s="171">
        <f>(W-41)/1000</f>
        <v>0.95899999999999996</v>
      </c>
      <c r="BF28" s="172">
        <f t="shared" si="7"/>
        <v>0.95899999999999996</v>
      </c>
      <c r="BG28" s="183" t="s">
        <v>95</v>
      </c>
      <c r="BH28" s="184"/>
      <c r="BI28" s="185"/>
      <c r="BJ28" s="186"/>
      <c r="BK28" s="187"/>
      <c r="BL28" s="188"/>
      <c r="BM28" s="4"/>
      <c r="BN28" s="198" t="s">
        <v>162</v>
      </c>
      <c r="BO28" s="199"/>
      <c r="BP28" s="200"/>
      <c r="BQ28" s="167" t="str">
        <f>IF(GTH=5,"9K-20523",IF(GTH=6,"2K-22973",IF(GTH=8,"2K-22975","")))</f>
        <v>9K-20523</v>
      </c>
      <c r="BR28" s="168"/>
      <c r="BS28" s="180"/>
      <c r="BT28" s="181" t="s">
        <v>171</v>
      </c>
      <c r="BU28" s="171">
        <f>((2*WS.1)+(2*HS.1)-172)/1000</f>
        <v>4.5839999999999996</v>
      </c>
      <c r="BV28" s="172">
        <f t="shared" si="8"/>
        <v>4.5839999999999996</v>
      </c>
      <c r="BW28" s="183" t="s">
        <v>95</v>
      </c>
      <c r="BX28" s="184" t="s">
        <v>174</v>
      </c>
      <c r="BY28" s="185"/>
      <c r="BZ28" s="186"/>
      <c r="CA28" s="187"/>
      <c r="CB28" s="188" t="s">
        <v>111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114</v>
      </c>
      <c r="S29" s="214"/>
      <c r="T29" s="215"/>
      <c r="U29" s="217" t="s">
        <v>107</v>
      </c>
      <c r="V29" s="168" t="str">
        <f t="shared" si="0"/>
        <v>-</v>
      </c>
      <c r="W29" s="218">
        <v>2</v>
      </c>
      <c r="X29" s="170">
        <f>h.1-36</f>
        <v>464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6.4496000000000012E-2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162</v>
      </c>
      <c r="AY29" s="199"/>
      <c r="AZ29" s="200"/>
      <c r="BA29" s="167" t="s">
        <v>94</v>
      </c>
      <c r="BB29" s="168"/>
      <c r="BC29" s="180"/>
      <c r="BD29" s="181" t="s">
        <v>171</v>
      </c>
      <c r="BE29" s="171">
        <f>((W-41)+(h.1-36))*2/1000</f>
        <v>2.8460000000000001</v>
      </c>
      <c r="BF29" s="172">
        <f t="shared" si="7"/>
        <v>2.8460000000000001</v>
      </c>
      <c r="BG29" s="183" t="s">
        <v>95</v>
      </c>
      <c r="BH29" s="184" t="s">
        <v>172</v>
      </c>
      <c r="BI29" s="185"/>
      <c r="BJ29" s="186"/>
      <c r="BK29" s="187"/>
      <c r="BL29" s="188"/>
      <c r="BM29" s="4"/>
      <c r="BN29" s="198" t="s">
        <v>165</v>
      </c>
      <c r="BO29" s="199"/>
      <c r="BP29" s="200"/>
      <c r="BQ29" s="167" t="s">
        <v>113</v>
      </c>
      <c r="BR29" s="168"/>
      <c r="BS29" s="180"/>
      <c r="BT29" s="181" t="s">
        <v>169</v>
      </c>
      <c r="BU29" s="171">
        <v>8</v>
      </c>
      <c r="BV29" s="172">
        <f t="shared" si="8"/>
        <v>8</v>
      </c>
      <c r="BW29" s="183"/>
      <c r="BX29" s="184" t="s">
        <v>179</v>
      </c>
      <c r="BY29" s="185"/>
      <c r="BZ29" s="186"/>
      <c r="CA29" s="187"/>
      <c r="CB29" s="188" t="s">
        <v>111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163</v>
      </c>
      <c r="AY30" s="199"/>
      <c r="AZ30" s="200"/>
      <c r="BA30" s="167" t="s">
        <v>108</v>
      </c>
      <c r="BB30" s="168"/>
      <c r="BC30" s="180"/>
      <c r="BD30" s="181" t="s">
        <v>171</v>
      </c>
      <c r="BE30" s="171">
        <f>IF((WS.1*HS.1)/1000000&lt;2.88,2,4)</f>
        <v>2</v>
      </c>
      <c r="BF30" s="172">
        <f t="shared" si="7"/>
        <v>2</v>
      </c>
      <c r="BG30" s="183"/>
      <c r="BH30" s="184"/>
      <c r="BI30" s="185"/>
      <c r="BJ30" s="186"/>
      <c r="BK30" s="187"/>
      <c r="BL30" s="188"/>
      <c r="BM30" s="4"/>
      <c r="BN30" s="198" t="str">
        <f t="shared" ref="BN30:BN60" si="10">IF(BQ30&gt;"",VLOOKUP(BQ30,PART_NAMA,3,FALSE),"")</f>
        <v/>
      </c>
      <c r="BO30" s="199"/>
      <c r="BP30" s="200"/>
      <c r="BQ30" s="167"/>
      <c r="BR30" s="168"/>
      <c r="BS30" s="180"/>
      <c r="BT30" s="181" t="str">
        <f t="shared" ref="BT30:BT57" si="11">IF(BQ30&gt;"",VLOOKUP(BQ30&amp;$M$10,PART_MASTER,3,FALSE),"")</f>
        <v/>
      </c>
      <c r="BU30" s="171"/>
      <c r="BV30" s="172" t="str">
        <f t="shared" si="8"/>
        <v/>
      </c>
      <c r="BW30" s="183"/>
      <c r="BX30" s="184"/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164</v>
      </c>
      <c r="AY31" s="199"/>
      <c r="AZ31" s="200"/>
      <c r="BA31" s="167" t="s">
        <v>168</v>
      </c>
      <c r="BB31" s="168"/>
      <c r="BC31" s="180"/>
      <c r="BD31" s="181" t="s">
        <v>169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/>
      <c r="BM31" s="4"/>
      <c r="BN31" s="198" t="str">
        <f t="shared" si="10"/>
        <v/>
      </c>
      <c r="BO31" s="199"/>
      <c r="BP31" s="200"/>
      <c r="BQ31" s="167"/>
      <c r="BR31" s="168"/>
      <c r="BS31" s="180"/>
      <c r="BT31" s="181" t="str">
        <f t="shared" si="11"/>
        <v/>
      </c>
      <c r="BU31" s="171"/>
      <c r="BV31" s="172" t="str">
        <f t="shared" si="8"/>
        <v/>
      </c>
      <c r="BW31" s="183"/>
      <c r="BX31" s="184"/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/>
      <c r="W32" s="201"/>
      <c r="X32" s="170"/>
      <c r="Y32" s="171"/>
      <c r="Z32" s="172"/>
      <c r="AA32" s="202"/>
      <c r="AB32" s="174"/>
      <c r="AC32" s="175"/>
      <c r="AD32" s="176"/>
      <c r="AE32" s="177"/>
      <c r="AF32" s="178"/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165</v>
      </c>
      <c r="AY32" s="199"/>
      <c r="AZ32" s="200"/>
      <c r="BA32" s="167" t="s">
        <v>113</v>
      </c>
      <c r="BB32" s="168"/>
      <c r="BC32" s="180"/>
      <c r="BD32" s="181" t="s">
        <v>169</v>
      </c>
      <c r="BE32" s="171">
        <v>12</v>
      </c>
      <c r="BF32" s="172">
        <f t="shared" si="7"/>
        <v>12</v>
      </c>
      <c r="BG32" s="183"/>
      <c r="BH32" s="184" t="s">
        <v>118</v>
      </c>
      <c r="BI32" s="185"/>
      <c r="BJ32" s="186"/>
      <c r="BK32" s="187"/>
      <c r="BL32" s="188" t="s">
        <v>111</v>
      </c>
      <c r="BM32" s="4"/>
      <c r="BN32" s="198"/>
      <c r="BO32" s="199"/>
      <c r="BP32" s="200"/>
      <c r="BQ32" s="204"/>
      <c r="BR32" s="168"/>
      <c r="BS32" s="180"/>
      <c r="BT32" s="181"/>
      <c r="BU32" s="171"/>
      <c r="BV32" s="172"/>
      <c r="BW32" s="183"/>
      <c r="BX32" s="184"/>
      <c r="BY32" s="185"/>
      <c r="BZ32" s="186"/>
      <c r="CA32" s="205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198"/>
      <c r="S33" s="199"/>
      <c r="T33" s="200"/>
      <c r="U33" s="167"/>
      <c r="V33" s="168"/>
      <c r="W33" s="201"/>
      <c r="X33" s="170"/>
      <c r="Y33" s="171"/>
      <c r="Z33" s="172"/>
      <c r="AA33" s="202"/>
      <c r="AB33" s="174"/>
      <c r="AC33" s="175"/>
      <c r="AD33" s="176"/>
      <c r="AE33" s="177"/>
      <c r="AF33" s="178"/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165</v>
      </c>
      <c r="AY33" s="199"/>
      <c r="AZ33" s="200"/>
      <c r="BA33" s="167" t="s">
        <v>116</v>
      </c>
      <c r="BB33" s="168"/>
      <c r="BC33" s="180"/>
      <c r="BD33" s="181" t="s">
        <v>169</v>
      </c>
      <c r="BE33" s="171">
        <v>8</v>
      </c>
      <c r="BF33" s="172">
        <f t="shared" si="7"/>
        <v>8</v>
      </c>
      <c r="BG33" s="212"/>
      <c r="BH33" s="184" t="s">
        <v>110</v>
      </c>
      <c r="BI33" s="185"/>
      <c r="BJ33" s="186"/>
      <c r="BK33" s="187"/>
      <c r="BL33" s="188"/>
      <c r="BM33" s="4"/>
      <c r="BN33" s="198"/>
      <c r="BO33" s="199"/>
      <c r="BP33" s="200"/>
      <c r="BQ33" s="167"/>
      <c r="BR33" s="168"/>
      <c r="BS33" s="180"/>
      <c r="BT33" s="181"/>
      <c r="BU33" s="171"/>
      <c r="BV33" s="172"/>
      <c r="BW33" s="183"/>
      <c r="BX33" s="184"/>
      <c r="BY33" s="185"/>
      <c r="BZ33" s="186"/>
      <c r="CA33" s="205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198"/>
      <c r="S34" s="199"/>
      <c r="T34" s="200"/>
      <c r="U34" s="167"/>
      <c r="V34" s="168"/>
      <c r="W34" s="201"/>
      <c r="X34" s="170"/>
      <c r="Y34" s="171"/>
      <c r="Z34" s="172"/>
      <c r="AA34" s="202"/>
      <c r="AB34" s="174"/>
      <c r="AC34" s="175"/>
      <c r="AD34" s="176"/>
      <c r="AE34" s="177"/>
      <c r="AF34" s="178"/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165</v>
      </c>
      <c r="AY34" s="199"/>
      <c r="AZ34" s="200"/>
      <c r="BA34" s="167" t="s">
        <v>117</v>
      </c>
      <c r="BB34" s="168"/>
      <c r="BC34" s="180"/>
      <c r="BD34" s="181" t="s">
        <v>169</v>
      </c>
      <c r="BE34" s="171">
        <v>2</v>
      </c>
      <c r="BF34" s="172">
        <f t="shared" si="7"/>
        <v>2</v>
      </c>
      <c r="BG34" s="212"/>
      <c r="BH34" s="184" t="s">
        <v>173</v>
      </c>
      <c r="BI34" s="185"/>
      <c r="BJ34" s="186"/>
      <c r="BK34" s="187"/>
      <c r="BL34" s="188"/>
      <c r="BM34" s="4"/>
      <c r="BN34" s="198"/>
      <c r="BO34" s="199"/>
      <c r="BP34" s="200"/>
      <c r="BQ34" s="167"/>
      <c r="BR34" s="168"/>
      <c r="BS34" s="180"/>
      <c r="BT34" s="181"/>
      <c r="BU34" s="171"/>
      <c r="BV34" s="172"/>
      <c r="BW34" s="183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207"/>
      <c r="Y35" s="171"/>
      <c r="Z35" s="172"/>
      <c r="AA35" s="209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166</v>
      </c>
      <c r="AY35" s="199"/>
      <c r="AZ35" s="200"/>
      <c r="BA35" s="167" t="s">
        <v>119</v>
      </c>
      <c r="BB35" s="168"/>
      <c r="BC35" s="180"/>
      <c r="BD35" s="181" t="s">
        <v>137</v>
      </c>
      <c r="BE35" s="171">
        <f>IF(W&lt;=1000,1,3)</f>
        <v>1</v>
      </c>
      <c r="BF35" s="172">
        <f t="shared" si="7"/>
        <v>1</v>
      </c>
      <c r="BG35" s="212"/>
      <c r="BH35" s="184"/>
      <c r="BI35" s="185"/>
      <c r="BJ35" s="186"/>
      <c r="BK35" s="187"/>
      <c r="BL35" s="188" t="s">
        <v>111</v>
      </c>
      <c r="BM35" s="4"/>
      <c r="BN35" s="198"/>
      <c r="BO35" s="199"/>
      <c r="BP35" s="200"/>
      <c r="BQ35" s="167"/>
      <c r="BR35" s="168"/>
      <c r="BS35" s="180"/>
      <c r="BT35" s="181"/>
      <c r="BU35" s="171"/>
      <c r="BV35" s="172"/>
      <c r="BW35" s="183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9"/>
      <c r="AB36" s="174"/>
      <c r="AC36" s="175"/>
      <c r="AD36" s="211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162</v>
      </c>
      <c r="AY36" s="199"/>
      <c r="AZ36" s="200"/>
      <c r="BA36" s="167" t="str">
        <f>IF(GTH=5,"9K-20523",IF(GTH=6,"2K-22973",IF(GTH=8,"2K-22975","")))</f>
        <v>9K-20523</v>
      </c>
      <c r="BB36" s="168"/>
      <c r="BC36" s="180"/>
      <c r="BD36" s="181" t="s">
        <v>171</v>
      </c>
      <c r="BE36" s="171">
        <f>(((2*W)+(2*h.1))-68)/1000</f>
        <v>2.9319999999999999</v>
      </c>
      <c r="BF36" s="172">
        <f t="shared" si="7"/>
        <v>2.9319999999999999</v>
      </c>
      <c r="BG36" s="212" t="s">
        <v>95</v>
      </c>
      <c r="BH36" s="184" t="s">
        <v>174</v>
      </c>
      <c r="BI36" s="185"/>
      <c r="BJ36" s="186"/>
      <c r="BK36" s="187"/>
      <c r="BL36" s="188" t="s">
        <v>111</v>
      </c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170"/>
      <c r="Y37" s="171"/>
      <c r="Z37" s="172"/>
      <c r="AA37" s="209"/>
      <c r="AB37" s="174"/>
      <c r="AC37" s="175"/>
      <c r="AD37" s="211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167</v>
      </c>
      <c r="AY37" s="199"/>
      <c r="AZ37" s="200"/>
      <c r="BA37" s="167" t="s">
        <v>120</v>
      </c>
      <c r="BB37" s="168"/>
      <c r="BC37" s="180"/>
      <c r="BD37" s="181" t="s">
        <v>170</v>
      </c>
      <c r="BE37" s="171">
        <f>IF(h.2&lt;=560,4,IF(h.2&lt;=860,6,IF(h.2&lt;=1560,8,10)))+IF(W&lt;=1230,3,4)</f>
        <v>11</v>
      </c>
      <c r="BF37" s="172">
        <f t="shared" si="7"/>
        <v>11</v>
      </c>
      <c r="BG37" s="212"/>
      <c r="BH37" s="184" t="s">
        <v>175</v>
      </c>
      <c r="BI37" s="185"/>
      <c r="BJ37" s="186"/>
      <c r="BK37" s="187"/>
      <c r="BL37" s="188" t="s">
        <v>111</v>
      </c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/>
      <c r="W38" s="201"/>
      <c r="X38" s="170"/>
      <c r="Y38" s="171"/>
      <c r="Z38" s="172"/>
      <c r="AA38" s="209"/>
      <c r="AB38" s="174"/>
      <c r="AC38" s="175"/>
      <c r="AD38" s="211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ref="AX38:AX60" si="12">IF(BA38&gt;"",VLOOKUP(BA38,PART_NAMA,3,FALSE),"")</f>
        <v/>
      </c>
      <c r="AY38" s="199"/>
      <c r="AZ38" s="200"/>
      <c r="BA38" s="167"/>
      <c r="BB38" s="168"/>
      <c r="BC38" s="180"/>
      <c r="BD38" s="181" t="str">
        <f t="shared" ref="BD38:BD60" si="13">IF(BA38&gt;"",VLOOKUP(BA38&amp;$M$10,PART_MASTER,3,FALSE),"")</f>
        <v/>
      </c>
      <c r="BE38" s="171"/>
      <c r="BF38" s="172" t="str">
        <f t="shared" si="7"/>
        <v/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217"/>
      <c r="V39" s="168"/>
      <c r="W39" s="218"/>
      <c r="X39" s="170"/>
      <c r="Y39" s="219"/>
      <c r="Z39" s="172"/>
      <c r="AA39" s="220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204"/>
      <c r="BB39" s="168"/>
      <c r="BC39" s="180"/>
      <c r="BD39" s="181"/>
      <c r="BE39" s="171"/>
      <c r="BF39" s="172"/>
      <c r="BG39" s="183"/>
      <c r="BH39" s="184"/>
      <c r="BI39" s="185"/>
      <c r="BJ39" s="186"/>
      <c r="BK39" s="205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205"/>
      <c r="BL40" s="188"/>
      <c r="BM40" s="4"/>
      <c r="BN40" s="198" t="str">
        <f t="shared" si="10"/>
        <v/>
      </c>
      <c r="BO40" s="199"/>
      <c r="BP40" s="200"/>
      <c r="BQ40" s="167"/>
      <c r="BR40" s="168"/>
      <c r="BS40" s="180"/>
      <c r="BT40" s="181" t="str">
        <f t="shared" si="11"/>
        <v/>
      </c>
      <c r="BU40" s="182"/>
      <c r="BV40" s="172" t="str">
        <f t="shared" si="8"/>
        <v/>
      </c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121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 t="str">
        <f t="shared" si="10"/>
        <v/>
      </c>
      <c r="BO41" s="199"/>
      <c r="BP41" s="200"/>
      <c r="BQ41" s="167"/>
      <c r="BR41" s="168"/>
      <c r="BS41" s="180"/>
      <c r="BT41" s="181" t="str">
        <f t="shared" si="11"/>
        <v/>
      </c>
      <c r="BU41" s="182"/>
      <c r="BV41" s="172" t="str">
        <f t="shared" si="8"/>
        <v/>
      </c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 t="str">
        <f t="shared" si="10"/>
        <v/>
      </c>
      <c r="BO42" s="199"/>
      <c r="BP42" s="200"/>
      <c r="BQ42" s="167"/>
      <c r="BR42" s="168"/>
      <c r="BS42" s="180"/>
      <c r="BT42" s="181" t="str">
        <f t="shared" si="11"/>
        <v/>
      </c>
      <c r="BU42" s="182"/>
      <c r="BV42" s="172" t="str">
        <f t="shared" si="8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122</v>
      </c>
      <c r="C43" s="240"/>
      <c r="D43" s="240"/>
      <c r="E43" s="240"/>
      <c r="F43" s="241"/>
      <c r="G43" s="242"/>
      <c r="H43" s="243"/>
      <c r="I43" s="233"/>
      <c r="J43" s="244" t="s">
        <v>123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 t="str">
        <f t="shared" si="10"/>
        <v/>
      </c>
      <c r="BO43" s="199"/>
      <c r="BP43" s="200"/>
      <c r="BQ43" s="167"/>
      <c r="BR43" s="168"/>
      <c r="BS43" s="180"/>
      <c r="BT43" s="181" t="str">
        <f t="shared" si="11"/>
        <v/>
      </c>
      <c r="BU43" s="182"/>
      <c r="BV43" s="172" t="str">
        <f t="shared" si="8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124</v>
      </c>
      <c r="C44" s="326" t="s">
        <v>125</v>
      </c>
      <c r="D44" s="327"/>
      <c r="E44" s="328"/>
      <c r="F44" s="326" t="s">
        <v>126</v>
      </c>
      <c r="G44" s="327"/>
      <c r="H44" s="328"/>
      <c r="I44" s="252"/>
      <c r="J44" s="253" t="s">
        <v>124</v>
      </c>
      <c r="K44" s="326" t="s">
        <v>125</v>
      </c>
      <c r="L44" s="327"/>
      <c r="M44" s="327"/>
      <c r="N44" s="328"/>
      <c r="O44" s="253" t="s">
        <v>127</v>
      </c>
      <c r="P44" s="254" t="s">
        <v>124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212"/>
      <c r="BH44" s="184"/>
      <c r="BI44" s="185"/>
      <c r="BJ44" s="186"/>
      <c r="BK44" s="187"/>
      <c r="BL44" s="188"/>
      <c r="BM44" s="4"/>
      <c r="BN44" s="198" t="str">
        <f t="shared" si="10"/>
        <v/>
      </c>
      <c r="BO44" s="199"/>
      <c r="BP44" s="200"/>
      <c r="BQ44" s="167"/>
      <c r="BR44" s="168"/>
      <c r="BS44" s="180"/>
      <c r="BT44" s="181" t="str">
        <f t="shared" si="11"/>
        <v/>
      </c>
      <c r="BU44" s="182"/>
      <c r="BV44" s="172" t="str">
        <f t="shared" si="8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128</v>
      </c>
      <c r="D45" s="257"/>
      <c r="E45" s="257"/>
      <c r="F45" s="258"/>
      <c r="G45" s="259"/>
      <c r="H45" s="260"/>
      <c r="I45" s="261"/>
      <c r="J45" s="262">
        <v>1</v>
      </c>
      <c r="K45" s="263" t="s">
        <v>129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 t="str">
        <f t="shared" si="10"/>
        <v/>
      </c>
      <c r="BO45" s="199"/>
      <c r="BP45" s="200"/>
      <c r="BQ45" s="167"/>
      <c r="BR45" s="168"/>
      <c r="BS45" s="180"/>
      <c r="BT45" s="181" t="str">
        <f t="shared" si="11"/>
        <v/>
      </c>
      <c r="BU45" s="182"/>
      <c r="BV45" s="172" t="str">
        <f t="shared" si="8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130</v>
      </c>
      <c r="D46" s="259"/>
      <c r="E46" s="259"/>
      <c r="F46" s="263"/>
      <c r="G46" s="259"/>
      <c r="H46" s="260"/>
      <c r="I46" s="261"/>
      <c r="J46" s="262">
        <v>2</v>
      </c>
      <c r="K46" s="263" t="s">
        <v>131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132</v>
      </c>
      <c r="D47" s="259"/>
      <c r="E47" s="259"/>
      <c r="F47" s="263"/>
      <c r="G47" s="259"/>
      <c r="H47" s="260"/>
      <c r="I47" s="268"/>
      <c r="J47" s="262">
        <v>3</v>
      </c>
      <c r="K47" s="263" t="s">
        <v>133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134</v>
      </c>
      <c r="D48" s="259"/>
      <c r="E48" s="259"/>
      <c r="F48" s="263"/>
      <c r="G48" s="259"/>
      <c r="H48" s="260"/>
      <c r="I48" s="268"/>
      <c r="J48" s="262">
        <v>4</v>
      </c>
      <c r="K48" s="263" t="s">
        <v>135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136</v>
      </c>
      <c r="AD48" s="273"/>
      <c r="AE48" s="274" t="s">
        <v>137</v>
      </c>
      <c r="AF48" s="275">
        <f>SUM(AF22:AF47)</f>
        <v>4.4273139999999991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136</v>
      </c>
      <c r="AT48" s="273"/>
      <c r="AU48" s="274" t="s">
        <v>137</v>
      </c>
      <c r="AV48" s="275">
        <f>SUM(AV22:AV47)</f>
        <v>2.6806719999999995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138</v>
      </c>
      <c r="D49" s="259"/>
      <c r="E49" s="259"/>
      <c r="F49" s="263"/>
      <c r="G49" s="259"/>
      <c r="H49" s="260"/>
      <c r="I49" s="268"/>
      <c r="J49" s="262">
        <v>5</v>
      </c>
      <c r="K49" s="263" t="s">
        <v>139</v>
      </c>
      <c r="L49" s="259"/>
      <c r="M49" s="259"/>
      <c r="N49" s="264"/>
      <c r="O49" s="265"/>
      <c r="P49" s="266"/>
      <c r="Q49" s="4"/>
      <c r="R49" s="276" t="s">
        <v>140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141</v>
      </c>
      <c r="AE49" s="280" t="s">
        <v>142</v>
      </c>
      <c r="AF49" s="281">
        <f>AF48*0.986</f>
        <v>4.3653316039999988</v>
      </c>
      <c r="AG49" s="4"/>
      <c r="AH49" s="276" t="s">
        <v>140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141</v>
      </c>
      <c r="AU49" s="280" t="s">
        <v>142</v>
      </c>
      <c r="AV49" s="281">
        <f>AV48*0.986</f>
        <v>2.6431425919999993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143</v>
      </c>
      <c r="D50" s="259"/>
      <c r="E50" s="259"/>
      <c r="F50" s="263"/>
      <c r="G50" s="259"/>
      <c r="H50" s="260"/>
      <c r="I50" s="268"/>
      <c r="J50" s="262">
        <v>6</v>
      </c>
      <c r="K50" s="263" t="s">
        <v>144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145</v>
      </c>
      <c r="AF50" s="281">
        <f>AF48*0.974*0.986</f>
        <v>4.2518329822959995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145</v>
      </c>
      <c r="AV50" s="281">
        <f>AV48*0.974*0.986</f>
        <v>2.5744208846079992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212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146</v>
      </c>
      <c r="D51" s="259"/>
      <c r="E51" s="259"/>
      <c r="F51" s="263"/>
      <c r="G51" s="259"/>
      <c r="H51" s="260"/>
      <c r="I51" s="268"/>
      <c r="J51" s="262">
        <v>7</v>
      </c>
      <c r="K51" s="263" t="s">
        <v>147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148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149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150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151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152</v>
      </c>
      <c r="C55" s="268"/>
      <c r="D55" s="268"/>
      <c r="E55" s="268"/>
      <c r="F55" s="268"/>
      <c r="G55" s="268"/>
      <c r="H55" s="268"/>
      <c r="I55" s="268"/>
      <c r="J55" s="301" t="s">
        <v>153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154</v>
      </c>
      <c r="K56" s="306"/>
      <c r="L56" s="306"/>
      <c r="M56" s="306"/>
      <c r="N56" s="307"/>
      <c r="O56" s="308" t="s">
        <v>155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2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2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2"/>
        <v/>
      </c>
      <c r="AY58" s="199"/>
      <c r="AZ58" s="200"/>
      <c r="BA58" s="288"/>
      <c r="BB58" s="168"/>
      <c r="BC58" s="180"/>
      <c r="BD58" s="181" t="str">
        <f t="shared" si="13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2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156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2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157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157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157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157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157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FIX_TH-KD</vt:lpstr>
      <vt:lpstr>'FIX_TH-KD'!A.</vt:lpstr>
      <vt:lpstr>'FIX_TH-KD'!C.</vt:lpstr>
      <vt:lpstr>'FIX_TH-KD'!F.</vt:lpstr>
      <vt:lpstr>'FIX_TH-KD'!GCS</vt:lpstr>
      <vt:lpstr>'FIX_TH-KD'!GTH</vt:lpstr>
      <vt:lpstr>'FIX_TH-KD'!H</vt:lpstr>
      <vt:lpstr>'FIX_TH-KD'!h.1</vt:lpstr>
      <vt:lpstr>'FIX_TH-KD'!h.10</vt:lpstr>
      <vt:lpstr>'FIX_TH-KD'!h.2</vt:lpstr>
      <vt:lpstr>'FIX_TH-KD'!h.3</vt:lpstr>
      <vt:lpstr>'FIX_TH-KD'!h.4</vt:lpstr>
      <vt:lpstr>'FIX_TH-KD'!h.5</vt:lpstr>
      <vt:lpstr>'FIX_TH-KD'!h.6</vt:lpstr>
      <vt:lpstr>'FIX_TH-KD'!h.7</vt:lpstr>
      <vt:lpstr>'FIX_TH-KD'!h.8</vt:lpstr>
      <vt:lpstr>'FIX_TH-KD'!h.9</vt:lpstr>
      <vt:lpstr>'FIX_TH-KD'!HS</vt:lpstr>
      <vt:lpstr>'FIX_TH-KD'!HS.1</vt:lpstr>
      <vt:lpstr>'FIX_TH-KD'!HS.2</vt:lpstr>
      <vt:lpstr>'FIX_TH-KD'!HS.3</vt:lpstr>
      <vt:lpstr>'FIX_TH-KD'!HS.4</vt:lpstr>
      <vt:lpstr>'FIX_TH-KD'!HS.5</vt:lpstr>
      <vt:lpstr>'FIX_TH-KD'!Print_Area</vt:lpstr>
      <vt:lpstr>'FIX_TH-KD'!Q</vt:lpstr>
      <vt:lpstr>'FIX_TH-KD'!R.</vt:lpstr>
      <vt:lpstr>'FIX_TH-KD'!W</vt:lpstr>
      <vt:lpstr>'FIX_TH-KD'!w.1</vt:lpstr>
      <vt:lpstr>'FIX_TH-KD'!w.10</vt:lpstr>
      <vt:lpstr>'FIX_TH-KD'!w.2</vt:lpstr>
      <vt:lpstr>'FIX_TH-KD'!w.3</vt:lpstr>
      <vt:lpstr>'FIX_TH-KD'!w.4</vt:lpstr>
      <vt:lpstr>'FIX_TH-KD'!w.5</vt:lpstr>
      <vt:lpstr>'FIX_TH-KD'!w.6</vt:lpstr>
      <vt:lpstr>'FIX_TH-KD'!w.7</vt:lpstr>
      <vt:lpstr>'FIX_TH-KD'!w.8</vt:lpstr>
      <vt:lpstr>'FIX_TH-KD'!w.9</vt:lpstr>
      <vt:lpstr>'FIX_TH-KD'!WS</vt:lpstr>
      <vt:lpstr>'FIX_TH-KD'!WS.1</vt:lpstr>
      <vt:lpstr>'FIX_TH-KD'!WS.2</vt:lpstr>
      <vt:lpstr>'FIX_TH-KD'!WS.3</vt:lpstr>
      <vt:lpstr>'FIX_TH-KD'!WS.4</vt:lpstr>
      <vt:lpstr>'FIX_TH-KD'!WS.5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2024-07-30T03:13:31Z</dcterms:created>
  <dcterms:modified xsi:type="dcterms:W3CDTF">2024-08-16T07:29:23Z</dcterms:modified>
</cp:coreProperties>
</file>