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162E5AF3-1E23-4243-BAB7-8A83DA35EB3B}" xr6:coauthVersionLast="47" xr6:coauthVersionMax="47" xr10:uidLastSave="{00000000-0000-0000-0000-000000000000}"/>
  <bookViews>
    <workbookView xWindow="-108" yWindow="-108" windowWidth="23256" windowHeight="12456" xr2:uid="{AA2310F8-548A-4BAA-B2F0-0AFACB2D596F}"/>
  </bookViews>
  <sheets>
    <sheet name="FIX_CAL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'FIX_CAL-KD'!$P$18</definedName>
    <definedName name="BD">"BD"</definedName>
    <definedName name="C." localSheetId="0">'FIX_CAL-KD'!$P$17</definedName>
    <definedName name="F." localSheetId="0">'FIX_CAL-KD'!$P$16</definedName>
    <definedName name="GCS" localSheetId="0">'FIX_CAL-KD'!$O$12</definedName>
    <definedName name="GTH" localSheetId="0">'FIX_CAL-KD'!$O$11</definedName>
    <definedName name="H" localSheetId="0">'FIX_CAL-KD'!$E$12</definedName>
    <definedName name="h.1" localSheetId="0">'FIX_CAL-KD'!$C$14</definedName>
    <definedName name="h.10" localSheetId="0">'FIX_CAL-KD'!$E$18</definedName>
    <definedName name="h.2" localSheetId="0">'FIX_CAL-KD'!$C$15</definedName>
    <definedName name="h.3" localSheetId="0">'FIX_CAL-KD'!$C$16</definedName>
    <definedName name="h.4" localSheetId="0">'FIX_CAL-KD'!$C$17</definedName>
    <definedName name="h.5" localSheetId="0">'FIX_CAL-KD'!$C$18</definedName>
    <definedName name="h.6" localSheetId="0">'FIX_CAL-KD'!$E$14</definedName>
    <definedName name="h.7" localSheetId="0">'FIX_CAL-KD'!$E$15</definedName>
    <definedName name="h.8" localSheetId="0">'FIX_CAL-KD'!$E$16</definedName>
    <definedName name="h.9" localSheetId="0">'FIX_CAL-KD'!$E$17</definedName>
    <definedName name="HS" localSheetId="0">'FIX_CAL-KD'!$H$12</definedName>
    <definedName name="HS.1" localSheetId="0">'FIX_CAL-KD'!$L$14</definedName>
    <definedName name="HS.2" localSheetId="0">'FIX_CAL-KD'!$L$15</definedName>
    <definedName name="HS.3" localSheetId="0">'FIX_CAL-KD'!$L$16</definedName>
    <definedName name="HS.4" localSheetId="0">'FIX_CAL-KD'!$L$17</definedName>
    <definedName name="HS.5" localSheetId="0">'FIX_CAL-KD'!$L$18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'FIX_CAL-KD'!$1:$61</definedName>
    <definedName name="Q" localSheetId="0">'FIX_CAL-KD'!$I$11</definedName>
    <definedName name="R." localSheetId="0">'FIX_CAL-KD'!$C$62</definedName>
    <definedName name="st" hidden="1">[6]Gra_Ord_In_2000!$BA$12:$BA$1655</definedName>
    <definedName name="W" localSheetId="0">'FIX_CAL-KD'!$E$11</definedName>
    <definedName name="w.1" localSheetId="0">'FIX_CAL-KD'!$H$14</definedName>
    <definedName name="w.10" localSheetId="0">'FIX_CAL-KD'!$J$18</definedName>
    <definedName name="w.2" localSheetId="0">'FIX_CAL-KD'!$H$15</definedName>
    <definedName name="w.3" localSheetId="0">'FIX_CAL-KD'!$H$16</definedName>
    <definedName name="w.4" localSheetId="0">'FIX_CAL-KD'!$H$17</definedName>
    <definedName name="w.5" localSheetId="0">'FIX_CAL-KD'!$H$18</definedName>
    <definedName name="w.6" localSheetId="0">'FIX_CAL-KD'!$J$14</definedName>
    <definedName name="w.7" localSheetId="0">'FIX_CAL-KD'!$J$15</definedName>
    <definedName name="w.8" localSheetId="0">'FIX_CAL-KD'!$J$16</definedName>
    <definedName name="w.9" localSheetId="0">'FIX_CAL-KD'!$J$17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'FIX_CAL-KD'!$L$12</definedName>
    <definedName name="WS.1" localSheetId="0">'FIX_CAL-KD'!$N$14</definedName>
    <definedName name="WS.2" localSheetId="0">'FIX_CAL-KD'!$N$15</definedName>
    <definedName name="WS.3" localSheetId="0">'FIX_CAL-KD'!$N$16</definedName>
    <definedName name="WS.4" localSheetId="0">'FIX_CAL-KD'!$N$17</definedName>
    <definedName name="WS.5" localSheetId="0">'FIX_CAL-KD'!$N$18</definedName>
    <definedName name="Z_8BD11290_77B3_4D27_9040_BB9D2A7264B2_.wvu.PrintArea" localSheetId="0" hidden="1">'FIX_CAL-KD'!$1:$61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3" i="1" l="1"/>
  <c r="BU28" i="1"/>
  <c r="BU27" i="1"/>
  <c r="BQ33" i="1"/>
  <c r="BQ23" i="1"/>
  <c r="BA32" i="1" l="1"/>
  <c r="BA22" i="1"/>
  <c r="BE36" i="1"/>
  <c r="BE37" i="1"/>
  <c r="BF37" i="1" s="1"/>
  <c r="BE35" i="1"/>
  <c r="BF35" i="1" s="1"/>
  <c r="BE32" i="1"/>
  <c r="BF32" i="1" s="1"/>
  <c r="BE31" i="1"/>
  <c r="BF31" i="1" s="1"/>
  <c r="BF40" i="1"/>
  <c r="W25" i="1"/>
  <c r="X28" i="1"/>
  <c r="X29" i="1"/>
  <c r="BF60" i="1"/>
  <c r="BD60" i="1"/>
  <c r="AX60" i="1"/>
  <c r="BF36" i="1"/>
  <c r="BF30" i="1"/>
  <c r="AE29" i="1"/>
  <c r="Z29" i="1"/>
  <c r="V29" i="1"/>
  <c r="AE28" i="1"/>
  <c r="Z28" i="1"/>
  <c r="V28" i="1"/>
  <c r="AE27" i="1"/>
  <c r="AF27" i="1" s="1"/>
  <c r="Z27" i="1"/>
  <c r="X27" i="1"/>
  <c r="V27" i="1"/>
  <c r="AE26" i="1"/>
  <c r="AF26" i="1" s="1"/>
  <c r="AB26" i="1"/>
  <c r="Z26" i="1"/>
  <c r="X26" i="1"/>
  <c r="V26" i="1"/>
  <c r="AE25" i="1"/>
  <c r="AF25" i="1" s="1"/>
  <c r="AB25" i="1"/>
  <c r="Z25" i="1"/>
  <c r="X25" i="1"/>
  <c r="V25" i="1"/>
  <c r="AE24" i="1"/>
  <c r="AF24" i="1" s="1"/>
  <c r="Z24" i="1"/>
  <c r="X24" i="1"/>
  <c r="V24" i="1"/>
  <c r="AE23" i="1"/>
  <c r="AF23" i="1" s="1"/>
  <c r="Z23" i="1"/>
  <c r="X23" i="1"/>
  <c r="V23" i="1"/>
  <c r="AE22" i="1"/>
  <c r="Z22" i="1"/>
  <c r="X22" i="1"/>
  <c r="V22" i="1"/>
  <c r="BV60" i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BF41" i="1"/>
  <c r="BD41" i="1"/>
  <c r="AX41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BF39" i="1"/>
  <c r="AV39" i="1"/>
  <c r="AU39" i="1"/>
  <c r="AP39" i="1"/>
  <c r="AL39" i="1"/>
  <c r="AF39" i="1"/>
  <c r="AE39" i="1"/>
  <c r="Z39" i="1"/>
  <c r="V39" i="1"/>
  <c r="BF38" i="1"/>
  <c r="AV38" i="1"/>
  <c r="AU38" i="1"/>
  <c r="AP38" i="1"/>
  <c r="AL38" i="1"/>
  <c r="BV37" i="1"/>
  <c r="BT37" i="1"/>
  <c r="BN37" i="1"/>
  <c r="AV37" i="1"/>
  <c r="AU37" i="1"/>
  <c r="AP37" i="1"/>
  <c r="AL37" i="1"/>
  <c r="BV36" i="1"/>
  <c r="BT36" i="1"/>
  <c r="BN36" i="1"/>
  <c r="AV36" i="1"/>
  <c r="AU36" i="1"/>
  <c r="AP36" i="1"/>
  <c r="AL36" i="1"/>
  <c r="AV35" i="1"/>
  <c r="AU35" i="1"/>
  <c r="AP35" i="1"/>
  <c r="AL35" i="1"/>
  <c r="BV34" i="1"/>
  <c r="BF34" i="1"/>
  <c r="AV34" i="1"/>
  <c r="AU34" i="1"/>
  <c r="AP34" i="1"/>
  <c r="AL34" i="1"/>
  <c r="BV33" i="1"/>
  <c r="BF33" i="1"/>
  <c r="AV33" i="1"/>
  <c r="AU33" i="1"/>
  <c r="AP33" i="1"/>
  <c r="AL33" i="1"/>
  <c r="BV32" i="1"/>
  <c r="AV32" i="1"/>
  <c r="AU32" i="1"/>
  <c r="AP32" i="1"/>
  <c r="AL32" i="1"/>
  <c r="BV31" i="1"/>
  <c r="AV31" i="1"/>
  <c r="AU31" i="1"/>
  <c r="AP31" i="1"/>
  <c r="AL31" i="1"/>
  <c r="BV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BF28" i="1"/>
  <c r="AV28" i="1"/>
  <c r="AU28" i="1"/>
  <c r="AP28" i="1"/>
  <c r="AL28" i="1"/>
  <c r="BF27" i="1"/>
  <c r="AU27" i="1"/>
  <c r="AP27" i="1"/>
  <c r="AL27" i="1"/>
  <c r="BV26" i="1"/>
  <c r="BF26" i="1"/>
  <c r="AU26" i="1"/>
  <c r="AV26" i="1" s="1"/>
  <c r="AP26" i="1"/>
  <c r="AN26" i="1"/>
  <c r="AL26" i="1"/>
  <c r="BV25" i="1"/>
  <c r="BF25" i="1"/>
  <c r="AU25" i="1"/>
  <c r="AP25" i="1"/>
  <c r="AL25" i="1"/>
  <c r="BV24" i="1"/>
  <c r="BF24" i="1"/>
  <c r="AU24" i="1"/>
  <c r="AP24" i="1"/>
  <c r="AL24" i="1"/>
  <c r="BV23" i="1"/>
  <c r="BF23" i="1"/>
  <c r="AU23" i="1"/>
  <c r="AV23" i="1" s="1"/>
  <c r="AS23" i="1"/>
  <c r="AP23" i="1"/>
  <c r="AN23" i="1"/>
  <c r="AL23" i="1"/>
  <c r="BV22" i="1"/>
  <c r="BF22" i="1"/>
  <c r="AU22" i="1"/>
  <c r="AS22" i="1"/>
  <c r="AP22" i="1"/>
  <c r="AN22" i="1"/>
  <c r="AL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T15" i="1"/>
  <c r="AR15" i="1"/>
  <c r="AP15" i="1"/>
  <c r="AN15" i="1"/>
  <c r="AK15" i="1"/>
  <c r="AD15" i="1"/>
  <c r="AB15" i="1"/>
  <c r="Z15" i="1"/>
  <c r="X15" i="1"/>
  <c r="U15" i="1"/>
  <c r="C15" i="1"/>
  <c r="CB14" i="1"/>
  <c r="BZ14" i="1"/>
  <c r="BV14" i="1"/>
  <c r="BT14" i="1"/>
  <c r="BQ14" i="1"/>
  <c r="BO14" i="1"/>
  <c r="BL14" i="1"/>
  <c r="BJ14" i="1"/>
  <c r="BF14" i="1"/>
  <c r="BD14" i="1"/>
  <c r="BA14" i="1"/>
  <c r="AY14" i="1"/>
  <c r="AP14" i="1"/>
  <c r="AN14" i="1"/>
  <c r="AK14" i="1"/>
  <c r="AI14" i="1"/>
  <c r="AD14" i="1"/>
  <c r="Z14" i="1"/>
  <c r="X14" i="1"/>
  <c r="U14" i="1"/>
  <c r="S14" i="1"/>
  <c r="N14" i="1"/>
  <c r="BV27" i="1" s="1"/>
  <c r="L14" i="1"/>
  <c r="CA12" i="1"/>
  <c r="BZ12" i="1"/>
  <c r="BQ12" i="1"/>
  <c r="BK12" i="1"/>
  <c r="BA12" i="1"/>
  <c r="AU12" i="1"/>
  <c r="AT12" i="1"/>
  <c r="AK12" i="1"/>
  <c r="AE12" i="1"/>
  <c r="U12" i="1"/>
  <c r="N12" i="1"/>
  <c r="AD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D11" i="1"/>
  <c r="AA11" i="1"/>
  <c r="Y11" i="1"/>
  <c r="U11" i="1"/>
  <c r="N11" i="1"/>
  <c r="AT11" i="1" s="1"/>
  <c r="CA10" i="1"/>
  <c r="BQ10" i="1"/>
  <c r="BK10" i="1"/>
  <c r="BA10" i="1"/>
  <c r="AU10" i="1"/>
  <c r="AE10" i="1"/>
  <c r="M10" i="1"/>
  <c r="K10" i="1"/>
  <c r="BW10" i="1" s="1"/>
  <c r="CA9" i="1"/>
  <c r="BW9" i="1"/>
  <c r="BK9" i="1"/>
  <c r="BA9" i="1"/>
  <c r="AU9" i="1"/>
  <c r="AQ9" i="1"/>
  <c r="AK9" i="1"/>
  <c r="AE9" i="1"/>
  <c r="AA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E4" i="1" s="1"/>
  <c r="BQ3" i="1"/>
  <c r="BA3" i="1"/>
  <c r="U3" i="1"/>
  <c r="E3" i="1"/>
  <c r="AK3" i="1" s="1"/>
  <c r="AF2" i="1"/>
  <c r="AV2" i="1" s="1"/>
  <c r="BL2" i="1" s="1"/>
  <c r="CB2" i="1" s="1"/>
  <c r="AV22" i="1" l="1"/>
  <c r="AF28" i="1"/>
  <c r="AF29" i="1"/>
  <c r="AF22" i="1"/>
  <c r="BV28" i="1"/>
  <c r="AU4" i="1"/>
  <c r="CA4" i="1"/>
  <c r="BG10" i="1"/>
  <c r="BZ11" i="1"/>
  <c r="BX14" i="1"/>
  <c r="AY15" i="1"/>
  <c r="AS24" i="1"/>
  <c r="BJ12" i="1"/>
  <c r="AI15" i="1"/>
  <c r="P17" i="1"/>
  <c r="BH14" i="1"/>
  <c r="BV35" i="1"/>
  <c r="BK4" i="1"/>
  <c r="AT14" i="1"/>
  <c r="S15" i="1"/>
  <c r="AN27" i="1"/>
  <c r="AV27" i="1" s="1"/>
  <c r="AQ10" i="1"/>
  <c r="AB14" i="1"/>
  <c r="AN25" i="1"/>
  <c r="AV25" i="1" s="1"/>
  <c r="AA10" i="1"/>
  <c r="AR14" i="1"/>
  <c r="AM24" i="1"/>
  <c r="AN24" i="1"/>
  <c r="AV24" i="1" s="1"/>
  <c r="AV48" i="1" l="1"/>
  <c r="AF48" i="1"/>
  <c r="AF50" i="1" s="1"/>
  <c r="AV50" i="1"/>
  <c r="AV49" i="1"/>
  <c r="CB17" i="1"/>
  <c r="BL17" i="1"/>
  <c r="AF17" i="1"/>
  <c r="AV17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C8AC420B-3488-461D-8F94-46A4CEB413A2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F95EB6D5-55C4-4A60-9AF8-7D4985C40FA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4F7B768A-5DA2-4CA9-9C4B-E4365678920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<sst xmlns="http://schemas.openxmlformats.org/spreadsheetml/2006/main" count="552" uniqueCount="195">
  <si>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</si>
  <si>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</si>
  <si>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</si>
  <si>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</si>
  <si>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</si>
  <si>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</si>
  <si>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</si>
  <si>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</si>
  <si>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</si>
  <si>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</si>
  <si>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</si>
  <si>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</si>
  <si>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</si>
  <si>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</si>
  <si>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</si>
  <si>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CAL-KD NM</t>
  </si>
  <si>
    <t>Delivery Date</t>
  </si>
  <si>
    <t>Elevation Code</t>
  </si>
  <si>
    <t>52F/CL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</si>
  <si>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</si>
  <si>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</si>
  <si>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</si>
  <si>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U9E-51028</t>
  </si>
  <si>
    <t>Unit Code</t>
  </si>
  <si>
    <r>
      <t xml:space="preserve">H </t>
    </r>
    <r>
      <rPr>
        <sz val="10"/>
        <rFont val="Arial"/>
        <family val="2"/>
      </rPr>
      <t>item</t>
    </r>
  </si>
  <si>
    <t>U9E-50008</t>
  </si>
  <si>
    <t>52CL-A/SM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</si>
  <si>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</si>
  <si>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</si>
  <si>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</si>
  <si>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</si>
  <si>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</si>
  <si>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</si>
  <si>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</si>
  <si>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</si>
  <si>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</si>
  <si>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</si>
  <si>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</si>
  <si>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</si>
  <si>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</si>
  <si>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</si>
  <si>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</si>
  <si>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</si>
  <si>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</si>
  <si>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</si>
  <si>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</si>
  <si>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</si>
  <si>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</si>
  <si>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</si>
  <si>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</si>
  <si>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</si>
  <si>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</si>
  <si>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</si>
  <si>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</si>
  <si>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</si>
  <si>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</si>
  <si>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</si>
  <si>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</si>
  <si>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</si>
  <si>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</si>
  <si>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</si>
  <si>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</si>
  <si>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</si>
  <si>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</si>
  <si>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</si>
  <si>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</si>
  <si>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</si>
  <si>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</si>
  <si>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</si>
  <si>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</si>
  <si>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</si>
  <si>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</si>
  <si>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</si>
  <si>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</si>
  <si>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</si>
  <si>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</si>
  <si>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</si>
  <si>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</si>
  <si>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</si>
  <si>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</si>
  <si>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</si>
  <si>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</si>
  <si>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</si>
  <si>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</si>
  <si>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</si>
  <si>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9K-11089</t>
  </si>
  <si>
    <t>SILL</t>
  </si>
  <si>
    <t>BOTTOM RAIL</t>
  </si>
  <si>
    <t>9K-11090</t>
  </si>
  <si>
    <t>TRANSOM</t>
  </si>
  <si>
    <t>STILE(L)</t>
  </si>
  <si>
    <t>9K-87137</t>
  </si>
  <si>
    <t>2K-30630</t>
  </si>
  <si>
    <t>JAMB(L)</t>
  </si>
  <si>
    <t>9K-87104</t>
  </si>
  <si>
    <t>STILE(R)</t>
  </si>
  <si>
    <t>9K-20754</t>
  </si>
  <si>
    <t>M</t>
  </si>
  <si>
    <t>9K-20669</t>
  </si>
  <si>
    <t>JAMB(R)</t>
  </si>
  <si>
    <t>BEADING</t>
  </si>
  <si>
    <t>9K-86115</t>
  </si>
  <si>
    <t>9K-20856</t>
  </si>
  <si>
    <t>GLASS BEAD</t>
  </si>
  <si>
    <t>9K-87119</t>
  </si>
  <si>
    <t>2K-22277</t>
  </si>
  <si>
    <t>GLASS BEAD L</t>
  </si>
  <si>
    <t>2K-29161</t>
  </si>
  <si>
    <t>GLASS BEAD R</t>
  </si>
  <si>
    <t>EM-4016</t>
  </si>
  <si>
    <t>FOR HANDLE</t>
  </si>
  <si>
    <t>9K-20849</t>
  </si>
  <si>
    <t>EM-4010</t>
  </si>
  <si>
    <t>EM-4008</t>
  </si>
  <si>
    <t>9K-30250</t>
  </si>
  <si>
    <t>EM-4008D8-SA</t>
  </si>
  <si>
    <t>EF-4008D7-SA</t>
  </si>
  <si>
    <t>S</t>
  </si>
  <si>
    <t>FOR PULLING BLOCK</t>
  </si>
  <si>
    <t>BM-4025G</t>
  </si>
  <si>
    <t>FOR JOINT FRAME</t>
  </si>
  <si>
    <t>EF-4008D7</t>
  </si>
  <si>
    <t>FOR LOCK KEEPER</t>
  </si>
  <si>
    <t>EF-4006D6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</si>
  <si>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</si>
  <si>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</si>
  <si>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</si>
  <si>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</si>
  <si>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</si>
  <si>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</si>
  <si>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</si>
  <si>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</si>
  <si>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</si>
  <si>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</si>
  <si>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</si>
  <si>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</si>
  <si>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</si>
  <si>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</si>
  <si>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</si>
  <si>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</si>
  <si>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</si>
  <si>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</si>
  <si>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</si>
  <si>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</si>
  <si>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</si>
  <si>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</si>
  <si>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</si>
  <si>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</si>
  <si>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</si>
  <si>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</si>
  <si>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</si>
  <si>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</si>
  <si>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</si>
  <si>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</si>
  <si>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</si>
  <si>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</si>
  <si>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</si>
  <si>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</si>
  <si>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</si>
  <si>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</si>
  <si>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</si>
  <si>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</si>
  <si>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</si>
  <si>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</si>
  <si>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LABEL</t>
  </si>
  <si>
    <t>SCREW</t>
  </si>
  <si>
    <t>SHIM RECEIVER</t>
  </si>
  <si>
    <t>HOLE CAP</t>
  </si>
  <si>
    <t>GASKET</t>
  </si>
  <si>
    <t>LOCK KEEPER</t>
  </si>
  <si>
    <t>PULLING BLOCK</t>
  </si>
  <si>
    <t>AT MATERIAL</t>
  </si>
  <si>
    <t>SETTING BLOCK</t>
  </si>
  <si>
    <t>SEALER PAD</t>
  </si>
  <si>
    <t>9K-30241</t>
  </si>
  <si>
    <t>2K-29158</t>
  </si>
  <si>
    <t>YS</t>
  </si>
  <si>
    <t>YK</t>
  </si>
  <si>
    <t>FOR FRICTION STAY</t>
  </si>
  <si>
    <t>FOR JAMB (R), FOR JAMB (L), FOR HEAD</t>
  </si>
  <si>
    <t>FOR INSIDE</t>
  </si>
  <si>
    <t>FOR OUTSIDE</t>
  </si>
  <si>
    <t>HANDLE</t>
  </si>
  <si>
    <t>TRANSMISSION ROD</t>
  </si>
  <si>
    <t>WEATHER STRIP</t>
  </si>
  <si>
    <t>HANDLE CAP</t>
  </si>
  <si>
    <t>FOR TRANSMISSION ROD</t>
  </si>
  <si>
    <t>9K-87102</t>
  </si>
  <si>
    <t>9K-87116</t>
  </si>
  <si>
    <t>9K-20851</t>
  </si>
  <si>
    <t>9K-20848</t>
  </si>
  <si>
    <t>YW</t>
  </si>
  <si>
    <t>FOR GLASSBEAD</t>
  </si>
  <si>
    <t>Y</t>
  </si>
  <si>
    <t>FOR PULLING BLOK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</si>
</sst>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</cellXfs>
  <cellStyles count="5">
    <cellStyle name="Currency_FORM New Break Down 2" xfId="2" xr:uid="{6AB45981-BAEE-48F9-A2D3-DA253A82D504}"/>
    <cellStyle name="Normal" xfId="0" builtinId="0"/>
    <cellStyle name="Normal 2" xfId="1" xr:uid="{62F999CD-54B1-461E-9E12-0AC51080D0CB}"/>
    <cellStyle name="Normal 5" xfId="3" xr:uid="{8779C740-10F9-432B-81B2-96BA5758FDAF}"/>
    <cellStyle name="Normal_COBA 2" xfId="4" xr:uid="{EA1580BF-5FB6-40C6-B640-C42832FB2F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5FCE2CE-2EF6-4C6E-8437-E6E913C82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922ED54D-E13D-4803-8667-B9B21AA00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06B7E7DD-81E2-4652-8EB2-D90722635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7ED73566-C949-416D-9D53-92189CEFC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9AA5B7F9-B17A-44B7-9A83-067614C31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8650B922-8B5C-42A0-928D-5828AFEE9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DED272AB-F734-4445-8050-AAE17C459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530680</xdr:colOff>
      <xdr:row>22</xdr:row>
      <xdr:rowOff>27216</xdr:rowOff>
    </xdr:from>
    <xdr:to>
      <xdr:col>12</xdr:col>
      <xdr:colOff>516763</xdr:colOff>
      <xdr:row>37</xdr:row>
      <xdr:rowOff>155803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D2E5D898-1246-4118-9CFE-F2283B605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640" y="4134396"/>
          <a:ext cx="3605583" cy="297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51664-DE3A-4154-AF10-AE88315E6E48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33" sqref="S33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45520.623867476854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45520.623867476854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45520.623867476854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45520.623867476854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45520.623867476854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FIX CAL-KD NM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FIX CAL-KD NM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FIX CAL-KD NM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FIX CAL-KD NM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52F/CL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52F/CL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52F/CL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52F/CL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23">
        <f>W</f>
        <v>1000</v>
      </c>
      <c r="L9" s="325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52F/CL</v>
      </c>
      <c r="V9" s="36"/>
      <c r="W9" s="55"/>
      <c r="X9" s="62"/>
      <c r="Y9" s="62"/>
      <c r="Z9" s="63" t="s">
        <v>21</v>
      </c>
      <c r="AA9" s="323">
        <f>$K$9</f>
        <v>1000</v>
      </c>
      <c r="AB9" s="325"/>
      <c r="AC9" s="65"/>
      <c r="AD9" s="61"/>
      <c r="AE9" s="59" t="str">
        <f>IF($O$9&gt;0,$O$9,"")</f>
        <v>U9E-51028</v>
      </c>
      <c r="AF9" s="60"/>
      <c r="AG9" s="3"/>
      <c r="AH9" s="53" t="s">
        <v>20</v>
      </c>
      <c r="AI9" s="36"/>
      <c r="AJ9" s="37"/>
      <c r="AK9" s="54" t="str">
        <f>IF($E$9&gt;0,$E$9,"")</f>
        <v>52F/CL</v>
      </c>
      <c r="AL9" s="36"/>
      <c r="AM9" s="55"/>
      <c r="AN9" s="62"/>
      <c r="AO9" s="62"/>
      <c r="AP9" s="63" t="s">
        <v>21</v>
      </c>
      <c r="AQ9" s="323">
        <f>$K$9</f>
        <v>1000</v>
      </c>
      <c r="AR9" s="325"/>
      <c r="AS9" s="65"/>
      <c r="AT9" s="61"/>
      <c r="AU9" s="59" t="str">
        <f>IF($O$9&gt;0,$O$9,"")</f>
        <v>U9E-51028</v>
      </c>
      <c r="AV9" s="60"/>
      <c r="AW9" s="3"/>
      <c r="AX9" s="53" t="s">
        <v>20</v>
      </c>
      <c r="AY9" s="36"/>
      <c r="AZ9" s="37"/>
      <c r="BA9" s="54" t="str">
        <f>IF(E9&gt;0,E9,"")</f>
        <v>52F/CL</v>
      </c>
      <c r="BB9" s="36"/>
      <c r="BC9" s="55"/>
      <c r="BD9" s="62"/>
      <c r="BE9" s="62"/>
      <c r="BF9" s="63" t="s">
        <v>21</v>
      </c>
      <c r="BG9" s="323">
        <f>$K$9</f>
        <v>1000</v>
      </c>
      <c r="BH9" s="325"/>
      <c r="BI9" s="65"/>
      <c r="BJ9" s="61"/>
      <c r="BK9" s="59" t="str">
        <f>IF($O$9&gt;0,$O$9,"")</f>
        <v>U9E-51028</v>
      </c>
      <c r="BL9" s="60"/>
      <c r="BM9" s="3"/>
      <c r="BN9" s="53" t="s">
        <v>20</v>
      </c>
      <c r="BO9" s="36"/>
      <c r="BP9" s="37"/>
      <c r="BQ9" s="54" t="str">
        <f>IF(U9&gt;0,U9,"")</f>
        <v>52F/CL</v>
      </c>
      <c r="BR9" s="36"/>
      <c r="BS9" s="55"/>
      <c r="BT9" s="62"/>
      <c r="BU9" s="62"/>
      <c r="BV9" s="63" t="s">
        <v>21</v>
      </c>
      <c r="BW9" s="323">
        <f>$K$9</f>
        <v>1000</v>
      </c>
      <c r="BX9" s="325"/>
      <c r="BY9" s="65"/>
      <c r="BZ9" s="61"/>
      <c r="CA9" s="59" t="str">
        <f>IF($O$9&gt;0,$O$9,"")</f>
        <v>U9E-51028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23">
        <f>H</f>
        <v>2000</v>
      </c>
      <c r="L10" s="324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23">
        <f>$K$10</f>
        <v>2000</v>
      </c>
      <c r="AB10" s="325"/>
      <c r="AC10" s="65"/>
      <c r="AD10" s="61"/>
      <c r="AE10" s="59" t="str">
        <f>IF($O$10&gt;0,$O$10,"")</f>
        <v>U9E-50008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23">
        <f>$K$10</f>
        <v>2000</v>
      </c>
      <c r="AR10" s="325"/>
      <c r="AS10" s="65"/>
      <c r="AT10" s="61"/>
      <c r="AU10" s="59" t="str">
        <f>IF($O$10&gt;0,$O$10,"")</f>
        <v>U9E-50008</v>
      </c>
      <c r="AV10" s="60"/>
      <c r="AW10" s="3"/>
      <c r="AX10" s="53" t="s">
        <v>23</v>
      </c>
      <c r="AY10" s="36"/>
      <c r="AZ10" s="37"/>
      <c r="BA10" s="54" t="str">
        <f>IF($U$10&gt;0,$U$10,"")</f>
        <v>52F/CL</v>
      </c>
      <c r="BB10" s="36"/>
      <c r="BC10" s="55"/>
      <c r="BD10" s="62"/>
      <c r="BE10" s="62"/>
      <c r="BF10" s="66" t="s">
        <v>24</v>
      </c>
      <c r="BG10" s="323">
        <f>$K$10</f>
        <v>2000</v>
      </c>
      <c r="BH10" s="325"/>
      <c r="BI10" s="65"/>
      <c r="BJ10" s="61"/>
      <c r="BK10" s="59" t="str">
        <f>IF($O$10&gt;0,$O$10,"")</f>
        <v>U9E-50008</v>
      </c>
      <c r="BL10" s="60"/>
      <c r="BM10" s="3"/>
      <c r="BN10" s="53" t="s">
        <v>23</v>
      </c>
      <c r="BO10" s="36"/>
      <c r="BP10" s="37"/>
      <c r="BQ10" s="54" t="str">
        <f>IF($AK$10&gt;0,$AK$10,"")</f>
        <v>52CL-A/SM</v>
      </c>
      <c r="BR10" s="36"/>
      <c r="BS10" s="55"/>
      <c r="BT10" s="62"/>
      <c r="BU10" s="62"/>
      <c r="BV10" s="66" t="s">
        <v>24</v>
      </c>
      <c r="BW10" s="323">
        <f>$K$10</f>
        <v>2000</v>
      </c>
      <c r="BX10" s="325"/>
      <c r="BY10" s="65"/>
      <c r="BZ10" s="61"/>
      <c r="CA10" s="59" t="str">
        <f>IF($O$10&gt;0,$O$10,"")</f>
        <v>U9E-50008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26" t="s">
        <v>28</v>
      </c>
      <c r="I11" s="326">
        <v>1</v>
      </c>
      <c r="J11" s="326" t="s">
        <v>29</v>
      </c>
      <c r="K11" s="328" t="s">
        <v>30</v>
      </c>
      <c r="L11" s="329"/>
      <c r="M11" s="332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26" t="s">
        <v>28</v>
      </c>
      <c r="Y11" s="326">
        <f>IF($I$11&gt;0,$I$11,"")</f>
        <v>1</v>
      </c>
      <c r="Z11" s="326" t="s">
        <v>29</v>
      </c>
      <c r="AA11" s="328" t="str">
        <f>IF($K$11&gt;0,$K$11,"")</f>
        <v>TT01</v>
      </c>
      <c r="AB11" s="329"/>
      <c r="AC11" s="332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26" t="s">
        <v>28</v>
      </c>
      <c r="AO11" s="326">
        <f>IF($I$11&gt;0,$I$11,"")</f>
        <v>1</v>
      </c>
      <c r="AP11" s="326" t="s">
        <v>29</v>
      </c>
      <c r="AQ11" s="328" t="str">
        <f>IF($K$11&gt;0,$K$11,"")</f>
        <v>TT01</v>
      </c>
      <c r="AR11" s="329"/>
      <c r="AS11" s="332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26" t="s">
        <v>28</v>
      </c>
      <c r="BE11" s="326">
        <f>IF($I$11&gt;0,$I$11,"")</f>
        <v>1</v>
      </c>
      <c r="BF11" s="326" t="s">
        <v>29</v>
      </c>
      <c r="BG11" s="328" t="str">
        <f>IF($K$11&gt;0,$K$11,"")</f>
        <v>TT01</v>
      </c>
      <c r="BH11" s="329"/>
      <c r="BI11" s="332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26" t="s">
        <v>28</v>
      </c>
      <c r="BU11" s="326">
        <f>IF($I$11&gt;0,$I$11,"")</f>
        <v>1</v>
      </c>
      <c r="BV11" s="326" t="s">
        <v>29</v>
      </c>
      <c r="BW11" s="328" t="str">
        <f>IF($K$11&gt;0,$K$11,"")</f>
        <v>TT01</v>
      </c>
      <c r="BX11" s="329"/>
      <c r="BY11" s="332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27"/>
      <c r="I12" s="327"/>
      <c r="J12" s="327"/>
      <c r="K12" s="330"/>
      <c r="L12" s="331"/>
      <c r="M12" s="333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27"/>
      <c r="Y12" s="327"/>
      <c r="Z12" s="327"/>
      <c r="AA12" s="330"/>
      <c r="AB12" s="331"/>
      <c r="AC12" s="333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27"/>
      <c r="AO12" s="327"/>
      <c r="AP12" s="327"/>
      <c r="AQ12" s="330"/>
      <c r="AR12" s="331"/>
      <c r="AS12" s="333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27"/>
      <c r="BE12" s="327"/>
      <c r="BF12" s="327"/>
      <c r="BG12" s="330"/>
      <c r="BH12" s="331"/>
      <c r="BI12" s="333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27"/>
      <c r="BU12" s="327"/>
      <c r="BV12" s="327"/>
      <c r="BW12" s="330"/>
      <c r="BX12" s="331"/>
      <c r="BY12" s="333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500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h.2-10</f>
        <v>1430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500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1430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500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1430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500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1430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500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1430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f>H-h.1-60</f>
        <v>1440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1440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1440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1440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1440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>
        <f>(HS.1/2)+h.1+45</f>
        <v>1260</v>
      </c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>
        <f>IF($P$17&gt;0,$P$17,"")</f>
        <v>1260</v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>
        <f>IF($P$17&gt;0,$P$17,"")</f>
        <v>1260</v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>
        <f>IF($P$17&gt;0,$P$17,"")</f>
        <v>1260</v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>
        <f>IF($P$17&gt;0,$P$17,"")</f>
        <v>1260</v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29" si="0">IF(U22&gt;"","-","")</f>
        <v>-</v>
      </c>
      <c r="W22" s="222">
        <v>3</v>
      </c>
      <c r="X22" s="207">
        <f>W-41</f>
        <v>959</v>
      </c>
      <c r="Y22" s="171">
        <v>1</v>
      </c>
      <c r="Z22" s="172">
        <f t="shared" ref="Z22:Z29" si="1">IF(Y22&lt;0.1,"",Q*Y22)</f>
        <v>1</v>
      </c>
      <c r="AA22" s="220"/>
      <c r="AB22" s="174"/>
      <c r="AC22" s="175"/>
      <c r="AD22" s="211"/>
      <c r="AE22" s="177">
        <f t="shared" ref="AE22:AE29" si="2">IF(U22&gt;"",VLOOKUP(U22,MATERIAL_WEIGHT,2,FALSE),"")</f>
        <v>0.58399999999999996</v>
      </c>
      <c r="AF22" s="178">
        <f t="shared" ref="AF22:AF29" si="3"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4">IF(AK22&gt;"","-","")</f>
        <v>-</v>
      </c>
      <c r="AM22" s="201">
        <v>1</v>
      </c>
      <c r="AN22" s="170">
        <f>WS.1-32</f>
        <v>916</v>
      </c>
      <c r="AO22" s="171">
        <v>1</v>
      </c>
      <c r="AP22" s="172">
        <f t="shared" ref="AP22:AP47" si="5">IF(AO22&lt;0.1,"",Q*AO22)</f>
        <v>1</v>
      </c>
      <c r="AQ22" s="202"/>
      <c r="AR22" s="174"/>
      <c r="AS22" s="175" t="str">
        <f>IF(WS.1&lt;=748,"4K-12285",IF(WS.1&lt;=848,"4K-12286",IF(WS.1&gt;848,"4K-15550","4K-15550")))</f>
        <v>4K-15550</v>
      </c>
      <c r="AT22" s="176"/>
      <c r="AU22" s="177">
        <f t="shared" ref="AU22:AU38" si="6">IF(AK22&gt;"",VLOOKUP(AK22,MATERIAL_WEIGHT,2,FALSE),"")</f>
        <v>0.48299999999999998</v>
      </c>
      <c r="AV22" s="178">
        <f t="shared" ref="AV22:AV47" si="7">IF(AK22&gt;"",(AU22*AN22*AP22)/1000,"")</f>
        <v>0.44242799999999999</v>
      </c>
      <c r="AW22" s="4"/>
      <c r="AX22" s="198" t="s">
        <v>163</v>
      </c>
      <c r="AY22" s="199"/>
      <c r="AZ22" s="200"/>
      <c r="BA22" s="204" t="str">
        <f>IF(W&lt;=500,"MIN LIMIT",IF(W&lt;=800,"4K-12285",IF(W&lt;=900,"4K-12286","4K-15550")))</f>
        <v>4K-15550</v>
      </c>
      <c r="BB22" s="168"/>
      <c r="BC22" s="180"/>
      <c r="BD22" s="181" t="s">
        <v>176</v>
      </c>
      <c r="BE22" s="171">
        <v>2</v>
      </c>
      <c r="BF22" s="172">
        <f t="shared" ref="BF22:BF42" si="8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182</v>
      </c>
      <c r="BO22" s="199"/>
      <c r="BP22" s="200"/>
      <c r="BQ22" s="204" t="s">
        <v>85</v>
      </c>
      <c r="BR22" s="168"/>
      <c r="BS22" s="180"/>
      <c r="BT22" s="181" t="s">
        <v>193</v>
      </c>
      <c r="BU22" s="171">
        <v>1</v>
      </c>
      <c r="BV22" s="172">
        <f t="shared" ref="BV22:BV59" si="9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187</v>
      </c>
      <c r="V23" s="168" t="str">
        <f t="shared" si="0"/>
        <v>-</v>
      </c>
      <c r="W23" s="169">
        <v>1</v>
      </c>
      <c r="X23" s="207">
        <f>W-41</f>
        <v>959</v>
      </c>
      <c r="Y23" s="171">
        <v>1</v>
      </c>
      <c r="Z23" s="172">
        <f t="shared" si="1"/>
        <v>1</v>
      </c>
      <c r="AA23" s="220"/>
      <c r="AB23" s="174"/>
      <c r="AC23" s="175"/>
      <c r="AD23" s="211"/>
      <c r="AE23" s="177">
        <f t="shared" si="2"/>
        <v>0.57099999999999995</v>
      </c>
      <c r="AF23" s="178">
        <f t="shared" si="3"/>
        <v>0.54758899999999999</v>
      </c>
      <c r="AG23" s="4"/>
      <c r="AH23" s="198" t="s">
        <v>87</v>
      </c>
      <c r="AI23" s="199"/>
      <c r="AJ23" s="203"/>
      <c r="AK23" s="167" t="s">
        <v>84</v>
      </c>
      <c r="AL23" s="168" t="str">
        <f t="shared" si="4"/>
        <v>-</v>
      </c>
      <c r="AM23" s="201">
        <v>2</v>
      </c>
      <c r="AN23" s="207">
        <f>WS.1-32</f>
        <v>916</v>
      </c>
      <c r="AO23" s="182">
        <v>1</v>
      </c>
      <c r="AP23" s="172">
        <f t="shared" si="5"/>
        <v>1</v>
      </c>
      <c r="AQ23" s="202"/>
      <c r="AR23" s="174"/>
      <c r="AS23" s="175" t="str">
        <f>IF(WS.1&lt;=748,"4K-12285",IF(WS.1&lt;=848,"4K-12286",IF(WS.1&gt;848,"4K-15550","4K-15550")))</f>
        <v>4K-15550</v>
      </c>
      <c r="AT23" s="176"/>
      <c r="AU23" s="177">
        <f t="shared" si="6"/>
        <v>0.48299999999999998</v>
      </c>
      <c r="AV23" s="178">
        <f t="shared" si="7"/>
        <v>0.44242799999999999</v>
      </c>
      <c r="AW23" s="4"/>
      <c r="AX23" s="198" t="s">
        <v>173</v>
      </c>
      <c r="AY23" s="199"/>
      <c r="AZ23" s="200"/>
      <c r="BA23" s="167" t="s">
        <v>189</v>
      </c>
      <c r="BB23" s="168"/>
      <c r="BC23" s="180"/>
      <c r="BD23" s="181" t="s">
        <v>177</v>
      </c>
      <c r="BE23" s="171">
        <v>1</v>
      </c>
      <c r="BF23" s="172">
        <f t="shared" si="8"/>
        <v>1</v>
      </c>
      <c r="BG23" s="183"/>
      <c r="BH23" s="184"/>
      <c r="BI23" s="185"/>
      <c r="BJ23" s="186"/>
      <c r="BK23" s="205"/>
      <c r="BL23" s="188"/>
      <c r="BM23" s="4"/>
      <c r="BN23" s="198" t="s">
        <v>183</v>
      </c>
      <c r="BO23" s="199"/>
      <c r="BP23" s="200"/>
      <c r="BQ23" s="167" t="str">
        <f>IF(WS.1&lt;=748,"9K-11094","9K-11091")</f>
        <v>9K-11091</v>
      </c>
      <c r="BR23" s="168"/>
      <c r="BS23" s="180"/>
      <c r="BT23" s="181" t="s">
        <v>176</v>
      </c>
      <c r="BU23" s="171">
        <v>1</v>
      </c>
      <c r="BV23" s="172">
        <f t="shared" si="9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213" t="s">
        <v>89</v>
      </c>
      <c r="S24" s="214"/>
      <c r="T24" s="215"/>
      <c r="U24" s="167" t="s">
        <v>188</v>
      </c>
      <c r="V24" s="168" t="str">
        <f t="shared" si="0"/>
        <v>-</v>
      </c>
      <c r="W24" s="169">
        <v>2</v>
      </c>
      <c r="X24" s="207">
        <f>W-41</f>
        <v>959</v>
      </c>
      <c r="Y24" s="171">
        <v>1</v>
      </c>
      <c r="Z24" s="172">
        <f t="shared" si="1"/>
        <v>1</v>
      </c>
      <c r="AA24" s="220"/>
      <c r="AB24" s="174"/>
      <c r="AC24" s="175"/>
      <c r="AD24" s="211"/>
      <c r="AE24" s="177">
        <f t="shared" si="2"/>
        <v>0.79900000000000004</v>
      </c>
      <c r="AF24" s="178">
        <f t="shared" si="3"/>
        <v>0.76624099999999995</v>
      </c>
      <c r="AG24" s="4"/>
      <c r="AH24" s="198" t="s">
        <v>90</v>
      </c>
      <c r="AI24" s="199"/>
      <c r="AJ24" s="203"/>
      <c r="AK24" s="167" t="s">
        <v>91</v>
      </c>
      <c r="AL24" s="168" t="str">
        <f t="shared" si="4"/>
        <v>-</v>
      </c>
      <c r="AM24" s="201">
        <f>IF(HS.1&lt;1550,6,8)</f>
        <v>6</v>
      </c>
      <c r="AN24" s="207">
        <f>HS.1</f>
        <v>1430</v>
      </c>
      <c r="AO24" s="171">
        <v>1</v>
      </c>
      <c r="AP24" s="172">
        <f t="shared" si="5"/>
        <v>1</v>
      </c>
      <c r="AQ24" s="202"/>
      <c r="AR24" s="174"/>
      <c r="AS24" s="175" t="str">
        <f>IF(HS.1&lt;1550,CONCATENATE("as = ",(HS.1/2)),"")</f>
        <v>as = 715</v>
      </c>
      <c r="AT24" s="176"/>
      <c r="AU24" s="177">
        <f t="shared" si="6"/>
        <v>0.55700000000000005</v>
      </c>
      <c r="AV24" s="178">
        <f t="shared" si="7"/>
        <v>0.79651000000000005</v>
      </c>
      <c r="AW24" s="4"/>
      <c r="AX24" s="198" t="s">
        <v>164</v>
      </c>
      <c r="AY24" s="199"/>
      <c r="AZ24" s="200"/>
      <c r="BA24" s="167" t="s">
        <v>174</v>
      </c>
      <c r="BB24" s="168"/>
      <c r="BC24" s="180"/>
      <c r="BD24" s="181" t="s">
        <v>176</v>
      </c>
      <c r="BE24" s="171">
        <v>1</v>
      </c>
      <c r="BF24" s="172">
        <f t="shared" si="8"/>
        <v>1</v>
      </c>
      <c r="BG24" s="183"/>
      <c r="BH24" s="184"/>
      <c r="BI24" s="185"/>
      <c r="BJ24" s="186"/>
      <c r="BK24" s="187"/>
      <c r="BL24" s="188"/>
      <c r="BM24" s="4"/>
      <c r="BN24" s="198" t="s">
        <v>170</v>
      </c>
      <c r="BO24" s="199"/>
      <c r="BP24" s="200"/>
      <c r="BQ24" s="167" t="s">
        <v>92</v>
      </c>
      <c r="BR24" s="168"/>
      <c r="BS24" s="180"/>
      <c r="BT24" s="181" t="s">
        <v>177</v>
      </c>
      <c r="BU24" s="171">
        <v>1</v>
      </c>
      <c r="BV24" s="172">
        <f t="shared" si="9"/>
        <v>1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213" t="s">
        <v>93</v>
      </c>
      <c r="S25" s="214"/>
      <c r="T25" s="215"/>
      <c r="U25" s="167" t="s">
        <v>94</v>
      </c>
      <c r="V25" s="168" t="str">
        <f t="shared" si="0"/>
        <v>-</v>
      </c>
      <c r="W25" s="169">
        <f>IF(h.2&lt;1560,15,33)</f>
        <v>15</v>
      </c>
      <c r="X25" s="207">
        <f>H</f>
        <v>2000</v>
      </c>
      <c r="Y25" s="171">
        <v>1</v>
      </c>
      <c r="Z25" s="172">
        <f t="shared" si="1"/>
        <v>1</v>
      </c>
      <c r="AA25" s="220"/>
      <c r="AB25" s="174" t="str">
        <f>IF(h.2&lt;1560,CONCATENATE("a = ",h.1+(h.2/2)+40),"")</f>
        <v>a = 1260</v>
      </c>
      <c r="AC25" s="175"/>
      <c r="AD25" s="211"/>
      <c r="AE25" s="177">
        <f t="shared" si="2"/>
        <v>0.57399999999999995</v>
      </c>
      <c r="AF25" s="178">
        <f t="shared" si="3"/>
        <v>1.1479999999999999</v>
      </c>
      <c r="AG25" s="4"/>
      <c r="AH25" s="198" t="s">
        <v>95</v>
      </c>
      <c r="AI25" s="199"/>
      <c r="AJ25" s="203"/>
      <c r="AK25" s="167" t="s">
        <v>91</v>
      </c>
      <c r="AL25" s="168" t="str">
        <f t="shared" si="4"/>
        <v>-</v>
      </c>
      <c r="AM25" s="201">
        <v>2</v>
      </c>
      <c r="AN25" s="207">
        <f>HS.1</f>
        <v>1430</v>
      </c>
      <c r="AO25" s="171">
        <v>1</v>
      </c>
      <c r="AP25" s="172">
        <f t="shared" si="5"/>
        <v>1</v>
      </c>
      <c r="AQ25" s="209"/>
      <c r="AR25" s="174"/>
      <c r="AS25" s="175"/>
      <c r="AT25" s="176"/>
      <c r="AU25" s="177">
        <f t="shared" si="6"/>
        <v>0.55700000000000005</v>
      </c>
      <c r="AV25" s="178">
        <f t="shared" si="7"/>
        <v>0.79651000000000005</v>
      </c>
      <c r="AW25" s="4"/>
      <c r="AX25" s="198" t="s">
        <v>165</v>
      </c>
      <c r="AY25" s="199"/>
      <c r="AZ25" s="200"/>
      <c r="BA25" s="167" t="s">
        <v>115</v>
      </c>
      <c r="BB25" s="168"/>
      <c r="BC25" s="180"/>
      <c r="BD25" s="181" t="s">
        <v>176</v>
      </c>
      <c r="BE25" s="171">
        <v>8</v>
      </c>
      <c r="BF25" s="172">
        <f t="shared" si="8"/>
        <v>8</v>
      </c>
      <c r="BG25" s="183"/>
      <c r="BH25" s="184" t="s">
        <v>178</v>
      </c>
      <c r="BI25" s="185"/>
      <c r="BJ25" s="186"/>
      <c r="BK25" s="187"/>
      <c r="BL25" s="188"/>
      <c r="BM25" s="4"/>
      <c r="BN25" s="198" t="s">
        <v>172</v>
      </c>
      <c r="BO25" s="199"/>
      <c r="BP25" s="200"/>
      <c r="BQ25" s="167" t="s">
        <v>98</v>
      </c>
      <c r="BR25" s="168"/>
      <c r="BS25" s="180"/>
      <c r="BT25" s="181" t="s">
        <v>177</v>
      </c>
      <c r="BU25" s="171">
        <v>2</v>
      </c>
      <c r="BV25" s="172">
        <f t="shared" si="9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213" t="s">
        <v>99</v>
      </c>
      <c r="S26" s="214"/>
      <c r="T26" s="215"/>
      <c r="U26" s="167" t="s">
        <v>94</v>
      </c>
      <c r="V26" s="168" t="str">
        <f t="shared" si="0"/>
        <v>-</v>
      </c>
      <c r="W26" s="169">
        <v>18</v>
      </c>
      <c r="X26" s="207">
        <f>H</f>
        <v>2000</v>
      </c>
      <c r="Y26" s="171">
        <v>1</v>
      </c>
      <c r="Z26" s="172">
        <f t="shared" si="1"/>
        <v>1</v>
      </c>
      <c r="AA26" s="220"/>
      <c r="AB26" s="174" t="str">
        <f>CONCATENATE("H1+H2/2+40 = ",(h.1+(h.2/2)+40))</f>
        <v>H1+H2/2+40 = 1260</v>
      </c>
      <c r="AC26" s="175"/>
      <c r="AD26" s="211"/>
      <c r="AE26" s="177">
        <f t="shared" si="2"/>
        <v>0.57399999999999995</v>
      </c>
      <c r="AF26" s="178">
        <f t="shared" si="3"/>
        <v>1.1479999999999999</v>
      </c>
      <c r="AG26" s="4"/>
      <c r="AH26" s="198" t="s">
        <v>100</v>
      </c>
      <c r="AI26" s="199"/>
      <c r="AJ26" s="203"/>
      <c r="AK26" s="167" t="s">
        <v>101</v>
      </c>
      <c r="AL26" s="168" t="str">
        <f t="shared" si="4"/>
        <v>-</v>
      </c>
      <c r="AM26" s="201">
        <v>0</v>
      </c>
      <c r="AN26" s="170">
        <f>WS.1-83</f>
        <v>865</v>
      </c>
      <c r="AO26" s="171">
        <v>2</v>
      </c>
      <c r="AP26" s="172">
        <f t="shared" si="5"/>
        <v>2</v>
      </c>
      <c r="AQ26" s="209"/>
      <c r="AR26" s="174"/>
      <c r="AS26" s="175"/>
      <c r="AT26" s="211"/>
      <c r="AU26" s="177">
        <f t="shared" si="6"/>
        <v>9.6000000000000002E-2</v>
      </c>
      <c r="AV26" s="178">
        <f t="shared" si="7"/>
        <v>0.16608000000000001</v>
      </c>
      <c r="AW26" s="4"/>
      <c r="AX26" s="198" t="s">
        <v>165</v>
      </c>
      <c r="AY26" s="199"/>
      <c r="AZ26" s="200"/>
      <c r="BA26" s="167" t="s">
        <v>113</v>
      </c>
      <c r="BB26" s="168"/>
      <c r="BC26" s="180"/>
      <c r="BD26" s="181" t="s">
        <v>176</v>
      </c>
      <c r="BE26" s="171">
        <v>2</v>
      </c>
      <c r="BF26" s="172">
        <f t="shared" si="8"/>
        <v>2</v>
      </c>
      <c r="BG26" s="183"/>
      <c r="BH26" s="184" t="s">
        <v>118</v>
      </c>
      <c r="BI26" s="185"/>
      <c r="BJ26" s="186"/>
      <c r="BK26" s="187"/>
      <c r="BL26" s="188"/>
      <c r="BM26" s="4"/>
      <c r="BN26" s="198" t="s">
        <v>172</v>
      </c>
      <c r="BO26" s="199"/>
      <c r="BP26" s="200"/>
      <c r="BQ26" s="167" t="s">
        <v>102</v>
      </c>
      <c r="BR26" s="168"/>
      <c r="BS26" s="180"/>
      <c r="BT26" s="181" t="s">
        <v>177</v>
      </c>
      <c r="BU26" s="171">
        <v>2</v>
      </c>
      <c r="BV26" s="172">
        <f t="shared" si="9"/>
        <v>2</v>
      </c>
      <c r="BW26" s="183"/>
      <c r="BX26" s="184"/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213" t="s">
        <v>103</v>
      </c>
      <c r="S27" s="214"/>
      <c r="T27" s="215"/>
      <c r="U27" s="167" t="s">
        <v>104</v>
      </c>
      <c r="V27" s="168" t="str">
        <f t="shared" si="0"/>
        <v>-</v>
      </c>
      <c r="W27" s="169">
        <v>0</v>
      </c>
      <c r="X27" s="170">
        <f>W-76</f>
        <v>924</v>
      </c>
      <c r="Y27" s="171">
        <v>1</v>
      </c>
      <c r="Z27" s="172">
        <f t="shared" si="1"/>
        <v>1</v>
      </c>
      <c r="AA27" s="220"/>
      <c r="AB27" s="174"/>
      <c r="AC27" s="175"/>
      <c r="AD27" s="211"/>
      <c r="AE27" s="177">
        <f t="shared" si="2"/>
        <v>0.13900000000000001</v>
      </c>
      <c r="AF27" s="178">
        <f t="shared" si="3"/>
        <v>0.12843599999999999</v>
      </c>
      <c r="AG27" s="4"/>
      <c r="AH27" s="198" t="s">
        <v>100</v>
      </c>
      <c r="AI27" s="199"/>
      <c r="AJ27" s="203"/>
      <c r="AK27" s="167" t="s">
        <v>101</v>
      </c>
      <c r="AL27" s="168" t="str">
        <f t="shared" si="4"/>
        <v>-</v>
      </c>
      <c r="AM27" s="201">
        <v>0</v>
      </c>
      <c r="AN27" s="170">
        <f>HS.1-84</f>
        <v>1346</v>
      </c>
      <c r="AO27" s="171">
        <v>2</v>
      </c>
      <c r="AP27" s="172">
        <f t="shared" si="5"/>
        <v>2</v>
      </c>
      <c r="AQ27" s="209"/>
      <c r="AR27" s="174"/>
      <c r="AS27" s="175"/>
      <c r="AT27" s="211"/>
      <c r="AU27" s="177">
        <f t="shared" si="6"/>
        <v>9.6000000000000002E-2</v>
      </c>
      <c r="AV27" s="178">
        <f t="shared" si="7"/>
        <v>0.258432</v>
      </c>
      <c r="AW27" s="4"/>
      <c r="AX27" s="198" t="s">
        <v>165</v>
      </c>
      <c r="AY27" s="199"/>
      <c r="AZ27" s="200"/>
      <c r="BA27" s="167" t="s">
        <v>121</v>
      </c>
      <c r="BB27" s="168"/>
      <c r="BC27" s="180"/>
      <c r="BD27" s="181" t="s">
        <v>176</v>
      </c>
      <c r="BE27" s="171">
        <v>4</v>
      </c>
      <c r="BF27" s="172">
        <f t="shared" si="8"/>
        <v>4</v>
      </c>
      <c r="BG27" s="212"/>
      <c r="BH27" s="184" t="s">
        <v>122</v>
      </c>
      <c r="BI27" s="185"/>
      <c r="BJ27" s="186"/>
      <c r="BK27" s="187"/>
      <c r="BL27" s="188"/>
      <c r="BM27" s="4"/>
      <c r="BN27" s="198" t="s">
        <v>184</v>
      </c>
      <c r="BO27" s="199"/>
      <c r="BP27" s="200"/>
      <c r="BQ27" s="167" t="s">
        <v>107</v>
      </c>
      <c r="BR27" s="168"/>
      <c r="BS27" s="180"/>
      <c r="BT27" s="181" t="s">
        <v>177</v>
      </c>
      <c r="BU27" s="171">
        <f>(HS.1*2)/1000</f>
        <v>2.86</v>
      </c>
      <c r="BV27" s="172">
        <f t="shared" si="9"/>
        <v>2.86</v>
      </c>
      <c r="BW27" s="212" t="s">
        <v>97</v>
      </c>
      <c r="BX27" s="184"/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106</v>
      </c>
      <c r="S28" s="214"/>
      <c r="T28" s="215"/>
      <c r="U28" s="167" t="s">
        <v>104</v>
      </c>
      <c r="V28" s="168" t="str">
        <f t="shared" si="0"/>
        <v>-</v>
      </c>
      <c r="W28" s="169">
        <v>1</v>
      </c>
      <c r="X28" s="170">
        <f>h.1-36</f>
        <v>464</v>
      </c>
      <c r="Y28" s="171">
        <v>1</v>
      </c>
      <c r="Z28" s="172">
        <f t="shared" si="1"/>
        <v>1</v>
      </c>
      <c r="AA28" s="220"/>
      <c r="AB28" s="174"/>
      <c r="AC28" s="175"/>
      <c r="AD28" s="211"/>
      <c r="AE28" s="177">
        <f t="shared" si="2"/>
        <v>0.13900000000000001</v>
      </c>
      <c r="AF28" s="178">
        <f t="shared" si="3"/>
        <v>6.4496000000000012E-2</v>
      </c>
      <c r="AG28" s="4"/>
      <c r="AH28" s="213"/>
      <c r="AI28" s="214"/>
      <c r="AJ28" s="216"/>
      <c r="AK28" s="167"/>
      <c r="AL28" s="168" t="str">
        <f t="shared" si="4"/>
        <v/>
      </c>
      <c r="AM28" s="201"/>
      <c r="AN28" s="170"/>
      <c r="AO28" s="171"/>
      <c r="AP28" s="172" t="str">
        <f t="shared" si="5"/>
        <v/>
      </c>
      <c r="AQ28" s="209"/>
      <c r="AR28" s="174"/>
      <c r="AS28" s="175"/>
      <c r="AT28" s="211"/>
      <c r="AU28" s="177" t="str">
        <f t="shared" si="6"/>
        <v/>
      </c>
      <c r="AV28" s="178" t="str">
        <f t="shared" si="7"/>
        <v/>
      </c>
      <c r="AW28" s="4"/>
      <c r="AX28" s="198" t="s">
        <v>165</v>
      </c>
      <c r="AY28" s="199"/>
      <c r="AZ28" s="200"/>
      <c r="BA28" s="167" t="s">
        <v>119</v>
      </c>
      <c r="BB28" s="168"/>
      <c r="BC28" s="180"/>
      <c r="BD28" s="181" t="s">
        <v>176</v>
      </c>
      <c r="BE28" s="171">
        <v>12</v>
      </c>
      <c r="BF28" s="172">
        <f t="shared" si="8"/>
        <v>12</v>
      </c>
      <c r="BG28" s="183"/>
      <c r="BH28" s="184" t="s">
        <v>120</v>
      </c>
      <c r="BI28" s="185"/>
      <c r="BJ28" s="186"/>
      <c r="BK28" s="187"/>
      <c r="BL28" s="188" t="s">
        <v>117</v>
      </c>
      <c r="BM28" s="4"/>
      <c r="BN28" s="198" t="s">
        <v>168</v>
      </c>
      <c r="BO28" s="199"/>
      <c r="BP28" s="200"/>
      <c r="BQ28" s="167" t="s">
        <v>105</v>
      </c>
      <c r="BR28" s="168"/>
      <c r="BS28" s="180"/>
      <c r="BT28" s="181" t="s">
        <v>177</v>
      </c>
      <c r="BU28" s="171">
        <f>(((WS.1-66)*2)+((HS.1-84)*2))/1000</f>
        <v>4.4560000000000004</v>
      </c>
      <c r="BV28" s="172">
        <f t="shared" si="9"/>
        <v>4.4560000000000004</v>
      </c>
      <c r="BW28" s="183" t="s">
        <v>97</v>
      </c>
      <c r="BX28" s="184" t="s">
        <v>181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108</v>
      </c>
      <c r="S29" s="214"/>
      <c r="T29" s="215"/>
      <c r="U29" s="167" t="s">
        <v>104</v>
      </c>
      <c r="V29" s="168" t="str">
        <f t="shared" si="0"/>
        <v>-</v>
      </c>
      <c r="W29" s="169">
        <v>2</v>
      </c>
      <c r="X29" s="170">
        <f>h.1-36</f>
        <v>464</v>
      </c>
      <c r="Y29" s="171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0.13900000000000001</v>
      </c>
      <c r="AF29" s="178">
        <f t="shared" si="3"/>
        <v>6.4496000000000012E-2</v>
      </c>
      <c r="AG29" s="4"/>
      <c r="AH29" s="213"/>
      <c r="AI29" s="214"/>
      <c r="AJ29" s="216"/>
      <c r="AK29" s="217"/>
      <c r="AL29" s="168" t="str">
        <f t="shared" si="4"/>
        <v/>
      </c>
      <c r="AM29" s="218"/>
      <c r="AN29" s="170"/>
      <c r="AO29" s="219"/>
      <c r="AP29" s="221" t="str">
        <f t="shared" si="5"/>
        <v/>
      </c>
      <c r="AQ29" s="220"/>
      <c r="AR29" s="174"/>
      <c r="AS29" s="175"/>
      <c r="AT29" s="211"/>
      <c r="AU29" s="177" t="str">
        <f t="shared" si="6"/>
        <v/>
      </c>
      <c r="AV29" s="178" t="str">
        <f t="shared" si="7"/>
        <v/>
      </c>
      <c r="AW29" s="4"/>
      <c r="AX29" s="198" t="s">
        <v>165</v>
      </c>
      <c r="AY29" s="199"/>
      <c r="AZ29" s="200"/>
      <c r="BA29" s="167" t="s">
        <v>123</v>
      </c>
      <c r="BB29" s="168"/>
      <c r="BC29" s="180"/>
      <c r="BD29" s="181" t="s">
        <v>176</v>
      </c>
      <c r="BE29" s="171">
        <v>2</v>
      </c>
      <c r="BF29" s="172">
        <f t="shared" si="8"/>
        <v>2</v>
      </c>
      <c r="BG29" s="183"/>
      <c r="BH29" s="184" t="s">
        <v>192</v>
      </c>
      <c r="BI29" s="185"/>
      <c r="BJ29" s="186"/>
      <c r="BK29" s="187"/>
      <c r="BL29" s="188" t="s">
        <v>7</v>
      </c>
      <c r="BM29" s="4"/>
      <c r="BN29" s="198" t="s">
        <v>165</v>
      </c>
      <c r="BO29" s="199"/>
      <c r="BP29" s="200"/>
      <c r="BQ29" s="167" t="s">
        <v>116</v>
      </c>
      <c r="BR29" s="168"/>
      <c r="BS29" s="180"/>
      <c r="BT29" s="181" t="s">
        <v>176</v>
      </c>
      <c r="BU29" s="171">
        <v>8</v>
      </c>
      <c r="BV29" s="172">
        <f t="shared" si="9"/>
        <v>8</v>
      </c>
      <c r="BW29" s="183"/>
      <c r="BX29" s="184" t="s">
        <v>178</v>
      </c>
      <c r="BY29" s="185"/>
      <c r="BZ29" s="186"/>
      <c r="CA29" s="187"/>
      <c r="CB29" s="188" t="s">
        <v>117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ref="V30:V47" si="10">IF(U30&gt;"","-","")</f>
        <v/>
      </c>
      <c r="W30" s="169"/>
      <c r="X30" s="170"/>
      <c r="Y30" s="171"/>
      <c r="Z30" s="172" t="str">
        <f t="shared" ref="Z30:Z47" si="11">IF(Y30&lt;0.1,"",Q*Y30)</f>
        <v/>
      </c>
      <c r="AA30" s="220"/>
      <c r="AB30" s="174"/>
      <c r="AC30" s="175"/>
      <c r="AD30" s="176"/>
      <c r="AE30" s="177" t="str">
        <f t="shared" ref="AE30:AE47" si="12">IF(U30&gt;"",VLOOKUP(U30,MATERIAL_WEIGHT,2,FALSE),"")</f>
        <v/>
      </c>
      <c r="AF30" s="178" t="str">
        <f t="shared" ref="AF30:AF47" si="13">IF(U30&gt;"",(AE30*X30*Z30)/1000,"")</f>
        <v/>
      </c>
      <c r="AG30" s="4"/>
      <c r="AH30" s="198"/>
      <c r="AI30" s="199"/>
      <c r="AJ30" s="203"/>
      <c r="AK30" s="167"/>
      <c r="AL30" s="168" t="str">
        <f t="shared" si="4"/>
        <v/>
      </c>
      <c r="AM30" s="169"/>
      <c r="AN30" s="170"/>
      <c r="AO30" s="171"/>
      <c r="AP30" s="172" t="str">
        <f t="shared" si="5"/>
        <v/>
      </c>
      <c r="AQ30" s="220"/>
      <c r="AR30" s="174"/>
      <c r="AS30" s="175"/>
      <c r="AT30" s="176"/>
      <c r="AU30" s="177" t="str">
        <f t="shared" si="6"/>
        <v/>
      </c>
      <c r="AV30" s="178" t="str">
        <f t="shared" si="7"/>
        <v/>
      </c>
      <c r="AW30" s="4"/>
      <c r="AX30" s="198" t="s">
        <v>166</v>
      </c>
      <c r="AY30" s="199"/>
      <c r="AZ30" s="200"/>
      <c r="BA30" s="167" t="s">
        <v>124</v>
      </c>
      <c r="BB30" s="168"/>
      <c r="BC30" s="180"/>
      <c r="BD30" s="181" t="s">
        <v>176</v>
      </c>
      <c r="BE30" s="171">
        <v>1</v>
      </c>
      <c r="BF30" s="172">
        <f t="shared" si="8"/>
        <v>1</v>
      </c>
      <c r="BG30" s="183"/>
      <c r="BH30" s="184"/>
      <c r="BI30" s="185"/>
      <c r="BJ30" s="186"/>
      <c r="BK30" s="187"/>
      <c r="BL30" s="188" t="s">
        <v>117</v>
      </c>
      <c r="BM30" s="4"/>
      <c r="BN30" s="198" t="s">
        <v>165</v>
      </c>
      <c r="BO30" s="199"/>
      <c r="BP30" s="200"/>
      <c r="BQ30" s="167" t="s">
        <v>109</v>
      </c>
      <c r="BR30" s="168"/>
      <c r="BS30" s="180"/>
      <c r="BT30" s="181" t="s">
        <v>176</v>
      </c>
      <c r="BU30" s="171">
        <v>2</v>
      </c>
      <c r="BV30" s="172">
        <f t="shared" si="9"/>
        <v>2</v>
      </c>
      <c r="BW30" s="183"/>
      <c r="BX30" s="184" t="s">
        <v>110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/>
      <c r="W31" s="222"/>
      <c r="X31" s="207"/>
      <c r="Y31" s="171"/>
      <c r="Z31" s="172"/>
      <c r="AA31" s="220"/>
      <c r="AB31" s="174"/>
      <c r="AC31" s="175"/>
      <c r="AD31" s="211"/>
      <c r="AE31" s="177"/>
      <c r="AF31" s="178"/>
      <c r="AG31" s="4"/>
      <c r="AH31" s="198"/>
      <c r="AI31" s="199"/>
      <c r="AJ31" s="203"/>
      <c r="AK31" s="167"/>
      <c r="AL31" s="168" t="str">
        <f t="shared" si="4"/>
        <v/>
      </c>
      <c r="AM31" s="222"/>
      <c r="AN31" s="207"/>
      <c r="AO31" s="171"/>
      <c r="AP31" s="172" t="str">
        <f t="shared" si="5"/>
        <v/>
      </c>
      <c r="AQ31" s="220"/>
      <c r="AR31" s="174"/>
      <c r="AS31" s="175"/>
      <c r="AT31" s="211"/>
      <c r="AU31" s="177" t="str">
        <f t="shared" si="6"/>
        <v/>
      </c>
      <c r="AV31" s="178" t="str">
        <f t="shared" si="7"/>
        <v/>
      </c>
      <c r="AW31" s="4"/>
      <c r="AX31" s="198" t="s">
        <v>167</v>
      </c>
      <c r="AY31" s="199"/>
      <c r="AZ31" s="200"/>
      <c r="BA31" s="167" t="s">
        <v>125</v>
      </c>
      <c r="BB31" s="168"/>
      <c r="BC31" s="180"/>
      <c r="BD31" s="181" t="s">
        <v>191</v>
      </c>
      <c r="BE31" s="171">
        <f>IF(W&gt;500,3,2)+IF(h.2&lt;=780,2,IF(h.2&lt;=1160,3,IF(h.2&gt;1160,5,5)))+IF(h.2&lt;=1360,3,IF(h.2&gt;1360,5,5))</f>
        <v>13</v>
      </c>
      <c r="BF31" s="172">
        <f t="shared" si="8"/>
        <v>13</v>
      </c>
      <c r="BG31" s="183"/>
      <c r="BH31" s="184" t="s">
        <v>179</v>
      </c>
      <c r="BI31" s="185"/>
      <c r="BJ31" s="186"/>
      <c r="BK31" s="187"/>
      <c r="BL31" s="188" t="s">
        <v>117</v>
      </c>
      <c r="BM31" s="4"/>
      <c r="BN31" s="198" t="s">
        <v>165</v>
      </c>
      <c r="BO31" s="199"/>
      <c r="BP31" s="200"/>
      <c r="BQ31" s="167" t="s">
        <v>112</v>
      </c>
      <c r="BR31" s="168"/>
      <c r="BS31" s="180"/>
      <c r="BT31" s="181" t="s">
        <v>176</v>
      </c>
      <c r="BU31" s="171">
        <v>6</v>
      </c>
      <c r="BV31" s="172">
        <f t="shared" si="9"/>
        <v>6</v>
      </c>
      <c r="BW31" s="183"/>
      <c r="BX31" s="184" t="s">
        <v>186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/>
      <c r="W32" s="169"/>
      <c r="X32" s="207"/>
      <c r="Y32" s="171"/>
      <c r="Z32" s="172"/>
      <c r="AA32" s="220"/>
      <c r="AB32" s="174"/>
      <c r="AC32" s="175"/>
      <c r="AD32" s="211"/>
      <c r="AE32" s="177"/>
      <c r="AF32" s="178"/>
      <c r="AG32" s="4"/>
      <c r="AH32" s="198"/>
      <c r="AI32" s="199"/>
      <c r="AJ32" s="203"/>
      <c r="AK32" s="167"/>
      <c r="AL32" s="168" t="str">
        <f t="shared" si="4"/>
        <v/>
      </c>
      <c r="AM32" s="169"/>
      <c r="AN32" s="170"/>
      <c r="AO32" s="171"/>
      <c r="AP32" s="172" t="str">
        <f t="shared" si="5"/>
        <v/>
      </c>
      <c r="AQ32" s="220"/>
      <c r="AR32" s="174"/>
      <c r="AS32" s="175"/>
      <c r="AT32" s="211"/>
      <c r="AU32" s="177" t="str">
        <f t="shared" si="6"/>
        <v/>
      </c>
      <c r="AV32" s="178" t="str">
        <f t="shared" si="7"/>
        <v/>
      </c>
      <c r="AW32" s="4"/>
      <c r="AX32" s="198" t="s">
        <v>168</v>
      </c>
      <c r="AY32" s="199"/>
      <c r="AZ32" s="200"/>
      <c r="BA32" s="167" t="str">
        <f>IF(GTH=5,"9K-20523",IF(GTH=6,"2K-22973",IF(GTH=8,"2K-22975","")))</f>
        <v>9K-20523</v>
      </c>
      <c r="BB32" s="168"/>
      <c r="BC32" s="180"/>
      <c r="BD32" s="181" t="s">
        <v>177</v>
      </c>
      <c r="BE32" s="171">
        <f>((2*W)+(2*h.1)-68)/1000</f>
        <v>2.9319999999999999</v>
      </c>
      <c r="BF32" s="172">
        <f t="shared" si="8"/>
        <v>2.9319999999999999</v>
      </c>
      <c r="BG32" s="183" t="s">
        <v>97</v>
      </c>
      <c r="BH32" s="184" t="s">
        <v>180</v>
      </c>
      <c r="BI32" s="185"/>
      <c r="BJ32" s="186"/>
      <c r="BK32" s="187"/>
      <c r="BL32" s="188" t="s">
        <v>117</v>
      </c>
      <c r="BM32" s="4"/>
      <c r="BN32" s="198" t="s">
        <v>165</v>
      </c>
      <c r="BO32" s="199"/>
      <c r="BP32" s="200"/>
      <c r="BQ32" s="167" t="s">
        <v>113</v>
      </c>
      <c r="BR32" s="168"/>
      <c r="BS32" s="180"/>
      <c r="BT32" s="181" t="s">
        <v>176</v>
      </c>
      <c r="BU32" s="171">
        <v>2</v>
      </c>
      <c r="BV32" s="172">
        <f t="shared" si="9"/>
        <v>2</v>
      </c>
      <c r="BW32" s="183"/>
      <c r="BX32" s="184" t="s">
        <v>194</v>
      </c>
      <c r="BY32" s="185"/>
      <c r="BZ32" s="186"/>
      <c r="CA32" s="187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/>
      <c r="W33" s="169"/>
      <c r="X33" s="207"/>
      <c r="Y33" s="171"/>
      <c r="Z33" s="172"/>
      <c r="AA33" s="220"/>
      <c r="AB33" s="174"/>
      <c r="AC33" s="175"/>
      <c r="AD33" s="211"/>
      <c r="AE33" s="177"/>
      <c r="AF33" s="178"/>
      <c r="AG33" s="4"/>
      <c r="AH33" s="213"/>
      <c r="AI33" s="214"/>
      <c r="AJ33" s="216"/>
      <c r="AK33" s="167"/>
      <c r="AL33" s="168" t="str">
        <f t="shared" si="4"/>
        <v/>
      </c>
      <c r="AM33" s="169"/>
      <c r="AN33" s="207"/>
      <c r="AO33" s="171"/>
      <c r="AP33" s="172" t="str">
        <f t="shared" si="5"/>
        <v/>
      </c>
      <c r="AQ33" s="220"/>
      <c r="AR33" s="174"/>
      <c r="AS33" s="175"/>
      <c r="AT33" s="211"/>
      <c r="AU33" s="177" t="str">
        <f t="shared" si="6"/>
        <v/>
      </c>
      <c r="AV33" s="178" t="str">
        <f t="shared" si="7"/>
        <v/>
      </c>
      <c r="AW33" s="4"/>
      <c r="AX33" s="198" t="s">
        <v>169</v>
      </c>
      <c r="AY33" s="199"/>
      <c r="AZ33" s="200"/>
      <c r="BA33" s="167" t="s">
        <v>88</v>
      </c>
      <c r="BB33" s="168"/>
      <c r="BC33" s="180"/>
      <c r="BD33" s="181" t="s">
        <v>176</v>
      </c>
      <c r="BE33" s="171">
        <v>2</v>
      </c>
      <c r="BF33" s="172">
        <f t="shared" si="8"/>
        <v>2</v>
      </c>
      <c r="BG33" s="212"/>
      <c r="BH33" s="184"/>
      <c r="BI33" s="185"/>
      <c r="BJ33" s="186"/>
      <c r="BK33" s="187"/>
      <c r="BL33" s="188"/>
      <c r="BM33" s="4"/>
      <c r="BN33" s="198" t="s">
        <v>168</v>
      </c>
      <c r="BO33" s="199"/>
      <c r="BP33" s="200"/>
      <c r="BQ33" s="167" t="str">
        <f>IF(GTH=5,"9K-20523",IF(GTH=6,"2K-22973",IF(GTH=8,"2K-22975","")))</f>
        <v>9K-20523</v>
      </c>
      <c r="BR33" s="168"/>
      <c r="BS33" s="180"/>
      <c r="BT33" s="181" t="s">
        <v>177</v>
      </c>
      <c r="BU33" s="171">
        <f>((2*WS.1)+(2*HS.1)-216)/1000</f>
        <v>4.54</v>
      </c>
      <c r="BV33" s="172">
        <f t="shared" si="9"/>
        <v>4.54</v>
      </c>
      <c r="BW33" s="212" t="s">
        <v>97</v>
      </c>
      <c r="BX33" s="184" t="s">
        <v>180</v>
      </c>
      <c r="BY33" s="185"/>
      <c r="BZ33" s="186"/>
      <c r="CA33" s="187"/>
      <c r="CB33" s="188" t="s">
        <v>117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/>
      <c r="W34" s="169"/>
      <c r="X34" s="207"/>
      <c r="Y34" s="171"/>
      <c r="Z34" s="172"/>
      <c r="AA34" s="220"/>
      <c r="AB34" s="174"/>
      <c r="AC34" s="175"/>
      <c r="AD34" s="211"/>
      <c r="AE34" s="177"/>
      <c r="AF34" s="178"/>
      <c r="AG34" s="4"/>
      <c r="AH34" s="213"/>
      <c r="AI34" s="214"/>
      <c r="AJ34" s="215"/>
      <c r="AK34" s="167"/>
      <c r="AL34" s="168" t="str">
        <f t="shared" si="4"/>
        <v/>
      </c>
      <c r="AM34" s="169"/>
      <c r="AN34" s="170"/>
      <c r="AO34" s="171"/>
      <c r="AP34" s="172" t="str">
        <f t="shared" si="5"/>
        <v/>
      </c>
      <c r="AQ34" s="220"/>
      <c r="AR34" s="174"/>
      <c r="AS34" s="175"/>
      <c r="AT34" s="211"/>
      <c r="AU34" s="177" t="str">
        <f t="shared" si="6"/>
        <v/>
      </c>
      <c r="AV34" s="178" t="str">
        <f t="shared" si="7"/>
        <v/>
      </c>
      <c r="AW34" s="4"/>
      <c r="AX34" s="198" t="s">
        <v>170</v>
      </c>
      <c r="AY34" s="199"/>
      <c r="AZ34" s="200"/>
      <c r="BA34" s="167" t="s">
        <v>92</v>
      </c>
      <c r="BB34" s="168"/>
      <c r="BC34" s="180"/>
      <c r="BD34" s="181" t="s">
        <v>177</v>
      </c>
      <c r="BE34" s="171">
        <v>2</v>
      </c>
      <c r="BF34" s="172">
        <f t="shared" si="8"/>
        <v>2</v>
      </c>
      <c r="BG34" s="212"/>
      <c r="BH34" s="184"/>
      <c r="BI34" s="185"/>
      <c r="BJ34" s="186"/>
      <c r="BK34" s="187"/>
      <c r="BL34" s="188"/>
      <c r="BM34" s="4"/>
      <c r="BN34" s="198" t="s">
        <v>185</v>
      </c>
      <c r="BO34" s="199"/>
      <c r="BP34" s="200"/>
      <c r="BQ34" s="167" t="s">
        <v>114</v>
      </c>
      <c r="BR34" s="168"/>
      <c r="BS34" s="180"/>
      <c r="BT34" s="181" t="s">
        <v>193</v>
      </c>
      <c r="BU34" s="171">
        <v>2</v>
      </c>
      <c r="BV34" s="172">
        <f t="shared" si="9"/>
        <v>2</v>
      </c>
      <c r="BW34" s="212" t="s">
        <v>7</v>
      </c>
      <c r="BX34" s="184" t="s">
        <v>110</v>
      </c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/>
      <c r="W35" s="169"/>
      <c r="X35" s="207"/>
      <c r="Y35" s="171"/>
      <c r="Z35" s="172"/>
      <c r="AA35" s="220"/>
      <c r="AB35" s="174"/>
      <c r="AC35" s="175"/>
      <c r="AD35" s="211"/>
      <c r="AE35" s="177"/>
      <c r="AF35" s="178"/>
      <c r="AG35" s="4"/>
      <c r="AH35" s="213"/>
      <c r="AI35" s="214"/>
      <c r="AJ35" s="215"/>
      <c r="AK35" s="167"/>
      <c r="AL35" s="168" t="str">
        <f t="shared" si="4"/>
        <v/>
      </c>
      <c r="AM35" s="169"/>
      <c r="AN35" s="170"/>
      <c r="AO35" s="171"/>
      <c r="AP35" s="172" t="str">
        <f t="shared" si="5"/>
        <v/>
      </c>
      <c r="AQ35" s="220"/>
      <c r="AR35" s="174"/>
      <c r="AS35" s="175"/>
      <c r="AT35" s="211"/>
      <c r="AU35" s="177" t="str">
        <f t="shared" si="6"/>
        <v/>
      </c>
      <c r="AV35" s="178" t="str">
        <f t="shared" si="7"/>
        <v/>
      </c>
      <c r="AW35" s="4"/>
      <c r="AX35" s="198" t="s">
        <v>171</v>
      </c>
      <c r="AY35" s="199"/>
      <c r="AZ35" s="200"/>
      <c r="BA35" s="167" t="s">
        <v>96</v>
      </c>
      <c r="BB35" s="168"/>
      <c r="BC35" s="180"/>
      <c r="BD35" s="181" t="s">
        <v>177</v>
      </c>
      <c r="BE35" s="171">
        <f>((W-41)+(h.2-36))*2/1000</f>
        <v>4.726</v>
      </c>
      <c r="BF35" s="172">
        <f t="shared" si="8"/>
        <v>4.726</v>
      </c>
      <c r="BG35" s="212" t="s">
        <v>97</v>
      </c>
      <c r="BH35" s="184"/>
      <c r="BI35" s="185"/>
      <c r="BJ35" s="186"/>
      <c r="BK35" s="187"/>
      <c r="BL35" s="188"/>
      <c r="BM35" s="4"/>
      <c r="BN35" s="198" t="s">
        <v>165</v>
      </c>
      <c r="BO35" s="199"/>
      <c r="BP35" s="200"/>
      <c r="BQ35" s="167" t="s">
        <v>119</v>
      </c>
      <c r="BR35" s="168"/>
      <c r="BS35" s="180"/>
      <c r="BT35" s="181" t="s">
        <v>176</v>
      </c>
      <c r="BU35" s="171">
        <v>8</v>
      </c>
      <c r="BV35" s="172">
        <f t="shared" si="9"/>
        <v>8</v>
      </c>
      <c r="BW35" s="212"/>
      <c r="BX35" s="184" t="s">
        <v>120</v>
      </c>
      <c r="BY35" s="185"/>
      <c r="BZ35" s="186"/>
      <c r="CA35" s="187"/>
      <c r="CB35" s="188" t="s">
        <v>117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/>
      <c r="W36" s="169"/>
      <c r="X36" s="170"/>
      <c r="Y36" s="171"/>
      <c r="Z36" s="172"/>
      <c r="AA36" s="220"/>
      <c r="AB36" s="174"/>
      <c r="AC36" s="175"/>
      <c r="AD36" s="211"/>
      <c r="AE36" s="177"/>
      <c r="AF36" s="178"/>
      <c r="AG36" s="4"/>
      <c r="AH36" s="213"/>
      <c r="AI36" s="214"/>
      <c r="AJ36" s="215"/>
      <c r="AK36" s="167"/>
      <c r="AL36" s="168" t="str">
        <f t="shared" si="4"/>
        <v/>
      </c>
      <c r="AM36" s="169"/>
      <c r="AN36" s="170"/>
      <c r="AO36" s="171"/>
      <c r="AP36" s="172" t="str">
        <f t="shared" si="5"/>
        <v/>
      </c>
      <c r="AQ36" s="220"/>
      <c r="AR36" s="174"/>
      <c r="AS36" s="175"/>
      <c r="AT36" s="211"/>
      <c r="AU36" s="177" t="str">
        <f t="shared" si="6"/>
        <v/>
      </c>
      <c r="AV36" s="178" t="str">
        <f t="shared" si="7"/>
        <v/>
      </c>
      <c r="AW36" s="4"/>
      <c r="AX36" s="198" t="s">
        <v>171</v>
      </c>
      <c r="AY36" s="199"/>
      <c r="AZ36" s="200"/>
      <c r="BA36" s="167" t="s">
        <v>175</v>
      </c>
      <c r="BB36" s="168"/>
      <c r="BC36" s="180"/>
      <c r="BD36" s="181" t="s">
        <v>177</v>
      </c>
      <c r="BE36" s="171">
        <f>(W-41)/1000</f>
        <v>0.95899999999999996</v>
      </c>
      <c r="BF36" s="172">
        <f t="shared" si="8"/>
        <v>0.95899999999999996</v>
      </c>
      <c r="BG36" s="212" t="s">
        <v>97</v>
      </c>
      <c r="BH36" s="184"/>
      <c r="BI36" s="185"/>
      <c r="BJ36" s="186"/>
      <c r="BK36" s="187"/>
      <c r="BL36" s="188"/>
      <c r="BM36" s="4"/>
      <c r="BN36" s="198" t="str">
        <f t="shared" ref="BN36:BN60" si="14">IF(BQ36&gt;"",VLOOKUP(BQ36,PART_NAMA,3,FALSE),"")</f>
        <v/>
      </c>
      <c r="BO36" s="199"/>
      <c r="BP36" s="200"/>
      <c r="BQ36" s="167"/>
      <c r="BR36" s="168"/>
      <c r="BS36" s="180"/>
      <c r="BT36" s="181" t="str">
        <f t="shared" ref="BT36:BT57" si="15">IF(BQ36&gt;"",VLOOKUP(BQ36&amp;$M$10,PART_MASTER,3,FALSE),"")</f>
        <v/>
      </c>
      <c r="BU36" s="171"/>
      <c r="BV36" s="172" t="str">
        <f t="shared" si="9"/>
        <v/>
      </c>
      <c r="BW36" s="212"/>
      <c r="BX36" s="184"/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/>
      <c r="W37" s="169"/>
      <c r="X37" s="170"/>
      <c r="Y37" s="171"/>
      <c r="Z37" s="172"/>
      <c r="AA37" s="220"/>
      <c r="AB37" s="174"/>
      <c r="AC37" s="175"/>
      <c r="AD37" s="211"/>
      <c r="AE37" s="177"/>
      <c r="AF37" s="178"/>
      <c r="AG37" s="4"/>
      <c r="AH37" s="213"/>
      <c r="AI37" s="214"/>
      <c r="AJ37" s="215"/>
      <c r="AK37" s="167"/>
      <c r="AL37" s="168" t="str">
        <f t="shared" si="4"/>
        <v/>
      </c>
      <c r="AM37" s="169"/>
      <c r="AN37" s="170"/>
      <c r="AO37" s="171"/>
      <c r="AP37" s="172" t="str">
        <f t="shared" si="5"/>
        <v/>
      </c>
      <c r="AQ37" s="220"/>
      <c r="AR37" s="174"/>
      <c r="AS37" s="175"/>
      <c r="AT37" s="211"/>
      <c r="AU37" s="177" t="str">
        <f t="shared" si="6"/>
        <v/>
      </c>
      <c r="AV37" s="178" t="str">
        <f t="shared" si="7"/>
        <v/>
      </c>
      <c r="AW37" s="4"/>
      <c r="AX37" s="198" t="s">
        <v>168</v>
      </c>
      <c r="AY37" s="199"/>
      <c r="AZ37" s="200"/>
      <c r="BA37" s="167" t="s">
        <v>105</v>
      </c>
      <c r="BB37" s="168"/>
      <c r="BC37" s="180"/>
      <c r="BD37" s="181" t="s">
        <v>177</v>
      </c>
      <c r="BE37" s="171">
        <f>((W-41)+(h.1-36))*2/1000</f>
        <v>2.8460000000000001</v>
      </c>
      <c r="BF37" s="172">
        <f t="shared" si="8"/>
        <v>2.8460000000000001</v>
      </c>
      <c r="BG37" s="212" t="s">
        <v>97</v>
      </c>
      <c r="BH37" s="184" t="s">
        <v>181</v>
      </c>
      <c r="BI37" s="185"/>
      <c r="BJ37" s="186"/>
      <c r="BK37" s="187"/>
      <c r="BL37" s="188"/>
      <c r="BM37" s="4"/>
      <c r="BN37" s="198" t="str">
        <f t="shared" si="14"/>
        <v/>
      </c>
      <c r="BO37" s="199"/>
      <c r="BP37" s="200"/>
      <c r="BQ37" s="167"/>
      <c r="BR37" s="168"/>
      <c r="BS37" s="180"/>
      <c r="BT37" s="181" t="str">
        <f t="shared" si="15"/>
        <v/>
      </c>
      <c r="BU37" s="171"/>
      <c r="BV37" s="172" t="str">
        <f t="shared" si="9"/>
        <v/>
      </c>
      <c r="BW37" s="212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/>
      <c r="W38" s="169"/>
      <c r="X38" s="170"/>
      <c r="Y38" s="171"/>
      <c r="Z38" s="172"/>
      <c r="AA38" s="220"/>
      <c r="AB38" s="174"/>
      <c r="AC38" s="175"/>
      <c r="AD38" s="211"/>
      <c r="AE38" s="177"/>
      <c r="AF38" s="178"/>
      <c r="AG38" s="4"/>
      <c r="AH38" s="213"/>
      <c r="AI38" s="214"/>
      <c r="AJ38" s="215"/>
      <c r="AK38" s="167"/>
      <c r="AL38" s="168" t="str">
        <f t="shared" si="4"/>
        <v/>
      </c>
      <c r="AM38" s="169"/>
      <c r="AN38" s="207"/>
      <c r="AO38" s="171"/>
      <c r="AP38" s="172" t="str">
        <f t="shared" si="5"/>
        <v/>
      </c>
      <c r="AQ38" s="220"/>
      <c r="AR38" s="174"/>
      <c r="AS38" s="175"/>
      <c r="AT38" s="211"/>
      <c r="AU38" s="177" t="str">
        <f t="shared" si="6"/>
        <v/>
      </c>
      <c r="AV38" s="178" t="str">
        <f t="shared" si="7"/>
        <v/>
      </c>
      <c r="AW38" s="4"/>
      <c r="AX38" s="198" t="s">
        <v>172</v>
      </c>
      <c r="AY38" s="199"/>
      <c r="AZ38" s="200"/>
      <c r="BA38" s="167" t="s">
        <v>102</v>
      </c>
      <c r="BB38" s="168"/>
      <c r="BC38" s="180"/>
      <c r="BD38" s="181" t="s">
        <v>177</v>
      </c>
      <c r="BE38" s="171">
        <v>2</v>
      </c>
      <c r="BF38" s="172">
        <f t="shared" si="8"/>
        <v>2</v>
      </c>
      <c r="BG38" s="212"/>
      <c r="BH38" s="184"/>
      <c r="BI38" s="185"/>
      <c r="BJ38" s="186"/>
      <c r="BK38" s="187"/>
      <c r="BL38" s="188"/>
      <c r="BM38" s="4"/>
      <c r="BN38" s="198"/>
      <c r="BO38" s="199"/>
      <c r="BP38" s="200"/>
      <c r="BQ38" s="204"/>
      <c r="BR38" s="168"/>
      <c r="BS38" s="180"/>
      <c r="BT38" s="181"/>
      <c r="BU38" s="171"/>
      <c r="BV38" s="172"/>
      <c r="BW38" s="183"/>
      <c r="BX38" s="184"/>
      <c r="BY38" s="185"/>
      <c r="BZ38" s="186"/>
      <c r="CA38" s="205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10"/>
        <v/>
      </c>
      <c r="W39" s="169"/>
      <c r="X39" s="207"/>
      <c r="Y39" s="171"/>
      <c r="Z39" s="172" t="str">
        <f t="shared" si="11"/>
        <v/>
      </c>
      <c r="AA39" s="220"/>
      <c r="AB39" s="174"/>
      <c r="AC39" s="175"/>
      <c r="AD39" s="211"/>
      <c r="AE39" s="177" t="str">
        <f t="shared" si="12"/>
        <v/>
      </c>
      <c r="AF39" s="178" t="str">
        <f t="shared" si="13"/>
        <v/>
      </c>
      <c r="AG39" s="4"/>
      <c r="AH39" s="213"/>
      <c r="AI39" s="214"/>
      <c r="AJ39" s="215"/>
      <c r="AK39" s="167"/>
      <c r="AL39" s="168" t="str">
        <f t="shared" si="4"/>
        <v/>
      </c>
      <c r="AM39" s="169"/>
      <c r="AN39" s="207"/>
      <c r="AO39" s="171"/>
      <c r="AP39" s="172" t="str">
        <f t="shared" si="5"/>
        <v/>
      </c>
      <c r="AQ39" s="220"/>
      <c r="AR39" s="174"/>
      <c r="AS39" s="175"/>
      <c r="AT39" s="211"/>
      <c r="AU39" s="177" t="str">
        <f t="shared" ref="AU39:AU47" si="16">IF(AK39&gt;"",VLOOKUP(AK39,MATERIAL_WEIGHT,2,FALSE),"")</f>
        <v/>
      </c>
      <c r="AV39" s="178" t="str">
        <f t="shared" si="7"/>
        <v/>
      </c>
      <c r="AW39" s="4"/>
      <c r="AX39" s="198" t="s">
        <v>173</v>
      </c>
      <c r="AY39" s="199"/>
      <c r="AZ39" s="200"/>
      <c r="BA39" s="167" t="s">
        <v>190</v>
      </c>
      <c r="BB39" s="168"/>
      <c r="BC39" s="180"/>
      <c r="BD39" s="181" t="s">
        <v>177</v>
      </c>
      <c r="BE39" s="171">
        <v>1</v>
      </c>
      <c r="BF39" s="172">
        <f t="shared" si="8"/>
        <v>1</v>
      </c>
      <c r="BG39" s="212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205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1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12"/>
        <v/>
      </c>
      <c r="AF40" s="178" t="str">
        <f t="shared" si="13"/>
        <v/>
      </c>
      <c r="AG40" s="4"/>
      <c r="AH40" s="213"/>
      <c r="AI40" s="214"/>
      <c r="AJ40" s="215"/>
      <c r="AK40" s="167"/>
      <c r="AL40" s="168" t="str">
        <f t="shared" si="4"/>
        <v/>
      </c>
      <c r="AM40" s="169"/>
      <c r="AN40" s="170"/>
      <c r="AO40" s="171"/>
      <c r="AP40" s="172" t="str">
        <f t="shared" si="5"/>
        <v/>
      </c>
      <c r="AQ40" s="220"/>
      <c r="AR40" s="174"/>
      <c r="AS40" s="175"/>
      <c r="AT40" s="211"/>
      <c r="AU40" s="177" t="str">
        <f t="shared" si="16"/>
        <v/>
      </c>
      <c r="AV40" s="178" t="str">
        <f t="shared" si="7"/>
        <v/>
      </c>
      <c r="AW40" s="4"/>
      <c r="AX40" s="198" t="s">
        <v>173</v>
      </c>
      <c r="AY40" s="199"/>
      <c r="AZ40" s="200"/>
      <c r="BA40" s="167" t="s">
        <v>111</v>
      </c>
      <c r="BB40" s="168"/>
      <c r="BC40" s="180"/>
      <c r="BD40" s="181" t="s">
        <v>177</v>
      </c>
      <c r="BE40" s="182">
        <v>1</v>
      </c>
      <c r="BF40" s="172">
        <f t="shared" si="8"/>
        <v>1</v>
      </c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126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10"/>
        <v/>
      </c>
      <c r="W41" s="169"/>
      <c r="X41" s="170"/>
      <c r="Y41" s="171"/>
      <c r="Z41" s="172" t="str">
        <f t="shared" si="11"/>
        <v/>
      </c>
      <c r="AA41" s="220"/>
      <c r="AB41" s="174"/>
      <c r="AC41" s="175"/>
      <c r="AD41" s="211"/>
      <c r="AE41" s="177" t="str">
        <f t="shared" si="12"/>
        <v/>
      </c>
      <c r="AF41" s="178" t="str">
        <f t="shared" si="13"/>
        <v/>
      </c>
      <c r="AG41" s="4"/>
      <c r="AH41" s="213"/>
      <c r="AI41" s="214"/>
      <c r="AJ41" s="215"/>
      <c r="AK41" s="167"/>
      <c r="AL41" s="168" t="str">
        <f t="shared" si="4"/>
        <v/>
      </c>
      <c r="AM41" s="169"/>
      <c r="AN41" s="170"/>
      <c r="AO41" s="171"/>
      <c r="AP41" s="172" t="str">
        <f t="shared" si="5"/>
        <v/>
      </c>
      <c r="AQ41" s="220"/>
      <c r="AR41" s="174"/>
      <c r="AS41" s="175"/>
      <c r="AT41" s="211"/>
      <c r="AU41" s="177" t="str">
        <f t="shared" si="16"/>
        <v/>
      </c>
      <c r="AV41" s="178" t="str">
        <f t="shared" si="7"/>
        <v/>
      </c>
      <c r="AW41" s="4"/>
      <c r="AX41" s="198" t="str">
        <f t="shared" ref="AX41:AX42" si="17">IF(BA41&gt;"",VLOOKUP(BA41,PART_NAMA,3,FALSE),"")</f>
        <v/>
      </c>
      <c r="AY41" s="199"/>
      <c r="AZ41" s="200"/>
      <c r="BA41" s="167"/>
      <c r="BB41" s="168"/>
      <c r="BC41" s="180"/>
      <c r="BD41" s="181" t="str">
        <f t="shared" ref="BD41:BD42" si="18">IF(BA41&gt;"",VLOOKUP(BA41&amp;$M$10,PART_MASTER,3,FALSE),"")</f>
        <v/>
      </c>
      <c r="BE41" s="182"/>
      <c r="BF41" s="172" t="str">
        <f t="shared" si="8"/>
        <v/>
      </c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10"/>
        <v/>
      </c>
      <c r="W42" s="169"/>
      <c r="X42" s="170"/>
      <c r="Y42" s="171"/>
      <c r="Z42" s="172" t="str">
        <f t="shared" si="11"/>
        <v/>
      </c>
      <c r="AA42" s="220"/>
      <c r="AB42" s="174"/>
      <c r="AC42" s="175"/>
      <c r="AD42" s="211"/>
      <c r="AE42" s="177" t="str">
        <f t="shared" si="12"/>
        <v/>
      </c>
      <c r="AF42" s="178" t="str">
        <f t="shared" si="13"/>
        <v/>
      </c>
      <c r="AG42" s="4"/>
      <c r="AH42" s="213"/>
      <c r="AI42" s="214"/>
      <c r="AJ42" s="215"/>
      <c r="AK42" s="167"/>
      <c r="AL42" s="168" t="str">
        <f t="shared" si="4"/>
        <v/>
      </c>
      <c r="AM42" s="169"/>
      <c r="AN42" s="170"/>
      <c r="AO42" s="171"/>
      <c r="AP42" s="172" t="str">
        <f t="shared" si="5"/>
        <v/>
      </c>
      <c r="AQ42" s="220"/>
      <c r="AR42" s="174"/>
      <c r="AS42" s="175"/>
      <c r="AT42" s="211"/>
      <c r="AU42" s="177" t="str">
        <f t="shared" si="16"/>
        <v/>
      </c>
      <c r="AV42" s="178" t="str">
        <f t="shared" si="7"/>
        <v/>
      </c>
      <c r="AW42" s="4"/>
      <c r="AX42" s="198"/>
      <c r="AY42" s="199"/>
      <c r="AZ42" s="200"/>
      <c r="BA42" s="204"/>
      <c r="BB42" s="168"/>
      <c r="BC42" s="180"/>
      <c r="BD42" s="181"/>
      <c r="BE42" s="171"/>
      <c r="BF42" s="172"/>
      <c r="BG42" s="183"/>
      <c r="BH42" s="184"/>
      <c r="BI42" s="185"/>
      <c r="BJ42" s="186"/>
      <c r="BK42" s="205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127</v>
      </c>
      <c r="C43" s="240"/>
      <c r="D43" s="240"/>
      <c r="E43" s="240"/>
      <c r="F43" s="241"/>
      <c r="G43" s="242"/>
      <c r="H43" s="243"/>
      <c r="I43" s="233"/>
      <c r="J43" s="244" t="s">
        <v>128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10"/>
        <v/>
      </c>
      <c r="W43" s="169"/>
      <c r="X43" s="207"/>
      <c r="Y43" s="171"/>
      <c r="Z43" s="172" t="str">
        <f t="shared" si="11"/>
        <v/>
      </c>
      <c r="AA43" s="220"/>
      <c r="AB43" s="174"/>
      <c r="AC43" s="175"/>
      <c r="AD43" s="211"/>
      <c r="AE43" s="177" t="str">
        <f t="shared" si="12"/>
        <v/>
      </c>
      <c r="AF43" s="178" t="str">
        <f t="shared" si="13"/>
        <v/>
      </c>
      <c r="AG43" s="4"/>
      <c r="AH43" s="213"/>
      <c r="AI43" s="214"/>
      <c r="AJ43" s="215"/>
      <c r="AK43" s="167"/>
      <c r="AL43" s="168" t="str">
        <f t="shared" si="4"/>
        <v/>
      </c>
      <c r="AM43" s="169"/>
      <c r="AN43" s="207"/>
      <c r="AO43" s="171"/>
      <c r="AP43" s="172" t="str">
        <f t="shared" si="5"/>
        <v/>
      </c>
      <c r="AQ43" s="220"/>
      <c r="AR43" s="174"/>
      <c r="AS43" s="175"/>
      <c r="AT43" s="211"/>
      <c r="AU43" s="177" t="str">
        <f t="shared" si="16"/>
        <v/>
      </c>
      <c r="AV43" s="178" t="str">
        <f t="shared" si="7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205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212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129</v>
      </c>
      <c r="C44" s="334" t="s">
        <v>130</v>
      </c>
      <c r="D44" s="335"/>
      <c r="E44" s="336"/>
      <c r="F44" s="334" t="s">
        <v>131</v>
      </c>
      <c r="G44" s="335"/>
      <c r="H44" s="336"/>
      <c r="I44" s="252"/>
      <c r="J44" s="253" t="s">
        <v>129</v>
      </c>
      <c r="K44" s="334" t="s">
        <v>130</v>
      </c>
      <c r="L44" s="335"/>
      <c r="M44" s="335"/>
      <c r="N44" s="336"/>
      <c r="O44" s="253" t="s">
        <v>132</v>
      </c>
      <c r="P44" s="254" t="s">
        <v>129</v>
      </c>
      <c r="Q44" s="4"/>
      <c r="R44" s="213"/>
      <c r="S44" s="214"/>
      <c r="T44" s="215"/>
      <c r="U44" s="167"/>
      <c r="V44" s="168" t="str">
        <f t="shared" si="10"/>
        <v/>
      </c>
      <c r="W44" s="169"/>
      <c r="X44" s="170"/>
      <c r="Y44" s="171"/>
      <c r="Z44" s="172" t="str">
        <f t="shared" si="11"/>
        <v/>
      </c>
      <c r="AA44" s="220"/>
      <c r="AB44" s="174"/>
      <c r="AC44" s="175"/>
      <c r="AD44" s="211"/>
      <c r="AE44" s="177" t="str">
        <f t="shared" si="12"/>
        <v/>
      </c>
      <c r="AF44" s="178" t="str">
        <f t="shared" si="13"/>
        <v/>
      </c>
      <c r="AG44" s="4"/>
      <c r="AH44" s="213"/>
      <c r="AI44" s="214"/>
      <c r="AJ44" s="215"/>
      <c r="AK44" s="167"/>
      <c r="AL44" s="168" t="str">
        <f t="shared" si="4"/>
        <v/>
      </c>
      <c r="AM44" s="169"/>
      <c r="AN44" s="170"/>
      <c r="AO44" s="171"/>
      <c r="AP44" s="172" t="str">
        <f t="shared" si="5"/>
        <v/>
      </c>
      <c r="AQ44" s="220"/>
      <c r="AR44" s="174"/>
      <c r="AS44" s="175"/>
      <c r="AT44" s="211"/>
      <c r="AU44" s="177" t="str">
        <f t="shared" si="16"/>
        <v/>
      </c>
      <c r="AV44" s="178" t="str">
        <f t="shared" si="7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133</v>
      </c>
      <c r="D45" s="257"/>
      <c r="E45" s="257"/>
      <c r="F45" s="258"/>
      <c r="G45" s="259"/>
      <c r="H45" s="260"/>
      <c r="I45" s="261"/>
      <c r="J45" s="262">
        <v>1</v>
      </c>
      <c r="K45" s="263" t="s">
        <v>134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10"/>
        <v/>
      </c>
      <c r="W45" s="169"/>
      <c r="X45" s="207"/>
      <c r="Y45" s="171"/>
      <c r="Z45" s="172" t="str">
        <f t="shared" si="11"/>
        <v/>
      </c>
      <c r="AA45" s="220"/>
      <c r="AB45" s="174"/>
      <c r="AC45" s="175"/>
      <c r="AD45" s="211"/>
      <c r="AE45" s="177" t="str">
        <f t="shared" si="12"/>
        <v/>
      </c>
      <c r="AF45" s="178" t="str">
        <f t="shared" si="13"/>
        <v/>
      </c>
      <c r="AG45" s="4"/>
      <c r="AH45" s="213"/>
      <c r="AI45" s="214"/>
      <c r="AJ45" s="215"/>
      <c r="AK45" s="167"/>
      <c r="AL45" s="168" t="str">
        <f t="shared" si="4"/>
        <v/>
      </c>
      <c r="AM45" s="169"/>
      <c r="AN45" s="207"/>
      <c r="AO45" s="171"/>
      <c r="AP45" s="172" t="str">
        <f t="shared" si="5"/>
        <v/>
      </c>
      <c r="AQ45" s="220"/>
      <c r="AR45" s="174"/>
      <c r="AS45" s="175"/>
      <c r="AT45" s="211"/>
      <c r="AU45" s="177" t="str">
        <f t="shared" si="16"/>
        <v/>
      </c>
      <c r="AV45" s="178" t="str">
        <f t="shared" si="7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135</v>
      </c>
      <c r="D46" s="259"/>
      <c r="E46" s="259"/>
      <c r="F46" s="263"/>
      <c r="G46" s="259"/>
      <c r="H46" s="260"/>
      <c r="I46" s="261"/>
      <c r="J46" s="262">
        <v>2</v>
      </c>
      <c r="K46" s="263" t="s">
        <v>136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10"/>
        <v/>
      </c>
      <c r="W46" s="169"/>
      <c r="X46" s="170"/>
      <c r="Y46" s="171"/>
      <c r="Z46" s="172" t="str">
        <f t="shared" si="11"/>
        <v/>
      </c>
      <c r="AA46" s="220"/>
      <c r="AB46" s="174"/>
      <c r="AC46" s="175"/>
      <c r="AD46" s="211"/>
      <c r="AE46" s="177" t="str">
        <f t="shared" si="12"/>
        <v/>
      </c>
      <c r="AF46" s="178" t="str">
        <f t="shared" si="13"/>
        <v/>
      </c>
      <c r="AG46" s="4"/>
      <c r="AH46" s="213"/>
      <c r="AI46" s="214"/>
      <c r="AJ46" s="215"/>
      <c r="AK46" s="167"/>
      <c r="AL46" s="168" t="str">
        <f t="shared" si="4"/>
        <v/>
      </c>
      <c r="AM46" s="169"/>
      <c r="AN46" s="170"/>
      <c r="AO46" s="171"/>
      <c r="AP46" s="172" t="str">
        <f t="shared" si="5"/>
        <v/>
      </c>
      <c r="AQ46" s="220"/>
      <c r="AR46" s="174"/>
      <c r="AS46" s="175"/>
      <c r="AT46" s="211"/>
      <c r="AU46" s="177" t="str">
        <f t="shared" si="16"/>
        <v/>
      </c>
      <c r="AV46" s="178" t="str">
        <f t="shared" si="7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137</v>
      </c>
      <c r="D47" s="259"/>
      <c r="E47" s="259"/>
      <c r="F47" s="263"/>
      <c r="G47" s="259"/>
      <c r="H47" s="260"/>
      <c r="I47" s="267"/>
      <c r="J47" s="262">
        <v>3</v>
      </c>
      <c r="K47" s="263" t="s">
        <v>138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10"/>
        <v/>
      </c>
      <c r="W47" s="169"/>
      <c r="X47" s="170"/>
      <c r="Y47" s="171"/>
      <c r="Z47" s="172" t="str">
        <f t="shared" si="11"/>
        <v/>
      </c>
      <c r="AA47" s="220"/>
      <c r="AB47" s="174"/>
      <c r="AC47" s="175"/>
      <c r="AD47" s="211"/>
      <c r="AE47" s="177" t="str">
        <f t="shared" si="12"/>
        <v/>
      </c>
      <c r="AF47" s="178" t="str">
        <f t="shared" si="13"/>
        <v/>
      </c>
      <c r="AG47" s="4"/>
      <c r="AH47" s="213"/>
      <c r="AI47" s="214"/>
      <c r="AJ47" s="215"/>
      <c r="AK47" s="167"/>
      <c r="AL47" s="168" t="str">
        <f t="shared" si="4"/>
        <v/>
      </c>
      <c r="AM47" s="169"/>
      <c r="AN47" s="170"/>
      <c r="AO47" s="171"/>
      <c r="AP47" s="172" t="str">
        <f t="shared" si="5"/>
        <v/>
      </c>
      <c r="AQ47" s="220"/>
      <c r="AR47" s="174"/>
      <c r="AS47" s="175"/>
      <c r="AT47" s="211"/>
      <c r="AU47" s="177" t="str">
        <f t="shared" si="16"/>
        <v/>
      </c>
      <c r="AV47" s="178" t="str">
        <f t="shared" si="7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212"/>
      <c r="BH47" s="184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183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139</v>
      </c>
      <c r="D48" s="259"/>
      <c r="E48" s="259"/>
      <c r="F48" s="263"/>
      <c r="G48" s="259"/>
      <c r="H48" s="260"/>
      <c r="I48" s="267"/>
      <c r="J48" s="262">
        <v>4</v>
      </c>
      <c r="K48" s="263" t="s">
        <v>140</v>
      </c>
      <c r="L48" s="259"/>
      <c r="M48" s="259"/>
      <c r="N48" s="264"/>
      <c r="O48" s="265"/>
      <c r="P48" s="266"/>
      <c r="Q48" s="4"/>
      <c r="R48" s="268" t="s">
        <v>77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141</v>
      </c>
      <c r="AD48" s="272"/>
      <c r="AE48" s="273" t="s">
        <v>142</v>
      </c>
      <c r="AF48" s="274">
        <f>SUM(AF22:AF47)</f>
        <v>4.4273139999999991</v>
      </c>
      <c r="AG48" s="4"/>
      <c r="AH48" s="268" t="s">
        <v>77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141</v>
      </c>
      <c r="AT48" s="272"/>
      <c r="AU48" s="273" t="s">
        <v>142</v>
      </c>
      <c r="AV48" s="274">
        <f>SUM(AV22:AV47)</f>
        <v>2.9023880000000002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183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143</v>
      </c>
      <c r="D49" s="259"/>
      <c r="E49" s="259"/>
      <c r="F49" s="263"/>
      <c r="G49" s="259"/>
      <c r="H49" s="260"/>
      <c r="I49" s="267"/>
      <c r="J49" s="262">
        <v>5</v>
      </c>
      <c r="K49" s="263" t="s">
        <v>144</v>
      </c>
      <c r="L49" s="259"/>
      <c r="M49" s="259"/>
      <c r="N49" s="264"/>
      <c r="O49" s="265"/>
      <c r="P49" s="266"/>
      <c r="Q49" s="4"/>
      <c r="R49" s="275" t="s">
        <v>145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146</v>
      </c>
      <c r="AE49" s="279" t="s">
        <v>147</v>
      </c>
      <c r="AF49" s="280">
        <f>AF48*0.986</f>
        <v>4.3653316039999988</v>
      </c>
      <c r="AG49" s="4"/>
      <c r="AH49" s="275" t="s">
        <v>145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146</v>
      </c>
      <c r="AU49" s="279" t="s">
        <v>147</v>
      </c>
      <c r="AV49" s="280">
        <f>AV48*0.986</f>
        <v>2.8617545680000003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212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148</v>
      </c>
      <c r="D50" s="259"/>
      <c r="E50" s="259"/>
      <c r="F50" s="263"/>
      <c r="G50" s="259"/>
      <c r="H50" s="260"/>
      <c r="I50" s="267"/>
      <c r="J50" s="262">
        <v>6</v>
      </c>
      <c r="K50" s="263" t="s">
        <v>149</v>
      </c>
      <c r="L50" s="259"/>
      <c r="M50" s="259"/>
      <c r="N50" s="264"/>
      <c r="O50" s="265"/>
      <c r="P50" s="266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150</v>
      </c>
      <c r="AF50" s="280">
        <f>AF48*0.974*0.986</f>
        <v>4.2518329822959995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150</v>
      </c>
      <c r="AV50" s="280">
        <f>AV48*0.974*0.986</f>
        <v>2.7873489492320003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/>
      <c r="BO50" s="199"/>
      <c r="BP50" s="200"/>
      <c r="BQ50" s="167"/>
      <c r="BR50" s="168"/>
      <c r="BS50" s="180"/>
      <c r="BT50" s="181"/>
      <c r="BU50" s="171"/>
      <c r="BV50" s="172"/>
      <c r="BW50" s="212"/>
      <c r="BX50" s="184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151</v>
      </c>
      <c r="D51" s="259"/>
      <c r="E51" s="259"/>
      <c r="F51" s="263"/>
      <c r="G51" s="259"/>
      <c r="H51" s="260"/>
      <c r="I51" s="267"/>
      <c r="J51" s="262">
        <v>7</v>
      </c>
      <c r="K51" s="263" t="s">
        <v>152</v>
      </c>
      <c r="L51" s="259"/>
      <c r="M51" s="259"/>
      <c r="N51" s="264"/>
      <c r="O51" s="265"/>
      <c r="P51" s="266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/>
      <c r="BO51" s="199"/>
      <c r="BP51" s="200"/>
      <c r="BQ51" s="167"/>
      <c r="BR51" s="168"/>
      <c r="BS51" s="180"/>
      <c r="BT51" s="181"/>
      <c r="BU51" s="171"/>
      <c r="BV51" s="172"/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153</v>
      </c>
      <c r="C52" s="285"/>
      <c r="D52" s="286"/>
      <c r="E52" s="286"/>
      <c r="F52" s="286"/>
      <c r="G52" s="286"/>
      <c r="H52" s="286"/>
      <c r="I52" s="267"/>
      <c r="J52" s="262">
        <v>8</v>
      </c>
      <c r="K52" s="263" t="s">
        <v>154</v>
      </c>
      <c r="L52" s="259"/>
      <c r="M52" s="259"/>
      <c r="N52" s="264"/>
      <c r="O52" s="265"/>
      <c r="P52" s="266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 t="str">
        <f t="shared" si="14"/>
        <v/>
      </c>
      <c r="BO52" s="199"/>
      <c r="BP52" s="200"/>
      <c r="BQ52" s="287"/>
      <c r="BR52" s="168"/>
      <c r="BS52" s="180"/>
      <c r="BT52" s="181" t="str">
        <f t="shared" si="15"/>
        <v/>
      </c>
      <c r="BU52" s="182"/>
      <c r="BV52" s="172" t="str">
        <f t="shared" si="9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8" t="s">
        <v>155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212"/>
      <c r="BH53" s="184"/>
      <c r="BI53" s="185"/>
      <c r="BJ53" s="186"/>
      <c r="BK53" s="187"/>
      <c r="BL53" s="188"/>
      <c r="BM53" s="4"/>
      <c r="BN53" s="198" t="str">
        <f t="shared" si="14"/>
        <v/>
      </c>
      <c r="BO53" s="199"/>
      <c r="BP53" s="200"/>
      <c r="BQ53" s="167"/>
      <c r="BR53" s="168"/>
      <c r="BS53" s="180"/>
      <c r="BT53" s="181" t="str">
        <f t="shared" si="15"/>
        <v/>
      </c>
      <c r="BU53" s="171"/>
      <c r="BV53" s="172" t="str">
        <f t="shared" si="9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156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212"/>
      <c r="BH54" s="184"/>
      <c r="BI54" s="185"/>
      <c r="BJ54" s="186"/>
      <c r="BK54" s="187"/>
      <c r="BL54" s="188"/>
      <c r="BM54" s="4"/>
      <c r="BN54" s="198" t="str">
        <f t="shared" si="14"/>
        <v/>
      </c>
      <c r="BO54" s="199"/>
      <c r="BP54" s="200"/>
      <c r="BQ54" s="287"/>
      <c r="BR54" s="168"/>
      <c r="BS54" s="180"/>
      <c r="BT54" s="181" t="str">
        <f t="shared" si="15"/>
        <v/>
      </c>
      <c r="BU54" s="171"/>
      <c r="BV54" s="172" t="str">
        <f t="shared" si="9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157</v>
      </c>
      <c r="C55" s="267"/>
      <c r="D55" s="267"/>
      <c r="E55" s="267"/>
      <c r="F55" s="267"/>
      <c r="G55" s="267"/>
      <c r="H55" s="267"/>
      <c r="I55" s="267"/>
      <c r="J55" s="300" t="s">
        <v>158</v>
      </c>
      <c r="K55" s="292"/>
      <c r="L55" s="286"/>
      <c r="M55" s="286"/>
      <c r="N55" s="301"/>
      <c r="O55" s="259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212"/>
      <c r="BH55" s="184"/>
      <c r="BI55" s="185"/>
      <c r="BJ55" s="186"/>
      <c r="BK55" s="187"/>
      <c r="BL55" s="188"/>
      <c r="BM55" s="4"/>
      <c r="BN55" s="198" t="str">
        <f t="shared" si="14"/>
        <v/>
      </c>
      <c r="BO55" s="199"/>
      <c r="BP55" s="200"/>
      <c r="BQ55" s="167"/>
      <c r="BR55" s="168"/>
      <c r="BS55" s="180"/>
      <c r="BT55" s="181" t="str">
        <f t="shared" si="15"/>
        <v/>
      </c>
      <c r="BU55" s="171"/>
      <c r="BV55" s="172" t="str">
        <f t="shared" si="9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159</v>
      </c>
      <c r="K56" s="305"/>
      <c r="L56" s="305"/>
      <c r="M56" s="305"/>
      <c r="N56" s="306"/>
      <c r="O56" s="307" t="s">
        <v>160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4"/>
        <v/>
      </c>
      <c r="BO56" s="199"/>
      <c r="BP56" s="200"/>
      <c r="BQ56" s="167"/>
      <c r="BR56" s="168"/>
      <c r="BS56" s="180"/>
      <c r="BT56" s="181" t="str">
        <f t="shared" si="15"/>
        <v/>
      </c>
      <c r="BU56" s="171"/>
      <c r="BV56" s="172" t="str">
        <f t="shared" si="9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4"/>
        <v/>
      </c>
      <c r="BO57" s="199"/>
      <c r="BP57" s="200"/>
      <c r="BQ57" s="167"/>
      <c r="BR57" s="168"/>
      <c r="BS57" s="180"/>
      <c r="BT57" s="181" t="str">
        <f t="shared" si="15"/>
        <v/>
      </c>
      <c r="BU57" s="171"/>
      <c r="BV57" s="172" t="str">
        <f t="shared" si="9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4"/>
        <v/>
      </c>
      <c r="BO58" s="199"/>
      <c r="BP58" s="200"/>
      <c r="BQ58" s="287"/>
      <c r="BR58" s="168"/>
      <c r="BS58" s="180"/>
      <c r="BT58" s="181" t="str">
        <f t="shared" ref="BT58:BT60" si="19">IF(BQ58&gt;"",VLOOKUP(BQ58&amp;$M$10,PART_MASTER,3,FALSE),"")</f>
        <v/>
      </c>
      <c r="BU58" s="171"/>
      <c r="BV58" s="172" t="str">
        <f t="shared" si="9"/>
        <v/>
      </c>
      <c r="BW58" s="183"/>
      <c r="BX58" s="250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4"/>
        <v/>
      </c>
      <c r="BO59" s="199"/>
      <c r="BP59" s="200"/>
      <c r="BQ59" s="167"/>
      <c r="BR59" s="168"/>
      <c r="BS59" s="180"/>
      <c r="BT59" s="181" t="str">
        <f t="shared" si="19"/>
        <v/>
      </c>
      <c r="BU59" s="171"/>
      <c r="BV59" s="172" t="str">
        <f t="shared" si="9"/>
        <v/>
      </c>
      <c r="BW59" s="183"/>
      <c r="BX59" s="250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161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ref="AX60" si="20">IF(BA60&gt;"",VLOOKUP(BA60,PART_NAMA,3,FALSE),"")</f>
        <v/>
      </c>
      <c r="AY60" s="199"/>
      <c r="AZ60" s="200"/>
      <c r="BA60" s="167"/>
      <c r="BB60" s="168"/>
      <c r="BC60" s="180"/>
      <c r="BD60" s="181" t="str">
        <f t="shared" ref="BD60" si="21">IF(BA60&gt;"",VLOOKUP(BA60&amp;$M$10,PART_MASTER,3,FALSE),"")</f>
        <v/>
      </c>
      <c r="BE60" s="171"/>
      <c r="BF60" s="172" t="str">
        <f t="shared" ref="BF60" si="22">IF(BE60="","",Q*BE60)</f>
        <v/>
      </c>
      <c r="BG60" s="183"/>
      <c r="BH60" s="250"/>
      <c r="BI60" s="185"/>
      <c r="BJ60" s="186"/>
      <c r="BK60" s="205"/>
      <c r="BL60" s="312"/>
      <c r="BM60" s="4"/>
      <c r="BN60" s="213" t="str">
        <f t="shared" si="14"/>
        <v/>
      </c>
      <c r="BO60" s="199"/>
      <c r="BP60" s="200"/>
      <c r="BQ60" s="167"/>
      <c r="BR60" s="168"/>
      <c r="BS60" s="180"/>
      <c r="BT60" s="181" t="str">
        <f t="shared" si="19"/>
        <v/>
      </c>
      <c r="BU60" s="171"/>
      <c r="BV60" s="172" t="str">
        <f t="shared" ref="BV60" si="23">IF(BU60="","",Q*BU60)</f>
        <v/>
      </c>
      <c r="BW60" s="183"/>
      <c r="BX60" s="250"/>
      <c r="BY60" s="185"/>
      <c r="BZ60" s="186"/>
      <c r="CA60" s="205"/>
      <c r="CB60" s="312"/>
      <c r="CG60" s="3"/>
    </row>
    <row r="61" spans="2:120" ht="15" customHeight="1" x14ac:dyDescent="0.3">
      <c r="P61" s="320" t="s">
        <v>162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162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162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162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162</v>
      </c>
    </row>
    <row r="63" spans="2:120" x14ac:dyDescent="0.25">
      <c r="BT63" s="322"/>
    </row>
    <row r="64" spans="2:120" x14ac:dyDescent="0.25">
      <c r="BT64" s="322"/>
    </row>
    <row r="65" spans="72:72" x14ac:dyDescent="0.25">
      <c r="BT65" s="322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FIX_CAL-KD</vt:lpstr>
      <vt:lpstr>'FIX_CAL-KD'!A.</vt:lpstr>
      <vt:lpstr>'FIX_CAL-KD'!C.</vt:lpstr>
      <vt:lpstr>'FIX_CAL-KD'!F.</vt:lpstr>
      <vt:lpstr>'FIX_CAL-KD'!GCS</vt:lpstr>
      <vt:lpstr>'FIX_CAL-KD'!GTH</vt:lpstr>
      <vt:lpstr>'FIX_CAL-KD'!H</vt:lpstr>
      <vt:lpstr>'FIX_CAL-KD'!h.1</vt:lpstr>
      <vt:lpstr>'FIX_CAL-KD'!h.10</vt:lpstr>
      <vt:lpstr>'FIX_CAL-KD'!h.2</vt:lpstr>
      <vt:lpstr>'FIX_CAL-KD'!h.3</vt:lpstr>
      <vt:lpstr>'FIX_CAL-KD'!h.4</vt:lpstr>
      <vt:lpstr>'FIX_CAL-KD'!h.5</vt:lpstr>
      <vt:lpstr>'FIX_CAL-KD'!h.6</vt:lpstr>
      <vt:lpstr>'FIX_CAL-KD'!h.7</vt:lpstr>
      <vt:lpstr>'FIX_CAL-KD'!h.8</vt:lpstr>
      <vt:lpstr>'FIX_CAL-KD'!h.9</vt:lpstr>
      <vt:lpstr>'FIX_CAL-KD'!HS</vt:lpstr>
      <vt:lpstr>'FIX_CAL-KD'!HS.1</vt:lpstr>
      <vt:lpstr>'FIX_CAL-KD'!HS.2</vt:lpstr>
      <vt:lpstr>'FIX_CAL-KD'!HS.3</vt:lpstr>
      <vt:lpstr>'FIX_CAL-KD'!HS.4</vt:lpstr>
      <vt:lpstr>'FIX_CAL-KD'!HS.5</vt:lpstr>
      <vt:lpstr>'FIX_CAL-KD'!Print_Area</vt:lpstr>
      <vt:lpstr>'FIX_CAL-KD'!Q</vt:lpstr>
      <vt:lpstr>'FIX_CAL-KD'!R.</vt:lpstr>
      <vt:lpstr>'FIX_CAL-KD'!W</vt:lpstr>
      <vt:lpstr>'FIX_CAL-KD'!w.1</vt:lpstr>
      <vt:lpstr>'FIX_CAL-KD'!w.10</vt:lpstr>
      <vt:lpstr>'FIX_CAL-KD'!w.2</vt:lpstr>
      <vt:lpstr>'FIX_CAL-KD'!w.3</vt:lpstr>
      <vt:lpstr>'FIX_CAL-KD'!w.4</vt:lpstr>
      <vt:lpstr>'FIX_CAL-KD'!w.5</vt:lpstr>
      <vt:lpstr>'FIX_CAL-KD'!w.6</vt:lpstr>
      <vt:lpstr>'FIX_CAL-KD'!w.7</vt:lpstr>
      <vt:lpstr>'FIX_CAL-KD'!w.8</vt:lpstr>
      <vt:lpstr>'FIX_CAL-KD'!w.9</vt:lpstr>
      <vt:lpstr>'FIX_CAL-KD'!WS</vt:lpstr>
      <vt:lpstr>'FIX_CAL-KD'!WS.1</vt:lpstr>
      <vt:lpstr>'FIX_CAL-KD'!WS.2</vt:lpstr>
      <vt:lpstr>'FIX_CAL-KD'!WS.3</vt:lpstr>
      <vt:lpstr>'FIX_CAL-KD'!WS.4</vt:lpstr>
      <vt:lpstr>'FIX_CAL-KD'!WS.5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2024-07-30T03:30:04Z</dcterms:created>
  <dcterms:modified xsi:type="dcterms:W3CDTF">2024-08-16T07:58:28Z</dcterms:modified>
</cp:coreProperties>
</file>