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4C997154-58F9-44A3-AA83-16FB46038689}" xr6:coauthVersionLast="47" xr6:coauthVersionMax="47" xr10:uidLastSave="{00000000-0000-0000-0000-000000000000}"/>
  <bookViews>
    <workbookView xWindow="-108" yWindow="-108" windowWidth="23256" windowHeight="12456" xr2:uid="{5B47F8B0-C116-4BA1-8FE2-148C4D1E4CA1}"/>
  </bookViews>
  <sheets>
    <sheet name="FIX_CAR-KD_FIX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'FIX_CAR-KD_FIX'!$P$18</definedName>
    <definedName name="BD">"BD"</definedName>
    <definedName name="C." localSheetId="0">'FIX_CAR-KD_FIX'!$P$17</definedName>
    <definedName name="F." localSheetId="0">'FIX_CAR-KD_FIX'!$P$16</definedName>
    <definedName name="GCS" localSheetId="0">'FIX_CAR-KD_FIX'!$O$12</definedName>
    <definedName name="GTH" localSheetId="0">'FIX_CAR-KD_FIX'!$O$11</definedName>
    <definedName name="H" localSheetId="0">'FIX_CAR-KD_FIX'!$E$12</definedName>
    <definedName name="h.1" localSheetId="0">'FIX_CAR-KD_FIX'!$C$14</definedName>
    <definedName name="h.10" localSheetId="0">'FIX_CAR-KD_FIX'!$E$18</definedName>
    <definedName name="h.2" localSheetId="0">'FIX_CAR-KD_FIX'!$C$15</definedName>
    <definedName name="h.3" localSheetId="0">'FIX_CAR-KD_FIX'!$C$16</definedName>
    <definedName name="h.4" localSheetId="0">'FIX_CAR-KD_FIX'!$C$17</definedName>
    <definedName name="h.5" localSheetId="0">'FIX_CAR-KD_FIX'!$C$18</definedName>
    <definedName name="h.6" localSheetId="0">'FIX_CAR-KD_FIX'!$E$14</definedName>
    <definedName name="h.7" localSheetId="0">'FIX_CAR-KD_FIX'!$E$15</definedName>
    <definedName name="h.8" localSheetId="0">'FIX_CAR-KD_FIX'!$E$16</definedName>
    <definedName name="h.9" localSheetId="0">'FIX_CAR-KD_FIX'!$E$17</definedName>
    <definedName name="HS" localSheetId="0">'FIX_CAR-KD_FIX'!$H$12</definedName>
    <definedName name="HS.1" localSheetId="0">'FIX_CAR-KD_FIX'!$L$14</definedName>
    <definedName name="HS.2" localSheetId="0">'FIX_CAR-KD_FIX'!$L$15</definedName>
    <definedName name="HS.3" localSheetId="0">'FIX_CAR-KD_FIX'!$L$16</definedName>
    <definedName name="HS.4" localSheetId="0">'FIX_CAR-KD_FIX'!$L$17</definedName>
    <definedName name="HS.5" localSheetId="0">'FIX_CAR-KD_FIX'!$L$18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'FIX_CAR-KD_FIX'!$1:$61</definedName>
    <definedName name="Q" localSheetId="0">'FIX_CAR-KD_FIX'!$I$11</definedName>
    <definedName name="R." localSheetId="0">'FIX_CAR-KD_FIX'!$C$62</definedName>
    <definedName name="st" hidden="1">[6]Gra_Ord_In_2000!$BA$12:$BA$1655</definedName>
    <definedName name="W" localSheetId="0">'FIX_CAR-KD_FIX'!$E$11</definedName>
    <definedName name="w.1" localSheetId="0">'FIX_CAR-KD_FIX'!$H$14</definedName>
    <definedName name="w.10" localSheetId="0">'FIX_CAR-KD_FIX'!$J$18</definedName>
    <definedName name="w.2" localSheetId="0">'FIX_CAR-KD_FIX'!$H$15</definedName>
    <definedName name="w.3" localSheetId="0">'FIX_CAR-KD_FIX'!$H$16</definedName>
    <definedName name="w.4" localSheetId="0">'FIX_CAR-KD_FIX'!$H$17</definedName>
    <definedName name="w.5" localSheetId="0">'FIX_CAR-KD_FIX'!$H$18</definedName>
    <definedName name="w.6" localSheetId="0">'FIX_CAR-KD_FIX'!$J$14</definedName>
    <definedName name="w.7" localSheetId="0">'FIX_CAR-KD_FIX'!$J$15</definedName>
    <definedName name="w.8" localSheetId="0">'FIX_CAR-KD_FIX'!$J$16</definedName>
    <definedName name="w.9" localSheetId="0">'FIX_CAR-KD_FIX'!$J$17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'FIX_CAR-KD_FIX'!$L$12</definedName>
    <definedName name="WS.1" localSheetId="0">'FIX_CAR-KD_FIX'!$N$14</definedName>
    <definedName name="WS.2" localSheetId="0">'FIX_CAR-KD_FIX'!$N$15</definedName>
    <definedName name="WS.3" localSheetId="0">'FIX_CAR-KD_FIX'!$N$16</definedName>
    <definedName name="WS.4" localSheetId="0">'FIX_CAR-KD_FIX'!$N$17</definedName>
    <definedName name="WS.5" localSheetId="0">'FIX_CAR-KD_FIX'!$N$18</definedName>
    <definedName name="Z_8BD11290_77B3_4D27_9040_BB9D2A7264B2_.wvu.PrintArea" localSheetId="0" hidden="1">'FIX_CAR-KD_FIX'!$1:$61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1" i="1" l="1"/>
  <c r="BU23" i="1"/>
  <c r="BU29" i="1"/>
  <c r="BU27" i="1"/>
  <c r="BU26" i="1"/>
  <c r="BF60" i="1"/>
  <c r="BD60" i="1"/>
  <c r="AX60" i="1"/>
  <c r="BE37" i="1"/>
  <c r="BE36" i="1"/>
  <c r="BE35" i="1"/>
  <c r="BE34" i="1"/>
  <c r="BE32" i="1"/>
  <c r="BE31" i="1"/>
  <c r="BE27" i="1"/>
  <c r="BE26" i="1"/>
  <c r="BQ31" i="1"/>
  <c r="BA32" i="1"/>
  <c r="BA22" i="1"/>
  <c r="X24" i="1"/>
  <c r="X23" i="1"/>
  <c r="X32" i="1"/>
  <c r="X31" i="1"/>
  <c r="X30" i="1"/>
  <c r="X29" i="1"/>
  <c r="X28" i="1"/>
  <c r="X27" i="1"/>
  <c r="X26" i="1"/>
  <c r="X25" i="1"/>
  <c r="X22" i="1"/>
  <c r="AB29" i="1"/>
  <c r="AB28" i="1"/>
  <c r="BV60" i="1" l="1"/>
  <c r="BT60" i="1"/>
  <c r="BN60" i="1"/>
  <c r="BV59" i="1"/>
  <c r="BT59" i="1"/>
  <c r="BN59" i="1"/>
  <c r="BV58" i="1"/>
  <c r="BT58" i="1"/>
  <c r="BN58" i="1"/>
  <c r="BV57" i="1"/>
  <c r="BT57" i="1"/>
  <c r="BN57" i="1"/>
  <c r="BV56" i="1"/>
  <c r="BT56" i="1"/>
  <c r="BN56" i="1"/>
  <c r="BV55" i="1"/>
  <c r="BT55" i="1"/>
  <c r="BN55" i="1"/>
  <c r="BV54" i="1"/>
  <c r="BT54" i="1"/>
  <c r="BN54" i="1"/>
  <c r="BV53" i="1"/>
  <c r="BT53" i="1"/>
  <c r="BN53" i="1"/>
  <c r="BV52" i="1"/>
  <c r="BT52" i="1"/>
  <c r="BN52" i="1"/>
  <c r="BV51" i="1"/>
  <c r="BT51" i="1"/>
  <c r="BN51" i="1"/>
  <c r="BV50" i="1"/>
  <c r="BT50" i="1"/>
  <c r="BN50" i="1"/>
  <c r="BV49" i="1"/>
  <c r="BT49" i="1"/>
  <c r="BN49" i="1"/>
  <c r="BV48" i="1"/>
  <c r="BT48" i="1"/>
  <c r="BN48" i="1"/>
  <c r="BV47" i="1"/>
  <c r="BT47" i="1"/>
  <c r="BN47" i="1"/>
  <c r="AV47" i="1"/>
  <c r="AU47" i="1"/>
  <c r="AP47" i="1"/>
  <c r="AL47" i="1"/>
  <c r="AF47" i="1"/>
  <c r="AE47" i="1"/>
  <c r="Z47" i="1"/>
  <c r="V47" i="1"/>
  <c r="BV46" i="1"/>
  <c r="BT46" i="1"/>
  <c r="BN46" i="1"/>
  <c r="AV46" i="1"/>
  <c r="AU46" i="1"/>
  <c r="AP46" i="1"/>
  <c r="AL46" i="1"/>
  <c r="AV45" i="1"/>
  <c r="AU45" i="1"/>
  <c r="AP45" i="1"/>
  <c r="AL45" i="1"/>
  <c r="AV44" i="1"/>
  <c r="AU44" i="1"/>
  <c r="AP44" i="1"/>
  <c r="AL44" i="1"/>
  <c r="AV43" i="1"/>
  <c r="AU43" i="1"/>
  <c r="AP43" i="1"/>
  <c r="AL43" i="1"/>
  <c r="BF42" i="1"/>
  <c r="BD42" i="1"/>
  <c r="AX42" i="1"/>
  <c r="AV42" i="1"/>
  <c r="AU42" i="1"/>
  <c r="AP42" i="1"/>
  <c r="AL42" i="1"/>
  <c r="P42" i="1"/>
  <c r="O42" i="1"/>
  <c r="F42" i="1"/>
  <c r="BF41" i="1"/>
  <c r="BD41" i="1"/>
  <c r="AX41" i="1"/>
  <c r="AV41" i="1"/>
  <c r="AU41" i="1"/>
  <c r="AP41" i="1"/>
  <c r="AL41" i="1"/>
  <c r="BF40" i="1"/>
  <c r="AV40" i="1"/>
  <c r="AU40" i="1"/>
  <c r="AP40" i="1"/>
  <c r="AL40" i="1"/>
  <c r="BF39" i="1"/>
  <c r="AV39" i="1"/>
  <c r="AU39" i="1"/>
  <c r="AP39" i="1"/>
  <c r="AL39" i="1"/>
  <c r="AV38" i="1"/>
  <c r="AU38" i="1"/>
  <c r="AP38" i="1"/>
  <c r="AL38" i="1"/>
  <c r="BF37" i="1"/>
  <c r="AV37" i="1"/>
  <c r="AU37" i="1"/>
  <c r="AP37" i="1"/>
  <c r="AL37" i="1"/>
  <c r="BF36" i="1"/>
  <c r="AV36" i="1"/>
  <c r="AU36" i="1"/>
  <c r="AP36" i="1"/>
  <c r="AL36" i="1"/>
  <c r="BF35" i="1"/>
  <c r="BV34" i="1"/>
  <c r="BT34" i="1"/>
  <c r="BN34" i="1"/>
  <c r="BF34" i="1"/>
  <c r="AF34" i="1"/>
  <c r="AE34" i="1"/>
  <c r="Z34" i="1"/>
  <c r="V34" i="1"/>
  <c r="BV33" i="1"/>
  <c r="BT33" i="1"/>
  <c r="BN33" i="1"/>
  <c r="BF33" i="1"/>
  <c r="AF33" i="1"/>
  <c r="AE33" i="1"/>
  <c r="Z33" i="1"/>
  <c r="V33" i="1"/>
  <c r="BF32" i="1"/>
  <c r="AE32" i="1"/>
  <c r="Z32" i="1"/>
  <c r="V32" i="1"/>
  <c r="BF31" i="1"/>
  <c r="AE31" i="1"/>
  <c r="AF31" i="1" s="1"/>
  <c r="Z31" i="1"/>
  <c r="V31" i="1"/>
  <c r="BF30" i="1"/>
  <c r="AE30" i="1"/>
  <c r="AF30" i="1" s="1"/>
  <c r="Z30" i="1"/>
  <c r="V30" i="1"/>
  <c r="BV29" i="1"/>
  <c r="BF29" i="1"/>
  <c r="AV29" i="1"/>
  <c r="AU29" i="1"/>
  <c r="AP29" i="1"/>
  <c r="AL29" i="1"/>
  <c r="AE29" i="1"/>
  <c r="AF29" i="1" s="1"/>
  <c r="Z29" i="1"/>
  <c r="V29" i="1"/>
  <c r="BV28" i="1"/>
  <c r="BF28" i="1"/>
  <c r="AV28" i="1"/>
  <c r="AU28" i="1"/>
  <c r="AP28" i="1"/>
  <c r="AL28" i="1"/>
  <c r="AE28" i="1"/>
  <c r="AF28" i="1" s="1"/>
  <c r="Z28" i="1"/>
  <c r="V28" i="1"/>
  <c r="BV27" i="1"/>
  <c r="BF27" i="1"/>
  <c r="AU27" i="1"/>
  <c r="AP27" i="1"/>
  <c r="AL27" i="1"/>
  <c r="AE27" i="1"/>
  <c r="AF27" i="1" s="1"/>
  <c r="Z27" i="1"/>
  <c r="V27" i="1"/>
  <c r="BF26" i="1"/>
  <c r="AU26" i="1"/>
  <c r="AP26" i="1"/>
  <c r="AL26" i="1"/>
  <c r="AE26" i="1"/>
  <c r="AF26" i="1" s="1"/>
  <c r="Z26" i="1"/>
  <c r="V26" i="1"/>
  <c r="BF25" i="1"/>
  <c r="AU25" i="1"/>
  <c r="AP25" i="1"/>
  <c r="AL25" i="1"/>
  <c r="AE25" i="1"/>
  <c r="AF25" i="1" s="1"/>
  <c r="Z25" i="1"/>
  <c r="V25" i="1"/>
  <c r="BV24" i="1"/>
  <c r="BF24" i="1"/>
  <c r="AU24" i="1"/>
  <c r="AP24" i="1"/>
  <c r="AL24" i="1"/>
  <c r="AE24" i="1"/>
  <c r="AF24" i="1" s="1"/>
  <c r="Z24" i="1"/>
  <c r="V24" i="1"/>
  <c r="BV23" i="1"/>
  <c r="BF23" i="1"/>
  <c r="AU23" i="1"/>
  <c r="AP23" i="1"/>
  <c r="AL23" i="1"/>
  <c r="AE23" i="1"/>
  <c r="AF23" i="1" s="1"/>
  <c r="Z23" i="1"/>
  <c r="V23" i="1"/>
  <c r="BV22" i="1"/>
  <c r="BF22" i="1"/>
  <c r="AU22" i="1"/>
  <c r="AP22" i="1"/>
  <c r="AL22" i="1"/>
  <c r="AE22" i="1"/>
  <c r="AF22" i="1" s="1"/>
  <c r="Z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BZ17" i="1"/>
  <c r="BX17" i="1"/>
  <c r="BV17" i="1"/>
  <c r="BT17" i="1"/>
  <c r="BQ17" i="1"/>
  <c r="BO17" i="1"/>
  <c r="BJ17" i="1"/>
  <c r="BH17" i="1"/>
  <c r="BF17" i="1"/>
  <c r="BD17" i="1"/>
  <c r="BA17" i="1"/>
  <c r="AY17" i="1"/>
  <c r="AT17" i="1"/>
  <c r="AR17" i="1"/>
  <c r="AP17" i="1"/>
  <c r="AN17" i="1"/>
  <c r="AK17" i="1"/>
  <c r="AI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F16" i="1"/>
  <c r="AD16" i="1"/>
  <c r="AB16" i="1"/>
  <c r="Z16" i="1"/>
  <c r="X16" i="1"/>
  <c r="U16" i="1"/>
  <c r="S16" i="1"/>
  <c r="C16" i="1"/>
  <c r="AI16" i="1" s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V14" i="1"/>
  <c r="BT14" i="1"/>
  <c r="BQ14" i="1"/>
  <c r="BO14" i="1"/>
  <c r="BL14" i="1"/>
  <c r="BF14" i="1"/>
  <c r="BD14" i="1"/>
  <c r="BA14" i="1"/>
  <c r="AY14" i="1"/>
  <c r="AP14" i="1"/>
  <c r="AN14" i="1"/>
  <c r="AK14" i="1"/>
  <c r="AI14" i="1"/>
  <c r="AD14" i="1"/>
  <c r="Z14" i="1"/>
  <c r="X14" i="1"/>
  <c r="U14" i="1"/>
  <c r="S14" i="1"/>
  <c r="N14" i="1"/>
  <c r="AS23" i="1" s="1"/>
  <c r="L14" i="1"/>
  <c r="BV32" i="1" s="1"/>
  <c r="CA12" i="1"/>
  <c r="BQ12" i="1"/>
  <c r="BK12" i="1"/>
  <c r="BA12" i="1"/>
  <c r="AU12" i="1"/>
  <c r="AT12" i="1"/>
  <c r="AK12" i="1"/>
  <c r="AE12" i="1"/>
  <c r="U12" i="1"/>
  <c r="N12" i="1"/>
  <c r="BZ12" i="1" s="1"/>
  <c r="CA11" i="1"/>
  <c r="BZ11" i="1"/>
  <c r="BW11" i="1"/>
  <c r="BU11" i="1"/>
  <c r="BQ11" i="1"/>
  <c r="BK11" i="1"/>
  <c r="BJ11" i="1"/>
  <c r="BG11" i="1"/>
  <c r="BE11" i="1"/>
  <c r="BA11" i="1"/>
  <c r="AU11" i="1"/>
  <c r="AT11" i="1"/>
  <c r="AQ11" i="1"/>
  <c r="AO11" i="1"/>
  <c r="AK11" i="1"/>
  <c r="AE11" i="1"/>
  <c r="AD11" i="1"/>
  <c r="AA11" i="1"/>
  <c r="Y11" i="1"/>
  <c r="U11" i="1"/>
  <c r="N11" i="1"/>
  <c r="CA10" i="1"/>
  <c r="BQ10" i="1"/>
  <c r="BK10" i="1"/>
  <c r="BG10" i="1"/>
  <c r="BA10" i="1"/>
  <c r="AU10" i="1"/>
  <c r="AE10" i="1"/>
  <c r="M10" i="1"/>
  <c r="K10" i="1"/>
  <c r="AQ10" i="1" s="1"/>
  <c r="CA9" i="1"/>
  <c r="BW9" i="1"/>
  <c r="BQ9" i="1"/>
  <c r="BK9" i="1"/>
  <c r="BA9" i="1"/>
  <c r="AU9" i="1"/>
  <c r="AQ9" i="1"/>
  <c r="AK9" i="1"/>
  <c r="AE9" i="1"/>
  <c r="AA9" i="1"/>
  <c r="U9" i="1"/>
  <c r="K9" i="1"/>
  <c r="BG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BK4" i="1" s="1"/>
  <c r="E3" i="1"/>
  <c r="BQ3" i="1" s="1"/>
  <c r="AF2" i="1"/>
  <c r="AV2" i="1" s="1"/>
  <c r="BL2" i="1" s="1"/>
  <c r="CB2" i="1" s="1"/>
  <c r="AF32" i="1" l="1"/>
  <c r="CA4" i="1"/>
  <c r="AU4" i="1"/>
  <c r="AE4" i="1"/>
  <c r="AF48" i="1"/>
  <c r="AK3" i="1"/>
  <c r="BV25" i="1"/>
  <c r="AN22" i="1"/>
  <c r="AV22" i="1" s="1"/>
  <c r="U3" i="1"/>
  <c r="AS25" i="1"/>
  <c r="BA3" i="1"/>
  <c r="BH14" i="1"/>
  <c r="BZ14" i="1"/>
  <c r="BF38" i="1"/>
  <c r="AN26" i="1"/>
  <c r="AV26" i="1" s="1"/>
  <c r="AA10" i="1"/>
  <c r="BW10" i="1"/>
  <c r="AR14" i="1"/>
  <c r="AS22" i="1"/>
  <c r="AN23" i="1"/>
  <c r="AV23" i="1" s="1"/>
  <c r="BV26" i="1"/>
  <c r="BV30" i="1"/>
  <c r="BX14" i="1"/>
  <c r="BJ12" i="1"/>
  <c r="BJ14" i="1"/>
  <c r="P17" i="1"/>
  <c r="AN27" i="1"/>
  <c r="AV27" i="1" s="1"/>
  <c r="BV31" i="1"/>
  <c r="AD12" i="1"/>
  <c r="AT14" i="1"/>
  <c r="AN24" i="1"/>
  <c r="AV24" i="1" s="1"/>
  <c r="AB14" i="1"/>
  <c r="AN25" i="1"/>
  <c r="AV25" i="1" s="1"/>
  <c r="AV48" i="1" l="1"/>
  <c r="CB17" i="1"/>
  <c r="BL17" i="1"/>
  <c r="AF17" i="1"/>
  <c r="AV17" i="1"/>
  <c r="AF50" i="1"/>
  <c r="AF49" i="1"/>
  <c r="AV50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FDAC2FED-A1BA-454A-8EF2-CF1A570BA3E5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42701F8B-7C35-4A32-9D99-AC959C0E1996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91A30410-1456-4654-950D-6C3467C0315C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<sst xmlns="http://schemas.openxmlformats.org/spreadsheetml/2006/main" count="549" uniqueCount="188">
  <si>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</si>
  <si>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</si>
  <si>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</si>
  <si>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</si>
  <si>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</si>
  <si>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</si>
  <si>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</si>
  <si>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</si>
  <si>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</si>
  <si>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</si>
  <si>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</si>
  <si>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</si>
  <si>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</si>
  <si>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</si>
  <si>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</si>
  <si>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FIX CAR-KD FIX NC</t>
  </si>
  <si>
    <t>Delivery Date</t>
  </si>
  <si>
    <t>Elevation Code</t>
  </si>
  <si>
    <t>52F/CR/F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</si>
  <si>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</si>
  <si>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</si>
  <si>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</si>
  <si>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U9E-51023</t>
  </si>
  <si>
    <t>Unit Code</t>
  </si>
  <si>
    <r>
      <t xml:space="preserve">H </t>
    </r>
    <r>
      <rPr>
        <sz val="10"/>
        <rFont val="Arial"/>
        <family val="2"/>
      </rPr>
      <t>item</t>
    </r>
  </si>
  <si>
    <t>U9E-50005</t>
  </si>
  <si>
    <t>52CR-A/SC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</si>
  <si>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</si>
  <si>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</si>
  <si>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</si>
  <si>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</si>
  <si>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</si>
  <si>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</si>
  <si>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</si>
  <si>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</si>
  <si>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</si>
  <si>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</si>
  <si>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</si>
  <si>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</si>
  <si>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</si>
  <si>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</si>
  <si>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</si>
  <si>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</si>
  <si>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</si>
  <si>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</si>
  <si>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</si>
  <si>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</si>
  <si>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</si>
  <si>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</si>
  <si>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</si>
  <si>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</si>
  <si>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</si>
  <si>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</si>
  <si>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</si>
  <si>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</si>
  <si>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</si>
  <si>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</si>
  <si>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</si>
  <si>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</si>
  <si>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</si>
  <si>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</si>
  <si>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</si>
  <si>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</si>
  <si>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</si>
  <si>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</si>
  <si>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</si>
  <si>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</si>
  <si>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</si>
  <si>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</si>
  <si>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</si>
  <si>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</si>
  <si>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</si>
  <si>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</si>
  <si>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</si>
  <si>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</si>
  <si>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</si>
  <si>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</si>
  <si>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</si>
  <si>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</si>
  <si>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</si>
  <si>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</si>
  <si>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</si>
  <si>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</si>
  <si>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</si>
  <si>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9K-87136</t>
  </si>
  <si>
    <t>2K-33877Y</t>
  </si>
  <si>
    <t>SILL</t>
  </si>
  <si>
    <t>9K-87102</t>
  </si>
  <si>
    <t>BOTTOM RAIL</t>
  </si>
  <si>
    <t>9K-30239</t>
  </si>
  <si>
    <t>9K-20669</t>
  </si>
  <si>
    <t>TRANSOM</t>
  </si>
  <si>
    <t>9K-87116</t>
  </si>
  <si>
    <t>STILE(L)</t>
  </si>
  <si>
    <t>9K-87137</t>
  </si>
  <si>
    <t>9K-20754</t>
  </si>
  <si>
    <t>M</t>
  </si>
  <si>
    <t>9K-20856</t>
  </si>
  <si>
    <t>9K-87131</t>
  </si>
  <si>
    <t>STILE(R)</t>
  </si>
  <si>
    <t>2K-29158</t>
  </si>
  <si>
    <t>2K-22277</t>
  </si>
  <si>
    <t>JAMB(L)</t>
  </si>
  <si>
    <t>9K-87104</t>
  </si>
  <si>
    <t>GLASS BEAD</t>
  </si>
  <si>
    <t>9K-86115</t>
  </si>
  <si>
    <t>2K-29161</t>
  </si>
  <si>
    <t>JAMB(R)</t>
  </si>
  <si>
    <t>MS-4012</t>
  </si>
  <si>
    <t>FOR HANDLE</t>
  </si>
  <si>
    <t>9K-87119</t>
  </si>
  <si>
    <t>9K-20848</t>
  </si>
  <si>
    <t>EF-4008D7-SA</t>
  </si>
  <si>
    <t>S</t>
  </si>
  <si>
    <t>GLASS BEAD L</t>
  </si>
  <si>
    <t>9K-20849</t>
  </si>
  <si>
    <t>BM-4025G</t>
  </si>
  <si>
    <t>FOR JOINT FRAME</t>
  </si>
  <si>
    <t>GLASS BEAD R</t>
  </si>
  <si>
    <t>9K-20850</t>
  </si>
  <si>
    <t>9K-20851</t>
  </si>
  <si>
    <t>EM-4008D8-SA</t>
  </si>
  <si>
    <t>EF-4006D6</t>
  </si>
  <si>
    <t>FOR GLASS BEAD</t>
  </si>
  <si>
    <t>9K-10840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</si>
  <si>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</si>
  <si>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</si>
  <si>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</si>
  <si>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</si>
  <si>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</si>
  <si>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</si>
  <si>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</si>
  <si>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</si>
  <si>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</si>
  <si>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</si>
  <si>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</si>
  <si>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</si>
  <si>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</si>
  <si>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</si>
  <si>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</si>
  <si>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</si>
  <si>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</si>
  <si>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</si>
  <si>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</si>
  <si>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</si>
  <si>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</si>
  <si>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</si>
  <si>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</si>
  <si>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</si>
  <si>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</si>
  <si>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</si>
  <si>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</si>
  <si>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</si>
  <si>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</si>
  <si>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</si>
  <si>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</si>
  <si>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</si>
  <si>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</si>
  <si>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</si>
  <si>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</si>
  <si>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</si>
  <si>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</si>
  <si>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</si>
  <si>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FRICTION STAY</t>
  </si>
  <si>
    <t>SEALER PAD</t>
  </si>
  <si>
    <t>LABEL</t>
  </si>
  <si>
    <t>SCREW</t>
  </si>
  <si>
    <t>SHIM RECEIVER</t>
  </si>
  <si>
    <t>HOLE CAP</t>
  </si>
  <si>
    <t>GASKET</t>
  </si>
  <si>
    <t>CAMLATCH RECEIVER</t>
  </si>
  <si>
    <t>PULLING BLOCK</t>
  </si>
  <si>
    <t>AT MATERIAL</t>
  </si>
  <si>
    <t>SETTING BLOCK</t>
  </si>
  <si>
    <t>9K-30241</t>
  </si>
  <si>
    <t>EM-4008</t>
  </si>
  <si>
    <t>2K-30630</t>
  </si>
  <si>
    <t>YS</t>
  </si>
  <si>
    <t>YK</t>
  </si>
  <si>
    <t>YW</t>
  </si>
  <si>
    <t>FOR FRICTION STAY</t>
  </si>
  <si>
    <t>FOR PULLING BLOCK</t>
  </si>
  <si>
    <t>FOR JAMB (R), FOR JAMB (L), FOR HEAD</t>
  </si>
  <si>
    <t>FOR INSIDE</t>
  </si>
  <si>
    <t>FOR OUTSIDE</t>
  </si>
  <si>
    <t>HANDLE</t>
  </si>
  <si>
    <t>WEATHER STRIP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</si>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</sst>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8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2" xfId="3" applyFont="1" applyBorder="1" applyAlignment="1">
      <alignment vertical="center"/>
    </xf>
    <xf numFmtId="0" fontId="16" fillId="0" borderId="63" xfId="3" applyFont="1" applyBorder="1" applyAlignment="1">
      <alignment vertical="center"/>
    </xf>
    <xf numFmtId="0" fontId="17" fillId="0" borderId="64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5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6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5">
    <cellStyle name="Currency_FORM New Break Down 2" xfId="2" xr:uid="{3B1080AB-3830-4805-9251-04CA131E0382}"/>
    <cellStyle name="Normal" xfId="0" builtinId="0"/>
    <cellStyle name="Normal 2" xfId="1" xr:uid="{53F2ECF5-F135-48ED-97E4-754EEC8092DC}"/>
    <cellStyle name="Normal 5" xfId="3" xr:uid="{104AB5D8-EA90-4EC2-BBDE-9CDF5C73A3D3}"/>
    <cellStyle name="Normal_COBA 2" xfId="4" xr:uid="{E67DB198-E340-4AF2-BEC5-E4CCFA5D3B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ACB11FFD-45D8-41A9-B202-5EE26570B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4997A91C-D90A-40DD-853D-CA2942431E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1980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028A011D-5155-4F93-973A-6D6A1AA32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56194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EA26A034-B2D8-4061-8656-57B5726CD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08672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CA5AE6C4-49FF-43C6-AE2A-6B80EE7B6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7228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494D0349-0558-42CA-A42B-C4458CC6F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71BE3AB4-07FE-4593-9DF1-CD294F6AB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0653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68035</xdr:colOff>
      <xdr:row>21</xdr:row>
      <xdr:rowOff>108857</xdr:rowOff>
    </xdr:from>
    <xdr:to>
      <xdr:col>13</xdr:col>
      <xdr:colOff>293427</xdr:colOff>
      <xdr:row>38</xdr:row>
      <xdr:rowOff>45462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2950AE83-6D7C-4FDA-A1F5-C97B796AE4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450" r="14286"/>
        <a:stretch/>
      </xdr:blipFill>
      <xdr:spPr bwMode="auto">
        <a:xfrm>
          <a:off x="2384515" y="4025537"/>
          <a:ext cx="3654392" cy="3167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790EB-0B7F-4C69-8195-660AB082FA8F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V28" sqref="V28"/>
    </sheetView>
  </sheetViews>
  <sheetFormatPr defaultColWidth="9.109375" defaultRowHeight="13.8" x14ac:dyDescent="0.25"/>
  <cols>
    <col min="1" max="1" width="4.33203125" style="4" customWidth="1"/>
    <col min="2" max="2" width="5.6640625" style="277" customWidth="1"/>
    <col min="3" max="3" width="7.44140625" style="277" customWidth="1"/>
    <col min="4" max="4" width="5.6640625" style="277" customWidth="1"/>
    <col min="5" max="5" width="10.6640625" style="277" customWidth="1"/>
    <col min="6" max="6" width="1.44140625" style="277" customWidth="1"/>
    <col min="7" max="7" width="4.44140625" style="277" customWidth="1"/>
    <col min="8" max="8" width="9.33203125" style="277" customWidth="1"/>
    <col min="9" max="9" width="5.6640625" style="277" customWidth="1"/>
    <col min="10" max="10" width="7.44140625" style="277" customWidth="1"/>
    <col min="11" max="11" width="6.33203125" style="277" customWidth="1"/>
    <col min="12" max="12" width="7.44140625" style="277" customWidth="1"/>
    <col min="13" max="13" width="7.88671875" style="277" customWidth="1"/>
    <col min="14" max="14" width="7.44140625" style="277" customWidth="1"/>
    <col min="15" max="15" width="8.6640625" style="277" customWidth="1"/>
    <col min="16" max="16" width="9.6640625" style="277" customWidth="1"/>
    <col min="17" max="17" width="4.33203125" style="277" customWidth="1"/>
    <col min="18" max="18" width="5.6640625" style="277" customWidth="1"/>
    <col min="19" max="19" width="7.44140625" style="277" customWidth="1"/>
    <col min="20" max="20" width="5.6640625" style="277" customWidth="1"/>
    <col min="21" max="21" width="10.6640625" style="277" customWidth="1"/>
    <col min="22" max="22" width="1.44140625" style="277" customWidth="1"/>
    <col min="23" max="23" width="4.44140625" style="277" customWidth="1"/>
    <col min="24" max="24" width="9.33203125" style="277" customWidth="1"/>
    <col min="25" max="25" width="5.6640625" style="277" customWidth="1"/>
    <col min="26" max="26" width="7.44140625" style="277" customWidth="1"/>
    <col min="27" max="27" width="6.33203125" style="277" customWidth="1"/>
    <col min="28" max="28" width="7.44140625" style="277" customWidth="1"/>
    <col min="29" max="29" width="7.33203125" style="277" customWidth="1"/>
    <col min="30" max="30" width="7.44140625" style="277" customWidth="1"/>
    <col min="31" max="31" width="8.6640625" style="277" customWidth="1"/>
    <col min="32" max="32" width="9.6640625" style="277" customWidth="1"/>
    <col min="33" max="33" width="4.33203125" style="277" customWidth="1"/>
    <col min="34" max="34" width="5.6640625" style="277" customWidth="1"/>
    <col min="35" max="35" width="7.44140625" style="277" customWidth="1"/>
    <col min="36" max="36" width="5.6640625" style="277" customWidth="1"/>
    <col min="37" max="37" width="10.6640625" style="277" customWidth="1"/>
    <col min="38" max="38" width="1.44140625" style="277" customWidth="1"/>
    <col min="39" max="39" width="4.44140625" style="277" customWidth="1"/>
    <col min="40" max="40" width="9.33203125" style="277" customWidth="1"/>
    <col min="41" max="41" width="5.6640625" style="277" customWidth="1"/>
    <col min="42" max="42" width="7.44140625" style="277" customWidth="1"/>
    <col min="43" max="43" width="6.33203125" style="277" customWidth="1"/>
    <col min="44" max="45" width="7.109375" style="277" customWidth="1"/>
    <col min="46" max="46" width="7.44140625" style="277" customWidth="1"/>
    <col min="47" max="47" width="8.6640625" style="277" customWidth="1"/>
    <col min="48" max="48" width="9.6640625" style="277" customWidth="1"/>
    <col min="49" max="49" width="4.33203125" style="277" customWidth="1"/>
    <col min="50" max="50" width="5.6640625" style="277" customWidth="1"/>
    <col min="51" max="51" width="7.44140625" style="277" customWidth="1"/>
    <col min="52" max="52" width="5.6640625" style="277" customWidth="1"/>
    <col min="53" max="53" width="10.6640625" style="277" customWidth="1"/>
    <col min="54" max="54" width="1.44140625" style="277" customWidth="1"/>
    <col min="55" max="55" width="4.44140625" style="277" customWidth="1"/>
    <col min="56" max="56" width="9.33203125" style="277" customWidth="1"/>
    <col min="57" max="57" width="5.6640625" style="277" customWidth="1"/>
    <col min="58" max="58" width="7.44140625" style="277" customWidth="1"/>
    <col min="59" max="59" width="6.33203125" style="277" customWidth="1"/>
    <col min="60" max="60" width="7.44140625" style="277" customWidth="1"/>
    <col min="61" max="61" width="7.33203125" style="277" customWidth="1"/>
    <col min="62" max="62" width="7.44140625" style="277" customWidth="1"/>
    <col min="63" max="63" width="8.6640625" style="277" customWidth="1"/>
    <col min="64" max="64" width="9.6640625" style="277" customWidth="1"/>
    <col min="65" max="65" width="4.33203125" style="277" customWidth="1"/>
    <col min="66" max="66" width="5.6640625" style="277" customWidth="1"/>
    <col min="67" max="67" width="7.44140625" style="277" customWidth="1"/>
    <col min="68" max="68" width="5.6640625" style="277" customWidth="1"/>
    <col min="69" max="69" width="10.6640625" style="277" customWidth="1"/>
    <col min="70" max="70" width="1.44140625" style="277" customWidth="1"/>
    <col min="71" max="71" width="4.44140625" style="277" customWidth="1"/>
    <col min="72" max="72" width="9.33203125" style="277" customWidth="1"/>
    <col min="73" max="73" width="5.6640625" style="277" customWidth="1"/>
    <col min="74" max="74" width="7.44140625" style="277" customWidth="1"/>
    <col min="75" max="75" width="6.33203125" style="277" customWidth="1"/>
    <col min="76" max="76" width="7.44140625" style="277" customWidth="1"/>
    <col min="77" max="77" width="7.33203125" style="277" customWidth="1"/>
    <col min="78" max="78" width="7.44140625" style="277" customWidth="1"/>
    <col min="79" max="79" width="8.6640625" style="277" customWidth="1"/>
    <col min="80" max="80" width="9.6640625" style="277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45518.647980555557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45518.647980555557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45518.647980555557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45518.647980555557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45518.647980555557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 t="s">
        <v>15</v>
      </c>
      <c r="F7" s="46"/>
      <c r="G7" s="46"/>
      <c r="H7" s="46"/>
      <c r="I7" s="47"/>
      <c r="J7" s="48" t="s">
        <v>16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>FIX CAR-KD FIX NC</v>
      </c>
      <c r="V7" s="46"/>
      <c r="W7" s="46"/>
      <c r="X7" s="46"/>
      <c r="Y7" s="47"/>
      <c r="Z7" s="48" t="s">
        <v>16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>FIX CAR-KD FIX NC</v>
      </c>
      <c r="AL7" s="46"/>
      <c r="AM7" s="46"/>
      <c r="AN7" s="46"/>
      <c r="AO7" s="47"/>
      <c r="AP7" s="48" t="s">
        <v>16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>FIX CAR-KD FIX NC</v>
      </c>
      <c r="BB7" s="46"/>
      <c r="BC7" s="46"/>
      <c r="BD7" s="25"/>
      <c r="BE7" s="47"/>
      <c r="BF7" s="48" t="s">
        <v>16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>FIX CAR-KD FIX NC</v>
      </c>
      <c r="BR7" s="46"/>
      <c r="BS7" s="46"/>
      <c r="BT7" s="46"/>
      <c r="BU7" s="47"/>
      <c r="BV7" s="48" t="s">
        <v>16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17</v>
      </c>
      <c r="C8" s="36"/>
      <c r="D8" s="37"/>
      <c r="E8" s="54" t="s">
        <v>18</v>
      </c>
      <c r="F8" s="36"/>
      <c r="G8" s="55"/>
      <c r="H8" s="56"/>
      <c r="I8" s="56"/>
      <c r="J8" s="56"/>
      <c r="K8" s="56"/>
      <c r="L8" s="56"/>
      <c r="M8" s="57" t="s">
        <v>19</v>
      </c>
      <c r="N8" s="58"/>
      <c r="O8" s="59"/>
      <c r="P8" s="60"/>
      <c r="Q8" s="3"/>
      <c r="R8" s="53" t="s">
        <v>17</v>
      </c>
      <c r="S8" s="36"/>
      <c r="T8" s="37"/>
      <c r="U8" s="54" t="str">
        <f>IF($E$8&gt;0,$E$8,"")</f>
        <v>52F/CR/F</v>
      </c>
      <c r="V8" s="36"/>
      <c r="W8" s="55"/>
      <c r="X8" s="56"/>
      <c r="Y8" s="56"/>
      <c r="Z8" s="56"/>
      <c r="AA8" s="56"/>
      <c r="AB8" s="56"/>
      <c r="AC8" s="59" t="s">
        <v>19</v>
      </c>
      <c r="AD8" s="61"/>
      <c r="AE8" s="59" t="str">
        <f>IF($O$8&gt;0,$O$8,"")</f>
        <v/>
      </c>
      <c r="AF8" s="60"/>
      <c r="AG8" s="3"/>
      <c r="AH8" s="53" t="s">
        <v>17</v>
      </c>
      <c r="AI8" s="36"/>
      <c r="AJ8" s="37"/>
      <c r="AK8" s="54" t="str">
        <f>IF($E$8&gt;0,$E$8,"")</f>
        <v>52F/CR/F</v>
      </c>
      <c r="AL8" s="36"/>
      <c r="AM8" s="55"/>
      <c r="AN8" s="56"/>
      <c r="AO8" s="56"/>
      <c r="AP8" s="56"/>
      <c r="AQ8" s="56"/>
      <c r="AR8" s="56"/>
      <c r="AS8" s="59" t="s">
        <v>19</v>
      </c>
      <c r="AT8" s="61"/>
      <c r="AU8" s="59" t="str">
        <f>IF($O$8&gt;0,$O$8,"")</f>
        <v/>
      </c>
      <c r="AV8" s="60"/>
      <c r="AW8" s="3"/>
      <c r="AX8" s="53" t="s">
        <v>17</v>
      </c>
      <c r="AY8" s="36"/>
      <c r="AZ8" s="37"/>
      <c r="BA8" s="54" t="str">
        <f>IF($E$8&gt;0,$E$8,"")</f>
        <v>52F/CR/F</v>
      </c>
      <c r="BB8" s="36"/>
      <c r="BC8" s="55"/>
      <c r="BD8" s="56"/>
      <c r="BE8" s="56"/>
      <c r="BF8" s="56"/>
      <c r="BG8" s="56"/>
      <c r="BH8" s="56"/>
      <c r="BI8" s="59" t="s">
        <v>19</v>
      </c>
      <c r="BJ8" s="61"/>
      <c r="BK8" s="59" t="str">
        <f>IF($O$8&gt;0,$O$8,"")</f>
        <v/>
      </c>
      <c r="BL8" s="60"/>
      <c r="BM8" s="3"/>
      <c r="BN8" s="53" t="s">
        <v>17</v>
      </c>
      <c r="BO8" s="36"/>
      <c r="BP8" s="37"/>
      <c r="BQ8" s="54" t="str">
        <f>IF($E$8&gt;0,$E$8,"")</f>
        <v>52F/CR/F</v>
      </c>
      <c r="BR8" s="36"/>
      <c r="BS8" s="55"/>
      <c r="BT8" s="56"/>
      <c r="BU8" s="56"/>
      <c r="BV8" s="56"/>
      <c r="BW8" s="56"/>
      <c r="BX8" s="56"/>
      <c r="BY8" s="59" t="s">
        <v>19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20</v>
      </c>
      <c r="C9" s="36"/>
      <c r="D9" s="37"/>
      <c r="E9" s="54" t="s">
        <v>18</v>
      </c>
      <c r="F9" s="36"/>
      <c r="G9" s="55"/>
      <c r="H9" s="62"/>
      <c r="I9" s="62"/>
      <c r="J9" s="63" t="s">
        <v>21</v>
      </c>
      <c r="K9" s="335">
        <f>W</f>
        <v>1000</v>
      </c>
      <c r="L9" s="336"/>
      <c r="M9" s="64"/>
      <c r="N9" s="61"/>
      <c r="O9" s="59" t="s">
        <v>22</v>
      </c>
      <c r="P9" s="60"/>
      <c r="Q9" s="3"/>
      <c r="R9" s="53" t="s">
        <v>20</v>
      </c>
      <c r="S9" s="36"/>
      <c r="T9" s="37"/>
      <c r="U9" s="54" t="str">
        <f>IF($E$9&gt;0,$E$9,"")</f>
        <v>52F/CR/F</v>
      </c>
      <c r="V9" s="36"/>
      <c r="W9" s="55"/>
      <c r="X9" s="62"/>
      <c r="Y9" s="62"/>
      <c r="Z9" s="63" t="s">
        <v>21</v>
      </c>
      <c r="AA9" s="335">
        <f>$K$9</f>
        <v>1000</v>
      </c>
      <c r="AB9" s="336"/>
      <c r="AC9" s="65"/>
      <c r="AD9" s="61"/>
      <c r="AE9" s="59" t="str">
        <f>IF($O$9&gt;0,$O$9,"")</f>
        <v>U9E-51023</v>
      </c>
      <c r="AF9" s="60"/>
      <c r="AG9" s="3"/>
      <c r="AH9" s="53" t="s">
        <v>20</v>
      </c>
      <c r="AI9" s="36"/>
      <c r="AJ9" s="37"/>
      <c r="AK9" s="54" t="str">
        <f>IF($E$9&gt;0,$E$9,"")</f>
        <v>52F/CR/F</v>
      </c>
      <c r="AL9" s="36"/>
      <c r="AM9" s="55"/>
      <c r="AN9" s="62"/>
      <c r="AO9" s="62"/>
      <c r="AP9" s="63" t="s">
        <v>21</v>
      </c>
      <c r="AQ9" s="335">
        <f>$K$9</f>
        <v>1000</v>
      </c>
      <c r="AR9" s="336"/>
      <c r="AS9" s="65"/>
      <c r="AT9" s="61"/>
      <c r="AU9" s="59" t="str">
        <f>IF($O$9&gt;0,$O$9,"")</f>
        <v>U9E-51023</v>
      </c>
      <c r="AV9" s="60"/>
      <c r="AW9" s="3"/>
      <c r="AX9" s="53" t="s">
        <v>20</v>
      </c>
      <c r="AY9" s="36"/>
      <c r="AZ9" s="37"/>
      <c r="BA9" s="54" t="str">
        <f>IF(E9&gt;0,E9,"")</f>
        <v>52F/CR/F</v>
      </c>
      <c r="BB9" s="36"/>
      <c r="BC9" s="55"/>
      <c r="BD9" s="62"/>
      <c r="BE9" s="62"/>
      <c r="BF9" s="63" t="s">
        <v>21</v>
      </c>
      <c r="BG9" s="335">
        <f>$K$9</f>
        <v>1000</v>
      </c>
      <c r="BH9" s="336"/>
      <c r="BI9" s="65"/>
      <c r="BJ9" s="61"/>
      <c r="BK9" s="59" t="str">
        <f>IF($O$9&gt;0,$O$9,"")</f>
        <v>U9E-51023</v>
      </c>
      <c r="BL9" s="60"/>
      <c r="BM9" s="3"/>
      <c r="BN9" s="53" t="s">
        <v>20</v>
      </c>
      <c r="BO9" s="36"/>
      <c r="BP9" s="37"/>
      <c r="BQ9" s="54" t="str">
        <f>IF(U9&gt;0,U9,"")</f>
        <v>52F/CR/F</v>
      </c>
      <c r="BR9" s="36"/>
      <c r="BS9" s="55"/>
      <c r="BT9" s="62"/>
      <c r="BU9" s="62"/>
      <c r="BV9" s="63" t="s">
        <v>21</v>
      </c>
      <c r="BW9" s="335">
        <f>$K$9</f>
        <v>1000</v>
      </c>
      <c r="BX9" s="336"/>
      <c r="BY9" s="65"/>
      <c r="BZ9" s="61"/>
      <c r="CA9" s="59" t="str">
        <f>IF($O$9&gt;0,$O$9,"")</f>
        <v>U9E-51023</v>
      </c>
      <c r="CB9" s="60"/>
    </row>
    <row r="10" spans="2:80" ht="15" customHeight="1" x14ac:dyDescent="0.25">
      <c r="B10" s="53" t="s">
        <v>23</v>
      </c>
      <c r="C10" s="36"/>
      <c r="D10" s="37"/>
      <c r="E10" s="54" t="s">
        <v>18</v>
      </c>
      <c r="F10" s="36"/>
      <c r="G10" s="55"/>
      <c r="H10" s="62"/>
      <c r="I10" s="62"/>
      <c r="J10" s="66" t="s">
        <v>24</v>
      </c>
      <c r="K10" s="335">
        <f>H</f>
        <v>2000</v>
      </c>
      <c r="L10" s="337"/>
      <c r="M10" s="67">
        <f>IF(K11="",1,VLOOKUP(K11,'[7]PART MASTER'!H:AC,20,FALSE))</f>
        <v>2</v>
      </c>
      <c r="N10" s="61"/>
      <c r="O10" s="59" t="s">
        <v>25</v>
      </c>
      <c r="P10" s="60"/>
      <c r="Q10" s="3"/>
      <c r="R10" s="53" t="s">
        <v>23</v>
      </c>
      <c r="S10" s="36"/>
      <c r="T10" s="37"/>
      <c r="U10" s="54" t="s">
        <v>18</v>
      </c>
      <c r="V10" s="36"/>
      <c r="W10" s="55"/>
      <c r="X10" s="62"/>
      <c r="Y10" s="62"/>
      <c r="Z10" s="66" t="s">
        <v>24</v>
      </c>
      <c r="AA10" s="335">
        <f>$K$10</f>
        <v>2000</v>
      </c>
      <c r="AB10" s="336"/>
      <c r="AC10" s="65"/>
      <c r="AD10" s="61"/>
      <c r="AE10" s="59" t="str">
        <f>IF($O$10&gt;0,$O$10,"")</f>
        <v>U9E-50005</v>
      </c>
      <c r="AF10" s="60"/>
      <c r="AG10" s="3"/>
      <c r="AH10" s="53" t="s">
        <v>23</v>
      </c>
      <c r="AI10" s="36"/>
      <c r="AJ10" s="37"/>
      <c r="AK10" s="54" t="s">
        <v>26</v>
      </c>
      <c r="AL10" s="36"/>
      <c r="AM10" s="55"/>
      <c r="AN10" s="62"/>
      <c r="AO10" s="62"/>
      <c r="AP10" s="66" t="s">
        <v>24</v>
      </c>
      <c r="AQ10" s="335">
        <f>$K$10</f>
        <v>2000</v>
      </c>
      <c r="AR10" s="336"/>
      <c r="AS10" s="65"/>
      <c r="AT10" s="61"/>
      <c r="AU10" s="59" t="str">
        <f>IF($O$10&gt;0,$O$10,"")</f>
        <v>U9E-50005</v>
      </c>
      <c r="AV10" s="60"/>
      <c r="AW10" s="3"/>
      <c r="AX10" s="53" t="s">
        <v>23</v>
      </c>
      <c r="AY10" s="36"/>
      <c r="AZ10" s="37"/>
      <c r="BA10" s="54" t="str">
        <f>IF($U$10&gt;0,$U$10,"")</f>
        <v>52F/CR/F</v>
      </c>
      <c r="BB10" s="36"/>
      <c r="BC10" s="55"/>
      <c r="BD10" s="62"/>
      <c r="BE10" s="62"/>
      <c r="BF10" s="66" t="s">
        <v>24</v>
      </c>
      <c r="BG10" s="335">
        <f>$K$10</f>
        <v>2000</v>
      </c>
      <c r="BH10" s="336"/>
      <c r="BI10" s="65"/>
      <c r="BJ10" s="61"/>
      <c r="BK10" s="59" t="str">
        <f>IF($O$10&gt;0,$O$10,"")</f>
        <v>U9E-50005</v>
      </c>
      <c r="BL10" s="60"/>
      <c r="BM10" s="3"/>
      <c r="BN10" s="53" t="s">
        <v>23</v>
      </c>
      <c r="BO10" s="36"/>
      <c r="BP10" s="37"/>
      <c r="BQ10" s="54" t="str">
        <f>IF($AK$10&gt;0,$AK$10,"")</f>
        <v>52CR-A/SC</v>
      </c>
      <c r="BR10" s="36"/>
      <c r="BS10" s="55"/>
      <c r="BT10" s="62"/>
      <c r="BU10" s="62"/>
      <c r="BV10" s="66" t="s">
        <v>24</v>
      </c>
      <c r="BW10" s="335">
        <f>$K$10</f>
        <v>2000</v>
      </c>
      <c r="BX10" s="336"/>
      <c r="BY10" s="65"/>
      <c r="BZ10" s="61"/>
      <c r="CA10" s="59" t="str">
        <f>IF($O$10&gt;0,$O$10,"")</f>
        <v>U9E-50005</v>
      </c>
      <c r="CB10" s="60"/>
    </row>
    <row r="11" spans="2:80" ht="15" customHeight="1" x14ac:dyDescent="0.25">
      <c r="B11" s="68" t="s">
        <v>27</v>
      </c>
      <c r="C11" s="69"/>
      <c r="D11" s="70"/>
      <c r="E11" s="71">
        <v>1000</v>
      </c>
      <c r="F11" s="24"/>
      <c r="G11" s="72"/>
      <c r="H11" s="333" t="s">
        <v>28</v>
      </c>
      <c r="I11" s="333">
        <v>1</v>
      </c>
      <c r="J11" s="333" t="s">
        <v>29</v>
      </c>
      <c r="K11" s="329" t="s">
        <v>30</v>
      </c>
      <c r="L11" s="330"/>
      <c r="M11" s="324" t="s">
        <v>31</v>
      </c>
      <c r="N11" s="73" t="str">
        <f>IF(GTH=10,"5+5",IF(GTH=16,"5+6+5",IF(GTH=18,"6+6+6","")))</f>
        <v/>
      </c>
      <c r="O11" s="74">
        <v>5</v>
      </c>
      <c r="P11" s="75" t="s">
        <v>32</v>
      </c>
      <c r="Q11" s="3"/>
      <c r="R11" s="68" t="s">
        <v>27</v>
      </c>
      <c r="S11" s="69"/>
      <c r="T11" s="70"/>
      <c r="U11" s="24">
        <f>IF($E$11&gt;0,$E$11,"")</f>
        <v>1000</v>
      </c>
      <c r="V11" s="24"/>
      <c r="W11" s="72"/>
      <c r="X11" s="333" t="s">
        <v>28</v>
      </c>
      <c r="Y11" s="333">
        <f>IF($I$11&gt;0,$I$11,"")</f>
        <v>1</v>
      </c>
      <c r="Z11" s="333" t="s">
        <v>29</v>
      </c>
      <c r="AA11" s="329" t="str">
        <f>IF($K$11&gt;0,$K$11,"")</f>
        <v>TT01</v>
      </c>
      <c r="AB11" s="330"/>
      <c r="AC11" s="324" t="s">
        <v>31</v>
      </c>
      <c r="AD11" s="73" t="str">
        <f>IF($N$11&gt;0,$N$11,"")</f>
        <v/>
      </c>
      <c r="AE11" s="74">
        <f>IF($O$11&gt;0,$O$11,"")</f>
        <v>5</v>
      </c>
      <c r="AF11" s="75" t="s">
        <v>32</v>
      </c>
      <c r="AG11" s="3"/>
      <c r="AH11" s="68" t="s">
        <v>27</v>
      </c>
      <c r="AI11" s="69"/>
      <c r="AJ11" s="70"/>
      <c r="AK11" s="24">
        <f>IF($E$11&gt;0,$E$11,"")</f>
        <v>1000</v>
      </c>
      <c r="AL11" s="24"/>
      <c r="AM11" s="72"/>
      <c r="AN11" s="333" t="s">
        <v>28</v>
      </c>
      <c r="AO11" s="333">
        <f>IF($I$11&gt;0,$I$11,"")</f>
        <v>1</v>
      </c>
      <c r="AP11" s="333" t="s">
        <v>29</v>
      </c>
      <c r="AQ11" s="329" t="str">
        <f>IF($K$11&gt;0,$K$11,"")</f>
        <v>TT01</v>
      </c>
      <c r="AR11" s="330"/>
      <c r="AS11" s="324" t="s">
        <v>31</v>
      </c>
      <c r="AT11" s="73" t="str">
        <f>IF($N$11&gt;0,$N$11,"")</f>
        <v/>
      </c>
      <c r="AU11" s="74">
        <f>IF($O$11&gt;0,$O$11,"")</f>
        <v>5</v>
      </c>
      <c r="AV11" s="75" t="s">
        <v>32</v>
      </c>
      <c r="AW11" s="3"/>
      <c r="AX11" s="68" t="s">
        <v>27</v>
      </c>
      <c r="AY11" s="69"/>
      <c r="AZ11" s="70"/>
      <c r="BA11" s="24">
        <f>IF($E$11&gt;0,$E$11,"")</f>
        <v>1000</v>
      </c>
      <c r="BB11" s="24"/>
      <c r="BC11" s="72"/>
      <c r="BD11" s="333" t="s">
        <v>28</v>
      </c>
      <c r="BE11" s="333">
        <f>IF($I$11&gt;0,$I$11,"")</f>
        <v>1</v>
      </c>
      <c r="BF11" s="333" t="s">
        <v>29</v>
      </c>
      <c r="BG11" s="329" t="str">
        <f>IF($K$11&gt;0,$K$11,"")</f>
        <v>TT01</v>
      </c>
      <c r="BH11" s="330"/>
      <c r="BI11" s="324" t="s">
        <v>31</v>
      </c>
      <c r="BJ11" s="73" t="str">
        <f>IF($N$11&gt;0,$N$11,"")</f>
        <v/>
      </c>
      <c r="BK11" s="74">
        <f>IF($O$11&gt;0,$O$11,"")</f>
        <v>5</v>
      </c>
      <c r="BL11" s="75" t="s">
        <v>32</v>
      </c>
      <c r="BM11" s="3"/>
      <c r="BN11" s="68" t="s">
        <v>27</v>
      </c>
      <c r="BO11" s="69"/>
      <c r="BP11" s="70"/>
      <c r="BQ11" s="24">
        <f>IF($E$11&gt;0,$E$11,"")</f>
        <v>1000</v>
      </c>
      <c r="BR11" s="24"/>
      <c r="BS11" s="72"/>
      <c r="BT11" s="333" t="s">
        <v>28</v>
      </c>
      <c r="BU11" s="333">
        <f>IF($I$11&gt;0,$I$11,"")</f>
        <v>1</v>
      </c>
      <c r="BV11" s="333" t="s">
        <v>29</v>
      </c>
      <c r="BW11" s="329" t="str">
        <f>IF($K$11&gt;0,$K$11,"")</f>
        <v>TT01</v>
      </c>
      <c r="BX11" s="330"/>
      <c r="BY11" s="324" t="s">
        <v>31</v>
      </c>
      <c r="BZ11" s="73" t="str">
        <f>IF($N$11&gt;0,$N$11,"")</f>
        <v/>
      </c>
      <c r="CA11" s="74">
        <f>IF($O$11&gt;0,$O$11,"")</f>
        <v>5</v>
      </c>
      <c r="CB11" s="75" t="s">
        <v>32</v>
      </c>
    </row>
    <row r="12" spans="2:80" ht="15" customHeight="1" thickBot="1" x14ac:dyDescent="0.3">
      <c r="B12" s="76" t="s">
        <v>33</v>
      </c>
      <c r="C12" s="77"/>
      <c r="D12" s="78"/>
      <c r="E12" s="79">
        <v>2000</v>
      </c>
      <c r="F12" s="80"/>
      <c r="G12" s="81"/>
      <c r="H12" s="334"/>
      <c r="I12" s="334"/>
      <c r="J12" s="334"/>
      <c r="K12" s="331"/>
      <c r="L12" s="332"/>
      <c r="M12" s="325"/>
      <c r="N12" s="82" t="str">
        <f>IF(GCS=10,"5+5",IF(GCS=16,"5+6+5",IF(GCS=18,"6+6+6","")))</f>
        <v/>
      </c>
      <c r="O12" s="83"/>
      <c r="P12" s="84"/>
      <c r="Q12" s="3"/>
      <c r="R12" s="76" t="s">
        <v>33</v>
      </c>
      <c r="S12" s="77"/>
      <c r="T12" s="78"/>
      <c r="U12" s="80">
        <f>IF($E$12&gt;0,$E$12,"")</f>
        <v>2000</v>
      </c>
      <c r="V12" s="80"/>
      <c r="W12" s="81"/>
      <c r="X12" s="334"/>
      <c r="Y12" s="334"/>
      <c r="Z12" s="334"/>
      <c r="AA12" s="331"/>
      <c r="AB12" s="332"/>
      <c r="AC12" s="325"/>
      <c r="AD12" s="82" t="str">
        <f>IF($N$12&gt;0,$N$12,"")</f>
        <v/>
      </c>
      <c r="AE12" s="85" t="str">
        <f>IF($O$12&gt;0,$O$12,"")</f>
        <v/>
      </c>
      <c r="AF12" s="84" t="s">
        <v>32</v>
      </c>
      <c r="AG12" s="3"/>
      <c r="AH12" s="76" t="s">
        <v>33</v>
      </c>
      <c r="AI12" s="77"/>
      <c r="AJ12" s="78"/>
      <c r="AK12" s="80">
        <f>IF($E$12&gt;0,$E$12,"")</f>
        <v>2000</v>
      </c>
      <c r="AL12" s="80"/>
      <c r="AM12" s="81"/>
      <c r="AN12" s="334"/>
      <c r="AO12" s="334"/>
      <c r="AP12" s="334"/>
      <c r="AQ12" s="331"/>
      <c r="AR12" s="332"/>
      <c r="AS12" s="325"/>
      <c r="AT12" s="82" t="str">
        <f>IF($N$12&gt;0,$N$12,"")</f>
        <v/>
      </c>
      <c r="AU12" s="85" t="str">
        <f>IF($O$12&gt;0,$O$12,"")</f>
        <v/>
      </c>
      <c r="AV12" s="84" t="s">
        <v>32</v>
      </c>
      <c r="AW12" s="3"/>
      <c r="AX12" s="76" t="s">
        <v>33</v>
      </c>
      <c r="AY12" s="77"/>
      <c r="AZ12" s="78"/>
      <c r="BA12" s="80">
        <f>IF($E$12&gt;0,$E$12,"")</f>
        <v>2000</v>
      </c>
      <c r="BB12" s="80"/>
      <c r="BC12" s="81"/>
      <c r="BD12" s="334"/>
      <c r="BE12" s="334"/>
      <c r="BF12" s="334"/>
      <c r="BG12" s="331"/>
      <c r="BH12" s="332"/>
      <c r="BI12" s="325"/>
      <c r="BJ12" s="82" t="str">
        <f>IF($N$12&gt;0,$N$12,"")</f>
        <v/>
      </c>
      <c r="BK12" s="85" t="str">
        <f>IF($O$12&gt;0,$O$12,"")</f>
        <v/>
      </c>
      <c r="BL12" s="84" t="s">
        <v>32</v>
      </c>
      <c r="BM12" s="3"/>
      <c r="BN12" s="76" t="s">
        <v>33</v>
      </c>
      <c r="BO12" s="77"/>
      <c r="BP12" s="78"/>
      <c r="BQ12" s="80">
        <f>IF($E$12&gt;0,$E$12,"")</f>
        <v>2000</v>
      </c>
      <c r="BR12" s="80"/>
      <c r="BS12" s="81"/>
      <c r="BT12" s="334"/>
      <c r="BU12" s="334"/>
      <c r="BV12" s="334"/>
      <c r="BW12" s="331"/>
      <c r="BX12" s="332"/>
      <c r="BY12" s="325"/>
      <c r="BZ12" s="82" t="str">
        <f>IF($N$12&gt;0,$N$12,"")</f>
        <v/>
      </c>
      <c r="CA12" s="85" t="str">
        <f>IF($O$12&gt;0,$O$12,"")</f>
        <v/>
      </c>
      <c r="CB12" s="84" t="s">
        <v>32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34</v>
      </c>
      <c r="C14" s="91">
        <v>300</v>
      </c>
      <c r="D14" s="92" t="s">
        <v>35</v>
      </c>
      <c r="E14" s="91"/>
      <c r="F14" s="10" t="s">
        <v>36</v>
      </c>
      <c r="G14" s="93"/>
      <c r="H14" s="94"/>
      <c r="I14" s="10" t="s">
        <v>37</v>
      </c>
      <c r="J14" s="94"/>
      <c r="K14" s="95" t="s">
        <v>38</v>
      </c>
      <c r="L14" s="96">
        <f>h.2-10</f>
        <v>1290</v>
      </c>
      <c r="M14" s="95" t="s">
        <v>39</v>
      </c>
      <c r="N14" s="97">
        <f>W-52</f>
        <v>948</v>
      </c>
      <c r="O14" s="98"/>
      <c r="P14" s="99"/>
      <c r="R14" s="90" t="s">
        <v>34</v>
      </c>
      <c r="S14" s="100">
        <f>IF($C$14&gt;0,$C$14,"")</f>
        <v>300</v>
      </c>
      <c r="T14" s="92" t="s">
        <v>35</v>
      </c>
      <c r="U14" s="100" t="str">
        <f>IF($E$14&gt;0,$E$14,"")</f>
        <v/>
      </c>
      <c r="V14" s="10" t="s">
        <v>36</v>
      </c>
      <c r="W14" s="93"/>
      <c r="X14" s="98" t="str">
        <f>IF($H$14&gt;0,$H$14,"")</f>
        <v/>
      </c>
      <c r="Y14" s="10" t="s">
        <v>37</v>
      </c>
      <c r="Z14" s="95" t="str">
        <f>IF($J$14&gt;0,$J$14,"")</f>
        <v/>
      </c>
      <c r="AA14" s="95" t="s">
        <v>38</v>
      </c>
      <c r="AB14" s="101">
        <f>IF($L$14&gt;0,$L$14,"")</f>
        <v>1290</v>
      </c>
      <c r="AC14" s="95" t="s">
        <v>39</v>
      </c>
      <c r="AD14" s="102">
        <f>IF($N$14&gt;0,$N$14,"")</f>
        <v>948</v>
      </c>
      <c r="AE14" s="98"/>
      <c r="AF14" s="99"/>
      <c r="AH14" s="90" t="s">
        <v>34</v>
      </c>
      <c r="AI14" s="100">
        <f>IF($C$14&gt;0,$C$14,"")</f>
        <v>300</v>
      </c>
      <c r="AJ14" s="92" t="s">
        <v>35</v>
      </c>
      <c r="AK14" s="100" t="str">
        <f>IF($E$14&gt;0,$E$14,"")</f>
        <v/>
      </c>
      <c r="AL14" s="10" t="s">
        <v>36</v>
      </c>
      <c r="AM14" s="93"/>
      <c r="AN14" s="98" t="str">
        <f>IF($H$14&gt;0,$H$14,"")</f>
        <v/>
      </c>
      <c r="AO14" s="10" t="s">
        <v>37</v>
      </c>
      <c r="AP14" s="95" t="str">
        <f>IF($J$14&gt;0,$J$14,"")</f>
        <v/>
      </c>
      <c r="AQ14" s="95" t="s">
        <v>38</v>
      </c>
      <c r="AR14" s="101">
        <f>IF($L$14&gt;0,$L$14,"")</f>
        <v>1290</v>
      </c>
      <c r="AS14" s="95" t="s">
        <v>39</v>
      </c>
      <c r="AT14" s="102">
        <f>IF($N$14&gt;0,$N$14,"")</f>
        <v>948</v>
      </c>
      <c r="AU14" s="98"/>
      <c r="AV14" s="99"/>
      <c r="AX14" s="90" t="s">
        <v>34</v>
      </c>
      <c r="AY14" s="100">
        <f>IF($C$14&gt;0,$C$14,"")</f>
        <v>300</v>
      </c>
      <c r="AZ14" s="92" t="s">
        <v>35</v>
      </c>
      <c r="BA14" s="100" t="str">
        <f>IF($E$14&gt;0,$E$14,"")</f>
        <v/>
      </c>
      <c r="BB14" s="10" t="s">
        <v>36</v>
      </c>
      <c r="BC14" s="93"/>
      <c r="BD14" s="98" t="str">
        <f>IF($H$14&gt;0,$H$14,"")</f>
        <v/>
      </c>
      <c r="BE14" s="10" t="s">
        <v>37</v>
      </c>
      <c r="BF14" s="95" t="str">
        <f>IF($J$14&gt;0,$J$14,"")</f>
        <v/>
      </c>
      <c r="BG14" s="95" t="s">
        <v>38</v>
      </c>
      <c r="BH14" s="101">
        <f>IF($L$14&gt;0,$L$14,"")</f>
        <v>1290</v>
      </c>
      <c r="BI14" s="95" t="s">
        <v>39</v>
      </c>
      <c r="BJ14" s="102">
        <f>IF($N$14&gt;0,$N$14,"")</f>
        <v>948</v>
      </c>
      <c r="BK14" s="98"/>
      <c r="BL14" s="99" t="str">
        <f>IF($P$14&gt;0,$P$14,"")</f>
        <v/>
      </c>
      <c r="BN14" s="90" t="s">
        <v>34</v>
      </c>
      <c r="BO14" s="100">
        <f>IF($C$14&gt;0,$C$14,"")</f>
        <v>300</v>
      </c>
      <c r="BP14" s="92" t="s">
        <v>35</v>
      </c>
      <c r="BQ14" s="100" t="str">
        <f>IF($E$14&gt;0,$E$14,"")</f>
        <v/>
      </c>
      <c r="BR14" s="10" t="s">
        <v>36</v>
      </c>
      <c r="BS14" s="93"/>
      <c r="BT14" s="98" t="str">
        <f>IF($H$14&gt;0,$H$14,"")</f>
        <v/>
      </c>
      <c r="BU14" s="10" t="s">
        <v>37</v>
      </c>
      <c r="BV14" s="95" t="str">
        <f>IF($J$14&gt;0,$J$14,"")</f>
        <v/>
      </c>
      <c r="BW14" s="95" t="s">
        <v>38</v>
      </c>
      <c r="BX14" s="101">
        <f>IF($L$14&gt;0,$L$14,"")</f>
        <v>1290</v>
      </c>
      <c r="BY14" s="95" t="s">
        <v>39</v>
      </c>
      <c r="BZ14" s="102">
        <f>IF($N$14&gt;0,$N$14,"")</f>
        <v>948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40</v>
      </c>
      <c r="C15" s="104">
        <v>1300</v>
      </c>
      <c r="D15" s="70" t="s">
        <v>41</v>
      </c>
      <c r="E15" s="104"/>
      <c r="F15" s="23" t="s">
        <v>42</v>
      </c>
      <c r="G15" s="105"/>
      <c r="H15" s="106"/>
      <c r="I15" s="23" t="s">
        <v>43</v>
      </c>
      <c r="J15" s="107"/>
      <c r="K15" s="108" t="s">
        <v>44</v>
      </c>
      <c r="L15" s="109"/>
      <c r="M15" s="108" t="s">
        <v>45</v>
      </c>
      <c r="N15" s="104"/>
      <c r="O15" s="108"/>
      <c r="P15" s="110"/>
      <c r="R15" s="103" t="s">
        <v>40</v>
      </c>
      <c r="S15" s="70">
        <f>IF($C$15&gt;0,$C$15,"")</f>
        <v>1300</v>
      </c>
      <c r="T15" s="70" t="s">
        <v>41</v>
      </c>
      <c r="U15" s="70" t="str">
        <f>IF($E$15&gt;0,$E$15,"")</f>
        <v/>
      </c>
      <c r="V15" s="23" t="s">
        <v>42</v>
      </c>
      <c r="W15" s="105"/>
      <c r="X15" s="111" t="str">
        <f>IF($H$15&gt;0,$H$15,"")</f>
        <v/>
      </c>
      <c r="Y15" s="23" t="s">
        <v>43</v>
      </c>
      <c r="Z15" s="108" t="str">
        <f>IF($J$15&gt;0,$J$15,"")</f>
        <v/>
      </c>
      <c r="AA15" s="108" t="s">
        <v>44</v>
      </c>
      <c r="AB15" s="112" t="str">
        <f>IF($L$15&gt;0,$L$15,"")</f>
        <v/>
      </c>
      <c r="AC15" s="108" t="s">
        <v>45</v>
      </c>
      <c r="AD15" s="70" t="str">
        <f>IF($N$15&gt;0,$N$15,"")</f>
        <v/>
      </c>
      <c r="AE15" s="108"/>
      <c r="AF15" s="110"/>
      <c r="AH15" s="103" t="s">
        <v>40</v>
      </c>
      <c r="AI15" s="70">
        <f>IF($C$15&gt;0,$C$15,"")</f>
        <v>1300</v>
      </c>
      <c r="AJ15" s="70" t="s">
        <v>41</v>
      </c>
      <c r="AK15" s="70" t="str">
        <f>IF($E$15&gt;0,$E$15,"")</f>
        <v/>
      </c>
      <c r="AL15" s="23" t="s">
        <v>42</v>
      </c>
      <c r="AM15" s="105"/>
      <c r="AN15" s="111" t="str">
        <f>IF($H$15&gt;0,$H$15,"")</f>
        <v/>
      </c>
      <c r="AO15" s="23" t="s">
        <v>43</v>
      </c>
      <c r="AP15" s="108" t="str">
        <f>IF($J$15&gt;0,$J$15,"")</f>
        <v/>
      </c>
      <c r="AQ15" s="108" t="s">
        <v>44</v>
      </c>
      <c r="AR15" s="112" t="str">
        <f>IF($L$15&gt;0,$L$15,"")</f>
        <v/>
      </c>
      <c r="AS15" s="108" t="s">
        <v>45</v>
      </c>
      <c r="AT15" s="70" t="str">
        <f>IF($N$15&gt;0,$N$15,"")</f>
        <v/>
      </c>
      <c r="AU15" s="108"/>
      <c r="AV15" s="110"/>
      <c r="AX15" s="103" t="s">
        <v>40</v>
      </c>
      <c r="AY15" s="70">
        <f>IF($C$15&gt;0,$C$15,"")</f>
        <v>1300</v>
      </c>
      <c r="AZ15" s="70" t="s">
        <v>41</v>
      </c>
      <c r="BA15" s="70" t="str">
        <f>IF($E$15&gt;0,$E$15,"")</f>
        <v/>
      </c>
      <c r="BB15" s="23" t="s">
        <v>42</v>
      </c>
      <c r="BC15" s="105"/>
      <c r="BD15" s="111" t="str">
        <f>IF($H$15&gt;0,$H$15,"")</f>
        <v/>
      </c>
      <c r="BE15" s="23" t="s">
        <v>43</v>
      </c>
      <c r="BF15" s="108" t="str">
        <f>IF($J$15&gt;0,$J$15,"")</f>
        <v/>
      </c>
      <c r="BG15" s="108" t="s">
        <v>44</v>
      </c>
      <c r="BH15" s="112" t="str">
        <f>IF($L$15&gt;0,$L$15,"")</f>
        <v/>
      </c>
      <c r="BI15" s="108" t="s">
        <v>45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40</v>
      </c>
      <c r="BO15" s="70">
        <f>IF($C$15&gt;0,$C$15,"")</f>
        <v>1300</v>
      </c>
      <c r="BP15" s="70" t="s">
        <v>41</v>
      </c>
      <c r="BQ15" s="70" t="str">
        <f>IF($E$15&gt;0,$E$15,"")</f>
        <v/>
      </c>
      <c r="BR15" s="23" t="s">
        <v>42</v>
      </c>
      <c r="BS15" s="105"/>
      <c r="BT15" s="111" t="str">
        <f>IF($H$15&gt;0,$H$15,"")</f>
        <v/>
      </c>
      <c r="BU15" s="23" t="s">
        <v>43</v>
      </c>
      <c r="BV15" s="108" t="str">
        <f>IF($J$15&gt;0,$J$15,"")</f>
        <v/>
      </c>
      <c r="BW15" s="108" t="s">
        <v>44</v>
      </c>
      <c r="BX15" s="112" t="str">
        <f>IF($L$15&gt;0,$L$15,"")</f>
        <v/>
      </c>
      <c r="BY15" s="108" t="s">
        <v>45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46</v>
      </c>
      <c r="C16" s="104">
        <f>H-h.1-h.2-80</f>
        <v>320</v>
      </c>
      <c r="D16" s="70" t="s">
        <v>47</v>
      </c>
      <c r="E16" s="104"/>
      <c r="F16" s="23" t="s">
        <v>48</v>
      </c>
      <c r="G16" s="105"/>
      <c r="H16" s="104"/>
      <c r="I16" s="23" t="s">
        <v>49</v>
      </c>
      <c r="J16" s="113"/>
      <c r="K16" s="108" t="s">
        <v>50</v>
      </c>
      <c r="L16" s="109"/>
      <c r="M16" s="108" t="s">
        <v>51</v>
      </c>
      <c r="N16" s="114"/>
      <c r="O16" s="115" t="s">
        <v>52</v>
      </c>
      <c r="P16" s="116"/>
      <c r="R16" s="103" t="s">
        <v>46</v>
      </c>
      <c r="S16" s="70">
        <f>IF($C$16&gt;0,$C$16,"")</f>
        <v>320</v>
      </c>
      <c r="T16" s="70" t="s">
        <v>47</v>
      </c>
      <c r="U16" s="70" t="str">
        <f>IF($E$16&gt;0,$E$16,"")</f>
        <v/>
      </c>
      <c r="V16" s="23" t="s">
        <v>48</v>
      </c>
      <c r="W16" s="105"/>
      <c r="X16" s="70" t="str">
        <f>IF($H$16&gt;0,$H$16,"")</f>
        <v/>
      </c>
      <c r="Y16" s="23" t="s">
        <v>49</v>
      </c>
      <c r="Z16" s="115" t="str">
        <f>IF($J$16&gt;0,$J$16,"")</f>
        <v/>
      </c>
      <c r="AA16" s="108" t="s">
        <v>50</v>
      </c>
      <c r="AB16" s="112" t="str">
        <f>IF($L$16&gt;0,$L$16,"")</f>
        <v/>
      </c>
      <c r="AC16" s="108" t="s">
        <v>51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46</v>
      </c>
      <c r="AI16" s="70">
        <f>IF($C$16&gt;0,$C$16,"")</f>
        <v>320</v>
      </c>
      <c r="AJ16" s="70" t="s">
        <v>47</v>
      </c>
      <c r="AK16" s="70" t="str">
        <f>IF($E$16&gt;0,$E$16,"")</f>
        <v/>
      </c>
      <c r="AL16" s="23" t="s">
        <v>48</v>
      </c>
      <c r="AM16" s="105"/>
      <c r="AN16" s="70" t="str">
        <f>IF($H$16&gt;0,$H$16,"")</f>
        <v/>
      </c>
      <c r="AO16" s="23" t="s">
        <v>49</v>
      </c>
      <c r="AP16" s="115" t="str">
        <f>IF($J$16&gt;0,$J$16,"")</f>
        <v/>
      </c>
      <c r="AQ16" s="108" t="s">
        <v>50</v>
      </c>
      <c r="AR16" s="112" t="str">
        <f>IF($L$16&gt;0,$L$16,"")</f>
        <v/>
      </c>
      <c r="AS16" s="108" t="s">
        <v>51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46</v>
      </c>
      <c r="AY16" s="70">
        <f>IF($C$16&gt;0,$C$16,"")</f>
        <v>320</v>
      </c>
      <c r="AZ16" s="70" t="s">
        <v>47</v>
      </c>
      <c r="BA16" s="70" t="str">
        <f>IF($E$16&gt;0,$E$16,"")</f>
        <v/>
      </c>
      <c r="BB16" s="23" t="s">
        <v>48</v>
      </c>
      <c r="BC16" s="105"/>
      <c r="BD16" s="70" t="str">
        <f>IF($H$16&gt;0,$H$16,"")</f>
        <v/>
      </c>
      <c r="BE16" s="23" t="s">
        <v>49</v>
      </c>
      <c r="BF16" s="115" t="str">
        <f>IF($J$16&gt;0,$J$16,"")</f>
        <v/>
      </c>
      <c r="BG16" s="108" t="s">
        <v>50</v>
      </c>
      <c r="BH16" s="112" t="str">
        <f>IF($L$16&gt;0,$L$16,"")</f>
        <v/>
      </c>
      <c r="BI16" s="108" t="s">
        <v>51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46</v>
      </c>
      <c r="BO16" s="70">
        <f>IF($C$16&gt;0,$C$16,"")</f>
        <v>320</v>
      </c>
      <c r="BP16" s="70" t="s">
        <v>47</v>
      </c>
      <c r="BQ16" s="70" t="str">
        <f>IF($E$16&gt;0,$E$16,"")</f>
        <v/>
      </c>
      <c r="BR16" s="23" t="s">
        <v>48</v>
      </c>
      <c r="BS16" s="105"/>
      <c r="BT16" s="70" t="str">
        <f>IF($H$16&gt;0,$H$16,"")</f>
        <v/>
      </c>
      <c r="BU16" s="23" t="s">
        <v>49</v>
      </c>
      <c r="BV16" s="115" t="str">
        <f>IF($J$16&gt;0,$J$16,"")</f>
        <v/>
      </c>
      <c r="BW16" s="108" t="s">
        <v>50</v>
      </c>
      <c r="BX16" s="112" t="str">
        <f>IF($L$16&gt;0,$L$16,"")</f>
        <v/>
      </c>
      <c r="BY16" s="108" t="s">
        <v>51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53</v>
      </c>
      <c r="C17" s="104"/>
      <c r="D17" s="70" t="s">
        <v>54</v>
      </c>
      <c r="E17" s="104"/>
      <c r="F17" s="23" t="s">
        <v>55</v>
      </c>
      <c r="G17" s="105"/>
      <c r="H17" s="104"/>
      <c r="I17" s="23" t="s">
        <v>56</v>
      </c>
      <c r="J17" s="113"/>
      <c r="K17" s="108" t="s">
        <v>57</v>
      </c>
      <c r="L17" s="118"/>
      <c r="M17" s="108" t="s">
        <v>58</v>
      </c>
      <c r="N17" s="114"/>
      <c r="O17" s="115" t="s">
        <v>59</v>
      </c>
      <c r="P17" s="116">
        <f>(HS.1/2)+h.1+45</f>
        <v>990</v>
      </c>
      <c r="R17" s="103" t="s">
        <v>53</v>
      </c>
      <c r="S17" s="70" t="str">
        <f>IF($C$17&gt;0,$C$17,"")</f>
        <v/>
      </c>
      <c r="T17" s="70" t="s">
        <v>54</v>
      </c>
      <c r="U17" s="70" t="str">
        <f>IF($E$17&gt;0,$E$17,"")</f>
        <v/>
      </c>
      <c r="V17" s="23" t="s">
        <v>55</v>
      </c>
      <c r="W17" s="105"/>
      <c r="X17" s="70" t="str">
        <f>IF($H$17&gt;0,$H$17,"")</f>
        <v/>
      </c>
      <c r="Y17" s="23" t="s">
        <v>56</v>
      </c>
      <c r="Z17" s="115" t="str">
        <f>IF($J$17&gt;0,$J$17,"")</f>
        <v/>
      </c>
      <c r="AA17" s="108" t="s">
        <v>57</v>
      </c>
      <c r="AB17" s="119" t="str">
        <f>IF($L$17&gt;0,$L$17,"")</f>
        <v/>
      </c>
      <c r="AC17" s="108" t="s">
        <v>58</v>
      </c>
      <c r="AD17" s="117" t="str">
        <f>IF($N$17&gt;0,$N$17,"")</f>
        <v/>
      </c>
      <c r="AE17" s="115"/>
      <c r="AF17" s="116">
        <f>IF($P$17&gt;0,$P$17,"")</f>
        <v>990</v>
      </c>
      <c r="AH17" s="103" t="s">
        <v>53</v>
      </c>
      <c r="AI17" s="70" t="str">
        <f>IF($C$17&gt;0,$C$17,"")</f>
        <v/>
      </c>
      <c r="AJ17" s="70" t="s">
        <v>54</v>
      </c>
      <c r="AK17" s="70" t="str">
        <f>IF($E$17&gt;0,$E$17,"")</f>
        <v/>
      </c>
      <c r="AL17" s="23" t="s">
        <v>55</v>
      </c>
      <c r="AM17" s="105"/>
      <c r="AN17" s="70" t="str">
        <f>IF($H$17&gt;0,$H$17,"")</f>
        <v/>
      </c>
      <c r="AO17" s="23" t="s">
        <v>56</v>
      </c>
      <c r="AP17" s="115" t="str">
        <f>IF($J$17&gt;0,$J$17,"")</f>
        <v/>
      </c>
      <c r="AQ17" s="108" t="s">
        <v>57</v>
      </c>
      <c r="AR17" s="119" t="str">
        <f>IF($L$17&gt;0,$L$17,"")</f>
        <v/>
      </c>
      <c r="AS17" s="108" t="s">
        <v>58</v>
      </c>
      <c r="AT17" s="117" t="str">
        <f>IF($N$17&gt;0,$N$17,"")</f>
        <v/>
      </c>
      <c r="AU17" s="115" t="s">
        <v>59</v>
      </c>
      <c r="AV17" s="116">
        <f>IF($P$17&gt;0,$P$17,"")</f>
        <v>990</v>
      </c>
      <c r="AX17" s="103" t="s">
        <v>53</v>
      </c>
      <c r="AY17" s="70" t="str">
        <f>IF($C$17&gt;0,$C$17,"")</f>
        <v/>
      </c>
      <c r="AZ17" s="70" t="s">
        <v>54</v>
      </c>
      <c r="BA17" s="70" t="str">
        <f>IF($E$17&gt;0,$E$17,"")</f>
        <v/>
      </c>
      <c r="BB17" s="23" t="s">
        <v>55</v>
      </c>
      <c r="BC17" s="105"/>
      <c r="BD17" s="70" t="str">
        <f>IF($H$17&gt;0,$H$17,"")</f>
        <v/>
      </c>
      <c r="BE17" s="23" t="s">
        <v>56</v>
      </c>
      <c r="BF17" s="115" t="str">
        <f>IF($J$17&gt;0,$J$17,"")</f>
        <v/>
      </c>
      <c r="BG17" s="108" t="s">
        <v>57</v>
      </c>
      <c r="BH17" s="119" t="str">
        <f>IF($L$17&gt;0,$L$17,"")</f>
        <v/>
      </c>
      <c r="BI17" s="108" t="s">
        <v>58</v>
      </c>
      <c r="BJ17" s="117" t="str">
        <f>IF($N$17&gt;0,$N$17,"")</f>
        <v/>
      </c>
      <c r="BK17" s="115" t="s">
        <v>59</v>
      </c>
      <c r="BL17" s="116">
        <f>IF($P$17&gt;0,$P$17,"")</f>
        <v>990</v>
      </c>
      <c r="BN17" s="103" t="s">
        <v>53</v>
      </c>
      <c r="BO17" s="70" t="str">
        <f>IF($C$17&gt;0,$C$17,"")</f>
        <v/>
      </c>
      <c r="BP17" s="70" t="s">
        <v>54</v>
      </c>
      <c r="BQ17" s="70" t="str">
        <f>IF($E$17&gt;0,$E$17,"")</f>
        <v/>
      </c>
      <c r="BR17" s="23" t="s">
        <v>55</v>
      </c>
      <c r="BS17" s="105"/>
      <c r="BT17" s="70" t="str">
        <f>IF($H$17&gt;0,$H$17,"")</f>
        <v/>
      </c>
      <c r="BU17" s="23" t="s">
        <v>56</v>
      </c>
      <c r="BV17" s="115" t="str">
        <f>IF($J$17&gt;0,$J$17,"")</f>
        <v/>
      </c>
      <c r="BW17" s="108" t="s">
        <v>57</v>
      </c>
      <c r="BX17" s="119" t="str">
        <f>IF($L$17&gt;0,$L$17,"")</f>
        <v/>
      </c>
      <c r="BY17" s="108" t="s">
        <v>58</v>
      </c>
      <c r="BZ17" s="117" t="str">
        <f>IF($N$17&gt;0,$N$17,"")</f>
        <v/>
      </c>
      <c r="CA17" s="115" t="s">
        <v>59</v>
      </c>
      <c r="CB17" s="116">
        <f>IF($P$17&gt;0,$P$17,"")</f>
        <v>990</v>
      </c>
    </row>
    <row r="18" spans="2:120" s="3" customFormat="1" ht="15" customHeight="1" thickBot="1" x14ac:dyDescent="0.3">
      <c r="B18" s="120" t="s">
        <v>60</v>
      </c>
      <c r="C18" s="121"/>
      <c r="D18" s="78" t="s">
        <v>61</v>
      </c>
      <c r="E18" s="121"/>
      <c r="F18" s="122" t="s">
        <v>62</v>
      </c>
      <c r="G18" s="123"/>
      <c r="H18" s="124"/>
      <c r="I18" s="122" t="s">
        <v>63</v>
      </c>
      <c r="J18" s="125"/>
      <c r="K18" s="82" t="s">
        <v>64</v>
      </c>
      <c r="L18" s="126"/>
      <c r="M18" s="82" t="s">
        <v>65</v>
      </c>
      <c r="N18" s="121"/>
      <c r="O18" s="82" t="s">
        <v>66</v>
      </c>
      <c r="P18" s="127"/>
      <c r="R18" s="120" t="s">
        <v>60</v>
      </c>
      <c r="S18" s="78" t="str">
        <f>IF($C$18&gt;0,$C$18,"")</f>
        <v/>
      </c>
      <c r="T18" s="78" t="s">
        <v>61</v>
      </c>
      <c r="U18" s="78" t="str">
        <f>IF($E$18&gt;0,$E$18,"")</f>
        <v/>
      </c>
      <c r="V18" s="122" t="s">
        <v>62</v>
      </c>
      <c r="W18" s="123"/>
      <c r="X18" s="128" t="str">
        <f>IF($H$18&gt;0,$H$18,"")</f>
        <v/>
      </c>
      <c r="Y18" s="122" t="s">
        <v>63</v>
      </c>
      <c r="Z18" s="82" t="str">
        <f>IF($J$18&gt;0,$J$18,"")</f>
        <v/>
      </c>
      <c r="AA18" s="82" t="s">
        <v>64</v>
      </c>
      <c r="AB18" s="129" t="str">
        <f>IF($L$18&gt;0,$L$18,"")</f>
        <v/>
      </c>
      <c r="AC18" s="82" t="s">
        <v>65</v>
      </c>
      <c r="AD18" s="78" t="str">
        <f>IF($N$18&gt;0,$N$18,"")</f>
        <v/>
      </c>
      <c r="AE18" s="128" t="s">
        <v>67</v>
      </c>
      <c r="AF18" s="127" t="str">
        <f>IF($P$18&gt;0,$P$18,"")</f>
        <v/>
      </c>
      <c r="AH18" s="120" t="s">
        <v>60</v>
      </c>
      <c r="AI18" s="78" t="str">
        <f>IF($C$18&gt;0,$C$18,"")</f>
        <v/>
      </c>
      <c r="AJ18" s="78" t="s">
        <v>61</v>
      </c>
      <c r="AK18" s="78" t="str">
        <f>IF($E$18&gt;0,$E$18,"")</f>
        <v/>
      </c>
      <c r="AL18" s="122" t="s">
        <v>62</v>
      </c>
      <c r="AM18" s="123"/>
      <c r="AN18" s="128" t="str">
        <f>IF($H$18&gt;0,$H$18,"")</f>
        <v/>
      </c>
      <c r="AO18" s="122" t="s">
        <v>63</v>
      </c>
      <c r="AP18" s="82" t="str">
        <f>IF($J$18&gt;0,$J$18,"")</f>
        <v/>
      </c>
      <c r="AQ18" s="82" t="s">
        <v>64</v>
      </c>
      <c r="AR18" s="129" t="str">
        <f>IF($L$18&gt;0,$L$18,"")</f>
        <v/>
      </c>
      <c r="AS18" s="82" t="s">
        <v>65</v>
      </c>
      <c r="AT18" s="78" t="str">
        <f>IF($N$18&gt;0,$N$18,"")</f>
        <v/>
      </c>
      <c r="AU18" s="128" t="s">
        <v>67</v>
      </c>
      <c r="AV18" s="127" t="str">
        <f>IF($P$18&gt;0,$P$18,"")</f>
        <v/>
      </c>
      <c r="AX18" s="120" t="s">
        <v>60</v>
      </c>
      <c r="AY18" s="78" t="str">
        <f>IF($C$18&gt;0,$C$18,"")</f>
        <v/>
      </c>
      <c r="AZ18" s="78" t="s">
        <v>61</v>
      </c>
      <c r="BA18" s="78" t="str">
        <f>IF($E$18&gt;0,$E$18,"")</f>
        <v/>
      </c>
      <c r="BB18" s="122" t="s">
        <v>62</v>
      </c>
      <c r="BC18" s="123"/>
      <c r="BD18" s="128" t="str">
        <f>IF($H$18&gt;0,$H$18,"")</f>
        <v/>
      </c>
      <c r="BE18" s="122" t="s">
        <v>63</v>
      </c>
      <c r="BF18" s="82" t="str">
        <f>IF($J$18&gt;0,$J$18,"")</f>
        <v/>
      </c>
      <c r="BG18" s="82" t="s">
        <v>64</v>
      </c>
      <c r="BH18" s="129" t="str">
        <f>IF($L$18&gt;0,$L$18,"")</f>
        <v/>
      </c>
      <c r="BI18" s="82" t="s">
        <v>65</v>
      </c>
      <c r="BJ18" s="78" t="str">
        <f>IF($N$18&gt;0,$N$18,"")</f>
        <v/>
      </c>
      <c r="BK18" s="128" t="s">
        <v>67</v>
      </c>
      <c r="BL18" s="127" t="str">
        <f>IF($P$18&gt;0,$P$18,"")</f>
        <v/>
      </c>
      <c r="BN18" s="120" t="s">
        <v>60</v>
      </c>
      <c r="BO18" s="78" t="str">
        <f>IF($C$18&gt;0,$C$18,"")</f>
        <v/>
      </c>
      <c r="BP18" s="78" t="s">
        <v>61</v>
      </c>
      <c r="BQ18" s="78" t="str">
        <f>IF($E$18&gt;0,$E$18,"")</f>
        <v/>
      </c>
      <c r="BR18" s="122" t="s">
        <v>62</v>
      </c>
      <c r="BS18" s="123"/>
      <c r="BT18" s="128" t="str">
        <f>IF($H$18&gt;0,$H$18,"")</f>
        <v/>
      </c>
      <c r="BU18" s="122" t="s">
        <v>63</v>
      </c>
      <c r="BV18" s="82" t="str">
        <f>IF($J$18&gt;0,$J$18,"")</f>
        <v/>
      </c>
      <c r="BW18" s="82" t="s">
        <v>64</v>
      </c>
      <c r="BX18" s="129" t="str">
        <f>IF($L$18&gt;0,$L$18,"")</f>
        <v/>
      </c>
      <c r="BY18" s="82" t="s">
        <v>65</v>
      </c>
      <c r="BZ18" s="78" t="str">
        <f>IF($N$18&gt;0,$N$18,"")</f>
        <v/>
      </c>
      <c r="CA18" s="128" t="s">
        <v>67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68</v>
      </c>
      <c r="C20" s="132"/>
      <c r="D20" s="133"/>
      <c r="E20" s="134" t="s">
        <v>69</v>
      </c>
      <c r="F20" s="132"/>
      <c r="G20" s="135"/>
      <c r="H20" s="136" t="s">
        <v>70</v>
      </c>
      <c r="I20" s="137" t="s">
        <v>71</v>
      </c>
      <c r="J20" s="138" t="s">
        <v>28</v>
      </c>
      <c r="K20" s="139" t="s">
        <v>72</v>
      </c>
      <c r="L20" s="140"/>
      <c r="M20" s="140"/>
      <c r="N20" s="140"/>
      <c r="O20" s="141" t="s">
        <v>73</v>
      </c>
      <c r="P20" s="142" t="s">
        <v>74</v>
      </c>
      <c r="Q20" s="3"/>
      <c r="R20" s="143" t="s">
        <v>68</v>
      </c>
      <c r="S20" s="144"/>
      <c r="T20" s="145" t="s">
        <v>29</v>
      </c>
      <c r="U20" s="146" t="s">
        <v>69</v>
      </c>
      <c r="V20" s="144"/>
      <c r="W20" s="147"/>
      <c r="X20" s="148" t="s">
        <v>70</v>
      </c>
      <c r="Y20" s="149" t="s">
        <v>71</v>
      </c>
      <c r="Z20" s="150" t="s">
        <v>28</v>
      </c>
      <c r="AA20" s="151" t="s">
        <v>72</v>
      </c>
      <c r="AB20" s="152"/>
      <c r="AC20" s="152"/>
      <c r="AD20" s="152"/>
      <c r="AE20" s="153" t="s">
        <v>73</v>
      </c>
      <c r="AF20" s="154" t="s">
        <v>74</v>
      </c>
      <c r="AG20" s="3"/>
      <c r="AH20" s="143" t="s">
        <v>68</v>
      </c>
      <c r="AI20" s="144"/>
      <c r="AJ20" s="145" t="s">
        <v>29</v>
      </c>
      <c r="AK20" s="146" t="s">
        <v>69</v>
      </c>
      <c r="AL20" s="144"/>
      <c r="AM20" s="147"/>
      <c r="AN20" s="148" t="s">
        <v>70</v>
      </c>
      <c r="AO20" s="149" t="s">
        <v>71</v>
      </c>
      <c r="AP20" s="150" t="s">
        <v>28</v>
      </c>
      <c r="AQ20" s="151" t="s">
        <v>72</v>
      </c>
      <c r="AR20" s="152"/>
      <c r="AS20" s="152"/>
      <c r="AT20" s="152"/>
      <c r="AU20" s="153" t="s">
        <v>73</v>
      </c>
      <c r="AV20" s="154" t="s">
        <v>74</v>
      </c>
      <c r="AW20" s="3"/>
      <c r="AX20" s="143" t="s">
        <v>68</v>
      </c>
      <c r="AY20" s="144"/>
      <c r="AZ20" s="145"/>
      <c r="BA20" s="151" t="s">
        <v>75</v>
      </c>
      <c r="BB20" s="152"/>
      <c r="BC20" s="155" t="s">
        <v>70</v>
      </c>
      <c r="BD20" s="148" t="s">
        <v>29</v>
      </c>
      <c r="BE20" s="149" t="s">
        <v>71</v>
      </c>
      <c r="BF20" s="150" t="s">
        <v>28</v>
      </c>
      <c r="BG20" s="151" t="s">
        <v>72</v>
      </c>
      <c r="BH20" s="152"/>
      <c r="BI20" s="152"/>
      <c r="BJ20" s="152"/>
      <c r="BK20" s="156"/>
      <c r="BL20" s="154" t="s">
        <v>76</v>
      </c>
      <c r="BM20" s="3"/>
      <c r="BN20" s="143" t="s">
        <v>68</v>
      </c>
      <c r="BO20" s="144"/>
      <c r="BP20" s="145"/>
      <c r="BQ20" s="151" t="s">
        <v>75</v>
      </c>
      <c r="BR20" s="152"/>
      <c r="BS20" s="155" t="s">
        <v>70</v>
      </c>
      <c r="BT20" s="148" t="s">
        <v>29</v>
      </c>
      <c r="BU20" s="149" t="s">
        <v>71</v>
      </c>
      <c r="BV20" s="150" t="s">
        <v>28</v>
      </c>
      <c r="BW20" s="151" t="s">
        <v>72</v>
      </c>
      <c r="BX20" s="152"/>
      <c r="BY20" s="152"/>
      <c r="BZ20" s="152"/>
      <c r="CA20" s="156"/>
      <c r="CB20" s="154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77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78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79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78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79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80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81</v>
      </c>
      <c r="S22" s="199"/>
      <c r="T22" s="200"/>
      <c r="U22" s="167" t="s">
        <v>82</v>
      </c>
      <c r="V22" s="168" t="str">
        <f t="shared" ref="V22:V47" si="0">IF(U22&gt;"","-","")</f>
        <v>-</v>
      </c>
      <c r="W22" s="201">
        <v>1</v>
      </c>
      <c r="X22" s="170">
        <f>W-41</f>
        <v>959</v>
      </c>
      <c r="Y22" s="171">
        <v>1</v>
      </c>
      <c r="Z22" s="172">
        <f t="shared" ref="Z22:Z47" si="1">IF(Y22&lt;0.1,"",Q*Y22)</f>
        <v>1</v>
      </c>
      <c r="AA22" s="202"/>
      <c r="AB22" s="174"/>
      <c r="AC22" s="175"/>
      <c r="AD22" s="176"/>
      <c r="AE22" s="177">
        <f t="shared" ref="AE22:AE47" si="2">IF(U22&gt;"",VLOOKUP(U22,MATERIAL_WEIGHT,2,FALSE),"")</f>
        <v>0.58399999999999996</v>
      </c>
      <c r="AF22" s="178">
        <f>IF(U22&gt;"",(AE22*X22*Z22)/1000,"")</f>
        <v>0.56005599999999989</v>
      </c>
      <c r="AG22" s="4"/>
      <c r="AH22" s="198" t="s">
        <v>83</v>
      </c>
      <c r="AI22" s="199"/>
      <c r="AJ22" s="203"/>
      <c r="AK22" s="167" t="s">
        <v>84</v>
      </c>
      <c r="AL22" s="168" t="str">
        <f t="shared" ref="AL22:AL47" si="3">IF(AK22&gt;"","-","")</f>
        <v>-</v>
      </c>
      <c r="AM22" s="201">
        <v>2</v>
      </c>
      <c r="AN22" s="170">
        <f>WS.1-32</f>
        <v>916</v>
      </c>
      <c r="AO22" s="171">
        <v>1</v>
      </c>
      <c r="AP22" s="172">
        <f t="shared" ref="AP22:AP47" si="4">IF(AO22&lt;0.1,"",Q*AO22)</f>
        <v>1</v>
      </c>
      <c r="AQ22" s="202"/>
      <c r="AR22" s="174"/>
      <c r="AS22" s="175" t="str">
        <f>IF(WS.1&lt;=448,"4K-14210",IF(WS.1&lt;=748,"4K-12285",IF(WS.1&lt;=848,"4K-12286",IF(WS.1&gt;848,"4K-15550","4K-15550"))))</f>
        <v>4K-15550</v>
      </c>
      <c r="AT22" s="176"/>
      <c r="AU22" s="177">
        <f t="shared" ref="AU22:AU38" si="5">IF(AK22&gt;"",VLOOKUP(AK22,MATERIAL_WEIGHT,2,FALSE),"")</f>
        <v>0.48299999999999998</v>
      </c>
      <c r="AV22" s="178">
        <f t="shared" ref="AV22:AV47" si="6">IF(AK22&gt;"",(AU22*AN22*AP22)/1000,"")</f>
        <v>0.44242799999999999</v>
      </c>
      <c r="AW22" s="4"/>
      <c r="AX22" s="198" t="s">
        <v>163</v>
      </c>
      <c r="AY22" s="199"/>
      <c r="AZ22" s="200"/>
      <c r="BA22" s="204" t="str">
        <f>IF(W&lt;=500,"4K-14210",IF(W&lt;=800,"4K-12285",IF(W&lt;=900,"4K-12286","4K-15550")))</f>
        <v>4K-15550</v>
      </c>
      <c r="BB22" s="168"/>
      <c r="BC22" s="180"/>
      <c r="BD22" s="181" t="s">
        <v>177</v>
      </c>
      <c r="BE22" s="171">
        <v>2</v>
      </c>
      <c r="BF22" s="172">
        <f t="shared" ref="BF22:BF60" si="7">IF(BE22="","",Q*BE22)</f>
        <v>2</v>
      </c>
      <c r="BG22" s="183"/>
      <c r="BH22" s="184"/>
      <c r="BI22" s="185"/>
      <c r="BJ22" s="186"/>
      <c r="BK22" s="205"/>
      <c r="BL22" s="188"/>
      <c r="BM22" s="4"/>
      <c r="BN22" s="198" t="s">
        <v>185</v>
      </c>
      <c r="BO22" s="199"/>
      <c r="BP22" s="200"/>
      <c r="BQ22" s="204" t="s">
        <v>85</v>
      </c>
      <c r="BR22" s="168"/>
      <c r="BS22" s="180"/>
      <c r="BT22" s="181" t="s">
        <v>187</v>
      </c>
      <c r="BU22" s="171">
        <v>1</v>
      </c>
      <c r="BV22" s="172">
        <f t="shared" ref="BV22:BV59" si="8">IF(BU22="","",Q*BU22)</f>
        <v>1</v>
      </c>
      <c r="BW22" s="183"/>
      <c r="BX22" s="184"/>
      <c r="BY22" s="185"/>
      <c r="BZ22" s="186"/>
      <c r="CA22" s="205"/>
      <c r="CB22" s="188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114</v>
      </c>
      <c r="S23" s="199"/>
      <c r="T23" s="200"/>
      <c r="U23" s="167" t="s">
        <v>110</v>
      </c>
      <c r="V23" s="168" t="str">
        <f t="shared" si="0"/>
        <v>-</v>
      </c>
      <c r="W23" s="201">
        <v>1</v>
      </c>
      <c r="X23" s="207">
        <f>h.3-36</f>
        <v>284</v>
      </c>
      <c r="Y23" s="171">
        <v>1</v>
      </c>
      <c r="Z23" s="172">
        <f t="shared" si="1"/>
        <v>1</v>
      </c>
      <c r="AA23" s="202"/>
      <c r="AB23" s="174"/>
      <c r="AC23" s="175"/>
      <c r="AD23" s="176"/>
      <c r="AE23" s="177">
        <f t="shared" si="2"/>
        <v>0.13900000000000001</v>
      </c>
      <c r="AF23" s="178">
        <f>IF(U23&gt;"",(AE23*X23*Z23)/1000,"")</f>
        <v>3.9476000000000004E-2</v>
      </c>
      <c r="AG23" s="4"/>
      <c r="AH23" s="198" t="s">
        <v>88</v>
      </c>
      <c r="AI23" s="199"/>
      <c r="AJ23" s="203"/>
      <c r="AK23" s="167" t="s">
        <v>84</v>
      </c>
      <c r="AL23" s="168" t="str">
        <f t="shared" si="3"/>
        <v>-</v>
      </c>
      <c r="AM23" s="201">
        <v>1</v>
      </c>
      <c r="AN23" s="207">
        <f>WS.1-32</f>
        <v>916</v>
      </c>
      <c r="AO23" s="182">
        <v>1</v>
      </c>
      <c r="AP23" s="172">
        <f t="shared" si="4"/>
        <v>1</v>
      </c>
      <c r="AQ23" s="202"/>
      <c r="AR23" s="174"/>
      <c r="AS23" s="175" t="str">
        <f>IF(WS.1&lt;=448,"4K-14210",IF(WS.1&lt;=748,"4K-12285",IF(WS.1&lt;=848,"4K-12286",IF(WS.1&gt;948,"4K-15550","4K-15550"))))</f>
        <v>4K-15550</v>
      </c>
      <c r="AT23" s="176"/>
      <c r="AU23" s="177">
        <f t="shared" si="5"/>
        <v>0.48299999999999998</v>
      </c>
      <c r="AV23" s="178">
        <f t="shared" si="6"/>
        <v>0.44242799999999999</v>
      </c>
      <c r="AW23" s="4"/>
      <c r="AX23" s="198" t="s">
        <v>164</v>
      </c>
      <c r="AY23" s="199"/>
      <c r="AZ23" s="200"/>
      <c r="BA23" s="167" t="s">
        <v>119</v>
      </c>
      <c r="BB23" s="168"/>
      <c r="BC23" s="180"/>
      <c r="BD23" s="181" t="s">
        <v>178</v>
      </c>
      <c r="BE23" s="171">
        <v>1</v>
      </c>
      <c r="BF23" s="172">
        <f t="shared" si="7"/>
        <v>1</v>
      </c>
      <c r="BG23" s="183"/>
      <c r="BH23" s="184"/>
      <c r="BI23" s="185"/>
      <c r="BJ23" s="186"/>
      <c r="BK23" s="205"/>
      <c r="BL23" s="188"/>
      <c r="BM23" s="4"/>
      <c r="BN23" s="198" t="s">
        <v>171</v>
      </c>
      <c r="BO23" s="199"/>
      <c r="BP23" s="200"/>
      <c r="BQ23" s="167" t="s">
        <v>176</v>
      </c>
      <c r="BR23" s="168"/>
      <c r="BS23" s="180"/>
      <c r="BT23" s="181" t="s">
        <v>178</v>
      </c>
      <c r="BU23" s="171">
        <f>IF(HS.1&gt;950,1,0)</f>
        <v>1</v>
      </c>
      <c r="BV23" s="172">
        <f t="shared" si="8"/>
        <v>1</v>
      </c>
      <c r="BW23" s="183" t="s">
        <v>7</v>
      </c>
      <c r="BX23" s="184" t="s">
        <v>7</v>
      </c>
      <c r="BY23" s="185"/>
      <c r="BZ23" s="186"/>
      <c r="CA23" s="205"/>
      <c r="CB23" s="188" t="s">
        <v>7</v>
      </c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118</v>
      </c>
      <c r="S24" s="199"/>
      <c r="T24" s="200"/>
      <c r="U24" s="167" t="s">
        <v>110</v>
      </c>
      <c r="V24" s="168" t="str">
        <f t="shared" si="0"/>
        <v>-</v>
      </c>
      <c r="W24" s="201">
        <v>2</v>
      </c>
      <c r="X24" s="207">
        <f>h.3-36</f>
        <v>284</v>
      </c>
      <c r="Y24" s="171">
        <v>1</v>
      </c>
      <c r="Z24" s="172">
        <f t="shared" si="1"/>
        <v>1</v>
      </c>
      <c r="AA24" s="202"/>
      <c r="AB24" s="174"/>
      <c r="AC24" s="175"/>
      <c r="AD24" s="176"/>
      <c r="AE24" s="177">
        <f t="shared" si="2"/>
        <v>0.13900000000000001</v>
      </c>
      <c r="AF24" s="178">
        <f t="shared" ref="AF24:AF47" si="9">IF(U24&gt;"",(AE24*X24*Z24)/1000,"")</f>
        <v>3.9476000000000004E-2</v>
      </c>
      <c r="AG24" s="4"/>
      <c r="AH24" s="198" t="s">
        <v>93</v>
      </c>
      <c r="AI24" s="199"/>
      <c r="AJ24" s="203"/>
      <c r="AK24" s="167" t="s">
        <v>94</v>
      </c>
      <c r="AL24" s="168" t="str">
        <f t="shared" si="3"/>
        <v>-</v>
      </c>
      <c r="AM24" s="201">
        <v>1</v>
      </c>
      <c r="AN24" s="207">
        <f>HS.1</f>
        <v>1290</v>
      </c>
      <c r="AO24" s="171">
        <v>1</v>
      </c>
      <c r="AP24" s="172">
        <f t="shared" si="4"/>
        <v>1</v>
      </c>
      <c r="AQ24" s="202"/>
      <c r="AR24" s="174"/>
      <c r="AS24" s="175"/>
      <c r="AT24" s="176"/>
      <c r="AU24" s="177">
        <f t="shared" si="5"/>
        <v>0.55700000000000005</v>
      </c>
      <c r="AV24" s="178">
        <f t="shared" si="6"/>
        <v>0.71853000000000011</v>
      </c>
      <c r="AW24" s="4"/>
      <c r="AX24" s="198" t="s">
        <v>164</v>
      </c>
      <c r="AY24" s="199"/>
      <c r="AZ24" s="200"/>
      <c r="BA24" s="167" t="s">
        <v>120</v>
      </c>
      <c r="BB24" s="168"/>
      <c r="BC24" s="180"/>
      <c r="BD24" s="181" t="s">
        <v>178</v>
      </c>
      <c r="BE24" s="171">
        <v>1</v>
      </c>
      <c r="BF24" s="172">
        <f t="shared" si="7"/>
        <v>1</v>
      </c>
      <c r="BG24" s="183"/>
      <c r="BH24" s="184"/>
      <c r="BI24" s="185"/>
      <c r="BJ24" s="186"/>
      <c r="BK24" s="187"/>
      <c r="BL24" s="188"/>
      <c r="BM24" s="4"/>
      <c r="BN24" s="198" t="s">
        <v>173</v>
      </c>
      <c r="BO24" s="199"/>
      <c r="BP24" s="200"/>
      <c r="BQ24" s="167" t="s">
        <v>90</v>
      </c>
      <c r="BR24" s="168"/>
      <c r="BS24" s="180"/>
      <c r="BT24" s="181" t="s">
        <v>178</v>
      </c>
      <c r="BU24" s="171">
        <v>2</v>
      </c>
      <c r="BV24" s="172">
        <f t="shared" si="8"/>
        <v>2</v>
      </c>
      <c r="BW24" s="183"/>
      <c r="BX24" s="184"/>
      <c r="BY24" s="185"/>
      <c r="BZ24" s="186"/>
      <c r="CA24" s="187"/>
      <c r="CB24" s="188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86</v>
      </c>
      <c r="S25" s="199"/>
      <c r="T25" s="200"/>
      <c r="U25" s="167" t="s">
        <v>87</v>
      </c>
      <c r="V25" s="168" t="str">
        <f t="shared" si="0"/>
        <v>-</v>
      </c>
      <c r="W25" s="201">
        <v>1</v>
      </c>
      <c r="X25" s="170">
        <f>W-41</f>
        <v>959</v>
      </c>
      <c r="Y25" s="171">
        <v>1</v>
      </c>
      <c r="Z25" s="172">
        <f t="shared" si="1"/>
        <v>1</v>
      </c>
      <c r="AA25" s="209"/>
      <c r="AB25" s="174"/>
      <c r="AC25" s="175"/>
      <c r="AD25" s="176"/>
      <c r="AE25" s="177">
        <f t="shared" si="2"/>
        <v>0.57099999999999995</v>
      </c>
      <c r="AF25" s="178">
        <f t="shared" si="9"/>
        <v>0.54758899999999999</v>
      </c>
      <c r="AG25" s="4"/>
      <c r="AH25" s="198" t="s">
        <v>99</v>
      </c>
      <c r="AI25" s="199"/>
      <c r="AJ25" s="203"/>
      <c r="AK25" s="167" t="s">
        <v>94</v>
      </c>
      <c r="AL25" s="168" t="str">
        <f t="shared" si="3"/>
        <v>-</v>
      </c>
      <c r="AM25" s="201">
        <v>3</v>
      </c>
      <c r="AN25" s="207">
        <f>HS.1</f>
        <v>1290</v>
      </c>
      <c r="AO25" s="171">
        <v>1</v>
      </c>
      <c r="AP25" s="172">
        <f t="shared" si="4"/>
        <v>1</v>
      </c>
      <c r="AQ25" s="209"/>
      <c r="AR25" s="174"/>
      <c r="AS25" s="175" t="str">
        <f>CONCATENATE("as = ",(HS.1/2))</f>
        <v>as = 645</v>
      </c>
      <c r="AT25" s="176"/>
      <c r="AU25" s="177">
        <f t="shared" si="5"/>
        <v>0.55700000000000005</v>
      </c>
      <c r="AV25" s="178">
        <f t="shared" si="6"/>
        <v>0.71853000000000011</v>
      </c>
      <c r="AW25" s="4"/>
      <c r="AX25" s="198" t="s">
        <v>165</v>
      </c>
      <c r="AY25" s="199"/>
      <c r="AZ25" s="200"/>
      <c r="BA25" s="167" t="s">
        <v>174</v>
      </c>
      <c r="BB25" s="168"/>
      <c r="BC25" s="180"/>
      <c r="BD25" s="181" t="s">
        <v>177</v>
      </c>
      <c r="BE25" s="171">
        <v>1</v>
      </c>
      <c r="BF25" s="172">
        <f t="shared" si="7"/>
        <v>1</v>
      </c>
      <c r="BG25" s="183"/>
      <c r="BH25" s="184"/>
      <c r="BI25" s="185"/>
      <c r="BJ25" s="186"/>
      <c r="BK25" s="187"/>
      <c r="BL25" s="188" t="s">
        <v>7</v>
      </c>
      <c r="BM25" s="4"/>
      <c r="BN25" s="198" t="s">
        <v>173</v>
      </c>
      <c r="BO25" s="199"/>
      <c r="BP25" s="200"/>
      <c r="BQ25" s="167" t="s">
        <v>97</v>
      </c>
      <c r="BR25" s="168"/>
      <c r="BS25" s="180"/>
      <c r="BT25" s="181" t="s">
        <v>178</v>
      </c>
      <c r="BU25" s="171">
        <v>2</v>
      </c>
      <c r="BV25" s="172">
        <f t="shared" si="8"/>
        <v>2</v>
      </c>
      <c r="BW25" s="183"/>
      <c r="BX25" s="184"/>
      <c r="BY25" s="185"/>
      <c r="BZ25" s="186"/>
      <c r="CA25" s="187"/>
      <c r="CB25" s="188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 t="s">
        <v>91</v>
      </c>
      <c r="S26" s="199"/>
      <c r="T26" s="200"/>
      <c r="U26" s="167" t="s">
        <v>92</v>
      </c>
      <c r="V26" s="168" t="str">
        <f t="shared" si="0"/>
        <v>-</v>
      </c>
      <c r="W26" s="201">
        <v>1</v>
      </c>
      <c r="X26" s="170">
        <f>W-41</f>
        <v>959</v>
      </c>
      <c r="Y26" s="171">
        <v>1</v>
      </c>
      <c r="Z26" s="172">
        <f t="shared" si="1"/>
        <v>1</v>
      </c>
      <c r="AA26" s="209"/>
      <c r="AB26" s="174"/>
      <c r="AC26" s="175"/>
      <c r="AD26" s="211"/>
      <c r="AE26" s="177">
        <f t="shared" si="2"/>
        <v>0.79900000000000004</v>
      </c>
      <c r="AF26" s="178">
        <f t="shared" si="9"/>
        <v>0.76624099999999995</v>
      </c>
      <c r="AG26" s="4"/>
      <c r="AH26" s="198" t="s">
        <v>104</v>
      </c>
      <c r="AI26" s="199"/>
      <c r="AJ26" s="203"/>
      <c r="AK26" s="167" t="s">
        <v>105</v>
      </c>
      <c r="AL26" s="168" t="str">
        <f t="shared" si="3"/>
        <v>-</v>
      </c>
      <c r="AM26" s="201">
        <v>0</v>
      </c>
      <c r="AN26" s="170">
        <f>WS.1-83</f>
        <v>865</v>
      </c>
      <c r="AO26" s="171">
        <v>2</v>
      </c>
      <c r="AP26" s="172">
        <f t="shared" si="4"/>
        <v>2</v>
      </c>
      <c r="AQ26" s="209"/>
      <c r="AR26" s="174"/>
      <c r="AS26" s="175"/>
      <c r="AT26" s="211"/>
      <c r="AU26" s="177">
        <f t="shared" si="5"/>
        <v>9.6000000000000002E-2</v>
      </c>
      <c r="AV26" s="178">
        <f t="shared" si="6"/>
        <v>0.16608000000000001</v>
      </c>
      <c r="AW26" s="4"/>
      <c r="AX26" s="198" t="s">
        <v>166</v>
      </c>
      <c r="AY26" s="199"/>
      <c r="AZ26" s="200"/>
      <c r="BA26" s="167" t="s">
        <v>121</v>
      </c>
      <c r="BB26" s="168"/>
      <c r="BC26" s="180"/>
      <c r="BD26" s="181" t="s">
        <v>177</v>
      </c>
      <c r="BE26" s="171">
        <f>IF(W&gt;500,8,6)</f>
        <v>8</v>
      </c>
      <c r="BF26" s="172">
        <f t="shared" si="7"/>
        <v>8</v>
      </c>
      <c r="BG26" s="183"/>
      <c r="BH26" s="184" t="s">
        <v>180</v>
      </c>
      <c r="BI26" s="185"/>
      <c r="BJ26" s="186"/>
      <c r="BK26" s="187"/>
      <c r="BL26" s="188"/>
      <c r="BM26" s="4"/>
      <c r="BN26" s="198" t="s">
        <v>169</v>
      </c>
      <c r="BO26" s="199"/>
      <c r="BP26" s="200"/>
      <c r="BQ26" s="167" t="s">
        <v>101</v>
      </c>
      <c r="BR26" s="168"/>
      <c r="BS26" s="180"/>
      <c r="BT26" s="181" t="s">
        <v>178</v>
      </c>
      <c r="BU26" s="171">
        <f>(((WS.1-66)*2)+((HS.1-84)*2))/1000</f>
        <v>4.1760000000000002</v>
      </c>
      <c r="BV26" s="172">
        <f t="shared" si="8"/>
        <v>4.1760000000000002</v>
      </c>
      <c r="BW26" s="183" t="s">
        <v>96</v>
      </c>
      <c r="BX26" s="184" t="s">
        <v>184</v>
      </c>
      <c r="BY26" s="185"/>
      <c r="BZ26" s="186"/>
      <c r="CA26" s="187"/>
      <c r="CB26" s="188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 t="s">
        <v>91</v>
      </c>
      <c r="S27" s="199"/>
      <c r="T27" s="200"/>
      <c r="U27" s="167" t="s">
        <v>98</v>
      </c>
      <c r="V27" s="168" t="str">
        <f t="shared" si="0"/>
        <v>-</v>
      </c>
      <c r="W27" s="201">
        <v>2</v>
      </c>
      <c r="X27" s="170">
        <f>W-41</f>
        <v>959</v>
      </c>
      <c r="Y27" s="171">
        <v>1</v>
      </c>
      <c r="Z27" s="172">
        <f t="shared" si="1"/>
        <v>1</v>
      </c>
      <c r="AA27" s="209"/>
      <c r="AB27" s="174"/>
      <c r="AC27" s="175"/>
      <c r="AD27" s="211"/>
      <c r="AE27" s="177">
        <f t="shared" si="2"/>
        <v>0.89500000000000002</v>
      </c>
      <c r="AF27" s="178">
        <f t="shared" si="9"/>
        <v>0.8583050000000001</v>
      </c>
      <c r="AG27" s="4"/>
      <c r="AH27" s="198" t="s">
        <v>104</v>
      </c>
      <c r="AI27" s="199"/>
      <c r="AJ27" s="203"/>
      <c r="AK27" s="167" t="s">
        <v>105</v>
      </c>
      <c r="AL27" s="168" t="str">
        <f t="shared" si="3"/>
        <v>-</v>
      </c>
      <c r="AM27" s="201">
        <v>0</v>
      </c>
      <c r="AN27" s="170">
        <f>HS.1-84</f>
        <v>1206</v>
      </c>
      <c r="AO27" s="171">
        <v>2</v>
      </c>
      <c r="AP27" s="172">
        <f t="shared" si="4"/>
        <v>2</v>
      </c>
      <c r="AQ27" s="209"/>
      <c r="AR27" s="174"/>
      <c r="AS27" s="175"/>
      <c r="AT27" s="211"/>
      <c r="AU27" s="177">
        <f t="shared" si="5"/>
        <v>9.6000000000000002E-2</v>
      </c>
      <c r="AV27" s="178">
        <f t="shared" si="6"/>
        <v>0.23155199999999998</v>
      </c>
      <c r="AW27" s="4"/>
      <c r="AX27" s="198" t="s">
        <v>166</v>
      </c>
      <c r="AY27" s="199"/>
      <c r="AZ27" s="200"/>
      <c r="BA27" s="167" t="s">
        <v>175</v>
      </c>
      <c r="BB27" s="168"/>
      <c r="BC27" s="180"/>
      <c r="BD27" s="181" t="s">
        <v>177</v>
      </c>
      <c r="BE27" s="171">
        <f>IF(h.2&gt;960,2,0)</f>
        <v>2</v>
      </c>
      <c r="BF27" s="172">
        <f t="shared" si="7"/>
        <v>2</v>
      </c>
      <c r="BG27" s="212"/>
      <c r="BH27" s="184" t="s">
        <v>181</v>
      </c>
      <c r="BI27" s="185"/>
      <c r="BJ27" s="186"/>
      <c r="BK27" s="187"/>
      <c r="BL27" s="188"/>
      <c r="BM27" s="4"/>
      <c r="BN27" s="198" t="s">
        <v>186</v>
      </c>
      <c r="BO27" s="199"/>
      <c r="BP27" s="200"/>
      <c r="BQ27" s="167" t="s">
        <v>106</v>
      </c>
      <c r="BR27" s="168"/>
      <c r="BS27" s="180"/>
      <c r="BT27" s="181" t="s">
        <v>178</v>
      </c>
      <c r="BU27" s="171">
        <f>(HS.1*2)/1000</f>
        <v>2.58</v>
      </c>
      <c r="BV27" s="172">
        <f t="shared" si="8"/>
        <v>2.58</v>
      </c>
      <c r="BW27" s="212" t="s">
        <v>96</v>
      </c>
      <c r="BX27" s="184"/>
      <c r="BY27" s="185"/>
      <c r="BZ27" s="186"/>
      <c r="CA27" s="187"/>
      <c r="CB27" s="188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 t="s">
        <v>102</v>
      </c>
      <c r="S28" s="214"/>
      <c r="T28" s="215"/>
      <c r="U28" s="167" t="s">
        <v>103</v>
      </c>
      <c r="V28" s="168" t="str">
        <f t="shared" si="0"/>
        <v>-</v>
      </c>
      <c r="W28" s="201">
        <v>23</v>
      </c>
      <c r="X28" s="170">
        <f>H</f>
        <v>2000</v>
      </c>
      <c r="Y28" s="171">
        <v>2</v>
      </c>
      <c r="Z28" s="172">
        <f t="shared" si="1"/>
        <v>2</v>
      </c>
      <c r="AA28" s="209"/>
      <c r="AB28" s="174" t="str">
        <f>CONCATENATE("H1+H2/2+40 = ",(h.1+(h.2/2)+40))</f>
        <v>H1+H2/2+40 = 990</v>
      </c>
      <c r="AC28" s="175"/>
      <c r="AD28" s="211"/>
      <c r="AE28" s="177">
        <f t="shared" si="2"/>
        <v>0.57399999999999995</v>
      </c>
      <c r="AF28" s="178">
        <f t="shared" si="9"/>
        <v>2.2959999999999998</v>
      </c>
      <c r="AG28" s="4"/>
      <c r="AH28" s="213"/>
      <c r="AI28" s="214"/>
      <c r="AJ28" s="216"/>
      <c r="AK28" s="167"/>
      <c r="AL28" s="168" t="str">
        <f t="shared" si="3"/>
        <v/>
      </c>
      <c r="AM28" s="201"/>
      <c r="AN28" s="170"/>
      <c r="AO28" s="171"/>
      <c r="AP28" s="172" t="str">
        <f t="shared" si="4"/>
        <v/>
      </c>
      <c r="AQ28" s="209"/>
      <c r="AR28" s="174"/>
      <c r="AS28" s="175"/>
      <c r="AT28" s="211"/>
      <c r="AU28" s="177" t="str">
        <f t="shared" si="5"/>
        <v/>
      </c>
      <c r="AV28" s="178" t="str">
        <f t="shared" si="6"/>
        <v/>
      </c>
      <c r="AW28" s="4"/>
      <c r="AX28" s="198" t="s">
        <v>166</v>
      </c>
      <c r="AY28" s="199"/>
      <c r="AZ28" s="200"/>
      <c r="BA28" s="167" t="s">
        <v>122</v>
      </c>
      <c r="BB28" s="168"/>
      <c r="BC28" s="180"/>
      <c r="BD28" s="181" t="s">
        <v>177</v>
      </c>
      <c r="BE28" s="171">
        <v>4</v>
      </c>
      <c r="BF28" s="172">
        <f t="shared" si="7"/>
        <v>4</v>
      </c>
      <c r="BG28" s="183"/>
      <c r="BH28" s="184" t="s">
        <v>123</v>
      </c>
      <c r="BI28" s="185"/>
      <c r="BJ28" s="186"/>
      <c r="BK28" s="187"/>
      <c r="BL28" s="188"/>
      <c r="BM28" s="4"/>
      <c r="BN28" s="198" t="s">
        <v>166</v>
      </c>
      <c r="BO28" s="199"/>
      <c r="BP28" s="200"/>
      <c r="BQ28" s="167" t="s">
        <v>108</v>
      </c>
      <c r="BR28" s="168"/>
      <c r="BS28" s="180"/>
      <c r="BT28" s="181" t="s">
        <v>177</v>
      </c>
      <c r="BU28" s="171">
        <v>2</v>
      </c>
      <c r="BV28" s="172">
        <f t="shared" si="8"/>
        <v>2</v>
      </c>
      <c r="BW28" s="183"/>
      <c r="BX28" s="184" t="s">
        <v>109</v>
      </c>
      <c r="BY28" s="185"/>
      <c r="BZ28" s="186"/>
      <c r="CA28" s="187"/>
      <c r="CB28" s="188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 t="s">
        <v>107</v>
      </c>
      <c r="S29" s="214"/>
      <c r="T29" s="215"/>
      <c r="U29" s="217" t="s">
        <v>103</v>
      </c>
      <c r="V29" s="168" t="str">
        <f t="shared" si="0"/>
        <v>-</v>
      </c>
      <c r="W29" s="218">
        <v>20</v>
      </c>
      <c r="X29" s="170">
        <f>H</f>
        <v>2000</v>
      </c>
      <c r="Y29" s="219">
        <v>1</v>
      </c>
      <c r="Z29" s="172">
        <f t="shared" si="1"/>
        <v>1</v>
      </c>
      <c r="AA29" s="220"/>
      <c r="AB29" s="174" t="str">
        <f>CONCATENATE("a = ",(h.1+(h.2/2)+40))</f>
        <v>a = 990</v>
      </c>
      <c r="AC29" s="175"/>
      <c r="AD29" s="211"/>
      <c r="AE29" s="177">
        <f t="shared" si="2"/>
        <v>0.57399999999999995</v>
      </c>
      <c r="AF29" s="178">
        <f t="shared" si="9"/>
        <v>1.1479999999999999</v>
      </c>
      <c r="AG29" s="4"/>
      <c r="AH29" s="213"/>
      <c r="AI29" s="214"/>
      <c r="AJ29" s="216"/>
      <c r="AK29" s="217"/>
      <c r="AL29" s="168" t="str">
        <f t="shared" si="3"/>
        <v/>
      </c>
      <c r="AM29" s="218"/>
      <c r="AN29" s="170"/>
      <c r="AO29" s="219"/>
      <c r="AP29" s="221" t="str">
        <f t="shared" si="4"/>
        <v/>
      </c>
      <c r="AQ29" s="220"/>
      <c r="AR29" s="174"/>
      <c r="AS29" s="175"/>
      <c r="AT29" s="211"/>
      <c r="AU29" s="177" t="str">
        <f t="shared" si="5"/>
        <v/>
      </c>
      <c r="AV29" s="178" t="str">
        <f t="shared" si="6"/>
        <v/>
      </c>
      <c r="AW29" s="4"/>
      <c r="AX29" s="198" t="s">
        <v>166</v>
      </c>
      <c r="AY29" s="199"/>
      <c r="AZ29" s="200"/>
      <c r="BA29" s="167" t="s">
        <v>116</v>
      </c>
      <c r="BB29" s="168"/>
      <c r="BC29" s="180"/>
      <c r="BD29" s="181" t="s">
        <v>177</v>
      </c>
      <c r="BE29" s="171">
        <v>16</v>
      </c>
      <c r="BF29" s="172">
        <f t="shared" si="7"/>
        <v>16</v>
      </c>
      <c r="BG29" s="183"/>
      <c r="BH29" s="184" t="s">
        <v>117</v>
      </c>
      <c r="BI29" s="185"/>
      <c r="BJ29" s="186"/>
      <c r="BK29" s="187"/>
      <c r="BL29" s="188" t="s">
        <v>113</v>
      </c>
      <c r="BM29" s="4"/>
      <c r="BN29" s="198" t="s">
        <v>166</v>
      </c>
      <c r="BO29" s="199"/>
      <c r="BP29" s="200"/>
      <c r="BQ29" s="167" t="s">
        <v>175</v>
      </c>
      <c r="BR29" s="168"/>
      <c r="BS29" s="180"/>
      <c r="BT29" s="181" t="s">
        <v>177</v>
      </c>
      <c r="BU29" s="171">
        <f>IF(HS.1&gt;950,2,0)</f>
        <v>2</v>
      </c>
      <c r="BV29" s="172">
        <f t="shared" si="8"/>
        <v>2</v>
      </c>
      <c r="BW29" s="183"/>
      <c r="BX29" s="184" t="s">
        <v>181</v>
      </c>
      <c r="BY29" s="185"/>
      <c r="BZ29" s="186"/>
      <c r="CA29" s="187"/>
      <c r="CB29" s="188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 t="s">
        <v>104</v>
      </c>
      <c r="S30" s="199"/>
      <c r="T30" s="200"/>
      <c r="U30" s="167" t="s">
        <v>110</v>
      </c>
      <c r="V30" s="168" t="str">
        <f t="shared" si="0"/>
        <v>-</v>
      </c>
      <c r="W30" s="169">
        <v>0</v>
      </c>
      <c r="X30" s="170">
        <f>W-76</f>
        <v>924</v>
      </c>
      <c r="Y30" s="171">
        <v>1</v>
      </c>
      <c r="Z30" s="172">
        <f t="shared" si="1"/>
        <v>1</v>
      </c>
      <c r="AA30" s="220"/>
      <c r="AB30" s="174"/>
      <c r="AC30" s="175"/>
      <c r="AD30" s="176"/>
      <c r="AE30" s="177">
        <f t="shared" si="2"/>
        <v>0.13900000000000001</v>
      </c>
      <c r="AF30" s="178">
        <f t="shared" si="9"/>
        <v>0.12843599999999999</v>
      </c>
      <c r="AG30" s="4"/>
      <c r="AH30" s="198"/>
      <c r="AI30" s="199"/>
      <c r="AJ30" s="203"/>
      <c r="AK30" s="167"/>
      <c r="AL30" s="168"/>
      <c r="AM30" s="201"/>
      <c r="AN30" s="170"/>
      <c r="AO30" s="171"/>
      <c r="AP30" s="172"/>
      <c r="AQ30" s="202"/>
      <c r="AR30" s="174"/>
      <c r="AS30" s="175"/>
      <c r="AT30" s="176"/>
      <c r="AU30" s="177"/>
      <c r="AV30" s="178"/>
      <c r="AW30" s="4"/>
      <c r="AX30" s="198" t="s">
        <v>167</v>
      </c>
      <c r="AY30" s="199"/>
      <c r="AZ30" s="200"/>
      <c r="BA30" s="167" t="s">
        <v>124</v>
      </c>
      <c r="BB30" s="168"/>
      <c r="BC30" s="180"/>
      <c r="BD30" s="181" t="s">
        <v>177</v>
      </c>
      <c r="BE30" s="171">
        <v>1</v>
      </c>
      <c r="BF30" s="172">
        <f t="shared" si="7"/>
        <v>1</v>
      </c>
      <c r="BG30" s="183"/>
      <c r="BH30" s="184"/>
      <c r="BI30" s="185"/>
      <c r="BJ30" s="186"/>
      <c r="BK30" s="187"/>
      <c r="BL30" s="188" t="s">
        <v>113</v>
      </c>
      <c r="BM30" s="4"/>
      <c r="BN30" s="198" t="s">
        <v>166</v>
      </c>
      <c r="BO30" s="199"/>
      <c r="BP30" s="200"/>
      <c r="BQ30" s="167" t="s">
        <v>112</v>
      </c>
      <c r="BR30" s="168"/>
      <c r="BS30" s="180"/>
      <c r="BT30" s="181" t="s">
        <v>177</v>
      </c>
      <c r="BU30" s="171">
        <v>8</v>
      </c>
      <c r="BV30" s="172">
        <f t="shared" si="8"/>
        <v>8</v>
      </c>
      <c r="BW30" s="183"/>
      <c r="BX30" s="184" t="s">
        <v>180</v>
      </c>
      <c r="BY30" s="185"/>
      <c r="BZ30" s="186"/>
      <c r="CA30" s="187"/>
      <c r="CB30" s="188" t="s">
        <v>113</v>
      </c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 t="s">
        <v>114</v>
      </c>
      <c r="S31" s="199"/>
      <c r="T31" s="200"/>
      <c r="U31" s="167" t="s">
        <v>110</v>
      </c>
      <c r="V31" s="168" t="str">
        <f t="shared" si="0"/>
        <v>-</v>
      </c>
      <c r="W31" s="222">
        <v>1</v>
      </c>
      <c r="X31" s="170">
        <f>h.1-36</f>
        <v>264</v>
      </c>
      <c r="Y31" s="171">
        <v>1</v>
      </c>
      <c r="Z31" s="172">
        <f t="shared" si="1"/>
        <v>1</v>
      </c>
      <c r="AA31" s="220"/>
      <c r="AB31" s="174"/>
      <c r="AC31" s="175"/>
      <c r="AD31" s="211"/>
      <c r="AE31" s="177">
        <f t="shared" si="2"/>
        <v>0.13900000000000001</v>
      </c>
      <c r="AF31" s="178">
        <f t="shared" si="9"/>
        <v>3.6696000000000006E-2</v>
      </c>
      <c r="AG31" s="4"/>
      <c r="AH31" s="198"/>
      <c r="AI31" s="199"/>
      <c r="AJ31" s="203"/>
      <c r="AK31" s="167"/>
      <c r="AL31" s="168"/>
      <c r="AM31" s="201"/>
      <c r="AN31" s="207"/>
      <c r="AO31" s="182"/>
      <c r="AP31" s="172"/>
      <c r="AQ31" s="202"/>
      <c r="AR31" s="174"/>
      <c r="AS31" s="175"/>
      <c r="AT31" s="176"/>
      <c r="AU31" s="177"/>
      <c r="AV31" s="178"/>
      <c r="AW31" s="4"/>
      <c r="AX31" s="198" t="s">
        <v>168</v>
      </c>
      <c r="AY31" s="199"/>
      <c r="AZ31" s="200"/>
      <c r="BA31" s="167" t="s">
        <v>125</v>
      </c>
      <c r="BB31" s="168"/>
      <c r="BC31" s="180"/>
      <c r="BD31" s="181" t="s">
        <v>179</v>
      </c>
      <c r="BE31" s="171">
        <f>IF(h.2&lt;=780,2,IF(h.2&lt;=1160,3,IF(h.2&lt;=1960,5,5)))+IF(h.2&lt;=710,2,IF(h.2&lt;=1210,3,IF(h.2&lt;=1710,4,IF(h.2&gt;1710,5,5))))+IF(W&gt;500,3,2)</f>
        <v>12</v>
      </c>
      <c r="BF31" s="172">
        <f t="shared" si="7"/>
        <v>12</v>
      </c>
      <c r="BG31" s="183"/>
      <c r="BH31" s="184" t="s">
        <v>182</v>
      </c>
      <c r="BI31" s="185"/>
      <c r="BJ31" s="186"/>
      <c r="BK31" s="187"/>
      <c r="BL31" s="188" t="s">
        <v>113</v>
      </c>
      <c r="BM31" s="4"/>
      <c r="BN31" s="198" t="s">
        <v>169</v>
      </c>
      <c r="BO31" s="199"/>
      <c r="BP31" s="200"/>
      <c r="BQ31" s="167" t="str">
        <f>IF(GTH=5,"9K-20523",IF(GTH=6,"2K-22973",IF(GTH=8,"2K-22975","")))</f>
        <v>9K-20523</v>
      </c>
      <c r="BR31" s="168"/>
      <c r="BS31" s="180"/>
      <c r="BT31" s="181" t="s">
        <v>178</v>
      </c>
      <c r="BU31" s="171">
        <f>((2*WS.1)+(2*HS.1)-216)/1000</f>
        <v>4.26</v>
      </c>
      <c r="BV31" s="172">
        <f t="shared" si="8"/>
        <v>4.26</v>
      </c>
      <c r="BW31" s="183" t="s">
        <v>96</v>
      </c>
      <c r="BX31" s="184" t="s">
        <v>183</v>
      </c>
      <c r="BY31" s="185"/>
      <c r="BZ31" s="186"/>
      <c r="CA31" s="187"/>
      <c r="CB31" s="188" t="s">
        <v>113</v>
      </c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 t="s">
        <v>118</v>
      </c>
      <c r="S32" s="199"/>
      <c r="T32" s="200"/>
      <c r="U32" s="167" t="s">
        <v>110</v>
      </c>
      <c r="V32" s="168" t="str">
        <f t="shared" si="0"/>
        <v>-</v>
      </c>
      <c r="W32" s="169">
        <v>2</v>
      </c>
      <c r="X32" s="170">
        <f>h.1-36</f>
        <v>264</v>
      </c>
      <c r="Y32" s="171">
        <v>1</v>
      </c>
      <c r="Z32" s="172">
        <f t="shared" si="1"/>
        <v>1</v>
      </c>
      <c r="AA32" s="220"/>
      <c r="AB32" s="174"/>
      <c r="AC32" s="175"/>
      <c r="AD32" s="211"/>
      <c r="AE32" s="177">
        <f t="shared" si="2"/>
        <v>0.13900000000000001</v>
      </c>
      <c r="AF32" s="178">
        <f t="shared" si="9"/>
        <v>3.6696000000000006E-2</v>
      </c>
      <c r="AG32" s="4"/>
      <c r="AH32" s="198"/>
      <c r="AI32" s="199"/>
      <c r="AJ32" s="203"/>
      <c r="AK32" s="167"/>
      <c r="AL32" s="168"/>
      <c r="AM32" s="201"/>
      <c r="AN32" s="207"/>
      <c r="AO32" s="171"/>
      <c r="AP32" s="172"/>
      <c r="AQ32" s="202"/>
      <c r="AR32" s="174"/>
      <c r="AS32" s="175"/>
      <c r="AT32" s="176"/>
      <c r="AU32" s="177"/>
      <c r="AV32" s="178"/>
      <c r="AW32" s="4"/>
      <c r="AX32" s="198" t="s">
        <v>169</v>
      </c>
      <c r="AY32" s="199"/>
      <c r="AZ32" s="200"/>
      <c r="BA32" s="167" t="str">
        <f>IF(GTH=5,"9K-20523",IF(GTH=6,"2K-22973",IF(GTH=8,"2K-22975","")))</f>
        <v>9K-20523</v>
      </c>
      <c r="BB32" s="168"/>
      <c r="BC32" s="180"/>
      <c r="BD32" s="181" t="s">
        <v>178</v>
      </c>
      <c r="BE32" s="171">
        <f>((4*W)+((h.1+h.3)*2)-136)/1000</f>
        <v>5.1040000000000001</v>
      </c>
      <c r="BF32" s="172">
        <f t="shared" si="7"/>
        <v>5.1040000000000001</v>
      </c>
      <c r="BG32" s="183" t="s">
        <v>96</v>
      </c>
      <c r="BH32" s="184" t="s">
        <v>183</v>
      </c>
      <c r="BI32" s="185"/>
      <c r="BJ32" s="186"/>
      <c r="BK32" s="187"/>
      <c r="BL32" s="188" t="s">
        <v>113</v>
      </c>
      <c r="BM32" s="4"/>
      <c r="BN32" s="198" t="s">
        <v>166</v>
      </c>
      <c r="BO32" s="199"/>
      <c r="BP32" s="200"/>
      <c r="BQ32" s="167" t="s">
        <v>116</v>
      </c>
      <c r="BR32" s="168"/>
      <c r="BS32" s="180"/>
      <c r="BT32" s="181" t="s">
        <v>177</v>
      </c>
      <c r="BU32" s="171">
        <v>8</v>
      </c>
      <c r="BV32" s="172">
        <f t="shared" si="8"/>
        <v>8</v>
      </c>
      <c r="BW32" s="183"/>
      <c r="BX32" s="184" t="s">
        <v>117</v>
      </c>
      <c r="BY32" s="185"/>
      <c r="BZ32" s="186"/>
      <c r="CA32" s="187"/>
      <c r="CB32" s="188" t="s">
        <v>113</v>
      </c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213"/>
      <c r="S33" s="214"/>
      <c r="T33" s="215"/>
      <c r="U33" s="167"/>
      <c r="V33" s="168" t="str">
        <f t="shared" si="0"/>
        <v/>
      </c>
      <c r="W33" s="169"/>
      <c r="X33" s="207"/>
      <c r="Y33" s="171"/>
      <c r="Z33" s="172" t="str">
        <f t="shared" si="1"/>
        <v/>
      </c>
      <c r="AA33" s="220"/>
      <c r="AB33" s="174"/>
      <c r="AC33" s="175"/>
      <c r="AD33" s="211"/>
      <c r="AE33" s="177" t="str">
        <f t="shared" si="2"/>
        <v/>
      </c>
      <c r="AF33" s="178" t="str">
        <f t="shared" si="9"/>
        <v/>
      </c>
      <c r="AG33" s="4"/>
      <c r="AH33" s="198"/>
      <c r="AI33" s="199"/>
      <c r="AJ33" s="203"/>
      <c r="AK33" s="167"/>
      <c r="AL33" s="168"/>
      <c r="AM33" s="201"/>
      <c r="AN33" s="207"/>
      <c r="AO33" s="171"/>
      <c r="AP33" s="172"/>
      <c r="AQ33" s="209"/>
      <c r="AR33" s="174"/>
      <c r="AS33" s="175"/>
      <c r="AT33" s="176"/>
      <c r="AU33" s="177"/>
      <c r="AV33" s="178"/>
      <c r="AW33" s="4"/>
      <c r="AX33" s="198" t="s">
        <v>170</v>
      </c>
      <c r="AY33" s="199"/>
      <c r="AZ33" s="200"/>
      <c r="BA33" s="167" t="s">
        <v>89</v>
      </c>
      <c r="BB33" s="168"/>
      <c r="BC33" s="180"/>
      <c r="BD33" s="181" t="s">
        <v>179</v>
      </c>
      <c r="BE33" s="171">
        <v>1</v>
      </c>
      <c r="BF33" s="172">
        <f t="shared" si="7"/>
        <v>1</v>
      </c>
      <c r="BG33" s="212"/>
      <c r="BH33" s="184"/>
      <c r="BI33" s="185"/>
      <c r="BJ33" s="186"/>
      <c r="BK33" s="187"/>
      <c r="BL33" s="188"/>
      <c r="BM33" s="4"/>
      <c r="BN33" s="198" t="str">
        <f t="shared" ref="BN22:BN60" si="10">IF(BQ33&gt;"",VLOOKUP(BQ33,PART_NAMA,3,FALSE),"")</f>
        <v/>
      </c>
      <c r="BO33" s="199"/>
      <c r="BP33" s="200"/>
      <c r="BQ33" s="167"/>
      <c r="BR33" s="168"/>
      <c r="BS33" s="180"/>
      <c r="BT33" s="181" t="str">
        <f t="shared" ref="BT22:BT57" si="11">IF(BQ33&gt;"",VLOOKUP(BQ33&amp;$M$10,PART_MASTER,3,FALSE),"")</f>
        <v/>
      </c>
      <c r="BU33" s="171"/>
      <c r="BV33" s="172" t="str">
        <f t="shared" si="8"/>
        <v/>
      </c>
      <c r="BW33" s="212"/>
      <c r="BX33" s="184"/>
      <c r="BY33" s="185"/>
      <c r="BZ33" s="186"/>
      <c r="CA33" s="187"/>
      <c r="CB33" s="188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213"/>
      <c r="S34" s="214"/>
      <c r="T34" s="215"/>
      <c r="U34" s="167"/>
      <c r="V34" s="168" t="str">
        <f t="shared" si="0"/>
        <v/>
      </c>
      <c r="W34" s="169"/>
      <c r="X34" s="170"/>
      <c r="Y34" s="171"/>
      <c r="Z34" s="172" t="str">
        <f t="shared" si="1"/>
        <v/>
      </c>
      <c r="AA34" s="220"/>
      <c r="AB34" s="174"/>
      <c r="AC34" s="175"/>
      <c r="AD34" s="211"/>
      <c r="AE34" s="177" t="str">
        <f t="shared" si="2"/>
        <v/>
      </c>
      <c r="AF34" s="178" t="str">
        <f t="shared" si="9"/>
        <v/>
      </c>
      <c r="AG34" s="4"/>
      <c r="AH34" s="198"/>
      <c r="AI34" s="199"/>
      <c r="AJ34" s="203"/>
      <c r="AK34" s="167"/>
      <c r="AL34" s="168"/>
      <c r="AM34" s="201"/>
      <c r="AN34" s="170"/>
      <c r="AO34" s="171"/>
      <c r="AP34" s="172"/>
      <c r="AQ34" s="209"/>
      <c r="AR34" s="174"/>
      <c r="AS34" s="175"/>
      <c r="AT34" s="211"/>
      <c r="AU34" s="177"/>
      <c r="AV34" s="178"/>
      <c r="AW34" s="4"/>
      <c r="AX34" s="198" t="s">
        <v>171</v>
      </c>
      <c r="AY34" s="199"/>
      <c r="AZ34" s="200"/>
      <c r="BA34" s="167" t="s">
        <v>176</v>
      </c>
      <c r="BB34" s="168"/>
      <c r="BC34" s="180"/>
      <c r="BD34" s="181" t="s">
        <v>178</v>
      </c>
      <c r="BE34" s="171">
        <f>IF(h.2&gt;960,1,0)</f>
        <v>1</v>
      </c>
      <c r="BF34" s="172">
        <f t="shared" si="7"/>
        <v>1</v>
      </c>
      <c r="BG34" s="212"/>
      <c r="BH34" s="184"/>
      <c r="BI34" s="185"/>
      <c r="BJ34" s="186"/>
      <c r="BK34" s="187"/>
      <c r="BL34" s="188"/>
      <c r="BM34" s="4"/>
      <c r="BN34" s="198" t="str">
        <f t="shared" si="10"/>
        <v/>
      </c>
      <c r="BO34" s="199"/>
      <c r="BP34" s="200"/>
      <c r="BQ34" s="167"/>
      <c r="BR34" s="168"/>
      <c r="BS34" s="180"/>
      <c r="BT34" s="181" t="str">
        <f t="shared" si="11"/>
        <v/>
      </c>
      <c r="BU34" s="171"/>
      <c r="BV34" s="172" t="str">
        <f t="shared" si="8"/>
        <v/>
      </c>
      <c r="BW34" s="212"/>
      <c r="BX34" s="184"/>
      <c r="BY34" s="185"/>
      <c r="BZ34" s="186"/>
      <c r="CA34" s="187"/>
      <c r="CB34" s="188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198"/>
      <c r="S35" s="199"/>
      <c r="T35" s="200"/>
      <c r="U35" s="167"/>
      <c r="V35" s="168"/>
      <c r="W35" s="201"/>
      <c r="X35" s="170"/>
      <c r="Y35" s="171"/>
      <c r="Z35" s="172"/>
      <c r="AA35" s="202"/>
      <c r="AB35" s="174"/>
      <c r="AC35" s="175"/>
      <c r="AD35" s="176"/>
      <c r="AE35" s="177"/>
      <c r="AF35" s="178"/>
      <c r="AG35" s="4"/>
      <c r="AH35" s="198"/>
      <c r="AI35" s="199"/>
      <c r="AJ35" s="203"/>
      <c r="AK35" s="167"/>
      <c r="AL35" s="168"/>
      <c r="AM35" s="201"/>
      <c r="AN35" s="170"/>
      <c r="AO35" s="171"/>
      <c r="AP35" s="172"/>
      <c r="AQ35" s="209"/>
      <c r="AR35" s="174"/>
      <c r="AS35" s="175"/>
      <c r="AT35" s="211"/>
      <c r="AU35" s="177"/>
      <c r="AV35" s="178"/>
      <c r="AW35" s="4"/>
      <c r="AX35" s="198" t="s">
        <v>172</v>
      </c>
      <c r="AY35" s="199"/>
      <c r="AZ35" s="200"/>
      <c r="BA35" s="167" t="s">
        <v>95</v>
      </c>
      <c r="BB35" s="168"/>
      <c r="BC35" s="180"/>
      <c r="BD35" s="181" t="s">
        <v>178</v>
      </c>
      <c r="BE35" s="171">
        <f>((W-41)+(h.2-36))*2/1000</f>
        <v>4.4459999999999997</v>
      </c>
      <c r="BF35" s="172">
        <f t="shared" si="7"/>
        <v>4.4459999999999997</v>
      </c>
      <c r="BG35" s="212" t="s">
        <v>96</v>
      </c>
      <c r="BH35" s="184"/>
      <c r="BI35" s="185"/>
      <c r="BJ35" s="186"/>
      <c r="BK35" s="187"/>
      <c r="BL35" s="188"/>
      <c r="BM35" s="4"/>
      <c r="BN35" s="198"/>
      <c r="BO35" s="199"/>
      <c r="BP35" s="200"/>
      <c r="BQ35" s="204"/>
      <c r="BR35" s="168"/>
      <c r="BS35" s="180"/>
      <c r="BT35" s="181"/>
      <c r="BU35" s="171"/>
      <c r="BV35" s="172"/>
      <c r="BW35" s="183"/>
      <c r="BX35" s="184"/>
      <c r="BY35" s="185"/>
      <c r="BZ35" s="186"/>
      <c r="CA35" s="205"/>
      <c r="CB35" s="188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198"/>
      <c r="S36" s="199"/>
      <c r="T36" s="200"/>
      <c r="U36" s="167"/>
      <c r="V36" s="168"/>
      <c r="W36" s="201"/>
      <c r="X36" s="207"/>
      <c r="Y36" s="171"/>
      <c r="Z36" s="172"/>
      <c r="AA36" s="202"/>
      <c r="AB36" s="174"/>
      <c r="AC36" s="175"/>
      <c r="AD36" s="176"/>
      <c r="AE36" s="177"/>
      <c r="AF36" s="178"/>
      <c r="AG36" s="4"/>
      <c r="AH36" s="213"/>
      <c r="AI36" s="214"/>
      <c r="AJ36" s="215"/>
      <c r="AK36" s="167"/>
      <c r="AL36" s="168" t="str">
        <f t="shared" si="3"/>
        <v/>
      </c>
      <c r="AM36" s="169"/>
      <c r="AN36" s="170"/>
      <c r="AO36" s="171"/>
      <c r="AP36" s="172" t="str">
        <f t="shared" si="4"/>
        <v/>
      </c>
      <c r="AQ36" s="220"/>
      <c r="AR36" s="174"/>
      <c r="AS36" s="175"/>
      <c r="AT36" s="211"/>
      <c r="AU36" s="177" t="str">
        <f t="shared" si="5"/>
        <v/>
      </c>
      <c r="AV36" s="178" t="str">
        <f t="shared" si="6"/>
        <v/>
      </c>
      <c r="AW36" s="4"/>
      <c r="AX36" s="198" t="s">
        <v>172</v>
      </c>
      <c r="AY36" s="199"/>
      <c r="AZ36" s="200"/>
      <c r="BA36" s="167" t="s">
        <v>100</v>
      </c>
      <c r="BB36" s="168"/>
      <c r="BC36" s="180"/>
      <c r="BD36" s="181" t="s">
        <v>178</v>
      </c>
      <c r="BE36" s="171">
        <f>(W-41)/1000</f>
        <v>0.95899999999999996</v>
      </c>
      <c r="BF36" s="172">
        <f t="shared" si="7"/>
        <v>0.95899999999999996</v>
      </c>
      <c r="BG36" s="212" t="s">
        <v>96</v>
      </c>
      <c r="BH36" s="184"/>
      <c r="BI36" s="185"/>
      <c r="BJ36" s="186"/>
      <c r="BK36" s="187"/>
      <c r="BL36" s="188"/>
      <c r="BM36" s="4"/>
      <c r="BN36" s="198"/>
      <c r="BO36" s="199"/>
      <c r="BP36" s="200"/>
      <c r="BQ36" s="167"/>
      <c r="BR36" s="168"/>
      <c r="BS36" s="180"/>
      <c r="BT36" s="181"/>
      <c r="BU36" s="171"/>
      <c r="BV36" s="172"/>
      <c r="BW36" s="183"/>
      <c r="BX36" s="184"/>
      <c r="BY36" s="185"/>
      <c r="BZ36" s="186"/>
      <c r="CA36" s="205"/>
      <c r="CB36" s="188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198"/>
      <c r="S37" s="199"/>
      <c r="T37" s="200"/>
      <c r="U37" s="167"/>
      <c r="V37" s="168"/>
      <c r="W37" s="201"/>
      <c r="X37" s="207"/>
      <c r="Y37" s="171"/>
      <c r="Z37" s="172"/>
      <c r="AA37" s="202"/>
      <c r="AB37" s="174"/>
      <c r="AC37" s="175"/>
      <c r="AD37" s="176"/>
      <c r="AE37" s="177"/>
      <c r="AF37" s="178"/>
      <c r="AG37" s="4"/>
      <c r="AH37" s="213"/>
      <c r="AI37" s="214"/>
      <c r="AJ37" s="215"/>
      <c r="AK37" s="167"/>
      <c r="AL37" s="168" t="str">
        <f t="shared" si="3"/>
        <v/>
      </c>
      <c r="AM37" s="169"/>
      <c r="AN37" s="170"/>
      <c r="AO37" s="171"/>
      <c r="AP37" s="172" t="str">
        <f t="shared" si="4"/>
        <v/>
      </c>
      <c r="AQ37" s="220"/>
      <c r="AR37" s="174"/>
      <c r="AS37" s="175"/>
      <c r="AT37" s="211"/>
      <c r="AU37" s="177" t="str">
        <f t="shared" si="5"/>
        <v/>
      </c>
      <c r="AV37" s="178" t="str">
        <f t="shared" si="6"/>
        <v/>
      </c>
      <c r="AW37" s="4"/>
      <c r="AX37" s="198" t="s">
        <v>169</v>
      </c>
      <c r="AY37" s="199"/>
      <c r="AZ37" s="200"/>
      <c r="BA37" s="167" t="s">
        <v>101</v>
      </c>
      <c r="BB37" s="168"/>
      <c r="BC37" s="180"/>
      <c r="BD37" s="181" t="s">
        <v>178</v>
      </c>
      <c r="BE37" s="171">
        <f>(((W-41)*4)+((h.1+h.3-72)*2))/1000</f>
        <v>4.9320000000000004</v>
      </c>
      <c r="BF37" s="172">
        <f t="shared" si="7"/>
        <v>4.9320000000000004</v>
      </c>
      <c r="BG37" s="212" t="s">
        <v>96</v>
      </c>
      <c r="BH37" s="184" t="s">
        <v>184</v>
      </c>
      <c r="BI37" s="185"/>
      <c r="BJ37" s="186"/>
      <c r="BK37" s="187"/>
      <c r="BL37" s="188"/>
      <c r="BM37" s="4"/>
      <c r="BN37" s="198"/>
      <c r="BO37" s="199"/>
      <c r="BP37" s="200"/>
      <c r="BQ37" s="167"/>
      <c r="BR37" s="168"/>
      <c r="BS37" s="180"/>
      <c r="BT37" s="181"/>
      <c r="BU37" s="171"/>
      <c r="BV37" s="172"/>
      <c r="BW37" s="183"/>
      <c r="BX37" s="184"/>
      <c r="BY37" s="185"/>
      <c r="BZ37" s="186"/>
      <c r="CA37" s="187"/>
      <c r="CB37" s="188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3"/>
      <c r="P38" s="208"/>
      <c r="Q38" s="4"/>
      <c r="R38" s="198"/>
      <c r="S38" s="199"/>
      <c r="T38" s="200"/>
      <c r="U38" s="167"/>
      <c r="V38" s="168"/>
      <c r="W38" s="201"/>
      <c r="X38" s="207"/>
      <c r="Y38" s="171"/>
      <c r="Z38" s="172"/>
      <c r="AA38" s="209"/>
      <c r="AB38" s="174"/>
      <c r="AC38" s="175"/>
      <c r="AD38" s="176"/>
      <c r="AE38" s="177"/>
      <c r="AF38" s="178"/>
      <c r="AG38" s="4"/>
      <c r="AH38" s="213"/>
      <c r="AI38" s="214"/>
      <c r="AJ38" s="215"/>
      <c r="AK38" s="167"/>
      <c r="AL38" s="168" t="str">
        <f t="shared" si="3"/>
        <v/>
      </c>
      <c r="AM38" s="169"/>
      <c r="AN38" s="207"/>
      <c r="AO38" s="171"/>
      <c r="AP38" s="172" t="str">
        <f t="shared" si="4"/>
        <v/>
      </c>
      <c r="AQ38" s="220"/>
      <c r="AR38" s="174"/>
      <c r="AS38" s="175"/>
      <c r="AT38" s="211"/>
      <c r="AU38" s="177" t="str">
        <f t="shared" si="5"/>
        <v/>
      </c>
      <c r="AV38" s="178" t="str">
        <f t="shared" si="6"/>
        <v/>
      </c>
      <c r="AW38" s="4"/>
      <c r="AX38" s="198" t="s">
        <v>173</v>
      </c>
      <c r="AY38" s="199"/>
      <c r="AZ38" s="200"/>
      <c r="BA38" s="167" t="s">
        <v>97</v>
      </c>
      <c r="BB38" s="168"/>
      <c r="BC38" s="180"/>
      <c r="BD38" s="181" t="s">
        <v>178</v>
      </c>
      <c r="BE38" s="171">
        <v>4</v>
      </c>
      <c r="BF38" s="172">
        <f t="shared" si="7"/>
        <v>4</v>
      </c>
      <c r="BG38" s="212"/>
      <c r="BH38" s="184"/>
      <c r="BI38" s="185"/>
      <c r="BJ38" s="186"/>
      <c r="BK38" s="187"/>
      <c r="BL38" s="188"/>
      <c r="BM38" s="4"/>
      <c r="BN38" s="198"/>
      <c r="BO38" s="199"/>
      <c r="BP38" s="200"/>
      <c r="BQ38" s="167"/>
      <c r="BR38" s="168"/>
      <c r="BS38" s="180"/>
      <c r="BT38" s="181"/>
      <c r="BU38" s="171"/>
      <c r="BV38" s="172"/>
      <c r="BW38" s="183"/>
      <c r="BX38" s="184"/>
      <c r="BY38" s="185"/>
      <c r="BZ38" s="186"/>
      <c r="CA38" s="187"/>
      <c r="CB38" s="188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198"/>
      <c r="S39" s="199"/>
      <c r="T39" s="200"/>
      <c r="U39" s="167"/>
      <c r="V39" s="168"/>
      <c r="W39" s="201"/>
      <c r="X39" s="170"/>
      <c r="Y39" s="171"/>
      <c r="Z39" s="172"/>
      <c r="AA39" s="209"/>
      <c r="AB39" s="174"/>
      <c r="AC39" s="175"/>
      <c r="AD39" s="211"/>
      <c r="AE39" s="177"/>
      <c r="AF39" s="178"/>
      <c r="AG39" s="4"/>
      <c r="AH39" s="213"/>
      <c r="AI39" s="214"/>
      <c r="AJ39" s="215"/>
      <c r="AK39" s="167"/>
      <c r="AL39" s="168" t="str">
        <f t="shared" si="3"/>
        <v/>
      </c>
      <c r="AM39" s="169"/>
      <c r="AN39" s="207"/>
      <c r="AO39" s="171"/>
      <c r="AP39" s="172" t="str">
        <f t="shared" si="4"/>
        <v/>
      </c>
      <c r="AQ39" s="220"/>
      <c r="AR39" s="174"/>
      <c r="AS39" s="175"/>
      <c r="AT39" s="211"/>
      <c r="AU39" s="177" t="str">
        <f t="shared" ref="AU39:AU47" si="12">IF(AK39&gt;"",VLOOKUP(AK39,MATERIAL_WEIGHT,2,FALSE),"")</f>
        <v/>
      </c>
      <c r="AV39" s="178" t="str">
        <f t="shared" si="6"/>
        <v/>
      </c>
      <c r="AW39" s="4"/>
      <c r="AX39" s="198" t="s">
        <v>164</v>
      </c>
      <c r="AY39" s="199"/>
      <c r="AZ39" s="200"/>
      <c r="BA39" s="167" t="s">
        <v>111</v>
      </c>
      <c r="BB39" s="168"/>
      <c r="BC39" s="180"/>
      <c r="BD39" s="181" t="s">
        <v>178</v>
      </c>
      <c r="BE39" s="171">
        <v>1</v>
      </c>
      <c r="BF39" s="172">
        <f t="shared" si="7"/>
        <v>1</v>
      </c>
      <c r="BG39" s="212"/>
      <c r="BH39" s="184"/>
      <c r="BI39" s="185"/>
      <c r="BJ39" s="186"/>
      <c r="BK39" s="187"/>
      <c r="BL39" s="188"/>
      <c r="BM39" s="4"/>
      <c r="BN39" s="198"/>
      <c r="BO39" s="199"/>
      <c r="BP39" s="200"/>
      <c r="BQ39" s="167"/>
      <c r="BR39" s="168"/>
      <c r="BS39" s="180"/>
      <c r="BT39" s="181"/>
      <c r="BU39" s="171"/>
      <c r="BV39" s="172"/>
      <c r="BW39" s="183"/>
      <c r="BX39" s="184"/>
      <c r="BY39" s="185"/>
      <c r="BZ39" s="186"/>
      <c r="CA39" s="187"/>
      <c r="CB39" s="188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198"/>
      <c r="S40" s="199"/>
      <c r="T40" s="200"/>
      <c r="U40" s="167"/>
      <c r="V40" s="168"/>
      <c r="W40" s="201"/>
      <c r="X40" s="170"/>
      <c r="Y40" s="171"/>
      <c r="Z40" s="172"/>
      <c r="AA40" s="209"/>
      <c r="AB40" s="174"/>
      <c r="AC40" s="175"/>
      <c r="AD40" s="211"/>
      <c r="AE40" s="177"/>
      <c r="AF40" s="178"/>
      <c r="AG40" s="4"/>
      <c r="AH40" s="213"/>
      <c r="AI40" s="214"/>
      <c r="AJ40" s="215"/>
      <c r="AK40" s="167"/>
      <c r="AL40" s="168" t="str">
        <f t="shared" si="3"/>
        <v/>
      </c>
      <c r="AM40" s="169"/>
      <c r="AN40" s="170"/>
      <c r="AO40" s="171"/>
      <c r="AP40" s="172" t="str">
        <f t="shared" si="4"/>
        <v/>
      </c>
      <c r="AQ40" s="220"/>
      <c r="AR40" s="174"/>
      <c r="AS40" s="175"/>
      <c r="AT40" s="211"/>
      <c r="AU40" s="177" t="str">
        <f t="shared" si="12"/>
        <v/>
      </c>
      <c r="AV40" s="178" t="str">
        <f t="shared" si="6"/>
        <v/>
      </c>
      <c r="AW40" s="4"/>
      <c r="AX40" s="198" t="s">
        <v>164</v>
      </c>
      <c r="AY40" s="199"/>
      <c r="AZ40" s="200"/>
      <c r="BA40" s="167" t="s">
        <v>115</v>
      </c>
      <c r="BB40" s="168"/>
      <c r="BC40" s="180"/>
      <c r="BD40" s="181" t="s">
        <v>178</v>
      </c>
      <c r="BE40" s="182">
        <v>1</v>
      </c>
      <c r="BF40" s="172">
        <f t="shared" si="7"/>
        <v>1</v>
      </c>
      <c r="BG40" s="183"/>
      <c r="BH40" s="184"/>
      <c r="BI40" s="185"/>
      <c r="BJ40" s="186"/>
      <c r="BK40" s="187"/>
      <c r="BL40" s="188"/>
      <c r="BM40" s="4"/>
      <c r="BN40" s="198"/>
      <c r="BO40" s="199"/>
      <c r="BP40" s="200"/>
      <c r="BQ40" s="167"/>
      <c r="BR40" s="168"/>
      <c r="BS40" s="180"/>
      <c r="BT40" s="181"/>
      <c r="BU40" s="171"/>
      <c r="BV40" s="172"/>
      <c r="BW40" s="212"/>
      <c r="BX40" s="184"/>
      <c r="BY40" s="185"/>
      <c r="BZ40" s="186"/>
      <c r="CA40" s="187"/>
      <c r="CB40" s="188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126</v>
      </c>
      <c r="C41" s="225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6"/>
      <c r="Q41" s="4"/>
      <c r="R41" s="213"/>
      <c r="S41" s="214"/>
      <c r="T41" s="215"/>
      <c r="U41" s="167"/>
      <c r="V41" s="168"/>
      <c r="W41" s="201"/>
      <c r="X41" s="170"/>
      <c r="Y41" s="171"/>
      <c r="Z41" s="172"/>
      <c r="AA41" s="209"/>
      <c r="AB41" s="174"/>
      <c r="AC41" s="175"/>
      <c r="AD41" s="211"/>
      <c r="AE41" s="177"/>
      <c r="AF41" s="178"/>
      <c r="AG41" s="4"/>
      <c r="AH41" s="213"/>
      <c r="AI41" s="214"/>
      <c r="AJ41" s="215"/>
      <c r="AK41" s="167"/>
      <c r="AL41" s="168" t="str">
        <f t="shared" si="3"/>
        <v/>
      </c>
      <c r="AM41" s="169"/>
      <c r="AN41" s="170"/>
      <c r="AO41" s="171"/>
      <c r="AP41" s="172" t="str">
        <f t="shared" si="4"/>
        <v/>
      </c>
      <c r="AQ41" s="220"/>
      <c r="AR41" s="174"/>
      <c r="AS41" s="175"/>
      <c r="AT41" s="211"/>
      <c r="AU41" s="177" t="str">
        <f t="shared" si="12"/>
        <v/>
      </c>
      <c r="AV41" s="178" t="str">
        <f t="shared" si="6"/>
        <v/>
      </c>
      <c r="AW41" s="4"/>
      <c r="AX41" s="198" t="str">
        <f t="shared" ref="AX22:AX60" si="13">IF(BA41&gt;"",VLOOKUP(BA41,PART_NAMA,3,FALSE),"")</f>
        <v/>
      </c>
      <c r="AY41" s="199"/>
      <c r="AZ41" s="200"/>
      <c r="BA41" s="167"/>
      <c r="BB41" s="168"/>
      <c r="BC41" s="180"/>
      <c r="BD41" s="181" t="str">
        <f t="shared" ref="BD22:BD60" si="14">IF(BA41&gt;"",VLOOKUP(BA41&amp;$M$10,PART_MASTER,3,FALSE),"")</f>
        <v/>
      </c>
      <c r="BE41" s="182"/>
      <c r="BF41" s="172" t="str">
        <f t="shared" si="7"/>
        <v/>
      </c>
      <c r="BG41" s="183"/>
      <c r="BH41" s="184"/>
      <c r="BI41" s="185"/>
      <c r="BJ41" s="186"/>
      <c r="BK41" s="187"/>
      <c r="BL41" s="188"/>
      <c r="BM41" s="4"/>
      <c r="BN41" s="198"/>
      <c r="BO41" s="199"/>
      <c r="BP41" s="200"/>
      <c r="BQ41" s="167"/>
      <c r="BR41" s="168"/>
      <c r="BS41" s="180"/>
      <c r="BT41" s="181"/>
      <c r="BU41" s="171"/>
      <c r="BV41" s="172"/>
      <c r="BW41" s="183"/>
      <c r="BX41" s="184"/>
      <c r="BY41" s="185"/>
      <c r="BZ41" s="186"/>
      <c r="CA41" s="187"/>
      <c r="CB41" s="188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3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3"/>
      <c r="S42" s="214"/>
      <c r="T42" s="215"/>
      <c r="U42" s="217"/>
      <c r="V42" s="168"/>
      <c r="W42" s="218"/>
      <c r="X42" s="170"/>
      <c r="Y42" s="219"/>
      <c r="Z42" s="172"/>
      <c r="AA42" s="220"/>
      <c r="AB42" s="174"/>
      <c r="AC42" s="175"/>
      <c r="AD42" s="211"/>
      <c r="AE42" s="177"/>
      <c r="AF42" s="178"/>
      <c r="AG42" s="4"/>
      <c r="AH42" s="213"/>
      <c r="AI42" s="214"/>
      <c r="AJ42" s="215"/>
      <c r="AK42" s="167"/>
      <c r="AL42" s="168" t="str">
        <f t="shared" si="3"/>
        <v/>
      </c>
      <c r="AM42" s="169"/>
      <c r="AN42" s="170"/>
      <c r="AO42" s="171"/>
      <c r="AP42" s="172" t="str">
        <f t="shared" si="4"/>
        <v/>
      </c>
      <c r="AQ42" s="220"/>
      <c r="AR42" s="174"/>
      <c r="AS42" s="175"/>
      <c r="AT42" s="211"/>
      <c r="AU42" s="177" t="str">
        <f t="shared" si="12"/>
        <v/>
      </c>
      <c r="AV42" s="178" t="str">
        <f t="shared" si="6"/>
        <v/>
      </c>
      <c r="AW42" s="4"/>
      <c r="AX42" s="198" t="str">
        <f t="shared" si="13"/>
        <v/>
      </c>
      <c r="AY42" s="199"/>
      <c r="AZ42" s="200"/>
      <c r="BA42" s="167"/>
      <c r="BB42" s="168"/>
      <c r="BC42" s="180"/>
      <c r="BD42" s="181" t="str">
        <f t="shared" si="14"/>
        <v/>
      </c>
      <c r="BE42" s="182"/>
      <c r="BF42" s="172" t="str">
        <f t="shared" si="7"/>
        <v/>
      </c>
      <c r="BG42" s="183"/>
      <c r="BH42" s="184"/>
      <c r="BI42" s="185"/>
      <c r="BJ42" s="186"/>
      <c r="BK42" s="187"/>
      <c r="BL42" s="188"/>
      <c r="BM42" s="4"/>
      <c r="BN42" s="198"/>
      <c r="BO42" s="199"/>
      <c r="BP42" s="200"/>
      <c r="BQ42" s="167"/>
      <c r="BR42" s="168"/>
      <c r="BS42" s="180"/>
      <c r="BT42" s="181"/>
      <c r="BU42" s="171"/>
      <c r="BV42" s="172"/>
      <c r="BW42" s="183"/>
      <c r="BX42" s="184"/>
      <c r="BY42" s="185"/>
      <c r="BZ42" s="186"/>
      <c r="CA42" s="187"/>
      <c r="CB42" s="188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127</v>
      </c>
      <c r="C43" s="240"/>
      <c r="D43" s="240"/>
      <c r="E43" s="240"/>
      <c r="F43" s="241"/>
      <c r="G43" s="242"/>
      <c r="H43" s="243"/>
      <c r="I43" s="233"/>
      <c r="J43" s="244" t="s">
        <v>128</v>
      </c>
      <c r="K43" s="244"/>
      <c r="L43" s="245"/>
      <c r="M43" s="246"/>
      <c r="N43" s="247"/>
      <c r="O43" s="248"/>
      <c r="P43" s="249"/>
      <c r="Q43" s="4"/>
      <c r="R43" s="198"/>
      <c r="S43" s="199"/>
      <c r="T43" s="200"/>
      <c r="U43" s="167"/>
      <c r="V43" s="168"/>
      <c r="W43" s="169"/>
      <c r="X43" s="170"/>
      <c r="Y43" s="171"/>
      <c r="Z43" s="172"/>
      <c r="AA43" s="220"/>
      <c r="AB43" s="174"/>
      <c r="AC43" s="175"/>
      <c r="AD43" s="176"/>
      <c r="AE43" s="177"/>
      <c r="AF43" s="178"/>
      <c r="AG43" s="4"/>
      <c r="AH43" s="213"/>
      <c r="AI43" s="214"/>
      <c r="AJ43" s="215"/>
      <c r="AK43" s="167"/>
      <c r="AL43" s="168" t="str">
        <f t="shared" si="3"/>
        <v/>
      </c>
      <c r="AM43" s="169"/>
      <c r="AN43" s="207"/>
      <c r="AO43" s="171"/>
      <c r="AP43" s="172" t="str">
        <f t="shared" si="4"/>
        <v/>
      </c>
      <c r="AQ43" s="220"/>
      <c r="AR43" s="174"/>
      <c r="AS43" s="175"/>
      <c r="AT43" s="211"/>
      <c r="AU43" s="177" t="str">
        <f t="shared" si="12"/>
        <v/>
      </c>
      <c r="AV43" s="178" t="str">
        <f t="shared" si="6"/>
        <v/>
      </c>
      <c r="AW43" s="4"/>
      <c r="AX43" s="198"/>
      <c r="AY43" s="199"/>
      <c r="AZ43" s="200"/>
      <c r="BA43" s="204"/>
      <c r="BB43" s="168"/>
      <c r="BC43" s="180"/>
      <c r="BD43" s="181"/>
      <c r="BE43" s="171"/>
      <c r="BF43" s="172"/>
      <c r="BG43" s="183"/>
      <c r="BH43" s="184"/>
      <c r="BI43" s="185"/>
      <c r="BJ43" s="186"/>
      <c r="BK43" s="205"/>
      <c r="BL43" s="188"/>
      <c r="BM43" s="4"/>
      <c r="BN43" s="198"/>
      <c r="BO43" s="199"/>
      <c r="BP43" s="200"/>
      <c r="BQ43" s="167"/>
      <c r="BR43" s="168"/>
      <c r="BS43" s="180"/>
      <c r="BT43" s="181"/>
      <c r="BU43" s="171"/>
      <c r="BV43" s="172"/>
      <c r="BW43" s="183"/>
      <c r="BX43" s="184"/>
      <c r="BY43" s="185"/>
      <c r="BZ43" s="186"/>
      <c r="CA43" s="187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129</v>
      </c>
      <c r="C44" s="326" t="s">
        <v>130</v>
      </c>
      <c r="D44" s="327"/>
      <c r="E44" s="328"/>
      <c r="F44" s="326" t="s">
        <v>131</v>
      </c>
      <c r="G44" s="327"/>
      <c r="H44" s="328"/>
      <c r="I44" s="252"/>
      <c r="J44" s="253" t="s">
        <v>129</v>
      </c>
      <c r="K44" s="326" t="s">
        <v>130</v>
      </c>
      <c r="L44" s="327"/>
      <c r="M44" s="327"/>
      <c r="N44" s="328"/>
      <c r="O44" s="253" t="s">
        <v>132</v>
      </c>
      <c r="P44" s="254" t="s">
        <v>129</v>
      </c>
      <c r="Q44" s="4"/>
      <c r="R44" s="198"/>
      <c r="S44" s="199"/>
      <c r="T44" s="200"/>
      <c r="U44" s="167"/>
      <c r="V44" s="168"/>
      <c r="W44" s="222"/>
      <c r="X44" s="207"/>
      <c r="Y44" s="171"/>
      <c r="Z44" s="172"/>
      <c r="AA44" s="220"/>
      <c r="AB44" s="174"/>
      <c r="AC44" s="175"/>
      <c r="AD44" s="211"/>
      <c r="AE44" s="177"/>
      <c r="AF44" s="178"/>
      <c r="AG44" s="4"/>
      <c r="AH44" s="213"/>
      <c r="AI44" s="214"/>
      <c r="AJ44" s="215"/>
      <c r="AK44" s="167"/>
      <c r="AL44" s="168" t="str">
        <f t="shared" si="3"/>
        <v/>
      </c>
      <c r="AM44" s="169"/>
      <c r="AN44" s="170"/>
      <c r="AO44" s="171"/>
      <c r="AP44" s="172" t="str">
        <f t="shared" si="4"/>
        <v/>
      </c>
      <c r="AQ44" s="220"/>
      <c r="AR44" s="174"/>
      <c r="AS44" s="175"/>
      <c r="AT44" s="211"/>
      <c r="AU44" s="177" t="str">
        <f t="shared" si="12"/>
        <v/>
      </c>
      <c r="AV44" s="178" t="str">
        <f t="shared" si="6"/>
        <v/>
      </c>
      <c r="AW44" s="4"/>
      <c r="AX44" s="198"/>
      <c r="AY44" s="199"/>
      <c r="AZ44" s="200"/>
      <c r="BA44" s="167"/>
      <c r="BB44" s="168"/>
      <c r="BC44" s="180"/>
      <c r="BD44" s="181"/>
      <c r="BE44" s="171"/>
      <c r="BF44" s="172"/>
      <c r="BG44" s="183"/>
      <c r="BH44" s="184"/>
      <c r="BI44" s="185"/>
      <c r="BJ44" s="186"/>
      <c r="BK44" s="205"/>
      <c r="BL44" s="188"/>
      <c r="BM44" s="4"/>
      <c r="BN44" s="198"/>
      <c r="BO44" s="199"/>
      <c r="BP44" s="200"/>
      <c r="BQ44" s="167"/>
      <c r="BR44" s="168"/>
      <c r="BS44" s="180"/>
      <c r="BT44" s="181"/>
      <c r="BU44" s="171"/>
      <c r="BV44" s="172"/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133</v>
      </c>
      <c r="D45" s="257"/>
      <c r="E45" s="257"/>
      <c r="F45" s="258"/>
      <c r="G45" s="259"/>
      <c r="H45" s="260"/>
      <c r="I45" s="261"/>
      <c r="J45" s="262">
        <v>1</v>
      </c>
      <c r="K45" s="263" t="s">
        <v>134</v>
      </c>
      <c r="L45" s="259"/>
      <c r="M45" s="259"/>
      <c r="N45" s="264"/>
      <c r="O45" s="265"/>
      <c r="P45" s="266"/>
      <c r="Q45" s="4"/>
      <c r="R45" s="198"/>
      <c r="S45" s="199"/>
      <c r="T45" s="200"/>
      <c r="U45" s="167"/>
      <c r="V45" s="168"/>
      <c r="W45" s="169"/>
      <c r="X45" s="170"/>
      <c r="Y45" s="171"/>
      <c r="Z45" s="172"/>
      <c r="AA45" s="220"/>
      <c r="AB45" s="174"/>
      <c r="AC45" s="175"/>
      <c r="AD45" s="211"/>
      <c r="AE45" s="177"/>
      <c r="AF45" s="178"/>
      <c r="AG45" s="4"/>
      <c r="AH45" s="213"/>
      <c r="AI45" s="214"/>
      <c r="AJ45" s="215"/>
      <c r="AK45" s="167"/>
      <c r="AL45" s="168" t="str">
        <f t="shared" si="3"/>
        <v/>
      </c>
      <c r="AM45" s="169"/>
      <c r="AN45" s="207"/>
      <c r="AO45" s="171"/>
      <c r="AP45" s="172" t="str">
        <f t="shared" si="4"/>
        <v/>
      </c>
      <c r="AQ45" s="220"/>
      <c r="AR45" s="174"/>
      <c r="AS45" s="175"/>
      <c r="AT45" s="211"/>
      <c r="AU45" s="177" t="str">
        <f t="shared" si="12"/>
        <v/>
      </c>
      <c r="AV45" s="178" t="str">
        <f t="shared" si="6"/>
        <v/>
      </c>
      <c r="AW45" s="4"/>
      <c r="AX45" s="198"/>
      <c r="AY45" s="199"/>
      <c r="AZ45" s="200"/>
      <c r="BA45" s="167"/>
      <c r="BB45" s="168"/>
      <c r="BC45" s="180"/>
      <c r="BD45" s="181"/>
      <c r="BE45" s="171"/>
      <c r="BF45" s="172"/>
      <c r="BG45" s="183"/>
      <c r="BH45" s="184"/>
      <c r="BI45" s="185"/>
      <c r="BJ45" s="186"/>
      <c r="BK45" s="187"/>
      <c r="BL45" s="188"/>
      <c r="BM45" s="4"/>
      <c r="BN45" s="198"/>
      <c r="BO45" s="199"/>
      <c r="BP45" s="200"/>
      <c r="BQ45" s="167"/>
      <c r="BR45" s="168"/>
      <c r="BS45" s="180"/>
      <c r="BT45" s="181"/>
      <c r="BU45" s="171"/>
      <c r="BV45" s="172"/>
      <c r="BW45" s="183"/>
      <c r="BX45" s="184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135</v>
      </c>
      <c r="D46" s="259"/>
      <c r="E46" s="259"/>
      <c r="F46" s="263"/>
      <c r="G46" s="259"/>
      <c r="H46" s="260"/>
      <c r="I46" s="261"/>
      <c r="J46" s="262">
        <v>2</v>
      </c>
      <c r="K46" s="263" t="s">
        <v>136</v>
      </c>
      <c r="L46" s="259"/>
      <c r="M46" s="259"/>
      <c r="N46" s="264"/>
      <c r="O46" s="265"/>
      <c r="P46" s="266"/>
      <c r="Q46" s="4"/>
      <c r="R46" s="213"/>
      <c r="S46" s="214"/>
      <c r="T46" s="215"/>
      <c r="U46" s="167"/>
      <c r="V46" s="168"/>
      <c r="W46" s="169"/>
      <c r="X46" s="170"/>
      <c r="Y46" s="171"/>
      <c r="Z46" s="172"/>
      <c r="AA46" s="220"/>
      <c r="AB46" s="174"/>
      <c r="AC46" s="175"/>
      <c r="AD46" s="211"/>
      <c r="AE46" s="177"/>
      <c r="AF46" s="178"/>
      <c r="AG46" s="4"/>
      <c r="AH46" s="213"/>
      <c r="AI46" s="214"/>
      <c r="AJ46" s="215"/>
      <c r="AK46" s="167"/>
      <c r="AL46" s="168" t="str">
        <f t="shared" si="3"/>
        <v/>
      </c>
      <c r="AM46" s="169"/>
      <c r="AN46" s="170"/>
      <c r="AO46" s="171"/>
      <c r="AP46" s="172" t="str">
        <f t="shared" si="4"/>
        <v/>
      </c>
      <c r="AQ46" s="220"/>
      <c r="AR46" s="174"/>
      <c r="AS46" s="175"/>
      <c r="AT46" s="211"/>
      <c r="AU46" s="177" t="str">
        <f t="shared" si="12"/>
        <v/>
      </c>
      <c r="AV46" s="178" t="str">
        <f t="shared" si="6"/>
        <v/>
      </c>
      <c r="AW46" s="4"/>
      <c r="AX46" s="198"/>
      <c r="AY46" s="199"/>
      <c r="AZ46" s="200"/>
      <c r="BA46" s="167"/>
      <c r="BB46" s="168"/>
      <c r="BC46" s="180"/>
      <c r="BD46" s="181"/>
      <c r="BE46" s="171"/>
      <c r="BF46" s="172"/>
      <c r="BG46" s="183"/>
      <c r="BH46" s="184"/>
      <c r="BI46" s="185"/>
      <c r="BJ46" s="186"/>
      <c r="BK46" s="187"/>
      <c r="BL46" s="188"/>
      <c r="BM46" s="4"/>
      <c r="BN46" s="198" t="str">
        <f t="shared" si="10"/>
        <v/>
      </c>
      <c r="BO46" s="199"/>
      <c r="BP46" s="200"/>
      <c r="BQ46" s="167"/>
      <c r="BR46" s="168"/>
      <c r="BS46" s="180"/>
      <c r="BT46" s="267" t="str">
        <f t="shared" si="11"/>
        <v/>
      </c>
      <c r="BU46" s="182"/>
      <c r="BV46" s="172" t="str">
        <f t="shared" si="8"/>
        <v/>
      </c>
      <c r="BW46" s="183"/>
      <c r="BX46" s="250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137</v>
      </c>
      <c r="D47" s="259"/>
      <c r="E47" s="259"/>
      <c r="F47" s="263"/>
      <c r="G47" s="259"/>
      <c r="H47" s="260"/>
      <c r="I47" s="268"/>
      <c r="J47" s="262">
        <v>3</v>
      </c>
      <c r="K47" s="263" t="s">
        <v>138</v>
      </c>
      <c r="L47" s="259"/>
      <c r="M47" s="259"/>
      <c r="N47" s="264"/>
      <c r="O47" s="265"/>
      <c r="P47" s="266"/>
      <c r="Q47" s="4"/>
      <c r="R47" s="213"/>
      <c r="S47" s="214"/>
      <c r="T47" s="215"/>
      <c r="U47" s="167"/>
      <c r="V47" s="168" t="str">
        <f t="shared" si="0"/>
        <v/>
      </c>
      <c r="W47" s="169"/>
      <c r="X47" s="170"/>
      <c r="Y47" s="171"/>
      <c r="Z47" s="172" t="str">
        <f t="shared" si="1"/>
        <v/>
      </c>
      <c r="AA47" s="220"/>
      <c r="AB47" s="174"/>
      <c r="AC47" s="175"/>
      <c r="AD47" s="211"/>
      <c r="AE47" s="177" t="str">
        <f t="shared" si="2"/>
        <v/>
      </c>
      <c r="AF47" s="178" t="str">
        <f t="shared" si="9"/>
        <v/>
      </c>
      <c r="AG47" s="4"/>
      <c r="AH47" s="213"/>
      <c r="AI47" s="214"/>
      <c r="AJ47" s="215"/>
      <c r="AK47" s="167"/>
      <c r="AL47" s="168" t="str">
        <f t="shared" si="3"/>
        <v/>
      </c>
      <c r="AM47" s="169"/>
      <c r="AN47" s="170"/>
      <c r="AO47" s="171"/>
      <c r="AP47" s="172" t="str">
        <f t="shared" si="4"/>
        <v/>
      </c>
      <c r="AQ47" s="220"/>
      <c r="AR47" s="174"/>
      <c r="AS47" s="175"/>
      <c r="AT47" s="211"/>
      <c r="AU47" s="177" t="str">
        <f t="shared" si="12"/>
        <v/>
      </c>
      <c r="AV47" s="178" t="str">
        <f t="shared" si="6"/>
        <v/>
      </c>
      <c r="AW47" s="4"/>
      <c r="AX47" s="198"/>
      <c r="AY47" s="199"/>
      <c r="AZ47" s="200"/>
      <c r="BA47" s="167"/>
      <c r="BB47" s="168"/>
      <c r="BC47" s="180"/>
      <c r="BD47" s="181"/>
      <c r="BE47" s="171"/>
      <c r="BF47" s="172"/>
      <c r="BG47" s="183"/>
      <c r="BH47" s="184"/>
      <c r="BI47" s="185"/>
      <c r="BJ47" s="186"/>
      <c r="BK47" s="187"/>
      <c r="BL47" s="188"/>
      <c r="BM47" s="4"/>
      <c r="BN47" s="198" t="str">
        <f t="shared" si="10"/>
        <v/>
      </c>
      <c r="BO47" s="199"/>
      <c r="BP47" s="200"/>
      <c r="BQ47" s="167"/>
      <c r="BR47" s="168"/>
      <c r="BS47" s="180"/>
      <c r="BT47" s="267" t="str">
        <f t="shared" si="11"/>
        <v/>
      </c>
      <c r="BU47" s="182"/>
      <c r="BV47" s="172" t="str">
        <f t="shared" si="8"/>
        <v/>
      </c>
      <c r="BW47" s="183"/>
      <c r="BX47" s="250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139</v>
      </c>
      <c r="D48" s="259"/>
      <c r="E48" s="259"/>
      <c r="F48" s="263"/>
      <c r="G48" s="259"/>
      <c r="H48" s="260"/>
      <c r="I48" s="268"/>
      <c r="J48" s="262">
        <v>4</v>
      </c>
      <c r="K48" s="263" t="s">
        <v>140</v>
      </c>
      <c r="L48" s="259"/>
      <c r="M48" s="259"/>
      <c r="N48" s="264"/>
      <c r="O48" s="265"/>
      <c r="P48" s="266"/>
      <c r="Q48" s="4"/>
      <c r="R48" s="269" t="s">
        <v>77</v>
      </c>
      <c r="S48" s="270"/>
      <c r="T48" s="270"/>
      <c r="U48" s="270"/>
      <c r="V48" s="270"/>
      <c r="W48" s="271"/>
      <c r="X48" s="271"/>
      <c r="Y48" s="271"/>
      <c r="Z48" s="271"/>
      <c r="AA48" s="271"/>
      <c r="AB48" s="271"/>
      <c r="AC48" s="272" t="s">
        <v>141</v>
      </c>
      <c r="AD48" s="273"/>
      <c r="AE48" s="274" t="s">
        <v>142</v>
      </c>
      <c r="AF48" s="275">
        <f>SUM(AF22:AF47)</f>
        <v>6.4569709999999993</v>
      </c>
      <c r="AG48" s="4"/>
      <c r="AH48" s="269" t="s">
        <v>77</v>
      </c>
      <c r="AI48" s="270"/>
      <c r="AJ48" s="270"/>
      <c r="AK48" s="270"/>
      <c r="AL48" s="270"/>
      <c r="AM48" s="271"/>
      <c r="AN48" s="271"/>
      <c r="AO48" s="271"/>
      <c r="AP48" s="271"/>
      <c r="AQ48" s="271"/>
      <c r="AR48" s="271"/>
      <c r="AS48" s="272" t="s">
        <v>141</v>
      </c>
      <c r="AT48" s="273"/>
      <c r="AU48" s="274" t="s">
        <v>142</v>
      </c>
      <c r="AV48" s="275">
        <f>SUM(AV22:AV47)</f>
        <v>2.7195479999999996</v>
      </c>
      <c r="AW48" s="4"/>
      <c r="AX48" s="198"/>
      <c r="AY48" s="199"/>
      <c r="AZ48" s="200"/>
      <c r="BA48" s="167"/>
      <c r="BB48" s="168"/>
      <c r="BC48" s="180"/>
      <c r="BD48" s="181"/>
      <c r="BE48" s="171"/>
      <c r="BF48" s="172"/>
      <c r="BG48" s="212"/>
      <c r="BH48" s="184"/>
      <c r="BI48" s="185"/>
      <c r="BJ48" s="186"/>
      <c r="BK48" s="187"/>
      <c r="BL48" s="188"/>
      <c r="BM48" s="4"/>
      <c r="BN48" s="198" t="str">
        <f t="shared" si="10"/>
        <v/>
      </c>
      <c r="BO48" s="199"/>
      <c r="BP48" s="200"/>
      <c r="BQ48" s="167"/>
      <c r="BR48" s="168"/>
      <c r="BS48" s="180"/>
      <c r="BT48" s="181" t="str">
        <f t="shared" si="11"/>
        <v/>
      </c>
      <c r="BU48" s="182"/>
      <c r="BV48" s="172" t="str">
        <f t="shared" si="8"/>
        <v/>
      </c>
      <c r="BW48" s="183"/>
      <c r="BX48" s="250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143</v>
      </c>
      <c r="D49" s="259"/>
      <c r="E49" s="259"/>
      <c r="F49" s="263"/>
      <c r="G49" s="259"/>
      <c r="H49" s="260"/>
      <c r="I49" s="268"/>
      <c r="J49" s="262">
        <v>5</v>
      </c>
      <c r="K49" s="263" t="s">
        <v>144</v>
      </c>
      <c r="L49" s="259"/>
      <c r="M49" s="259"/>
      <c r="N49" s="264"/>
      <c r="O49" s="265"/>
      <c r="P49" s="266"/>
      <c r="Q49" s="4"/>
      <c r="R49" s="276" t="s">
        <v>145</v>
      </c>
      <c r="S49" s="4"/>
      <c r="T49" s="4"/>
      <c r="U49" s="4"/>
      <c r="V49" s="4"/>
      <c r="W49" s="4"/>
      <c r="X49" s="4"/>
      <c r="Y49" s="4"/>
      <c r="AB49" s="4"/>
      <c r="AC49" s="278"/>
      <c r="AD49" s="279" t="s">
        <v>146</v>
      </c>
      <c r="AE49" s="280" t="s">
        <v>147</v>
      </c>
      <c r="AF49" s="281">
        <f>AF48*0.986</f>
        <v>6.3665734059999997</v>
      </c>
      <c r="AG49" s="4"/>
      <c r="AH49" s="276" t="s">
        <v>145</v>
      </c>
      <c r="AI49" s="4"/>
      <c r="AJ49" s="4"/>
      <c r="AK49" s="4"/>
      <c r="AL49" s="4"/>
      <c r="AM49" s="4"/>
      <c r="AN49" s="4"/>
      <c r="AO49" s="4"/>
      <c r="AR49" s="4"/>
      <c r="AS49" s="278"/>
      <c r="AT49" s="279" t="s">
        <v>146</v>
      </c>
      <c r="AU49" s="280" t="s">
        <v>147</v>
      </c>
      <c r="AV49" s="281">
        <f>AV48*0.986</f>
        <v>2.6814743279999997</v>
      </c>
      <c r="AW49" s="4"/>
      <c r="AX49" s="198"/>
      <c r="AY49" s="199"/>
      <c r="AZ49" s="200"/>
      <c r="BA49" s="167"/>
      <c r="BB49" s="168"/>
      <c r="BC49" s="180"/>
      <c r="BD49" s="181"/>
      <c r="BE49" s="171"/>
      <c r="BF49" s="172"/>
      <c r="BG49" s="183"/>
      <c r="BH49" s="184"/>
      <c r="BI49" s="185"/>
      <c r="BJ49" s="186"/>
      <c r="BK49" s="187"/>
      <c r="BL49" s="188"/>
      <c r="BM49" s="4"/>
      <c r="BN49" s="198" t="str">
        <f t="shared" si="10"/>
        <v/>
      </c>
      <c r="BO49" s="199"/>
      <c r="BP49" s="200"/>
      <c r="BQ49" s="167"/>
      <c r="BR49" s="168"/>
      <c r="BS49" s="180"/>
      <c r="BT49" s="181" t="str">
        <f t="shared" si="11"/>
        <v/>
      </c>
      <c r="BU49" s="182"/>
      <c r="BV49" s="172" t="str">
        <f t="shared" si="8"/>
        <v/>
      </c>
      <c r="BW49" s="183"/>
      <c r="BX49" s="250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148</v>
      </c>
      <c r="D50" s="259"/>
      <c r="E50" s="259"/>
      <c r="F50" s="263"/>
      <c r="G50" s="259"/>
      <c r="H50" s="260"/>
      <c r="I50" s="268"/>
      <c r="J50" s="262">
        <v>6</v>
      </c>
      <c r="K50" s="263" t="s">
        <v>149</v>
      </c>
      <c r="L50" s="259"/>
      <c r="M50" s="259"/>
      <c r="N50" s="264"/>
      <c r="O50" s="265"/>
      <c r="P50" s="266"/>
      <c r="Q50" s="4"/>
      <c r="R50" s="282"/>
      <c r="S50" s="4"/>
      <c r="T50" s="4"/>
      <c r="U50" s="4"/>
      <c r="V50" s="4"/>
      <c r="W50" s="4"/>
      <c r="X50" s="4"/>
      <c r="Y50" s="4"/>
      <c r="AB50" s="4"/>
      <c r="AC50" s="278"/>
      <c r="AD50" s="283"/>
      <c r="AE50" s="280" t="s">
        <v>150</v>
      </c>
      <c r="AF50" s="281">
        <f>AF48*0.974*0.986</f>
        <v>6.201042497443999</v>
      </c>
      <c r="AG50" s="4"/>
      <c r="AH50" s="282"/>
      <c r="AI50" s="4"/>
      <c r="AJ50" s="4"/>
      <c r="AK50" s="4"/>
      <c r="AL50" s="4"/>
      <c r="AM50" s="4"/>
      <c r="AN50" s="4"/>
      <c r="AO50" s="4"/>
      <c r="AR50" s="4"/>
      <c r="AS50" s="278"/>
      <c r="AT50" s="283"/>
      <c r="AU50" s="280" t="s">
        <v>150</v>
      </c>
      <c r="AV50" s="281">
        <f>AV48*0.974*0.986</f>
        <v>2.6117559954719995</v>
      </c>
      <c r="AW50" s="4"/>
      <c r="AX50" s="198"/>
      <c r="AY50" s="199"/>
      <c r="AZ50" s="200"/>
      <c r="BA50" s="167"/>
      <c r="BB50" s="168"/>
      <c r="BC50" s="180"/>
      <c r="BD50" s="181"/>
      <c r="BE50" s="171"/>
      <c r="BF50" s="172"/>
      <c r="BG50" s="183"/>
      <c r="BH50" s="184"/>
      <c r="BI50" s="185"/>
      <c r="BJ50" s="186"/>
      <c r="BK50" s="187"/>
      <c r="BL50" s="188"/>
      <c r="BM50" s="4"/>
      <c r="BN50" s="198" t="str">
        <f t="shared" si="10"/>
        <v/>
      </c>
      <c r="BO50" s="199"/>
      <c r="BP50" s="200"/>
      <c r="BQ50" s="167"/>
      <c r="BR50" s="168"/>
      <c r="BS50" s="180"/>
      <c r="BT50" s="181" t="str">
        <f t="shared" si="11"/>
        <v/>
      </c>
      <c r="BU50" s="182"/>
      <c r="BV50" s="172" t="str">
        <f t="shared" si="8"/>
        <v/>
      </c>
      <c r="BW50" s="183"/>
      <c r="BX50" s="250"/>
      <c r="BY50" s="185"/>
      <c r="BZ50" s="186"/>
      <c r="CA50" s="187"/>
      <c r="CB50" s="188"/>
      <c r="CG50" s="3"/>
    </row>
    <row r="51" spans="2:120" ht="15" customHeight="1" x14ac:dyDescent="0.25">
      <c r="B51" s="255">
        <v>7</v>
      </c>
      <c r="C51" s="256" t="s">
        <v>151</v>
      </c>
      <c r="D51" s="259"/>
      <c r="E51" s="259"/>
      <c r="F51" s="263"/>
      <c r="G51" s="259"/>
      <c r="H51" s="260"/>
      <c r="I51" s="268"/>
      <c r="J51" s="262">
        <v>7</v>
      </c>
      <c r="K51" s="263" t="s">
        <v>152</v>
      </c>
      <c r="L51" s="259"/>
      <c r="M51" s="259"/>
      <c r="N51" s="264"/>
      <c r="O51" s="265"/>
      <c r="P51" s="266"/>
      <c r="Q51" s="4"/>
      <c r="R51" s="282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4"/>
      <c r="AG51" s="4"/>
      <c r="AH51" s="282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4"/>
      <c r="AW51" s="4"/>
      <c r="AX51" s="198"/>
      <c r="AY51" s="199"/>
      <c r="AZ51" s="200"/>
      <c r="BA51" s="167"/>
      <c r="BB51" s="168"/>
      <c r="BC51" s="180"/>
      <c r="BD51" s="181"/>
      <c r="BE51" s="171"/>
      <c r="BF51" s="172"/>
      <c r="BG51" s="183"/>
      <c r="BH51" s="184"/>
      <c r="BI51" s="185"/>
      <c r="BJ51" s="186"/>
      <c r="BK51" s="187"/>
      <c r="BL51" s="188"/>
      <c r="BM51" s="4"/>
      <c r="BN51" s="198" t="str">
        <f t="shared" si="10"/>
        <v/>
      </c>
      <c r="BO51" s="199"/>
      <c r="BP51" s="200"/>
      <c r="BQ51" s="167"/>
      <c r="BR51" s="168"/>
      <c r="BS51" s="180"/>
      <c r="BT51" s="181" t="str">
        <f t="shared" si="11"/>
        <v/>
      </c>
      <c r="BU51" s="171"/>
      <c r="BV51" s="172" t="str">
        <f t="shared" si="8"/>
        <v/>
      </c>
      <c r="BW51" s="212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5" t="s">
        <v>153</v>
      </c>
      <c r="C52" s="286"/>
      <c r="D52" s="287"/>
      <c r="E52" s="287"/>
      <c r="F52" s="287"/>
      <c r="G52" s="287"/>
      <c r="H52" s="287"/>
      <c r="I52" s="268"/>
      <c r="J52" s="262">
        <v>8</v>
      </c>
      <c r="K52" s="263" t="s">
        <v>154</v>
      </c>
      <c r="L52" s="259"/>
      <c r="M52" s="259"/>
      <c r="N52" s="264"/>
      <c r="O52" s="265"/>
      <c r="P52" s="266"/>
      <c r="Q52" s="4"/>
      <c r="R52" s="282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4"/>
      <c r="AG52" s="4"/>
      <c r="AH52" s="282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4"/>
      <c r="AW52" s="4"/>
      <c r="AX52" s="198"/>
      <c r="AY52" s="199"/>
      <c r="AZ52" s="200"/>
      <c r="BA52" s="167"/>
      <c r="BB52" s="168"/>
      <c r="BC52" s="180"/>
      <c r="BD52" s="181"/>
      <c r="BE52" s="171"/>
      <c r="BF52" s="172"/>
      <c r="BG52" s="183"/>
      <c r="BH52" s="184"/>
      <c r="BI52" s="185"/>
      <c r="BJ52" s="186"/>
      <c r="BK52" s="187"/>
      <c r="BL52" s="188"/>
      <c r="BM52" s="4"/>
      <c r="BN52" s="198" t="str">
        <f t="shared" si="10"/>
        <v/>
      </c>
      <c r="BO52" s="199"/>
      <c r="BP52" s="200"/>
      <c r="BQ52" s="288"/>
      <c r="BR52" s="168"/>
      <c r="BS52" s="180"/>
      <c r="BT52" s="181" t="str">
        <f t="shared" si="11"/>
        <v/>
      </c>
      <c r="BU52" s="182"/>
      <c r="BV52" s="172" t="str">
        <f t="shared" si="8"/>
        <v/>
      </c>
      <c r="BW52" s="212"/>
      <c r="BX52" s="250"/>
      <c r="BY52" s="185"/>
      <c r="BZ52" s="186"/>
      <c r="CA52" s="187"/>
      <c r="CB52" s="188"/>
      <c r="CG52" s="3"/>
    </row>
    <row r="53" spans="2:120" ht="15" customHeight="1" x14ac:dyDescent="0.25">
      <c r="B53" s="289" t="s">
        <v>155</v>
      </c>
      <c r="C53" s="268"/>
      <c r="D53" s="268"/>
      <c r="E53" s="268"/>
      <c r="F53" s="268"/>
      <c r="G53" s="268"/>
      <c r="H53" s="268"/>
      <c r="I53" s="268"/>
      <c r="J53" s="290"/>
      <c r="K53" s="291"/>
      <c r="L53" s="291"/>
      <c r="M53" s="291"/>
      <c r="N53" s="292"/>
      <c r="O53" s="293"/>
      <c r="P53" s="294"/>
      <c r="Q53" s="4"/>
      <c r="R53" s="282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4"/>
      <c r="AG53" s="4"/>
      <c r="AH53" s="282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4"/>
      <c r="AW53" s="4"/>
      <c r="AX53" s="198"/>
      <c r="AY53" s="199"/>
      <c r="AZ53" s="200"/>
      <c r="BA53" s="167"/>
      <c r="BB53" s="168"/>
      <c r="BC53" s="180"/>
      <c r="BD53" s="181"/>
      <c r="BE53" s="171"/>
      <c r="BF53" s="172"/>
      <c r="BG53" s="183"/>
      <c r="BH53" s="184"/>
      <c r="BI53" s="185"/>
      <c r="BJ53" s="186"/>
      <c r="BK53" s="187"/>
      <c r="BL53" s="188"/>
      <c r="BM53" s="4"/>
      <c r="BN53" s="198" t="str">
        <f t="shared" si="10"/>
        <v/>
      </c>
      <c r="BO53" s="199"/>
      <c r="BP53" s="200"/>
      <c r="BQ53" s="167"/>
      <c r="BR53" s="168"/>
      <c r="BS53" s="180"/>
      <c r="BT53" s="181" t="str">
        <f t="shared" si="11"/>
        <v/>
      </c>
      <c r="BU53" s="171"/>
      <c r="BV53" s="172" t="str">
        <f t="shared" si="8"/>
        <v/>
      </c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5" t="s">
        <v>156</v>
      </c>
      <c r="C54" s="268"/>
      <c r="D54" s="268"/>
      <c r="E54" s="268"/>
      <c r="F54" s="268"/>
      <c r="G54" s="268"/>
      <c r="H54" s="268"/>
      <c r="I54" s="268"/>
      <c r="J54" s="296"/>
      <c r="K54" s="297"/>
      <c r="L54" s="297"/>
      <c r="M54" s="297"/>
      <c r="N54" s="298"/>
      <c r="O54" s="299"/>
      <c r="P54" s="300"/>
      <c r="Q54" s="4"/>
      <c r="R54" s="282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4"/>
      <c r="AG54" s="4"/>
      <c r="AH54" s="282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4"/>
      <c r="AW54" s="4"/>
      <c r="AX54" s="198"/>
      <c r="AY54" s="199"/>
      <c r="AZ54" s="200"/>
      <c r="BA54" s="167"/>
      <c r="BB54" s="168"/>
      <c r="BC54" s="180"/>
      <c r="BD54" s="181"/>
      <c r="BE54" s="171"/>
      <c r="BF54" s="172"/>
      <c r="BG54" s="212"/>
      <c r="BH54" s="184"/>
      <c r="BI54" s="185"/>
      <c r="BJ54" s="186"/>
      <c r="BK54" s="187"/>
      <c r="BL54" s="188"/>
      <c r="BM54" s="4"/>
      <c r="BN54" s="198" t="str">
        <f t="shared" si="10"/>
        <v/>
      </c>
      <c r="BO54" s="199"/>
      <c r="BP54" s="200"/>
      <c r="BQ54" s="288"/>
      <c r="BR54" s="168"/>
      <c r="BS54" s="180"/>
      <c r="BT54" s="181" t="str">
        <f t="shared" si="11"/>
        <v/>
      </c>
      <c r="BU54" s="171"/>
      <c r="BV54" s="172" t="str">
        <f t="shared" si="8"/>
        <v/>
      </c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5" t="s">
        <v>157</v>
      </c>
      <c r="C55" s="268"/>
      <c r="D55" s="268"/>
      <c r="E55" s="268"/>
      <c r="F55" s="268"/>
      <c r="G55" s="268"/>
      <c r="H55" s="268"/>
      <c r="I55" s="268"/>
      <c r="J55" s="301" t="s">
        <v>158</v>
      </c>
      <c r="K55" s="293"/>
      <c r="L55" s="287"/>
      <c r="M55" s="287"/>
      <c r="N55" s="302"/>
      <c r="O55" s="259"/>
      <c r="P55" s="303"/>
      <c r="Q55" s="4"/>
      <c r="R55" s="282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4"/>
      <c r="AG55" s="4"/>
      <c r="AH55" s="282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4"/>
      <c r="AW55" s="4"/>
      <c r="AX55" s="198"/>
      <c r="AY55" s="199"/>
      <c r="AZ55" s="200"/>
      <c r="BA55" s="167"/>
      <c r="BB55" s="168"/>
      <c r="BC55" s="180"/>
      <c r="BD55" s="181"/>
      <c r="BE55" s="171"/>
      <c r="BF55" s="172"/>
      <c r="BG55" s="212"/>
      <c r="BH55" s="184"/>
      <c r="BI55" s="185"/>
      <c r="BJ55" s="186"/>
      <c r="BK55" s="187"/>
      <c r="BL55" s="188"/>
      <c r="BM55" s="4"/>
      <c r="BN55" s="198" t="str">
        <f t="shared" si="10"/>
        <v/>
      </c>
      <c r="BO55" s="199"/>
      <c r="BP55" s="200"/>
      <c r="BQ55" s="167"/>
      <c r="BR55" s="168"/>
      <c r="BS55" s="180"/>
      <c r="BT55" s="181" t="str">
        <f t="shared" si="11"/>
        <v/>
      </c>
      <c r="BU55" s="171"/>
      <c r="BV55" s="172" t="str">
        <f t="shared" si="8"/>
        <v/>
      </c>
      <c r="BW55" s="212"/>
      <c r="BX55" s="184"/>
      <c r="BY55" s="185"/>
      <c r="BZ55" s="186"/>
      <c r="CA55" s="187"/>
      <c r="CB55" s="188"/>
    </row>
    <row r="56" spans="2:120" ht="15.6" x14ac:dyDescent="0.25">
      <c r="B56" s="304"/>
      <c r="C56" s="268"/>
      <c r="D56" s="268"/>
      <c r="E56" s="268"/>
      <c r="F56" s="268"/>
      <c r="G56" s="268"/>
      <c r="H56" s="268"/>
      <c r="I56" s="268"/>
      <c r="J56" s="305" t="s">
        <v>159</v>
      </c>
      <c r="K56" s="306"/>
      <c r="L56" s="306"/>
      <c r="M56" s="306"/>
      <c r="N56" s="307"/>
      <c r="O56" s="308" t="s">
        <v>160</v>
      </c>
      <c r="P56" s="309"/>
      <c r="Q56" s="4"/>
      <c r="R56" s="282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4"/>
      <c r="AG56" s="4"/>
      <c r="AH56" s="282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4"/>
      <c r="AW56" s="4"/>
      <c r="AX56" s="198"/>
      <c r="AY56" s="199"/>
      <c r="AZ56" s="200"/>
      <c r="BA56" s="167"/>
      <c r="BB56" s="168"/>
      <c r="BC56" s="180"/>
      <c r="BD56" s="181"/>
      <c r="BE56" s="171"/>
      <c r="BF56" s="172"/>
      <c r="BG56" s="212"/>
      <c r="BH56" s="184"/>
      <c r="BI56" s="185"/>
      <c r="BJ56" s="186"/>
      <c r="BK56" s="187"/>
      <c r="BL56" s="188"/>
      <c r="BM56" s="4"/>
      <c r="BN56" s="198" t="str">
        <f t="shared" si="10"/>
        <v/>
      </c>
      <c r="BO56" s="199"/>
      <c r="BP56" s="200"/>
      <c r="BQ56" s="167"/>
      <c r="BR56" s="168"/>
      <c r="BS56" s="180"/>
      <c r="BT56" s="181" t="str">
        <f t="shared" si="11"/>
        <v/>
      </c>
      <c r="BU56" s="171"/>
      <c r="BV56" s="172" t="str">
        <f t="shared" si="8"/>
        <v/>
      </c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10"/>
      <c r="C57" s="311"/>
      <c r="D57" s="311"/>
      <c r="E57" s="311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312"/>
      <c r="Q57" s="4"/>
      <c r="R57" s="282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4"/>
      <c r="AG57" s="4"/>
      <c r="AH57" s="282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4"/>
      <c r="AW57" s="4"/>
      <c r="AX57" s="198"/>
      <c r="AY57" s="199"/>
      <c r="AZ57" s="200"/>
      <c r="BA57" s="167"/>
      <c r="BB57" s="168"/>
      <c r="BC57" s="180"/>
      <c r="BD57" s="181"/>
      <c r="BE57" s="171"/>
      <c r="BF57" s="172"/>
      <c r="BG57" s="212"/>
      <c r="BH57" s="184"/>
      <c r="BI57" s="185"/>
      <c r="BJ57" s="186"/>
      <c r="BK57" s="187"/>
      <c r="BL57" s="188"/>
      <c r="BM57" s="4"/>
      <c r="BN57" s="198" t="str">
        <f t="shared" si="10"/>
        <v/>
      </c>
      <c r="BO57" s="199"/>
      <c r="BP57" s="200"/>
      <c r="BQ57" s="167"/>
      <c r="BR57" s="168"/>
      <c r="BS57" s="180"/>
      <c r="BT57" s="181" t="str">
        <f t="shared" si="11"/>
        <v/>
      </c>
      <c r="BU57" s="171"/>
      <c r="BV57" s="172" t="str">
        <f t="shared" si="8"/>
        <v/>
      </c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10"/>
      <c r="C58" s="311"/>
      <c r="D58" s="311"/>
      <c r="E58" s="311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312"/>
      <c r="Q58" s="4"/>
      <c r="R58" s="282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4"/>
      <c r="AG58" s="4"/>
      <c r="AH58" s="282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4"/>
      <c r="AW58" s="4"/>
      <c r="AX58" s="198"/>
      <c r="AY58" s="199"/>
      <c r="AZ58" s="200"/>
      <c r="BA58" s="167"/>
      <c r="BB58" s="168"/>
      <c r="BC58" s="180"/>
      <c r="BD58" s="181"/>
      <c r="BE58" s="171"/>
      <c r="BF58" s="172"/>
      <c r="BG58" s="212"/>
      <c r="BH58" s="184"/>
      <c r="BI58" s="185"/>
      <c r="BJ58" s="186"/>
      <c r="BK58" s="187"/>
      <c r="BL58" s="188"/>
      <c r="BM58" s="4"/>
      <c r="BN58" s="213" t="str">
        <f t="shared" si="10"/>
        <v/>
      </c>
      <c r="BO58" s="199"/>
      <c r="BP58" s="200"/>
      <c r="BQ58" s="288"/>
      <c r="BR58" s="168"/>
      <c r="BS58" s="180"/>
      <c r="BT58" s="181" t="str">
        <f t="shared" ref="BT58:BT60" si="15">IF(BQ58&gt;"",VLOOKUP(BQ58&amp;$M$10,PART_MASTER,3,FALSE),"")</f>
        <v/>
      </c>
      <c r="BU58" s="171"/>
      <c r="BV58" s="172" t="str">
        <f t="shared" si="8"/>
        <v/>
      </c>
      <c r="BW58" s="183"/>
      <c r="BX58" s="250"/>
      <c r="BY58" s="185"/>
      <c r="BZ58" s="186"/>
      <c r="CA58" s="205"/>
      <c r="CB58" s="313"/>
      <c r="CG58" s="3"/>
    </row>
    <row r="59" spans="2:120" ht="15" customHeight="1" x14ac:dyDescent="0.25">
      <c r="B59" s="310"/>
      <c r="C59" s="311"/>
      <c r="D59" s="311"/>
      <c r="E59" s="311"/>
      <c r="F59" s="311"/>
      <c r="G59" s="311"/>
      <c r="H59" s="311"/>
      <c r="I59" s="268"/>
      <c r="J59" s="268"/>
      <c r="K59" s="268"/>
      <c r="L59" s="314"/>
      <c r="M59" s="314"/>
      <c r="N59" s="314"/>
      <c r="O59" s="314"/>
      <c r="P59" s="312"/>
      <c r="Q59" s="4"/>
      <c r="R59" s="282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4"/>
      <c r="AG59" s="4"/>
      <c r="AH59" s="282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4"/>
      <c r="AW59" s="4"/>
      <c r="AX59" s="198"/>
      <c r="AY59" s="199"/>
      <c r="AZ59" s="200"/>
      <c r="BA59" s="167"/>
      <c r="BB59" s="168"/>
      <c r="BC59" s="180"/>
      <c r="BD59" s="181"/>
      <c r="BE59" s="171"/>
      <c r="BF59" s="172"/>
      <c r="BG59" s="212"/>
      <c r="BH59" s="184"/>
      <c r="BI59" s="185"/>
      <c r="BJ59" s="186"/>
      <c r="BK59" s="187"/>
      <c r="BL59" s="188"/>
      <c r="BM59" s="4"/>
      <c r="BN59" s="213" t="str">
        <f t="shared" si="10"/>
        <v/>
      </c>
      <c r="BO59" s="199"/>
      <c r="BP59" s="200"/>
      <c r="BQ59" s="167"/>
      <c r="BR59" s="168"/>
      <c r="BS59" s="180"/>
      <c r="BT59" s="181" t="str">
        <f t="shared" si="15"/>
        <v/>
      </c>
      <c r="BU59" s="171"/>
      <c r="BV59" s="172" t="str">
        <f t="shared" si="8"/>
        <v/>
      </c>
      <c r="BW59" s="183"/>
      <c r="BX59" s="250"/>
      <c r="BY59" s="185"/>
      <c r="BZ59" s="186"/>
      <c r="CA59" s="205"/>
      <c r="CB59" s="313"/>
    </row>
    <row r="60" spans="2:120" ht="15" customHeight="1" thickBot="1" x14ac:dyDescent="0.3">
      <c r="B60" s="315"/>
      <c r="C60" s="316"/>
      <c r="D60" s="316"/>
      <c r="E60" s="316"/>
      <c r="F60" s="316"/>
      <c r="G60" s="316"/>
      <c r="H60" s="316"/>
      <c r="I60" s="316"/>
      <c r="J60" s="316"/>
      <c r="K60" s="316"/>
      <c r="L60" s="316" t="s">
        <v>161</v>
      </c>
      <c r="M60" s="316"/>
      <c r="N60" s="316"/>
      <c r="O60" s="316"/>
      <c r="P60" s="317"/>
      <c r="Q60" s="4"/>
      <c r="R60" s="318"/>
      <c r="S60" s="319"/>
      <c r="T60" s="319"/>
      <c r="U60" s="319"/>
      <c r="V60" s="319"/>
      <c r="W60" s="319"/>
      <c r="X60" s="319"/>
      <c r="Y60" s="319"/>
      <c r="Z60" s="319"/>
      <c r="AA60" s="319"/>
      <c r="AB60" s="319"/>
      <c r="AC60" s="319"/>
      <c r="AD60" s="319"/>
      <c r="AE60" s="319"/>
      <c r="AF60" s="320"/>
      <c r="AG60" s="4"/>
      <c r="AH60" s="318"/>
      <c r="AI60" s="319"/>
      <c r="AJ60" s="319"/>
      <c r="AK60" s="319"/>
      <c r="AL60" s="319"/>
      <c r="AM60" s="319"/>
      <c r="AN60" s="319"/>
      <c r="AO60" s="319"/>
      <c r="AP60" s="319"/>
      <c r="AQ60" s="319"/>
      <c r="AR60" s="319"/>
      <c r="AS60" s="319"/>
      <c r="AT60" s="319"/>
      <c r="AU60" s="319"/>
      <c r="AV60" s="320"/>
      <c r="AW60" s="4"/>
      <c r="AX60" s="213" t="str">
        <f t="shared" ref="AX60:AX62" si="16">IF(BA60&gt;"",VLOOKUP(BA60,PART_NAMA,3,FALSE),"")</f>
        <v/>
      </c>
      <c r="AY60" s="199"/>
      <c r="AZ60" s="200"/>
      <c r="BA60" s="167"/>
      <c r="BB60" s="168"/>
      <c r="BC60" s="180"/>
      <c r="BD60" s="181" t="str">
        <f t="shared" ref="BD60:BD62" si="17">IF(BA60&gt;"",VLOOKUP(BA60&amp;$M$10,PART_MASTER,3,FALSE),"")</f>
        <v/>
      </c>
      <c r="BE60" s="171"/>
      <c r="BF60" s="172" t="str">
        <f t="shared" ref="BF60" si="18">IF(BE60="","",Q*BE60)</f>
        <v/>
      </c>
      <c r="BG60" s="183"/>
      <c r="BH60" s="250"/>
      <c r="BI60" s="185"/>
      <c r="BJ60" s="186"/>
      <c r="BK60" s="205"/>
      <c r="BL60" s="313"/>
      <c r="BM60" s="4"/>
      <c r="BN60" s="213" t="str">
        <f t="shared" si="10"/>
        <v/>
      </c>
      <c r="BO60" s="199"/>
      <c r="BP60" s="200"/>
      <c r="BQ60" s="167"/>
      <c r="BR60" s="168"/>
      <c r="BS60" s="180"/>
      <c r="BT60" s="181" t="str">
        <f t="shared" si="15"/>
        <v/>
      </c>
      <c r="BU60" s="171"/>
      <c r="BV60" s="172" t="str">
        <f t="shared" ref="BV60" si="19">IF(BU60="","",Q*BU60)</f>
        <v/>
      </c>
      <c r="BW60" s="183"/>
      <c r="BX60" s="250"/>
      <c r="BY60" s="185"/>
      <c r="BZ60" s="186"/>
      <c r="CA60" s="205"/>
      <c r="CB60" s="313"/>
      <c r="CG60" s="3"/>
    </row>
    <row r="61" spans="2:120" ht="15" customHeight="1" x14ac:dyDescent="0.3">
      <c r="P61" s="321" t="s">
        <v>162</v>
      </c>
      <c r="R61" s="322"/>
      <c r="S61" s="322"/>
      <c r="T61" s="322"/>
      <c r="U61" s="322"/>
      <c r="V61" s="322"/>
      <c r="W61" s="322"/>
      <c r="X61" s="322"/>
      <c r="Y61" s="322"/>
      <c r="Z61" s="322"/>
      <c r="AA61" s="322"/>
      <c r="AB61" s="322"/>
      <c r="AC61" s="322"/>
      <c r="AD61" s="322"/>
      <c r="AE61" s="322"/>
      <c r="AF61" s="321" t="s">
        <v>162</v>
      </c>
      <c r="AH61" s="322"/>
      <c r="AI61" s="322"/>
      <c r="AJ61" s="322"/>
      <c r="AK61" s="322"/>
      <c r="AL61" s="322"/>
      <c r="AM61" s="322"/>
      <c r="AN61" s="322"/>
      <c r="AO61" s="322"/>
      <c r="AP61" s="322"/>
      <c r="AQ61" s="322"/>
      <c r="AR61" s="322"/>
      <c r="AS61" s="322"/>
      <c r="AT61" s="322"/>
      <c r="AU61" s="322"/>
      <c r="AV61" s="321" t="s">
        <v>162</v>
      </c>
      <c r="AX61" s="322"/>
      <c r="AY61" s="322"/>
      <c r="AZ61" s="322"/>
      <c r="BA61" s="322"/>
      <c r="BB61" s="322"/>
      <c r="BC61" s="322"/>
      <c r="BD61" s="322"/>
      <c r="BE61" s="322"/>
      <c r="BF61" s="322"/>
      <c r="BG61" s="322"/>
      <c r="BH61" s="322"/>
      <c r="BI61" s="322"/>
      <c r="BJ61" s="322"/>
      <c r="BK61" s="322"/>
      <c r="BL61" s="321" t="s">
        <v>162</v>
      </c>
      <c r="BN61" s="322"/>
      <c r="BO61" s="322"/>
      <c r="BP61" s="322"/>
      <c r="BQ61" s="322"/>
      <c r="BR61" s="322"/>
      <c r="BS61" s="322"/>
      <c r="BT61" s="322"/>
      <c r="BU61" s="322"/>
      <c r="BV61" s="322"/>
      <c r="BW61" s="322"/>
      <c r="BX61" s="322"/>
      <c r="BY61" s="322"/>
      <c r="BZ61" s="322"/>
      <c r="CA61" s="322"/>
      <c r="CB61" s="321" t="s">
        <v>162</v>
      </c>
    </row>
    <row r="63" spans="2:120" x14ac:dyDescent="0.25">
      <c r="BT63" s="323"/>
    </row>
    <row r="64" spans="2:120" x14ac:dyDescent="0.25">
      <c r="BT64" s="323"/>
    </row>
    <row r="65" spans="72:72" x14ac:dyDescent="0.25">
      <c r="BT65" s="323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FIX_CAR-KD_FIX</vt:lpstr>
      <vt:lpstr>'FIX_CAR-KD_FIX'!A.</vt:lpstr>
      <vt:lpstr>'FIX_CAR-KD_FIX'!C.</vt:lpstr>
      <vt:lpstr>'FIX_CAR-KD_FIX'!F.</vt:lpstr>
      <vt:lpstr>'FIX_CAR-KD_FIX'!GCS</vt:lpstr>
      <vt:lpstr>'FIX_CAR-KD_FIX'!GTH</vt:lpstr>
      <vt:lpstr>'FIX_CAR-KD_FIX'!H</vt:lpstr>
      <vt:lpstr>'FIX_CAR-KD_FIX'!h.1</vt:lpstr>
      <vt:lpstr>'FIX_CAR-KD_FIX'!h.10</vt:lpstr>
      <vt:lpstr>'FIX_CAR-KD_FIX'!h.2</vt:lpstr>
      <vt:lpstr>'FIX_CAR-KD_FIX'!h.3</vt:lpstr>
      <vt:lpstr>'FIX_CAR-KD_FIX'!h.4</vt:lpstr>
      <vt:lpstr>'FIX_CAR-KD_FIX'!h.5</vt:lpstr>
      <vt:lpstr>'FIX_CAR-KD_FIX'!h.6</vt:lpstr>
      <vt:lpstr>'FIX_CAR-KD_FIX'!h.7</vt:lpstr>
      <vt:lpstr>'FIX_CAR-KD_FIX'!h.8</vt:lpstr>
      <vt:lpstr>'FIX_CAR-KD_FIX'!h.9</vt:lpstr>
      <vt:lpstr>'FIX_CAR-KD_FIX'!HS</vt:lpstr>
      <vt:lpstr>'FIX_CAR-KD_FIX'!HS.1</vt:lpstr>
      <vt:lpstr>'FIX_CAR-KD_FIX'!HS.2</vt:lpstr>
      <vt:lpstr>'FIX_CAR-KD_FIX'!HS.3</vt:lpstr>
      <vt:lpstr>'FIX_CAR-KD_FIX'!HS.4</vt:lpstr>
      <vt:lpstr>'FIX_CAR-KD_FIX'!HS.5</vt:lpstr>
      <vt:lpstr>'FIX_CAR-KD_FIX'!Print_Area</vt:lpstr>
      <vt:lpstr>'FIX_CAR-KD_FIX'!Q</vt:lpstr>
      <vt:lpstr>'FIX_CAR-KD_FIX'!R.</vt:lpstr>
      <vt:lpstr>'FIX_CAR-KD_FIX'!W</vt:lpstr>
      <vt:lpstr>'FIX_CAR-KD_FIX'!w.1</vt:lpstr>
      <vt:lpstr>'FIX_CAR-KD_FIX'!w.10</vt:lpstr>
      <vt:lpstr>'FIX_CAR-KD_FIX'!w.2</vt:lpstr>
      <vt:lpstr>'FIX_CAR-KD_FIX'!w.3</vt:lpstr>
      <vt:lpstr>'FIX_CAR-KD_FIX'!w.4</vt:lpstr>
      <vt:lpstr>'FIX_CAR-KD_FIX'!w.5</vt:lpstr>
      <vt:lpstr>'FIX_CAR-KD_FIX'!w.6</vt:lpstr>
      <vt:lpstr>'FIX_CAR-KD_FIX'!w.7</vt:lpstr>
      <vt:lpstr>'FIX_CAR-KD_FIX'!w.8</vt:lpstr>
      <vt:lpstr>'FIX_CAR-KD_FIX'!w.9</vt:lpstr>
      <vt:lpstr>'FIX_CAR-KD_FIX'!WS</vt:lpstr>
      <vt:lpstr>'FIX_CAR-KD_FIX'!WS.1</vt:lpstr>
      <vt:lpstr>'FIX_CAR-KD_FIX'!WS.2</vt:lpstr>
      <vt:lpstr>'FIX_CAR-KD_FIX'!WS.3</vt:lpstr>
      <vt:lpstr>'FIX_CAR-KD_FIX'!WS.4</vt:lpstr>
      <vt:lpstr>'FIX_CAR-KD_FIX'!WS.5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2024-07-30T03:09:10Z</dcterms:created>
  <dcterms:modified xsi:type="dcterms:W3CDTF">2024-08-14T08:33:10Z</dcterms:modified>
</cp:coreProperties>
</file>