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2B38DFC-AC91-4CF3-B71E-9AE5F7E6236E}" xr6:coauthVersionLast="47" xr6:coauthVersionMax="47" xr10:uidLastSave="{00000000-0000-0000-0000-000000000000}"/>
  <bookViews>
    <workbookView xWindow="-108" yWindow="-108" windowWidth="23256" windowHeight="12456" xr2:uid="{E68C7C8C-F084-452C-944D-1EAB263B6887}"/>
  </bookViews>
  <sheets>
    <sheet name="FIX_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'FIX_CAR-KD_FIX'!$P$18</definedName>
    <definedName name="BD">"BD"</definedName>
    <definedName name="C." localSheetId="0">'FIX_CAR-KD_FIX'!$P$17</definedName>
    <definedName name="F." localSheetId="0">'FIX_CAR-KD_FIX'!$P$16</definedName>
    <definedName name="GCS" localSheetId="0">'FIX_CAR-KD_FIX'!$O$12</definedName>
    <definedName name="GTH" localSheetId="0">'FIX_CAR-KD_FIX'!$O$11</definedName>
    <definedName name="H" localSheetId="0">'FIX_CAR-KD_FIX'!$E$12</definedName>
    <definedName name="h.1" localSheetId="0">'FIX_CAR-KD_FIX'!$C$14</definedName>
    <definedName name="h.10" localSheetId="0">'FIX_CAR-KD_FIX'!$E$18</definedName>
    <definedName name="h.2" localSheetId="0">'FIX_CAR-KD_FIX'!$C$15</definedName>
    <definedName name="h.3" localSheetId="0">'FIX_CAR-KD_FIX'!$C$16</definedName>
    <definedName name="h.4" localSheetId="0">'FIX_CAR-KD_FIX'!$C$17</definedName>
    <definedName name="h.5" localSheetId="0">'FIX_CAR-KD_FIX'!$C$18</definedName>
    <definedName name="h.6" localSheetId="0">'FIX_CAR-KD_FIX'!$E$14</definedName>
    <definedName name="h.7" localSheetId="0">'FIX_CAR-KD_FIX'!$E$15</definedName>
    <definedName name="h.8" localSheetId="0">'FIX_CAR-KD_FIX'!$E$16</definedName>
    <definedName name="h.9" localSheetId="0">'FIX_CAR-KD_FIX'!$E$17</definedName>
    <definedName name="HS" localSheetId="0">'FIX_CAR-KD_FIX'!$H$12</definedName>
    <definedName name="HS.1" localSheetId="0">'FIX_CAR-KD_FIX'!$L$14</definedName>
    <definedName name="HS.2" localSheetId="0">'FIX_CAR-KD_FIX'!$L$15</definedName>
    <definedName name="HS.3" localSheetId="0">'FIX_CAR-KD_FIX'!$L$16</definedName>
    <definedName name="HS.4" localSheetId="0">'FIX_CAR-KD_FIX'!$L$17</definedName>
    <definedName name="HS.5" localSheetId="0">'FIX_CAR-KD_FIX'!$L$18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'FIX_CAR-KD_FIX'!$1:$61</definedName>
    <definedName name="Q" localSheetId="0">'FIX_CAR-KD_FIX'!$I$11</definedName>
    <definedName name="R." localSheetId="0">'FIX_CAR-KD_FIX'!$C$62</definedName>
    <definedName name="st" hidden="1">[6]Gra_Ord_In_2000!$BA$12:$BA$1655</definedName>
    <definedName name="W" localSheetId="0">'FIX_CAR-KD_FIX'!$E$11</definedName>
    <definedName name="w.1" localSheetId="0">'FIX_CAR-KD_FIX'!$H$14</definedName>
    <definedName name="w.10" localSheetId="0">'FIX_CAR-KD_FIX'!$J$18</definedName>
    <definedName name="w.2" localSheetId="0">'FIX_CAR-KD_FIX'!$H$15</definedName>
    <definedName name="w.3" localSheetId="0">'FIX_CAR-KD_FIX'!$H$16</definedName>
    <definedName name="w.4" localSheetId="0">'FIX_CAR-KD_FIX'!$H$17</definedName>
    <definedName name="w.5" localSheetId="0">'FIX_CAR-KD_FIX'!$H$18</definedName>
    <definedName name="w.6" localSheetId="0">'FIX_CAR-KD_FIX'!$J$14</definedName>
    <definedName name="w.7" localSheetId="0">'FIX_CAR-KD_FIX'!$J$15</definedName>
    <definedName name="w.8" localSheetId="0">'FIX_CAR-KD_FIX'!$J$16</definedName>
    <definedName name="w.9" localSheetId="0">'FIX_CAR-KD_FIX'!$J$17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'FIX_CAR-KD_FIX'!$L$12</definedName>
    <definedName name="WS.1" localSheetId="0">'FIX_CAR-KD_FIX'!$N$14</definedName>
    <definedName name="WS.2" localSheetId="0">'FIX_CAR-KD_FIX'!$N$15</definedName>
    <definedName name="WS.3" localSheetId="0">'FIX_CAR-KD_FIX'!$N$16</definedName>
    <definedName name="WS.4" localSheetId="0">'FIX_CAR-KD_FIX'!$N$17</definedName>
    <definedName name="WS.5" localSheetId="0">'FIX_CAR-KD_FIX'!$N$18</definedName>
    <definedName name="Z_8BD11290_77B3_4D27_9040_BB9D2A7264B2_.wvu.PrintArea" localSheetId="0" hidden="1">'FIX_CAR-KD_FIX'!$1:$61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28" i="1"/>
  <c r="BU27" i="1"/>
  <c r="BF60" i="1"/>
  <c r="BD60" i="1"/>
  <c r="AX60" i="1"/>
  <c r="BE38" i="1"/>
  <c r="BF38" i="1" s="1"/>
  <c r="BE37" i="1"/>
  <c r="BF37" i="1" s="1"/>
  <c r="BE36" i="1"/>
  <c r="BF36" i="1" s="1"/>
  <c r="BE34" i="1"/>
  <c r="BF34" i="1" s="1"/>
  <c r="BE32" i="1"/>
  <c r="BF32" i="1" s="1"/>
  <c r="BQ34" i="1"/>
  <c r="BQ23" i="1"/>
  <c r="BA32" i="1"/>
  <c r="BA22" i="1"/>
  <c r="X24" i="1"/>
  <c r="X23" i="1"/>
  <c r="X32" i="1"/>
  <c r="X31" i="1"/>
  <c r="X30" i="1"/>
  <c r="X29" i="1"/>
  <c r="X28" i="1"/>
  <c r="X27" i="1"/>
  <c r="X26" i="1"/>
  <c r="X25" i="1"/>
  <c r="X22" i="1"/>
  <c r="AB29" i="1"/>
  <c r="AB28" i="1"/>
  <c r="W29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BF44" i="1"/>
  <c r="BD44" i="1"/>
  <c r="AX44" i="1"/>
  <c r="AV44" i="1"/>
  <c r="AU44" i="1"/>
  <c r="AP44" i="1"/>
  <c r="AL44" i="1"/>
  <c r="BF43" i="1"/>
  <c r="BD43" i="1"/>
  <c r="AX43" i="1"/>
  <c r="AV43" i="1"/>
  <c r="AU43" i="1"/>
  <c r="AP43" i="1"/>
  <c r="AL43" i="1"/>
  <c r="AV42" i="1"/>
  <c r="AU42" i="1"/>
  <c r="AP42" i="1"/>
  <c r="AL42" i="1"/>
  <c r="P42" i="1"/>
  <c r="O42" i="1"/>
  <c r="F42" i="1"/>
  <c r="AV41" i="1"/>
  <c r="AU41" i="1"/>
  <c r="AP41" i="1"/>
  <c r="AL41" i="1"/>
  <c r="BF40" i="1"/>
  <c r="AV40" i="1"/>
  <c r="AU40" i="1"/>
  <c r="AP40" i="1"/>
  <c r="AL40" i="1"/>
  <c r="BF39" i="1"/>
  <c r="AV39" i="1"/>
  <c r="AU39" i="1"/>
  <c r="AP39" i="1"/>
  <c r="AL39" i="1"/>
  <c r="AV38" i="1"/>
  <c r="AU38" i="1"/>
  <c r="AP38" i="1"/>
  <c r="AL38" i="1"/>
  <c r="BV37" i="1"/>
  <c r="BT37" i="1"/>
  <c r="BN37" i="1"/>
  <c r="AV37" i="1"/>
  <c r="AU37" i="1"/>
  <c r="AP37" i="1"/>
  <c r="AL37" i="1"/>
  <c r="BV36" i="1"/>
  <c r="BT36" i="1"/>
  <c r="BN36" i="1"/>
  <c r="AV36" i="1"/>
  <c r="AU36" i="1"/>
  <c r="AP36" i="1"/>
  <c r="AL36" i="1"/>
  <c r="BF35" i="1"/>
  <c r="BV34" i="1"/>
  <c r="AF34" i="1"/>
  <c r="AE34" i="1"/>
  <c r="Z34" i="1"/>
  <c r="V34" i="1"/>
  <c r="BV33" i="1"/>
  <c r="BF33" i="1"/>
  <c r="AF33" i="1"/>
  <c r="AE33" i="1"/>
  <c r="Z33" i="1"/>
  <c r="V33" i="1"/>
  <c r="BV32" i="1"/>
  <c r="AE32" i="1"/>
  <c r="Z32" i="1"/>
  <c r="V32" i="1"/>
  <c r="BV31" i="1"/>
  <c r="BF31" i="1"/>
  <c r="AE31" i="1"/>
  <c r="Z31" i="1"/>
  <c r="V31" i="1"/>
  <c r="BV30" i="1"/>
  <c r="B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Z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S25" i="1"/>
  <c r="AP25" i="1"/>
  <c r="AL25" i="1"/>
  <c r="AE25" i="1"/>
  <c r="Z25" i="1"/>
  <c r="V25" i="1"/>
  <c r="BV24" i="1"/>
  <c r="BF24" i="1"/>
  <c r="AU24" i="1"/>
  <c r="AP24" i="1"/>
  <c r="AL24" i="1"/>
  <c r="AE24" i="1"/>
  <c r="Z24" i="1"/>
  <c r="V24" i="1"/>
  <c r="BV23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BL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BF41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AD14" i="1" s="1"/>
  <c r="L14" i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A3" i="1"/>
  <c r="AK3" i="1"/>
  <c r="E3" i="1"/>
  <c r="U3" i="1" s="1"/>
  <c r="AF2" i="1"/>
  <c r="AV2" i="1" s="1"/>
  <c r="BL2" i="1" s="1"/>
  <c r="CB2" i="1" s="1"/>
  <c r="BV28" i="1" l="1"/>
  <c r="AF30" i="1"/>
  <c r="AF24" i="1"/>
  <c r="AF26" i="1"/>
  <c r="AF22" i="1"/>
  <c r="AF25" i="1"/>
  <c r="AF27" i="1"/>
  <c r="AF23" i="1"/>
  <c r="AF28" i="1"/>
  <c r="AF29" i="1"/>
  <c r="AE4" i="1"/>
  <c r="AU4" i="1"/>
  <c r="BQ3" i="1"/>
  <c r="BJ12" i="1"/>
  <c r="BJ14" i="1"/>
  <c r="AS22" i="1"/>
  <c r="AN23" i="1"/>
  <c r="AV23" i="1" s="1"/>
  <c r="BK4" i="1"/>
  <c r="AD12" i="1"/>
  <c r="AT14" i="1"/>
  <c r="AN27" i="1"/>
  <c r="AV27" i="1" s="1"/>
  <c r="BZ14" i="1"/>
  <c r="AN22" i="1"/>
  <c r="AV22" i="1" s="1"/>
  <c r="AV48" i="1" s="1"/>
  <c r="AA10" i="1"/>
  <c r="BW10" i="1"/>
  <c r="BZ12" i="1"/>
  <c r="AB14" i="1"/>
  <c r="AI16" i="1"/>
  <c r="AS23" i="1"/>
  <c r="AN24" i="1"/>
  <c r="AV24" i="1" s="1"/>
  <c r="AM25" i="1"/>
  <c r="AN26" i="1"/>
  <c r="AV26" i="1" s="1"/>
  <c r="AN25" i="1"/>
  <c r="AV25" i="1" s="1"/>
  <c r="BV27" i="1"/>
  <c r="AF32" i="1"/>
  <c r="BV35" i="1"/>
  <c r="AF31" i="1"/>
  <c r="AF48" i="1" l="1"/>
  <c r="AF49" i="1" s="1"/>
  <c r="AV50" i="1"/>
  <c r="AV49" i="1"/>
  <c r="AF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0AE8A78-35CB-4B83-912F-2C68F6164A8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9FB5789-88F6-41A1-A417-D15B963C13C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0120CC3-0238-4E81-9AAB-DF13825DC1D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<sst xmlns="http://schemas.openxmlformats.org/spreadsheetml/2006/main" count="562" uniqueCount="195">
  <si>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</si>
  <si>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</si>
  <si>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</si>
  <si>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</si>
  <si>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</si>
  <si>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</si>
  <si>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</si>
  <si>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</si>
  <si>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</si>
  <si>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</si>
  <si>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</si>
  <si>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</si>
  <si>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</si>
  <si>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</si>
  <si>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</si>
  <si>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CAR-KD FIX NM</t>
  </si>
  <si>
    <t>Delivery Date</t>
  </si>
  <si>
    <t>Elevation Code</t>
  </si>
  <si>
    <t>52F/CR/F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</si>
  <si>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</si>
  <si>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</si>
  <si>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</si>
  <si>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U9E-51031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</si>
  <si>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</si>
  <si>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</si>
  <si>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</si>
  <si>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</si>
  <si>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</si>
  <si>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</si>
  <si>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</si>
  <si>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</si>
  <si>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</si>
  <si>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</si>
  <si>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</si>
  <si>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</si>
  <si>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</si>
  <si>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</si>
  <si>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</si>
  <si>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</si>
  <si>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</si>
  <si>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</si>
  <si>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</si>
  <si>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</si>
  <si>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</si>
  <si>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</si>
  <si>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</si>
  <si>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</si>
  <si>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</si>
  <si>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</si>
  <si>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</si>
  <si>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</si>
  <si>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</si>
  <si>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</si>
  <si>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</si>
  <si>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</si>
  <si>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</si>
  <si>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</si>
  <si>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</si>
  <si>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</si>
  <si>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</si>
  <si>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</si>
  <si>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</si>
  <si>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</si>
  <si>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</si>
  <si>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</si>
  <si>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</si>
  <si>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</si>
  <si>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</si>
  <si>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</si>
  <si>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</si>
  <si>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</si>
  <si>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</si>
  <si>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</si>
  <si>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</si>
  <si>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</si>
  <si>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</si>
  <si>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</si>
  <si>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</si>
  <si>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</si>
  <si>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</si>
  <si>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</si>
  <si>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</si>
  <si>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</si>
  <si>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</si>
  <si>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</si>
  <si>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</si>
  <si>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</si>
  <si>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9K-87102</t>
  </si>
  <si>
    <t>BOTTOM RAIL</t>
  </si>
  <si>
    <t>9K-11090</t>
  </si>
  <si>
    <t>TRANSOM</t>
  </si>
  <si>
    <t>9K-87116</t>
  </si>
  <si>
    <t>STILE(L)</t>
  </si>
  <si>
    <t>9K-87137</t>
  </si>
  <si>
    <t>2K-30630</t>
  </si>
  <si>
    <t>9K-87131</t>
  </si>
  <si>
    <t>STILE(R)</t>
  </si>
  <si>
    <t>9K-20754</t>
  </si>
  <si>
    <t>M</t>
  </si>
  <si>
    <t>9K-20669</t>
  </si>
  <si>
    <t>JAMB(L)</t>
  </si>
  <si>
    <t>9K-87104</t>
  </si>
  <si>
    <t>BEADING</t>
  </si>
  <si>
    <t>9K-86115</t>
  </si>
  <si>
    <t>9K-20856</t>
  </si>
  <si>
    <t>JAMB(R)</t>
  </si>
  <si>
    <t>2K-22277</t>
  </si>
  <si>
    <t>GLASS BEAD</t>
  </si>
  <si>
    <t>9K-87119</t>
  </si>
  <si>
    <t>2K-29161</t>
  </si>
  <si>
    <t>GLASS BEAD L</t>
  </si>
  <si>
    <t>9K-20848</t>
  </si>
  <si>
    <t>EM-4016</t>
  </si>
  <si>
    <t>FOR HANDLE</t>
  </si>
  <si>
    <t>GLASS BEAD R</t>
  </si>
  <si>
    <t>9K-20849</t>
  </si>
  <si>
    <t>EM-4010</t>
  </si>
  <si>
    <t>9K-20850</t>
  </si>
  <si>
    <t>EM-4008</t>
  </si>
  <si>
    <t>9K-20851</t>
  </si>
  <si>
    <t>9K-30250</t>
  </si>
  <si>
    <t>EF-4008D7-SA</t>
  </si>
  <si>
    <t>S</t>
  </si>
  <si>
    <t>EM-4008D8-SA</t>
  </si>
  <si>
    <t>BM-4025G</t>
  </si>
  <si>
    <t>FOR JOINT FRAME</t>
  </si>
  <si>
    <t>FOR PULLING BLOCK</t>
  </si>
  <si>
    <t>EF-4008D7</t>
  </si>
  <si>
    <t>FOR LOCK KEEPER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</si>
  <si>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</si>
  <si>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</si>
  <si>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</si>
  <si>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</si>
  <si>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</si>
  <si>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</si>
  <si>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</si>
  <si>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</si>
  <si>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</si>
  <si>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</si>
  <si>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</si>
  <si>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</si>
  <si>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</si>
  <si>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</si>
  <si>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</si>
  <si>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</si>
  <si>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</si>
  <si>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</si>
  <si>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</si>
  <si>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</si>
  <si>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</si>
  <si>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</si>
  <si>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</si>
  <si>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</si>
  <si>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</si>
  <si>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</si>
  <si>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</si>
  <si>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</si>
  <si>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</si>
  <si>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</si>
  <si>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</si>
  <si>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</si>
  <si>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</si>
  <si>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</si>
  <si>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</si>
  <si>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</si>
  <si>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</si>
  <si>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</si>
  <si>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</si>
  <si>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</si>
  <si>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</si>
  <si>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</si>
  <si>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</si>
  <si>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</si>
  <si>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</si>
  <si>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GASKET</t>
  </si>
  <si>
    <t>LOCK KEEPER</t>
  </si>
  <si>
    <t>HOLE CAP</t>
  </si>
  <si>
    <t>PULLING BLOCK</t>
  </si>
  <si>
    <t>AT MATERIAL</t>
  </si>
  <si>
    <t>SETTING BLOCK</t>
  </si>
  <si>
    <t>9K-30241</t>
  </si>
  <si>
    <t>2K-29158</t>
  </si>
  <si>
    <t>YS</t>
  </si>
  <si>
    <t>YK</t>
  </si>
  <si>
    <t>Y</t>
  </si>
  <si>
    <t>FOR FRICTION STAY</t>
  </si>
  <si>
    <t>FOR GLASS BEAD</t>
  </si>
  <si>
    <t>FOR INSIDE</t>
  </si>
  <si>
    <t>FOR JAMB (R), FOR JAMB (L), FOR HEAD</t>
  </si>
  <si>
    <t>FOR OUTSIDE</t>
  </si>
  <si>
    <t>HANDLE</t>
  </si>
  <si>
    <t>TRANSMISSION ROD</t>
  </si>
  <si>
    <t>WEATHER STRIP</t>
  </si>
  <si>
    <t>HANDLE CAP</t>
  </si>
  <si>
    <t>FOR TRANSMISSION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</si>
</sst>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A15DD84D-5424-4294-968C-A87A029262AA}"/>
    <cellStyle name="Normal" xfId="0" builtinId="0"/>
    <cellStyle name="Normal 2" xfId="1" xr:uid="{98043D46-4CE1-4207-B733-19A3D34926E3}"/>
    <cellStyle name="Normal 5" xfId="3" xr:uid="{1E0F88CD-C977-42CE-AE45-1752F0C62BC1}"/>
    <cellStyle name="Normal_COBA 2" xfId="4" xr:uid="{8DAD7909-63EF-40B4-AE96-0F0B93B77E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75FA150-7224-4417-8BF4-DC51DEE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0BFF190-9E4F-4DE3-A755-812A6CF8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9C269D9-B402-4DDC-837B-83C0EF18E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0ABA36D-87A9-4734-9058-C5D0D54EA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99E2F2D-2886-428D-964A-FCD6AC75A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6767C86-2740-4F03-A2C6-2E1629DE8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33F8FA01-3AE2-4474-850D-940B2935B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130142</xdr:colOff>
      <xdr:row>38</xdr:row>
      <xdr:rowOff>130915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6B36CC8-55F7-484C-9DBA-AC6222A75C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50" r="14286"/>
        <a:stretch/>
      </xdr:blipFill>
      <xdr:spPr bwMode="auto">
        <a:xfrm>
          <a:off x="2720340" y="4107180"/>
          <a:ext cx="3665822" cy="3171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82E8-0462-459C-91FF-96A7BEFB2FF0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M14" sqref="M14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45518.65889097222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45518.65889097222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45518.65889097222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45518.65889097222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45518.65889097222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CAR-KD FIX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CAR-KD FIX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CAR-KD FIX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CAR-KD FIX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52F/CR/F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U9E-51031</v>
      </c>
      <c r="AF9" s="60"/>
      <c r="AG9" s="3"/>
      <c r="AH9" s="53" t="s">
        <v>20</v>
      </c>
      <c r="AI9" s="36"/>
      <c r="AJ9" s="37"/>
      <c r="AK9" s="54" t="str">
        <f>IF($E$9&gt;0,$E$9,"")</f>
        <v>52F/CR/F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U9E-51031</v>
      </c>
      <c r="AV9" s="60"/>
      <c r="AW9" s="3"/>
      <c r="AX9" s="53" t="s">
        <v>20</v>
      </c>
      <c r="AY9" s="36"/>
      <c r="AZ9" s="37"/>
      <c r="BA9" s="54" t="str">
        <f>IF(E9&gt;0,E9,"")</f>
        <v>52F/CR/F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U9E-51031</v>
      </c>
      <c r="BL9" s="60"/>
      <c r="BM9" s="3"/>
      <c r="BN9" s="53" t="s">
        <v>20</v>
      </c>
      <c r="BO9" s="36"/>
      <c r="BP9" s="37"/>
      <c r="BQ9" s="54" t="str">
        <f>IF(U9&gt;0,U9,"")</f>
        <v>52F/CR/F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U9E-51031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U9E-50007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U9E-50007</v>
      </c>
      <c r="AV10" s="60"/>
      <c r="AW10" s="3"/>
      <c r="AX10" s="53" t="s">
        <v>23</v>
      </c>
      <c r="AY10" s="36"/>
      <c r="AZ10" s="37"/>
      <c r="BA10" s="54" t="str">
        <f>IF($U$10&gt;0,$U$10,"")</f>
        <v>52F/CR/F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U9E-50007</v>
      </c>
      <c r="BL10" s="60"/>
      <c r="BM10" s="3"/>
      <c r="BN10" s="53" t="s">
        <v>23</v>
      </c>
      <c r="BO10" s="36"/>
      <c r="BP10" s="37"/>
      <c r="BQ10" s="54" t="str">
        <f>IF($AK$10&gt;0,$AK$10,"")</f>
        <v>52CR-A/SM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U9E-50007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990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990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990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169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182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190</v>
      </c>
      <c r="BO22" s="199"/>
      <c r="BP22" s="200"/>
      <c r="BQ22" s="204" t="s">
        <v>85</v>
      </c>
      <c r="BR22" s="168"/>
      <c r="BS22" s="180"/>
      <c r="BT22" s="181" t="s">
        <v>184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110</v>
      </c>
      <c r="S23" s="199"/>
      <c r="T23" s="200"/>
      <c r="U23" s="167" t="s">
        <v>108</v>
      </c>
      <c r="V23" s="168" t="str">
        <f t="shared" si="0"/>
        <v>-</v>
      </c>
      <c r="W23" s="201">
        <v>1</v>
      </c>
      <c r="X23" s="170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170</v>
      </c>
      <c r="AY23" s="199"/>
      <c r="AZ23" s="200"/>
      <c r="BA23" s="167" t="s">
        <v>117</v>
      </c>
      <c r="BB23" s="168"/>
      <c r="BC23" s="180"/>
      <c r="BD23" s="181" t="s">
        <v>183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191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182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114</v>
      </c>
      <c r="S24" s="199"/>
      <c r="T24" s="200"/>
      <c r="U24" s="167" t="s">
        <v>108</v>
      </c>
      <c r="V24" s="168" t="str">
        <f t="shared" si="0"/>
        <v>-</v>
      </c>
      <c r="W24" s="201">
        <v>2</v>
      </c>
      <c r="X24" s="170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170</v>
      </c>
      <c r="AY24" s="199"/>
      <c r="AZ24" s="200"/>
      <c r="BA24" s="167" t="s">
        <v>119</v>
      </c>
      <c r="BB24" s="168"/>
      <c r="BC24" s="180"/>
      <c r="BD24" s="181" t="s">
        <v>183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177</v>
      </c>
      <c r="BO24" s="199"/>
      <c r="BP24" s="200"/>
      <c r="BQ24" s="167" t="s">
        <v>94</v>
      </c>
      <c r="BR24" s="168"/>
      <c r="BS24" s="180"/>
      <c r="BT24" s="181" t="s">
        <v>183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96</v>
      </c>
      <c r="AI25" s="199"/>
      <c r="AJ25" s="203"/>
      <c r="AK25" s="167" t="s">
        <v>93</v>
      </c>
      <c r="AL25" s="168" t="str">
        <f t="shared" si="3"/>
        <v>-</v>
      </c>
      <c r="AM25" s="201">
        <f>IF(HS.1&lt;1550,5,7)</f>
        <v>5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IF(HS.1&lt;1550,CONCATENATE("as = ",(HS.1/2)),"")</f>
        <v>as = 645</v>
      </c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171</v>
      </c>
      <c r="AY25" s="199"/>
      <c r="AZ25" s="200"/>
      <c r="BA25" s="167" t="s">
        <v>180</v>
      </c>
      <c r="BB25" s="168"/>
      <c r="BC25" s="180"/>
      <c r="BD25" s="181" t="s">
        <v>182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/>
      <c r="BM25" s="4"/>
      <c r="BN25" s="198" t="s">
        <v>179</v>
      </c>
      <c r="BO25" s="199"/>
      <c r="BP25" s="200"/>
      <c r="BQ25" s="167" t="s">
        <v>99</v>
      </c>
      <c r="BR25" s="168"/>
      <c r="BS25" s="180"/>
      <c r="BT25" s="181" t="s">
        <v>183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90</v>
      </c>
      <c r="S26" s="199"/>
      <c r="T26" s="200"/>
      <c r="U26" s="167" t="s">
        <v>91</v>
      </c>
      <c r="V26" s="168" t="str">
        <f t="shared" si="0"/>
        <v>-</v>
      </c>
      <c r="W26" s="201">
        <v>1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172</v>
      </c>
      <c r="AY26" s="199"/>
      <c r="AZ26" s="200"/>
      <c r="BA26" s="167" t="s">
        <v>123</v>
      </c>
      <c r="BB26" s="168"/>
      <c r="BC26" s="180"/>
      <c r="BD26" s="181" t="s">
        <v>182</v>
      </c>
      <c r="BE26" s="171">
        <v>8</v>
      </c>
      <c r="BF26" s="172">
        <f t="shared" si="7"/>
        <v>8</v>
      </c>
      <c r="BG26" s="183"/>
      <c r="BH26" s="184" t="s">
        <v>185</v>
      </c>
      <c r="BI26" s="185"/>
      <c r="BJ26" s="186"/>
      <c r="BK26" s="187"/>
      <c r="BL26" s="188"/>
      <c r="BM26" s="4"/>
      <c r="BN26" s="198" t="s">
        <v>179</v>
      </c>
      <c r="BO26" s="199"/>
      <c r="BP26" s="200"/>
      <c r="BQ26" s="167" t="s">
        <v>104</v>
      </c>
      <c r="BR26" s="168"/>
      <c r="BS26" s="180"/>
      <c r="BT26" s="181" t="s">
        <v>183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90</v>
      </c>
      <c r="S27" s="199"/>
      <c r="T27" s="200"/>
      <c r="U27" s="167" t="s">
        <v>95</v>
      </c>
      <c r="V27" s="168" t="str">
        <f t="shared" si="0"/>
        <v>-</v>
      </c>
      <c r="W27" s="201">
        <v>2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172</v>
      </c>
      <c r="AY27" s="199"/>
      <c r="AZ27" s="200"/>
      <c r="BA27" s="167" t="s">
        <v>118</v>
      </c>
      <c r="BB27" s="168"/>
      <c r="BC27" s="180"/>
      <c r="BD27" s="181" t="s">
        <v>182</v>
      </c>
      <c r="BE27" s="171">
        <v>2</v>
      </c>
      <c r="BF27" s="172">
        <f t="shared" si="7"/>
        <v>2</v>
      </c>
      <c r="BG27" s="212"/>
      <c r="BH27" s="184" t="s">
        <v>126</v>
      </c>
      <c r="BI27" s="185"/>
      <c r="BJ27" s="186"/>
      <c r="BK27" s="187"/>
      <c r="BL27" s="188"/>
      <c r="BM27" s="4"/>
      <c r="BN27" s="198" t="s">
        <v>192</v>
      </c>
      <c r="BO27" s="199"/>
      <c r="BP27" s="200"/>
      <c r="BQ27" s="167" t="s">
        <v>109</v>
      </c>
      <c r="BR27" s="168"/>
      <c r="BS27" s="180"/>
      <c r="BT27" s="181" t="s">
        <v>183</v>
      </c>
      <c r="BU27" s="171">
        <f>(HS.1*2)/1000</f>
        <v>2.58</v>
      </c>
      <c r="BV27" s="172">
        <f t="shared" si="8"/>
        <v>2.58</v>
      </c>
      <c r="BW27" s="212" t="s">
        <v>98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100</v>
      </c>
      <c r="S28" s="214"/>
      <c r="T28" s="215"/>
      <c r="U28" s="167" t="s">
        <v>101</v>
      </c>
      <c r="V28" s="168" t="str">
        <f t="shared" si="0"/>
        <v>-</v>
      </c>
      <c r="W28" s="201">
        <v>23</v>
      </c>
      <c r="X28" s="170">
        <f>H</f>
        <v>2000</v>
      </c>
      <c r="Y28" s="171">
        <v>1</v>
      </c>
      <c r="Z28" s="172">
        <f t="shared" si="1"/>
        <v>1</v>
      </c>
      <c r="AA28" s="209"/>
      <c r="AB28" s="174" t="str">
        <f>CONCATENATE("H1+H2/2+40 = ",h.1+(h.2/2)+40)</f>
        <v>H1+H2/2+40 = 990</v>
      </c>
      <c r="AC28" s="175"/>
      <c r="AD28" s="211"/>
      <c r="AE28" s="177">
        <f t="shared" si="2"/>
        <v>0.57399999999999995</v>
      </c>
      <c r="AF28" s="178">
        <f t="shared" si="9"/>
        <v>1.1479999999999999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172</v>
      </c>
      <c r="AY28" s="199"/>
      <c r="AZ28" s="200"/>
      <c r="BA28" s="167" t="s">
        <v>127</v>
      </c>
      <c r="BB28" s="168"/>
      <c r="BC28" s="180"/>
      <c r="BD28" s="181" t="s">
        <v>182</v>
      </c>
      <c r="BE28" s="171">
        <v>4</v>
      </c>
      <c r="BF28" s="172">
        <f t="shared" si="7"/>
        <v>4</v>
      </c>
      <c r="BG28" s="183"/>
      <c r="BH28" s="184" t="s">
        <v>128</v>
      </c>
      <c r="BI28" s="185"/>
      <c r="BJ28" s="186"/>
      <c r="BK28" s="187"/>
      <c r="BL28" s="188"/>
      <c r="BM28" s="4"/>
      <c r="BN28" s="198" t="s">
        <v>174</v>
      </c>
      <c r="BO28" s="199"/>
      <c r="BP28" s="200"/>
      <c r="BQ28" s="167" t="s">
        <v>106</v>
      </c>
      <c r="BR28" s="168"/>
      <c r="BS28" s="180"/>
      <c r="BT28" s="181" t="s">
        <v>183</v>
      </c>
      <c r="BU28" s="171">
        <f>(((WS.1-66)*2)+((HS.1-84)*2))/1000</f>
        <v>4.1760000000000002</v>
      </c>
      <c r="BV28" s="172">
        <f t="shared" si="8"/>
        <v>4.1760000000000002</v>
      </c>
      <c r="BW28" s="183" t="s">
        <v>98</v>
      </c>
      <c r="BX28" s="184" t="s">
        <v>189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105</v>
      </c>
      <c r="S29" s="214"/>
      <c r="T29" s="215"/>
      <c r="U29" s="217" t="s">
        <v>101</v>
      </c>
      <c r="V29" s="168" t="str">
        <f t="shared" si="0"/>
        <v>-</v>
      </c>
      <c r="W29" s="218">
        <f>IF(h.2&lt;1560,22,36)</f>
        <v>22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 t="str">
        <f>IF(H&lt;1600,CONCATENATE("a = ",h.1+(h.2/2)+40),CONCATENATE("a = ",h.1+1020))</f>
        <v>a = 1320</v>
      </c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172</v>
      </c>
      <c r="AY29" s="199"/>
      <c r="AZ29" s="200"/>
      <c r="BA29" s="167" t="s">
        <v>129</v>
      </c>
      <c r="BB29" s="168"/>
      <c r="BC29" s="180"/>
      <c r="BD29" s="181" t="s">
        <v>182</v>
      </c>
      <c r="BE29" s="171">
        <v>4</v>
      </c>
      <c r="BF29" s="172">
        <f t="shared" si="7"/>
        <v>4</v>
      </c>
      <c r="BG29" s="183"/>
      <c r="BH29" s="184" t="s">
        <v>186</v>
      </c>
      <c r="BI29" s="185"/>
      <c r="BJ29" s="186"/>
      <c r="BK29" s="187"/>
      <c r="BL29" s="188" t="s">
        <v>7</v>
      </c>
      <c r="BM29" s="4"/>
      <c r="BN29" s="198" t="s">
        <v>172</v>
      </c>
      <c r="BO29" s="199"/>
      <c r="BP29" s="200"/>
      <c r="BQ29" s="167" t="s">
        <v>112</v>
      </c>
      <c r="BR29" s="168"/>
      <c r="BS29" s="180"/>
      <c r="BT29" s="181" t="s">
        <v>182</v>
      </c>
      <c r="BU29" s="171">
        <v>2</v>
      </c>
      <c r="BV29" s="172">
        <f t="shared" si="8"/>
        <v>2</v>
      </c>
      <c r="BW29" s="183"/>
      <c r="BX29" s="184" t="s">
        <v>113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107</v>
      </c>
      <c r="S30" s="199"/>
      <c r="T30" s="200"/>
      <c r="U30" s="167" t="s">
        <v>108</v>
      </c>
      <c r="V30" s="168" t="str">
        <f t="shared" si="0"/>
        <v>-</v>
      </c>
      <c r="W30" s="169">
        <v>0</v>
      </c>
      <c r="X30" s="170">
        <f>W-76</f>
        <v>924</v>
      </c>
      <c r="Y30" s="171">
        <v>2</v>
      </c>
      <c r="Z30" s="172">
        <f t="shared" si="1"/>
        <v>2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0.25687199999999999</v>
      </c>
      <c r="AG30" s="4"/>
      <c r="AH30" s="198"/>
      <c r="AI30" s="199"/>
      <c r="AJ30" s="203"/>
      <c r="AK30" s="167"/>
      <c r="AL30" s="168"/>
      <c r="AM30" s="201"/>
      <c r="AN30" s="170"/>
      <c r="AO30" s="171"/>
      <c r="AP30" s="172"/>
      <c r="AQ30" s="202"/>
      <c r="AR30" s="174"/>
      <c r="AS30" s="175"/>
      <c r="AT30" s="176"/>
      <c r="AU30" s="177"/>
      <c r="AV30" s="178"/>
      <c r="AW30" s="4"/>
      <c r="AX30" s="198" t="s">
        <v>172</v>
      </c>
      <c r="AY30" s="199"/>
      <c r="AZ30" s="200"/>
      <c r="BA30" s="167" t="s">
        <v>124</v>
      </c>
      <c r="BB30" s="168"/>
      <c r="BC30" s="180"/>
      <c r="BD30" s="181" t="s">
        <v>182</v>
      </c>
      <c r="BE30" s="171">
        <v>16</v>
      </c>
      <c r="BF30" s="172">
        <f t="shared" si="7"/>
        <v>16</v>
      </c>
      <c r="BG30" s="183"/>
      <c r="BH30" s="184" t="s">
        <v>125</v>
      </c>
      <c r="BI30" s="185"/>
      <c r="BJ30" s="186"/>
      <c r="BK30" s="187"/>
      <c r="BL30" s="188" t="s">
        <v>122</v>
      </c>
      <c r="BM30" s="4"/>
      <c r="BN30" s="198" t="s">
        <v>172</v>
      </c>
      <c r="BO30" s="199"/>
      <c r="BP30" s="200"/>
      <c r="BQ30" s="167" t="s">
        <v>116</v>
      </c>
      <c r="BR30" s="168"/>
      <c r="BS30" s="180"/>
      <c r="BT30" s="181" t="s">
        <v>182</v>
      </c>
      <c r="BU30" s="171">
        <v>6</v>
      </c>
      <c r="BV30" s="172">
        <f t="shared" si="8"/>
        <v>6</v>
      </c>
      <c r="BW30" s="183"/>
      <c r="BX30" s="184" t="s">
        <v>194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110</v>
      </c>
      <c r="S31" s="199"/>
      <c r="T31" s="200"/>
      <c r="U31" s="167" t="s">
        <v>108</v>
      </c>
      <c r="V31" s="168" t="str">
        <f t="shared" si="0"/>
        <v>-</v>
      </c>
      <c r="W31" s="222">
        <v>1</v>
      </c>
      <c r="X31" s="170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/>
      <c r="AM31" s="201"/>
      <c r="AN31" s="207"/>
      <c r="AO31" s="182"/>
      <c r="AP31" s="172"/>
      <c r="AQ31" s="202"/>
      <c r="AR31" s="174"/>
      <c r="AS31" s="175"/>
      <c r="AT31" s="176"/>
      <c r="AU31" s="177"/>
      <c r="AV31" s="178"/>
      <c r="AW31" s="4"/>
      <c r="AX31" s="198" t="s">
        <v>173</v>
      </c>
      <c r="AY31" s="199"/>
      <c r="AZ31" s="200"/>
      <c r="BA31" s="167" t="s">
        <v>130</v>
      </c>
      <c r="BB31" s="168"/>
      <c r="BC31" s="180"/>
      <c r="BD31" s="181" t="s">
        <v>148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 t="s">
        <v>122</v>
      </c>
      <c r="BM31" s="4"/>
      <c r="BN31" s="198" t="s">
        <v>172</v>
      </c>
      <c r="BO31" s="199"/>
      <c r="BP31" s="200"/>
      <c r="BQ31" s="167" t="s">
        <v>118</v>
      </c>
      <c r="BR31" s="168"/>
      <c r="BS31" s="180"/>
      <c r="BT31" s="181" t="s">
        <v>182</v>
      </c>
      <c r="BU31" s="171">
        <v>2</v>
      </c>
      <c r="BV31" s="172">
        <f t="shared" si="8"/>
        <v>2</v>
      </c>
      <c r="BW31" s="183"/>
      <c r="BX31" s="184" t="s">
        <v>126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114</v>
      </c>
      <c r="S32" s="199"/>
      <c r="T32" s="200"/>
      <c r="U32" s="167" t="s">
        <v>108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2"/>
      <c r="AR32" s="174"/>
      <c r="AS32" s="175"/>
      <c r="AT32" s="176"/>
      <c r="AU32" s="177"/>
      <c r="AV32" s="178"/>
      <c r="AW32" s="4"/>
      <c r="AX32" s="198" t="s">
        <v>174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183</v>
      </c>
      <c r="BE32" s="171">
        <f>((4*W)+((h.1+h.3)*2)-136)/1000</f>
        <v>5.1040000000000001</v>
      </c>
      <c r="BF32" s="172">
        <f t="shared" si="7"/>
        <v>5.1040000000000001</v>
      </c>
      <c r="BG32" s="183" t="s">
        <v>98</v>
      </c>
      <c r="BH32" s="184" t="s">
        <v>187</v>
      </c>
      <c r="BI32" s="185"/>
      <c r="BJ32" s="186"/>
      <c r="BK32" s="187"/>
      <c r="BL32" s="188" t="s">
        <v>122</v>
      </c>
      <c r="BM32" s="4"/>
      <c r="BN32" s="198" t="s">
        <v>193</v>
      </c>
      <c r="BO32" s="199"/>
      <c r="BP32" s="200"/>
      <c r="BQ32" s="167" t="s">
        <v>120</v>
      </c>
      <c r="BR32" s="168"/>
      <c r="BS32" s="180"/>
      <c r="BT32" s="181" t="s">
        <v>183</v>
      </c>
      <c r="BU32" s="171">
        <v>2</v>
      </c>
      <c r="BV32" s="172">
        <f t="shared" si="8"/>
        <v>2</v>
      </c>
      <c r="BW32" s="183" t="s">
        <v>7</v>
      </c>
      <c r="BX32" s="184" t="s">
        <v>113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198"/>
      <c r="AI33" s="199"/>
      <c r="AJ33" s="203"/>
      <c r="AK33" s="167"/>
      <c r="AL33" s="168"/>
      <c r="AM33" s="201"/>
      <c r="AN33" s="207"/>
      <c r="AO33" s="171"/>
      <c r="AP33" s="172"/>
      <c r="AQ33" s="209"/>
      <c r="AR33" s="174"/>
      <c r="AS33" s="175"/>
      <c r="AT33" s="176"/>
      <c r="AU33" s="177"/>
      <c r="AV33" s="178"/>
      <c r="AW33" s="4"/>
      <c r="AX33" s="198" t="s">
        <v>175</v>
      </c>
      <c r="AY33" s="199"/>
      <c r="AZ33" s="200"/>
      <c r="BA33" s="167" t="s">
        <v>89</v>
      </c>
      <c r="BB33" s="168"/>
      <c r="BC33" s="180"/>
      <c r="BD33" s="181" t="s">
        <v>182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172</v>
      </c>
      <c r="BO33" s="199"/>
      <c r="BP33" s="200"/>
      <c r="BQ33" s="167" t="s">
        <v>121</v>
      </c>
      <c r="BR33" s="168"/>
      <c r="BS33" s="180"/>
      <c r="BT33" s="181" t="s">
        <v>182</v>
      </c>
      <c r="BU33" s="171">
        <v>8</v>
      </c>
      <c r="BV33" s="172">
        <f t="shared" si="8"/>
        <v>8</v>
      </c>
      <c r="BW33" s="212"/>
      <c r="BX33" s="184" t="s">
        <v>185</v>
      </c>
      <c r="BY33" s="185"/>
      <c r="BZ33" s="186"/>
      <c r="CA33" s="187"/>
      <c r="CB33" s="188" t="s">
        <v>122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176</v>
      </c>
      <c r="AY34" s="199"/>
      <c r="AZ34" s="200"/>
      <c r="BA34" s="167" t="s">
        <v>131</v>
      </c>
      <c r="BB34" s="168"/>
      <c r="BC34" s="180"/>
      <c r="BD34" s="181" t="s">
        <v>184</v>
      </c>
      <c r="BE34" s="171">
        <f>IF(W&lt;=841,2,3)+IF(h.2&lt;=780,2,IF(h.2&lt;=1160,3,IF(h.2&gt;1160,5,5)))+IF(h.2&lt;=1360,3,IF(h.2&gt;1360,5,5))</f>
        <v>11</v>
      </c>
      <c r="BF34" s="172">
        <f t="shared" si="7"/>
        <v>11</v>
      </c>
      <c r="BG34" s="212"/>
      <c r="BH34" s="184" t="s">
        <v>188</v>
      </c>
      <c r="BI34" s="185"/>
      <c r="BJ34" s="186"/>
      <c r="BK34" s="187"/>
      <c r="BL34" s="188" t="s">
        <v>122</v>
      </c>
      <c r="BM34" s="4"/>
      <c r="BN34" s="198" t="s">
        <v>174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183</v>
      </c>
      <c r="BU34" s="171">
        <f>((2*WS.1)+(2*HS.1)-216)/1000</f>
        <v>4.26</v>
      </c>
      <c r="BV34" s="172">
        <f t="shared" si="8"/>
        <v>4.26</v>
      </c>
      <c r="BW34" s="212" t="s">
        <v>98</v>
      </c>
      <c r="BX34" s="184" t="s">
        <v>187</v>
      </c>
      <c r="BY34" s="185"/>
      <c r="BZ34" s="186"/>
      <c r="CA34" s="187"/>
      <c r="CB34" s="188" t="s">
        <v>122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198"/>
      <c r="AI35" s="199"/>
      <c r="AJ35" s="203"/>
      <c r="AK35" s="167"/>
      <c r="AL35" s="168"/>
      <c r="AM35" s="201"/>
      <c r="AN35" s="170"/>
      <c r="AO35" s="171"/>
      <c r="AP35" s="172"/>
      <c r="AQ35" s="209"/>
      <c r="AR35" s="174"/>
      <c r="AS35" s="175"/>
      <c r="AT35" s="211"/>
      <c r="AU35" s="177"/>
      <c r="AV35" s="178"/>
      <c r="AW35" s="4"/>
      <c r="AX35" s="198" t="s">
        <v>177</v>
      </c>
      <c r="AY35" s="199"/>
      <c r="AZ35" s="200"/>
      <c r="BA35" s="167" t="s">
        <v>94</v>
      </c>
      <c r="BB35" s="168"/>
      <c r="BC35" s="180"/>
      <c r="BD35" s="181" t="s">
        <v>183</v>
      </c>
      <c r="BE35" s="171"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/>
      <c r="BM35" s="4"/>
      <c r="BN35" s="198" t="s">
        <v>172</v>
      </c>
      <c r="BO35" s="199"/>
      <c r="BP35" s="200"/>
      <c r="BQ35" s="167" t="s">
        <v>124</v>
      </c>
      <c r="BR35" s="168"/>
      <c r="BS35" s="180"/>
      <c r="BT35" s="181" t="s">
        <v>182</v>
      </c>
      <c r="BU35" s="171">
        <v>8</v>
      </c>
      <c r="BV35" s="172">
        <f t="shared" si="8"/>
        <v>8</v>
      </c>
      <c r="BW35" s="212"/>
      <c r="BX35" s="184" t="s">
        <v>125</v>
      </c>
      <c r="BY35" s="185"/>
      <c r="BZ35" s="186"/>
      <c r="CA35" s="187"/>
      <c r="CB35" s="188" t="s">
        <v>122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178</v>
      </c>
      <c r="AY36" s="199"/>
      <c r="AZ36" s="200"/>
      <c r="BA36" s="167" t="s">
        <v>97</v>
      </c>
      <c r="BB36" s="168"/>
      <c r="BC36" s="180"/>
      <c r="BD36" s="181" t="s">
        <v>183</v>
      </c>
      <c r="BE36" s="171">
        <f>((W-41)+(h.2-36))*2/1000</f>
        <v>4.4459999999999997</v>
      </c>
      <c r="BF36" s="172">
        <f t="shared" si="7"/>
        <v>4.4459999999999997</v>
      </c>
      <c r="BG36" s="212" t="s">
        <v>98</v>
      </c>
      <c r="BH36" s="184"/>
      <c r="BI36" s="185"/>
      <c r="BJ36" s="186"/>
      <c r="BK36" s="187"/>
      <c r="BL36" s="188"/>
      <c r="BM36" s="4"/>
      <c r="BN36" s="198" t="str">
        <f t="shared" ref="BN22:BN60" si="10">IF(BQ36&gt;"",VLOOKUP(BQ36,PART_NAMA,3,FALSE),"")</f>
        <v/>
      </c>
      <c r="BO36" s="199"/>
      <c r="BP36" s="200"/>
      <c r="BQ36" s="167"/>
      <c r="BR36" s="168"/>
      <c r="BS36" s="180"/>
      <c r="BT36" s="181" t="str">
        <f t="shared" ref="BT22:BT57" si="11">IF(BQ36&gt;"",VLOOKUP(BQ36&amp;$M$10,PART_MASTER,3,FALSE),"")</f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178</v>
      </c>
      <c r="AY37" s="199"/>
      <c r="AZ37" s="200"/>
      <c r="BA37" s="167" t="s">
        <v>181</v>
      </c>
      <c r="BB37" s="168"/>
      <c r="BC37" s="180"/>
      <c r="BD37" s="181" t="s">
        <v>183</v>
      </c>
      <c r="BE37" s="171">
        <f>(W-41)/1000</f>
        <v>0.95899999999999996</v>
      </c>
      <c r="BF37" s="172">
        <f t="shared" si="7"/>
        <v>0.95899999999999996</v>
      </c>
      <c r="BG37" s="212" t="s">
        <v>98</v>
      </c>
      <c r="BH37" s="184"/>
      <c r="BI37" s="185"/>
      <c r="BJ37" s="186"/>
      <c r="BK37" s="187"/>
      <c r="BL37" s="188"/>
      <c r="BM37" s="4"/>
      <c r="BN37" s="198" t="str">
        <f t="shared" si="10"/>
        <v/>
      </c>
      <c r="BO37" s="199"/>
      <c r="BP37" s="200"/>
      <c r="BQ37" s="167"/>
      <c r="BR37" s="168"/>
      <c r="BS37" s="180"/>
      <c r="BT37" s="181" t="str">
        <f t="shared" si="11"/>
        <v/>
      </c>
      <c r="BU37" s="171"/>
      <c r="BV37" s="172" t="str">
        <f t="shared" si="8"/>
        <v/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174</v>
      </c>
      <c r="AY38" s="199"/>
      <c r="AZ38" s="200"/>
      <c r="BA38" s="167" t="s">
        <v>106</v>
      </c>
      <c r="BB38" s="168"/>
      <c r="BC38" s="180"/>
      <c r="BD38" s="181" t="s">
        <v>183</v>
      </c>
      <c r="BE38" s="171">
        <f>(((W-41)*4)+((h.1+h.3-72)*2))/1000</f>
        <v>4.9320000000000004</v>
      </c>
      <c r="BF38" s="172">
        <f t="shared" si="7"/>
        <v>4.9320000000000004</v>
      </c>
      <c r="BG38" s="212" t="s">
        <v>98</v>
      </c>
      <c r="BH38" s="184" t="s">
        <v>189</v>
      </c>
      <c r="BI38" s="185"/>
      <c r="BJ38" s="186"/>
      <c r="BK38" s="187"/>
      <c r="BL38" s="188"/>
      <c r="BM38" s="4"/>
      <c r="BN38" s="198"/>
      <c r="BO38" s="199"/>
      <c r="BP38" s="200"/>
      <c r="BQ38" s="204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179</v>
      </c>
      <c r="AY39" s="199"/>
      <c r="AZ39" s="200"/>
      <c r="BA39" s="167" t="s">
        <v>104</v>
      </c>
      <c r="BB39" s="168"/>
      <c r="BC39" s="180"/>
      <c r="BD39" s="181" t="s">
        <v>183</v>
      </c>
      <c r="BE39" s="171">
        <v>4</v>
      </c>
      <c r="BF39" s="172">
        <f t="shared" si="7"/>
        <v>4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170</v>
      </c>
      <c r="AY40" s="199"/>
      <c r="AZ40" s="200"/>
      <c r="BA40" s="167" t="s">
        <v>111</v>
      </c>
      <c r="BB40" s="168"/>
      <c r="BC40" s="180"/>
      <c r="BD40" s="181" t="s">
        <v>183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170</v>
      </c>
      <c r="AY41" s="199"/>
      <c r="AZ41" s="200"/>
      <c r="BA41" s="167" t="s">
        <v>115</v>
      </c>
      <c r="BB41" s="168"/>
      <c r="BC41" s="180"/>
      <c r="BD41" s="181" t="s">
        <v>183</v>
      </c>
      <c r="BE41" s="182">
        <v>1</v>
      </c>
      <c r="BF41" s="172">
        <f t="shared" si="7"/>
        <v>1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82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133</v>
      </c>
      <c r="C43" s="240"/>
      <c r="D43" s="240"/>
      <c r="E43" s="240"/>
      <c r="F43" s="241"/>
      <c r="G43" s="242"/>
      <c r="H43" s="243"/>
      <c r="I43" s="233"/>
      <c r="J43" s="244" t="s">
        <v>134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tr">
        <f t="shared" ref="AX22:AX60" si="13">IF(BA43&gt;"",VLOOKUP(BA43,PART_NAMA,3,FALSE),"")</f>
        <v/>
      </c>
      <c r="AY43" s="199"/>
      <c r="AZ43" s="200"/>
      <c r="BA43" s="167"/>
      <c r="BB43" s="168"/>
      <c r="BC43" s="180"/>
      <c r="BD43" s="181" t="str">
        <f t="shared" ref="BD22:BD60" si="14">IF(BA43&gt;"",VLOOKUP(BA43&amp;$M$10,PART_MASTER,3,FALSE),"")</f>
        <v/>
      </c>
      <c r="BE43" s="182"/>
      <c r="BF43" s="172" t="str">
        <f t="shared" si="7"/>
        <v/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135</v>
      </c>
      <c r="C44" s="325" t="s">
        <v>136</v>
      </c>
      <c r="D44" s="326"/>
      <c r="E44" s="327"/>
      <c r="F44" s="325" t="s">
        <v>137</v>
      </c>
      <c r="G44" s="326"/>
      <c r="H44" s="327"/>
      <c r="I44" s="252"/>
      <c r="J44" s="253" t="s">
        <v>135</v>
      </c>
      <c r="K44" s="325" t="s">
        <v>136</v>
      </c>
      <c r="L44" s="326"/>
      <c r="M44" s="326"/>
      <c r="N44" s="327"/>
      <c r="O44" s="253" t="s">
        <v>138</v>
      </c>
      <c r="P44" s="254" t="s">
        <v>135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tr">
        <f t="shared" si="13"/>
        <v/>
      </c>
      <c r="AY44" s="199"/>
      <c r="AZ44" s="200"/>
      <c r="BA44" s="167"/>
      <c r="BB44" s="168"/>
      <c r="BC44" s="180"/>
      <c r="BD44" s="181" t="str">
        <f t="shared" si="14"/>
        <v/>
      </c>
      <c r="BE44" s="182"/>
      <c r="BF44" s="172" t="str">
        <f t="shared" si="7"/>
        <v/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139</v>
      </c>
      <c r="D45" s="257"/>
      <c r="E45" s="257"/>
      <c r="F45" s="258"/>
      <c r="G45" s="259"/>
      <c r="H45" s="260"/>
      <c r="I45" s="261"/>
      <c r="J45" s="262">
        <v>1</v>
      </c>
      <c r="K45" s="263" t="s">
        <v>140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204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141</v>
      </c>
      <c r="D46" s="259"/>
      <c r="E46" s="259"/>
      <c r="F46" s="263"/>
      <c r="G46" s="259"/>
      <c r="H46" s="260"/>
      <c r="I46" s="261"/>
      <c r="J46" s="262">
        <v>2</v>
      </c>
      <c r="K46" s="263" t="s">
        <v>142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143</v>
      </c>
      <c r="D47" s="259"/>
      <c r="E47" s="259"/>
      <c r="F47" s="263"/>
      <c r="G47" s="259"/>
      <c r="H47" s="260"/>
      <c r="I47" s="267"/>
      <c r="J47" s="262">
        <v>3</v>
      </c>
      <c r="K47" s="263" t="s">
        <v>144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145</v>
      </c>
      <c r="D48" s="259"/>
      <c r="E48" s="259"/>
      <c r="F48" s="263"/>
      <c r="G48" s="259"/>
      <c r="H48" s="260"/>
      <c r="I48" s="267"/>
      <c r="J48" s="262">
        <v>4</v>
      </c>
      <c r="K48" s="263" t="s">
        <v>146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147</v>
      </c>
      <c r="AD48" s="272"/>
      <c r="AE48" s="273" t="s">
        <v>148</v>
      </c>
      <c r="AF48" s="274">
        <f>SUM(AF22:AF47)</f>
        <v>5.4374070000000003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147</v>
      </c>
      <c r="AT48" s="272"/>
      <c r="AU48" s="273" t="s">
        <v>148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149</v>
      </c>
      <c r="D49" s="259"/>
      <c r="E49" s="259"/>
      <c r="F49" s="263"/>
      <c r="G49" s="259"/>
      <c r="H49" s="260"/>
      <c r="I49" s="267"/>
      <c r="J49" s="262">
        <v>5</v>
      </c>
      <c r="K49" s="263" t="s">
        <v>150</v>
      </c>
      <c r="L49" s="259"/>
      <c r="M49" s="259"/>
      <c r="N49" s="264"/>
      <c r="O49" s="265"/>
      <c r="P49" s="266"/>
      <c r="Q49" s="4"/>
      <c r="R49" s="275" t="s">
        <v>151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152</v>
      </c>
      <c r="AE49" s="279" t="s">
        <v>153</v>
      </c>
      <c r="AF49" s="280">
        <f>AF48*0.986</f>
        <v>5.3612833020000004</v>
      </c>
      <c r="AG49" s="4"/>
      <c r="AH49" s="275" t="s">
        <v>151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152</v>
      </c>
      <c r="AU49" s="279" t="s">
        <v>153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154</v>
      </c>
      <c r="D50" s="259"/>
      <c r="E50" s="259"/>
      <c r="F50" s="263"/>
      <c r="G50" s="259"/>
      <c r="H50" s="260"/>
      <c r="I50" s="267"/>
      <c r="J50" s="262">
        <v>6</v>
      </c>
      <c r="K50" s="263" t="s">
        <v>155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156</v>
      </c>
      <c r="AF50" s="280">
        <f>AF48*0.974*0.986</f>
        <v>5.221889936148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156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157</v>
      </c>
      <c r="D51" s="259"/>
      <c r="E51" s="259"/>
      <c r="F51" s="263"/>
      <c r="G51" s="259"/>
      <c r="H51" s="260"/>
      <c r="I51" s="267"/>
      <c r="J51" s="262">
        <v>7</v>
      </c>
      <c r="K51" s="263" t="s">
        <v>158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159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160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161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162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163</v>
      </c>
      <c r="C55" s="267"/>
      <c r="D55" s="267"/>
      <c r="E55" s="267"/>
      <c r="F55" s="267"/>
      <c r="G55" s="267"/>
      <c r="H55" s="267"/>
      <c r="I55" s="267"/>
      <c r="J55" s="300" t="s">
        <v>164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165</v>
      </c>
      <c r="K56" s="305"/>
      <c r="L56" s="305"/>
      <c r="M56" s="305"/>
      <c r="N56" s="306"/>
      <c r="O56" s="307" t="s">
        <v>166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5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168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FIX_CAR-KD_FIX</vt:lpstr>
      <vt:lpstr>'FIX_CAR-KD_FIX'!A.</vt:lpstr>
      <vt:lpstr>'FIX_CAR-KD_FIX'!C.</vt:lpstr>
      <vt:lpstr>'FIX_CAR-KD_FIX'!F.</vt:lpstr>
      <vt:lpstr>'FIX_CAR-KD_FIX'!GCS</vt:lpstr>
      <vt:lpstr>'FIX_CAR-KD_FIX'!GTH</vt:lpstr>
      <vt:lpstr>'FIX_CAR-KD_FIX'!H</vt:lpstr>
      <vt:lpstr>'FIX_CAR-KD_FIX'!h.1</vt:lpstr>
      <vt:lpstr>'FIX_CAR-KD_FIX'!h.10</vt:lpstr>
      <vt:lpstr>'FIX_CAR-KD_FIX'!h.2</vt:lpstr>
      <vt:lpstr>'FIX_CAR-KD_FIX'!h.3</vt:lpstr>
      <vt:lpstr>'FIX_CAR-KD_FIX'!h.4</vt:lpstr>
      <vt:lpstr>'FIX_CAR-KD_FIX'!h.5</vt:lpstr>
      <vt:lpstr>'FIX_CAR-KD_FIX'!h.6</vt:lpstr>
      <vt:lpstr>'FIX_CAR-KD_FIX'!h.7</vt:lpstr>
      <vt:lpstr>'FIX_CAR-KD_FIX'!h.8</vt:lpstr>
      <vt:lpstr>'FIX_CAR-KD_FIX'!h.9</vt:lpstr>
      <vt:lpstr>'FIX_CAR-KD_FIX'!HS</vt:lpstr>
      <vt:lpstr>'FIX_CAR-KD_FIX'!HS.1</vt:lpstr>
      <vt:lpstr>'FIX_CAR-KD_FIX'!HS.2</vt:lpstr>
      <vt:lpstr>'FIX_CAR-KD_FIX'!HS.3</vt:lpstr>
      <vt:lpstr>'FIX_CAR-KD_FIX'!HS.4</vt:lpstr>
      <vt:lpstr>'FIX_CAR-KD_FIX'!HS.5</vt:lpstr>
      <vt:lpstr>'FIX_CAR-KD_FIX'!Print_Area</vt:lpstr>
      <vt:lpstr>'FIX_CAR-KD_FIX'!Q</vt:lpstr>
      <vt:lpstr>'FIX_CAR-KD_FIX'!R.</vt:lpstr>
      <vt:lpstr>'FIX_CAR-KD_FIX'!W</vt:lpstr>
      <vt:lpstr>'FIX_CAR-KD_FIX'!w.1</vt:lpstr>
      <vt:lpstr>'FIX_CAR-KD_FIX'!w.10</vt:lpstr>
      <vt:lpstr>'FIX_CAR-KD_FIX'!w.2</vt:lpstr>
      <vt:lpstr>'FIX_CAR-KD_FIX'!w.3</vt:lpstr>
      <vt:lpstr>'FIX_CAR-KD_FIX'!w.4</vt:lpstr>
      <vt:lpstr>'FIX_CAR-KD_FIX'!w.5</vt:lpstr>
      <vt:lpstr>'FIX_CAR-KD_FIX'!w.6</vt:lpstr>
      <vt:lpstr>'FIX_CAR-KD_FIX'!w.7</vt:lpstr>
      <vt:lpstr>'FIX_CAR-KD_FIX'!w.8</vt:lpstr>
      <vt:lpstr>'FIX_CAR-KD_FIX'!w.9</vt:lpstr>
      <vt:lpstr>'FIX_CAR-KD_FIX'!WS</vt:lpstr>
      <vt:lpstr>'FIX_CAR-KD_FIX'!WS.1</vt:lpstr>
      <vt:lpstr>'FIX_CAR-KD_FIX'!WS.2</vt:lpstr>
      <vt:lpstr>'FIX_CAR-KD_FIX'!WS.3</vt:lpstr>
      <vt:lpstr>'FIX_CAR-KD_FIX'!WS.4</vt:lpstr>
      <vt:lpstr>'FIX_CAR-KD_FIX'!WS.5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2024-07-30T03:11:38Z</dcterms:created>
  <dcterms:modified xsi:type="dcterms:W3CDTF">2024-08-14T08:48:55Z</dcterms:modified>
</cp:coreProperties>
</file>