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79D8903B-3B5C-4ADC-ADC2-3418FB702AEF}" xr6:coauthVersionLast="47" xr6:coauthVersionMax="47" xr10:uidLastSave="{00000000-0000-0000-0000-000000000000}"/>
  <bookViews>
    <workbookView xWindow="-108" yWindow="-108" windowWidth="23256" windowHeight="12456" xr2:uid="{E1DD6EAA-3AA7-400B-9A22-35104D1A83CE}"/>
  </bookViews>
  <sheets>
    <sheet name="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'TH-KD_FIX'!$P$18</definedName>
    <definedName name="BD">"BD"</definedName>
    <definedName name="C." localSheetId="0">'TH-KD_FIX'!$P$17</definedName>
    <definedName name="F." localSheetId="0">'TH-KD_FIX'!$P$16</definedName>
    <definedName name="GCS" localSheetId="0">'TH-KD_FIX'!$O$12</definedName>
    <definedName name="GTH" localSheetId="0">'TH-KD_FIX'!$O$11</definedName>
    <definedName name="H" localSheetId="0">'TH-KD_FIX'!$E$12</definedName>
    <definedName name="h.1" localSheetId="0">'TH-KD_FIX'!$C$14</definedName>
    <definedName name="h.10" localSheetId="0">'TH-KD_FIX'!$E$18</definedName>
    <definedName name="h.2" localSheetId="0">'TH-KD_FIX'!$C$15</definedName>
    <definedName name="h.3" localSheetId="0">'TH-KD_FIX'!$C$16</definedName>
    <definedName name="h.4" localSheetId="0">'TH-KD_FIX'!$C$17</definedName>
    <definedName name="h.5" localSheetId="0">'TH-KD_FIX'!$C$18</definedName>
    <definedName name="h.6" localSheetId="0">'TH-KD_FIX'!$E$14</definedName>
    <definedName name="h.7" localSheetId="0">'TH-KD_FIX'!$E$15</definedName>
    <definedName name="h.8" localSheetId="0">'TH-KD_FIX'!$E$16</definedName>
    <definedName name="h.9" localSheetId="0">'TH-KD_FIX'!$E$17</definedName>
    <definedName name="HS" localSheetId="0">'TH-KD_FIX'!$H$12</definedName>
    <definedName name="HS.1" localSheetId="0">'TH-KD_FIX'!$L$14</definedName>
    <definedName name="HS.2" localSheetId="0">'TH-KD_FIX'!$L$15</definedName>
    <definedName name="HS.3" localSheetId="0">'TH-KD_FIX'!$L$16</definedName>
    <definedName name="HS.4" localSheetId="0">'TH-KD_FIX'!$L$17</definedName>
    <definedName name="HS.5" localSheetId="0">'TH-KD_FIX'!$L$18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'TH-KD_FIX'!$1:$61</definedName>
    <definedName name="Q" localSheetId="0">'TH-KD_FIX'!$I$11</definedName>
    <definedName name="R." localSheetId="0">'TH-KD_FIX'!$C$62</definedName>
    <definedName name="st" hidden="1">[6]Gra_Ord_In_2000!$BA$12:$BA$1655</definedName>
    <definedName name="W" localSheetId="0">'TH-KD_FIX'!$E$11</definedName>
    <definedName name="w.1" localSheetId="0">'TH-KD_FIX'!$H$14</definedName>
    <definedName name="w.10" localSheetId="0">'TH-KD_FIX'!$J$18</definedName>
    <definedName name="w.2" localSheetId="0">'TH-KD_FIX'!$H$15</definedName>
    <definedName name="w.3" localSheetId="0">'TH-KD_FIX'!$H$16</definedName>
    <definedName name="w.4" localSheetId="0">'TH-KD_FIX'!$H$17</definedName>
    <definedName name="w.5" localSheetId="0">'TH-KD_FIX'!$H$18</definedName>
    <definedName name="w.6" localSheetId="0">'TH-KD_FIX'!$J$14</definedName>
    <definedName name="w.7" localSheetId="0">'TH-KD_FIX'!$J$15</definedName>
    <definedName name="w.8" localSheetId="0">'TH-KD_FIX'!$J$16</definedName>
    <definedName name="w.9" localSheetId="0">'TH-KD_FIX'!$J$17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'TH-KD_FIX'!$L$12</definedName>
    <definedName name="WS.1" localSheetId="0">'TH-KD_FIX'!$N$14</definedName>
    <definedName name="WS.2" localSheetId="0">'TH-KD_FIX'!$N$15</definedName>
    <definedName name="WS.3" localSheetId="0">'TH-KD_FIX'!$N$16</definedName>
    <definedName name="WS.4" localSheetId="0">'TH-KD_FIX'!$N$17</definedName>
    <definedName name="WS.5" localSheetId="0">'TH-KD_FIX'!$N$18</definedName>
    <definedName name="Z_8BD11290_77B3_4D27_9040_BB9D2A7264B2_.wvu.PrintArea" localSheetId="0" hidden="1">'TH-KD_FIX'!$1:$61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26" i="1"/>
  <c r="BU25" i="1"/>
  <c r="BU24" i="1"/>
  <c r="BQ32" i="1"/>
  <c r="BQ23" i="1"/>
  <c r="BE34" i="1" l="1"/>
  <c r="BF34" i="1" s="1"/>
  <c r="BE33" i="1"/>
  <c r="BE32" i="1"/>
  <c r="BF32" i="1" s="1"/>
  <c r="BE31" i="1"/>
  <c r="BE29" i="1"/>
  <c r="BF29" i="1" s="1"/>
  <c r="BE28" i="1"/>
  <c r="BE27" i="1"/>
  <c r="BA29" i="1"/>
  <c r="BA22" i="1"/>
  <c r="X28" i="1"/>
  <c r="X29" i="1"/>
  <c r="BV25" i="1"/>
  <c r="BF33" i="1"/>
  <c r="BF30" i="1"/>
  <c r="BF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BF36" i="1"/>
  <c r="BF35" i="1"/>
  <c r="BV34" i="1"/>
  <c r="BT34" i="1"/>
  <c r="BN34" i="1"/>
  <c r="BV33" i="1"/>
  <c r="BT33" i="1"/>
  <c r="BN33" i="1"/>
  <c r="BV31" i="1"/>
  <c r="BF31" i="1"/>
  <c r="AF31" i="1"/>
  <c r="AE31" i="1"/>
  <c r="Z31" i="1"/>
  <c r="V31" i="1"/>
  <c r="BV30" i="1"/>
  <c r="AF30" i="1"/>
  <c r="AE30" i="1"/>
  <c r="Z30" i="1"/>
  <c r="V30" i="1"/>
  <c r="BV29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AF26" i="1" s="1"/>
  <c r="Z26" i="1"/>
  <c r="X26" i="1"/>
  <c r="V26" i="1"/>
  <c r="BF25" i="1"/>
  <c r="AU25" i="1"/>
  <c r="AS25" i="1"/>
  <c r="AP25" i="1"/>
  <c r="AL25" i="1"/>
  <c r="AE25" i="1"/>
  <c r="AF25" i="1" s="1"/>
  <c r="Z25" i="1"/>
  <c r="X25" i="1"/>
  <c r="V25" i="1"/>
  <c r="BF24" i="1"/>
  <c r="AU24" i="1"/>
  <c r="AS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7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B14" i="1"/>
  <c r="Z14" i="1"/>
  <c r="X14" i="1"/>
  <c r="U14" i="1"/>
  <c r="S14" i="1"/>
  <c r="N14" i="1"/>
  <c r="AN22" i="1" s="1"/>
  <c r="L14" i="1"/>
  <c r="AN27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K9" i="1"/>
  <c r="AE9" i="1"/>
  <c r="AA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U3" i="1"/>
  <c r="E3" i="1"/>
  <c r="BA3" i="1" s="1"/>
  <c r="AF2" i="1"/>
  <c r="AV2" i="1" s="1"/>
  <c r="BL2" i="1" s="1"/>
  <c r="CB2" i="1" s="1"/>
  <c r="AF23" i="1" l="1"/>
  <c r="AE4" i="1"/>
  <c r="CA4" i="1"/>
  <c r="AV24" i="1"/>
  <c r="AF28" i="1"/>
  <c r="AV22" i="1"/>
  <c r="AV27" i="1"/>
  <c r="BJ12" i="1"/>
  <c r="BJ14" i="1"/>
  <c r="AN24" i="1"/>
  <c r="BJ11" i="1"/>
  <c r="AR14" i="1"/>
  <c r="BK4" i="1"/>
  <c r="BG9" i="1"/>
  <c r="AT14" i="1"/>
  <c r="S15" i="1"/>
  <c r="BF37" i="1"/>
  <c r="AF29" i="1"/>
  <c r="BV32" i="1"/>
  <c r="BV24" i="1"/>
  <c r="AN25" i="1"/>
  <c r="AV25" i="1" s="1"/>
  <c r="AT11" i="1"/>
  <c r="AD14" i="1"/>
  <c r="AN26" i="1"/>
  <c r="AV26" i="1" s="1"/>
  <c r="AD11" i="1"/>
  <c r="BH14" i="1"/>
  <c r="BZ14" i="1"/>
  <c r="AN23" i="1"/>
  <c r="AV23" i="1" s="1"/>
  <c r="BX14" i="1"/>
  <c r="BV26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E8B1F78-BB98-4196-A561-0B6B452B23C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E4EDCA4-A233-4E30-A0C2-AA0D3C16564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7E41479-2A05-4356-9E9B-E2CB499DCA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<sst xmlns="http://schemas.openxmlformats.org/spreadsheetml/2006/main" count="532" uniqueCount="189">
  <si>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</si>
  <si>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</si>
  <si>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</si>
  <si>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</si>
  <si>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</si>
  <si>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</si>
  <si>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</si>
  <si>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</si>
  <si>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</si>
  <si>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</si>
  <si>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</si>
  <si>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</si>
  <si>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</si>
  <si>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</si>
  <si>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</si>
  <si>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FIX NM</t>
  </si>
  <si>
    <t>Delivery Date</t>
  </si>
  <si>
    <t>Elevation Code</t>
  </si>
  <si>
    <t>52T/F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</si>
  <si>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</si>
  <si>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</si>
  <si>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</si>
  <si>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U9S-61015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</si>
  <si>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</si>
  <si>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</si>
  <si>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</si>
  <si>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</si>
  <si>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</si>
  <si>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</si>
  <si>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</si>
  <si>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</si>
  <si>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</si>
  <si>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</si>
  <si>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</si>
  <si>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</si>
  <si>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</si>
  <si>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</si>
  <si>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</si>
  <si>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</si>
  <si>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</si>
  <si>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</si>
  <si>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</si>
  <si>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</si>
  <si>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</si>
  <si>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</si>
  <si>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</si>
  <si>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</si>
  <si>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</si>
  <si>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</si>
  <si>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</si>
  <si>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</si>
  <si>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</si>
  <si>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</si>
  <si>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</si>
  <si>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</si>
  <si>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</si>
  <si>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</si>
  <si>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</si>
  <si>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</si>
  <si>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</si>
  <si>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</si>
  <si>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</si>
  <si>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</si>
  <si>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</si>
  <si>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</si>
  <si>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</si>
  <si>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</si>
  <si>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</si>
  <si>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</si>
  <si>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</si>
  <si>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</si>
  <si>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</si>
  <si>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</si>
  <si>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</si>
  <si>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</si>
  <si>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</si>
  <si>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</si>
  <si>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</si>
  <si>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</si>
  <si>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</si>
  <si>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</si>
  <si>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</si>
  <si>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</si>
  <si>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</si>
  <si>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</si>
  <si>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</si>
  <si>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</si>
  <si>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</si>
  <si>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</si>
  <si>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</si>
  <si>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</si>
  <si>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9K-87138</t>
  </si>
  <si>
    <t>9K-20754</t>
  </si>
  <si>
    <t>9K-20669</t>
  </si>
  <si>
    <t>JAMB(L)</t>
  </si>
  <si>
    <t>9K-87104</t>
  </si>
  <si>
    <t>STILE(R)</t>
  </si>
  <si>
    <t>2K-29158</t>
  </si>
  <si>
    <t>M</t>
  </si>
  <si>
    <t>2K-22277</t>
  </si>
  <si>
    <t>JAMB(R)</t>
  </si>
  <si>
    <t>BEADING</t>
  </si>
  <si>
    <t>9K-86115</t>
  </si>
  <si>
    <t>2K-29161</t>
  </si>
  <si>
    <t>GLASS BEAD</t>
  </si>
  <si>
    <t>9K-87119</t>
  </si>
  <si>
    <t>9K-20856</t>
  </si>
  <si>
    <t>9K-30250</t>
  </si>
  <si>
    <t>GLASS BEAD(L)</t>
  </si>
  <si>
    <t>9K-20849</t>
  </si>
  <si>
    <t>EM-4016</t>
  </si>
  <si>
    <t>FOR HANDLE</t>
  </si>
  <si>
    <t>GLASS BEAD(R)</t>
  </si>
  <si>
    <t>EM-4010</t>
  </si>
  <si>
    <t>FOR TRANSMISSION ROD</t>
  </si>
  <si>
    <t>EF-4008D7-SA</t>
  </si>
  <si>
    <t>FOR STAY</t>
  </si>
  <si>
    <t>S</t>
  </si>
  <si>
    <t>EM-4008D8-SA</t>
  </si>
  <si>
    <t>BM-4025G</t>
  </si>
  <si>
    <t>EF-4006D6</t>
  </si>
  <si>
    <t>EF-4008D7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</si>
  <si>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</si>
  <si>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</si>
  <si>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</si>
  <si>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</si>
  <si>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</si>
  <si>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</si>
  <si>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</si>
  <si>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</si>
  <si>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</si>
  <si>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</si>
  <si>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</si>
  <si>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</si>
  <si>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</si>
  <si>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</si>
  <si>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</si>
  <si>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</si>
  <si>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</si>
  <si>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</si>
  <si>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</si>
  <si>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</si>
  <si>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</si>
  <si>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</si>
  <si>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</si>
  <si>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</si>
  <si>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</si>
  <si>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</si>
  <si>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</si>
  <si>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</si>
  <si>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</si>
  <si>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</si>
  <si>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</si>
  <si>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</si>
  <si>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</si>
  <si>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</si>
  <si>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</si>
  <si>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</si>
  <si>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</si>
  <si>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</si>
  <si>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</si>
  <si>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</si>
  <si>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</si>
  <si>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</si>
  <si>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</si>
  <si>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</si>
  <si>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</si>
  <si>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</si>
  <si>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LOCK KEEPER</t>
  </si>
  <si>
    <t>AT MATERIAL</t>
  </si>
  <si>
    <t>SETTING BLOCK</t>
  </si>
  <si>
    <t>SEALER PAD</t>
  </si>
  <si>
    <t>9K-30241</t>
  </si>
  <si>
    <t>YS</t>
  </si>
  <si>
    <t>YW</t>
  </si>
  <si>
    <t>YK</t>
  </si>
  <si>
    <t>FOR LOCK KEEPER</t>
  </si>
  <si>
    <t>FOR GLASS BEAD</t>
  </si>
  <si>
    <t>FOR HEAD, FOR JAMB</t>
  </si>
  <si>
    <t>FOR INSIDE</t>
  </si>
  <si>
    <t>FOR OUTSIDE</t>
  </si>
  <si>
    <t>HANDLE</t>
  </si>
  <si>
    <t>TRANSMISSION ROD</t>
  </si>
  <si>
    <t>WEATHER STRIP</t>
  </si>
  <si>
    <t>HANDLE CAP</t>
  </si>
  <si>
    <t>Y</t>
  </si>
  <si>
    <t>9K-87103</t>
  </si>
  <si>
    <t>9K-87131</t>
  </si>
  <si>
    <t>9K-20850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</si>
</sst>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A32406CF-4406-4A56-AF5F-C72A948B800A}"/>
    <cellStyle name="Normal" xfId="0" builtinId="0"/>
    <cellStyle name="Normal 2" xfId="1" xr:uid="{198D3411-9209-4DD8-B667-6E3778BDBFDD}"/>
    <cellStyle name="Normal 5" xfId="3" xr:uid="{DE0D6AF5-6185-459B-B45A-9747EF1E4931}"/>
    <cellStyle name="Normal_COBA 2" xfId="4" xr:uid="{E6E4E0E5-E015-41E5-86DC-E2E2C0871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319ED03-B40C-44BD-8F97-68A17901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EB47906-5C39-4682-8567-DDA9B0E4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8D6F577-2076-4C23-BE28-D4871C707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CEACCE8-1E75-4449-BD2B-6F4402939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A43A98B-7B13-4735-A22F-DD5EF148A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405DBE1-C5B2-43E8-B07F-9E636C2A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43860D1-5C8A-4001-8631-71DE12F9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13607</xdr:colOff>
      <xdr:row>21</xdr:row>
      <xdr:rowOff>95251</xdr:rowOff>
    </xdr:from>
    <xdr:to>
      <xdr:col>12</xdr:col>
      <xdr:colOff>459792</xdr:colOff>
      <xdr:row>37</xdr:row>
      <xdr:rowOff>175022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34C8121-DF39-43A3-965F-4EDE6365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947" y="4011931"/>
          <a:ext cx="2930305" cy="312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1B9B-7CB4-403C-B310-1B68D1581D5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2" sqref="S32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45520.658923726849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45520.658923726849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45520.658923726849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45520.658923726849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45520.658923726849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52T/F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U9S-61015</v>
      </c>
      <c r="AF9" s="60"/>
      <c r="AG9" s="3"/>
      <c r="AH9" s="53" t="s">
        <v>20</v>
      </c>
      <c r="AI9" s="36"/>
      <c r="AJ9" s="37"/>
      <c r="AK9" s="54" t="str">
        <f>IF($E$9&gt;0,$E$9,"")</f>
        <v>52T/F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U9S-61015</v>
      </c>
      <c r="AV9" s="60"/>
      <c r="AW9" s="3"/>
      <c r="AX9" s="53" t="s">
        <v>20</v>
      </c>
      <c r="AY9" s="36"/>
      <c r="AZ9" s="37"/>
      <c r="BA9" s="54" t="str">
        <f>IF(E9&gt;0,E9,"")</f>
        <v>52T/F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U9S-61015</v>
      </c>
      <c r="BL9" s="60"/>
      <c r="BM9" s="3"/>
      <c r="BN9" s="53" t="s">
        <v>20</v>
      </c>
      <c r="BO9" s="36"/>
      <c r="BP9" s="37"/>
      <c r="BQ9" s="54" t="str">
        <f>IF(U9&gt;0,U9,"")</f>
        <v>52T/F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U9S-61015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52T/F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162</v>
      </c>
      <c r="AY22" s="199"/>
      <c r="AZ22" s="200"/>
      <c r="BA22" s="204" t="str">
        <f>IF(h.1&lt;=560,"4K-14211",IF(h.1&lt;=860,"4K-14212",IF(h.1&lt;=1060,"4K-14214","4K-14216")))</f>
        <v>4K-14216</v>
      </c>
      <c r="BB22" s="168"/>
      <c r="BC22" s="180"/>
      <c r="BD22" s="181" t="s">
        <v>173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181</v>
      </c>
      <c r="BO22" s="199"/>
      <c r="BP22" s="200"/>
      <c r="BQ22" s="204" t="s">
        <v>85</v>
      </c>
      <c r="BR22" s="168"/>
      <c r="BS22" s="180"/>
      <c r="BT22" s="181" t="s">
        <v>175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186</v>
      </c>
      <c r="V23" s="168" t="str">
        <f t="shared" si="0"/>
        <v>-</v>
      </c>
      <c r="W23" s="201">
        <v>4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119</v>
      </c>
      <c r="BB23" s="168"/>
      <c r="BC23" s="180"/>
      <c r="BD23" s="181" t="s">
        <v>173</v>
      </c>
      <c r="BE23" s="171">
        <v>12</v>
      </c>
      <c r="BF23" s="172">
        <f t="shared" si="7"/>
        <v>12</v>
      </c>
      <c r="BG23" s="183"/>
      <c r="BH23" s="184" t="s">
        <v>122</v>
      </c>
      <c r="BI23" s="185"/>
      <c r="BJ23" s="186"/>
      <c r="BK23" s="205"/>
      <c r="BL23" s="188" t="s">
        <v>117</v>
      </c>
      <c r="BM23" s="4"/>
      <c r="BN23" s="198" t="s">
        <v>182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173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187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4K-14216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164</v>
      </c>
      <c r="AY24" s="199"/>
      <c r="AZ24" s="200"/>
      <c r="BA24" s="167" t="s">
        <v>118</v>
      </c>
      <c r="BB24" s="168"/>
      <c r="BC24" s="180"/>
      <c r="BD24" s="181" t="s">
        <v>173</v>
      </c>
      <c r="BE24" s="171">
        <v>8</v>
      </c>
      <c r="BF24" s="172">
        <f t="shared" si="7"/>
        <v>8</v>
      </c>
      <c r="BG24" s="183"/>
      <c r="BH24" s="184" t="s">
        <v>116</v>
      </c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93</v>
      </c>
      <c r="BR24" s="168"/>
      <c r="BS24" s="180"/>
      <c r="BT24" s="181" t="s">
        <v>175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95</v>
      </c>
      <c r="V25" s="168" t="str">
        <f t="shared" si="0"/>
        <v>-</v>
      </c>
      <c r="W25" s="201">
        <v>37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4K-14216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164</v>
      </c>
      <c r="AY25" s="199"/>
      <c r="AZ25" s="200"/>
      <c r="BA25" s="167" t="s">
        <v>121</v>
      </c>
      <c r="BB25" s="168"/>
      <c r="BC25" s="180"/>
      <c r="BD25" s="181" t="s">
        <v>173</v>
      </c>
      <c r="BE25" s="171">
        <v>4</v>
      </c>
      <c r="BF25" s="172">
        <f t="shared" si="7"/>
        <v>4</v>
      </c>
      <c r="BG25" s="183"/>
      <c r="BH25" s="184" t="s">
        <v>176</v>
      </c>
      <c r="BI25" s="185"/>
      <c r="BJ25" s="186"/>
      <c r="BK25" s="187"/>
      <c r="BL25" s="188" t="s">
        <v>7</v>
      </c>
      <c r="BM25" s="4"/>
      <c r="BN25" s="198" t="s">
        <v>183</v>
      </c>
      <c r="BO25" s="199"/>
      <c r="BP25" s="200"/>
      <c r="BQ25" s="167" t="s">
        <v>103</v>
      </c>
      <c r="BR25" s="168"/>
      <c r="BS25" s="180"/>
      <c r="BT25" s="181" t="s">
        <v>175</v>
      </c>
      <c r="BU25" s="171">
        <f>(HS.1*2)/1000</f>
        <v>2.58</v>
      </c>
      <c r="BV25" s="172">
        <f>(HS.1*2)/1000</f>
        <v>2.58</v>
      </c>
      <c r="BW25" s="183" t="s">
        <v>98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100</v>
      </c>
      <c r="S26" s="199"/>
      <c r="T26" s="200"/>
      <c r="U26" s="167" t="s">
        <v>95</v>
      </c>
      <c r="V26" s="168" t="str">
        <f t="shared" si="0"/>
        <v>-</v>
      </c>
      <c r="W26" s="201">
        <v>38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164</v>
      </c>
      <c r="AY26" s="199"/>
      <c r="AZ26" s="200"/>
      <c r="BA26" s="167" t="s">
        <v>120</v>
      </c>
      <c r="BB26" s="168"/>
      <c r="BC26" s="180"/>
      <c r="BD26" s="181" t="s">
        <v>173</v>
      </c>
      <c r="BE26" s="171">
        <v>2</v>
      </c>
      <c r="BF26" s="172">
        <f t="shared" si="7"/>
        <v>2</v>
      </c>
      <c r="BG26" s="183"/>
      <c r="BH26" s="184" t="s">
        <v>177</v>
      </c>
      <c r="BI26" s="185"/>
      <c r="BJ26" s="186"/>
      <c r="BK26" s="187"/>
      <c r="BL26" s="188" t="s">
        <v>7</v>
      </c>
      <c r="BM26" s="4"/>
      <c r="BN26" s="198" t="s">
        <v>167</v>
      </c>
      <c r="BO26" s="199"/>
      <c r="BP26" s="200"/>
      <c r="BQ26" s="167" t="s">
        <v>99</v>
      </c>
      <c r="BR26" s="168"/>
      <c r="BS26" s="180"/>
      <c r="BT26" s="181" t="s">
        <v>175</v>
      </c>
      <c r="BU26" s="171">
        <f>(((WS.1-44)+(HS.1-84))*2)/1000</f>
        <v>4.22</v>
      </c>
      <c r="BV26" s="172">
        <f t="shared" si="8"/>
        <v>4.22</v>
      </c>
      <c r="BW26" s="183" t="s">
        <v>98</v>
      </c>
      <c r="BX26" s="184" t="s">
        <v>180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165</v>
      </c>
      <c r="AY27" s="199"/>
      <c r="AZ27" s="200"/>
      <c r="BA27" s="167" t="s">
        <v>123</v>
      </c>
      <c r="BB27" s="168"/>
      <c r="BC27" s="180"/>
      <c r="BD27" s="181" t="s">
        <v>173</v>
      </c>
      <c r="BE27" s="171">
        <f>IF(W&lt;=1000,1,3)</f>
        <v>1</v>
      </c>
      <c r="BF27" s="172">
        <f t="shared" si="7"/>
        <v>1</v>
      </c>
      <c r="BG27" s="212"/>
      <c r="BH27" s="184"/>
      <c r="BI27" s="185"/>
      <c r="BJ27" s="186"/>
      <c r="BK27" s="187"/>
      <c r="BL27" s="188" t="s">
        <v>117</v>
      </c>
      <c r="BM27" s="4"/>
      <c r="BN27" s="198" t="s">
        <v>184</v>
      </c>
      <c r="BO27" s="199"/>
      <c r="BP27" s="200"/>
      <c r="BQ27" s="167" t="s">
        <v>107</v>
      </c>
      <c r="BR27" s="168"/>
      <c r="BS27" s="180"/>
      <c r="BT27" s="181" t="s">
        <v>185</v>
      </c>
      <c r="BU27" s="171">
        <v>1</v>
      </c>
      <c r="BV27" s="172">
        <f t="shared" si="8"/>
        <v>1</v>
      </c>
      <c r="BW27" s="212"/>
      <c r="BX27" s="184" t="s">
        <v>111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166</v>
      </c>
      <c r="AY28" s="199"/>
      <c r="AZ28" s="200"/>
      <c r="BA28" s="167" t="s">
        <v>124</v>
      </c>
      <c r="BB28" s="168"/>
      <c r="BC28" s="180"/>
      <c r="BD28" s="181" t="s">
        <v>174</v>
      </c>
      <c r="BE28" s="171">
        <f>IF(h.1&lt;=560,4,IF(h.1&lt;=860,6,IF(h.1&lt;=1560,8,10)))</f>
        <v>8</v>
      </c>
      <c r="BF28" s="172">
        <f t="shared" si="7"/>
        <v>8</v>
      </c>
      <c r="BG28" s="183"/>
      <c r="BH28" s="184" t="s">
        <v>178</v>
      </c>
      <c r="BI28" s="185"/>
      <c r="BJ28" s="186"/>
      <c r="BK28" s="187"/>
      <c r="BL28" s="188" t="s">
        <v>117</v>
      </c>
      <c r="BM28" s="4"/>
      <c r="BN28" s="198" t="s">
        <v>164</v>
      </c>
      <c r="BO28" s="199"/>
      <c r="BP28" s="200"/>
      <c r="BQ28" s="167" t="s">
        <v>119</v>
      </c>
      <c r="BR28" s="168"/>
      <c r="BS28" s="180"/>
      <c r="BT28" s="181" t="s">
        <v>173</v>
      </c>
      <c r="BU28" s="171">
        <v>8</v>
      </c>
      <c r="BV28" s="172">
        <f t="shared" si="8"/>
        <v>8</v>
      </c>
      <c r="BW28" s="183"/>
      <c r="BX28" s="184"/>
      <c r="BY28" s="185"/>
      <c r="BZ28" s="186"/>
      <c r="CA28" s="187"/>
      <c r="CB28" s="188" t="s">
        <v>117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112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167</v>
      </c>
      <c r="AY29" s="199"/>
      <c r="AZ29" s="200"/>
      <c r="BA29" s="167" t="str">
        <f>IF(GTH=5,"9K-20523",IF(GTH=6,"2K-22973",IF(GTH=8,"2K-22975","")))</f>
        <v>9K-20523</v>
      </c>
      <c r="BB29" s="168"/>
      <c r="BC29" s="180"/>
      <c r="BD29" s="181" t="s">
        <v>175</v>
      </c>
      <c r="BE29" s="171">
        <f>((2*W)+(2*h.2)-68)/1000</f>
        <v>3.2120000000000002</v>
      </c>
      <c r="BF29" s="172">
        <f t="shared" si="7"/>
        <v>3.2120000000000002</v>
      </c>
      <c r="BG29" s="183" t="s">
        <v>98</v>
      </c>
      <c r="BH29" s="184" t="s">
        <v>179</v>
      </c>
      <c r="BI29" s="185"/>
      <c r="BJ29" s="186"/>
      <c r="BK29" s="187"/>
      <c r="BL29" s="188" t="s">
        <v>117</v>
      </c>
      <c r="BM29" s="4"/>
      <c r="BN29" s="198" t="s">
        <v>164</v>
      </c>
      <c r="BO29" s="199"/>
      <c r="BP29" s="200"/>
      <c r="BQ29" s="167" t="s">
        <v>115</v>
      </c>
      <c r="BR29" s="168"/>
      <c r="BS29" s="180"/>
      <c r="BT29" s="181" t="s">
        <v>173</v>
      </c>
      <c r="BU29" s="171">
        <v>8</v>
      </c>
      <c r="BV29" s="172">
        <f t="shared" si="8"/>
        <v>8</v>
      </c>
      <c r="BW29" s="183"/>
      <c r="BX29" s="184" t="s">
        <v>116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168</v>
      </c>
      <c r="AY30" s="199"/>
      <c r="AZ30" s="200"/>
      <c r="BA30" s="167" t="s">
        <v>88</v>
      </c>
      <c r="BB30" s="168"/>
      <c r="BC30" s="180"/>
      <c r="BD30" s="181" t="s">
        <v>173</v>
      </c>
      <c r="BE30" s="171"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">
        <v>164</v>
      </c>
      <c r="BO30" s="199"/>
      <c r="BP30" s="200"/>
      <c r="BQ30" s="167" t="s">
        <v>110</v>
      </c>
      <c r="BR30" s="168"/>
      <c r="BS30" s="180"/>
      <c r="BT30" s="181" t="s">
        <v>173</v>
      </c>
      <c r="BU30" s="171">
        <v>2</v>
      </c>
      <c r="BV30" s="172">
        <f t="shared" si="8"/>
        <v>2</v>
      </c>
      <c r="BW30" s="183"/>
      <c r="BX30" s="184" t="s">
        <v>111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169</v>
      </c>
      <c r="AY31" s="199"/>
      <c r="AZ31" s="200"/>
      <c r="BA31" s="167" t="s">
        <v>92</v>
      </c>
      <c r="BB31" s="168"/>
      <c r="BC31" s="180"/>
      <c r="BD31" s="181" t="s">
        <v>175</v>
      </c>
      <c r="BE31" s="171">
        <f>((W-41)+(h.1-36))*2/1000</f>
        <v>4.4459999999999997</v>
      </c>
      <c r="BF31" s="172">
        <f t="shared" si="7"/>
        <v>4.4459999999999997</v>
      </c>
      <c r="BG31" s="183" t="s">
        <v>98</v>
      </c>
      <c r="BH31" s="184"/>
      <c r="BI31" s="185"/>
      <c r="BJ31" s="186"/>
      <c r="BK31" s="187"/>
      <c r="BL31" s="188"/>
      <c r="BM31" s="4"/>
      <c r="BN31" s="198" t="s">
        <v>164</v>
      </c>
      <c r="BO31" s="199"/>
      <c r="BP31" s="200"/>
      <c r="BQ31" s="167" t="s">
        <v>113</v>
      </c>
      <c r="BR31" s="168"/>
      <c r="BS31" s="180"/>
      <c r="BT31" s="181" t="s">
        <v>173</v>
      </c>
      <c r="BU31" s="171">
        <v>4</v>
      </c>
      <c r="BV31" s="172">
        <f t="shared" si="8"/>
        <v>4</v>
      </c>
      <c r="BW31" s="183"/>
      <c r="BX31" s="184" t="s">
        <v>114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169</v>
      </c>
      <c r="AY32" s="199"/>
      <c r="AZ32" s="200"/>
      <c r="BA32" s="167" t="s">
        <v>97</v>
      </c>
      <c r="BB32" s="168"/>
      <c r="BC32" s="180"/>
      <c r="BD32" s="181" t="s">
        <v>175</v>
      </c>
      <c r="BE32" s="171">
        <f>(W-41)/1000</f>
        <v>0.95899999999999996</v>
      </c>
      <c r="BF32" s="172">
        <f t="shared" si="7"/>
        <v>0.95899999999999996</v>
      </c>
      <c r="BG32" s="183" t="s">
        <v>98</v>
      </c>
      <c r="BH32" s="184"/>
      <c r="BI32" s="185"/>
      <c r="BJ32" s="186"/>
      <c r="BK32" s="187"/>
      <c r="BL32" s="188"/>
      <c r="BM32" s="4"/>
      <c r="BN32" s="198" t="s">
        <v>167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175</v>
      </c>
      <c r="BU32" s="171">
        <f>((2*WS.1)+(2*HS.1)-172)/1000</f>
        <v>4.3040000000000003</v>
      </c>
      <c r="BV32" s="172">
        <f t="shared" si="8"/>
        <v>4.3040000000000003</v>
      </c>
      <c r="BW32" s="183" t="s">
        <v>98</v>
      </c>
      <c r="BX32" s="184" t="s">
        <v>179</v>
      </c>
      <c r="BY32" s="185"/>
      <c r="BZ32" s="186"/>
      <c r="CA32" s="187"/>
      <c r="CB32" s="188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207"/>
      <c r="Y33" s="171"/>
      <c r="Z33" s="172"/>
      <c r="AA33" s="202"/>
      <c r="AB33" s="174"/>
      <c r="AC33" s="175"/>
      <c r="AD33" s="176"/>
      <c r="AE33" s="177"/>
      <c r="AF33" s="178"/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167</v>
      </c>
      <c r="AY33" s="199"/>
      <c r="AZ33" s="200"/>
      <c r="BA33" s="167" t="s">
        <v>99</v>
      </c>
      <c r="BB33" s="168"/>
      <c r="BC33" s="180"/>
      <c r="BD33" s="181" t="s">
        <v>175</v>
      </c>
      <c r="BE33" s="171">
        <f>((W-41)+(h.2-36))*2/1000</f>
        <v>3.1259999999999999</v>
      </c>
      <c r="BF33" s="172">
        <f t="shared" si="7"/>
        <v>3.1259999999999999</v>
      </c>
      <c r="BG33" s="212" t="s">
        <v>98</v>
      </c>
      <c r="BH33" s="184" t="s">
        <v>180</v>
      </c>
      <c r="BI33" s="185"/>
      <c r="BJ33" s="186"/>
      <c r="BK33" s="187"/>
      <c r="BL33" s="188"/>
      <c r="BM33" s="4"/>
      <c r="BN33" s="198" t="str">
        <f t="shared" ref="BN33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33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207"/>
      <c r="Y34" s="171"/>
      <c r="Z34" s="172"/>
      <c r="AA34" s="202"/>
      <c r="AB34" s="174"/>
      <c r="AC34" s="175"/>
      <c r="AD34" s="176"/>
      <c r="AE34" s="177"/>
      <c r="AF34" s="178"/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170</v>
      </c>
      <c r="AY34" s="199"/>
      <c r="AZ34" s="200"/>
      <c r="BA34" s="167" t="s">
        <v>106</v>
      </c>
      <c r="BB34" s="168"/>
      <c r="BC34" s="180"/>
      <c r="BD34" s="181" t="s">
        <v>175</v>
      </c>
      <c r="BE34" s="171">
        <f>IF((WS.1*HS.1)/1000000&lt;=1.6,2,4)</f>
        <v>2</v>
      </c>
      <c r="BF34" s="172">
        <f t="shared" si="7"/>
        <v>2</v>
      </c>
      <c r="BG34" s="212"/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171</v>
      </c>
      <c r="AY35" s="199"/>
      <c r="AZ35" s="200"/>
      <c r="BA35" s="167" t="s">
        <v>109</v>
      </c>
      <c r="BB35" s="168"/>
      <c r="BC35" s="180"/>
      <c r="BD35" s="181" t="s">
        <v>175</v>
      </c>
      <c r="BE35" s="171">
        <v>2</v>
      </c>
      <c r="BF35" s="172">
        <f t="shared" si="7"/>
        <v>2</v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170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/>
      <c r="AM36" s="169"/>
      <c r="AN36" s="170"/>
      <c r="AO36" s="171"/>
      <c r="AP36" s="172"/>
      <c r="AQ36" s="220"/>
      <c r="AR36" s="174"/>
      <c r="AS36" s="175"/>
      <c r="AT36" s="211"/>
      <c r="AU36" s="177"/>
      <c r="AV36" s="178"/>
      <c r="AW36" s="4"/>
      <c r="AX36" s="198" t="s">
        <v>171</v>
      </c>
      <c r="AY36" s="199"/>
      <c r="AZ36" s="200"/>
      <c r="BA36" s="167" t="s">
        <v>188</v>
      </c>
      <c r="BB36" s="168"/>
      <c r="BC36" s="180"/>
      <c r="BD36" s="181" t="s">
        <v>175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163</v>
      </c>
      <c r="AY37" s="199"/>
      <c r="AZ37" s="200"/>
      <c r="BA37" s="167" t="s">
        <v>172</v>
      </c>
      <c r="BB37" s="168"/>
      <c r="BC37" s="180"/>
      <c r="BD37" s="181" t="s">
        <v>173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 t="s">
        <v>7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ref="AX39:AX60" si="13">IF(BA39&gt;"",VLOOKUP(BA39,PART_NAMA,3,FALSE),"")</f>
        <v/>
      </c>
      <c r="AY39" s="199"/>
      <c r="AZ39" s="200"/>
      <c r="BA39" s="167"/>
      <c r="BB39" s="168"/>
      <c r="BC39" s="180"/>
      <c r="BD39" s="181" t="str">
        <f t="shared" ref="BD39:BD60" si="14">IF(BA39&gt;"",VLOOKUP(BA39&amp;$M$10,PART_MASTER,3,FALSE),"")</f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5" t="s">
        <v>129</v>
      </c>
      <c r="D44" s="336"/>
      <c r="E44" s="337"/>
      <c r="F44" s="335" t="s">
        <v>130</v>
      </c>
      <c r="G44" s="336"/>
      <c r="H44" s="337"/>
      <c r="I44" s="252"/>
      <c r="J44" s="253" t="s">
        <v>128</v>
      </c>
      <c r="K44" s="335" t="s">
        <v>129</v>
      </c>
      <c r="L44" s="336"/>
      <c r="M44" s="336"/>
      <c r="N44" s="337"/>
      <c r="O44" s="253" t="s">
        <v>131</v>
      </c>
      <c r="P44" s="254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8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8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140</v>
      </c>
      <c r="AD48" s="273"/>
      <c r="AE48" s="274" t="s">
        <v>141</v>
      </c>
      <c r="AF48" s="275">
        <f>SUM(AF22:AF47)</f>
        <v>4.4902089999999992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140</v>
      </c>
      <c r="AT48" s="273"/>
      <c r="AU48" s="274" t="s">
        <v>141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8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6" t="s">
        <v>144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145</v>
      </c>
      <c r="AE49" s="280" t="s">
        <v>146</v>
      </c>
      <c r="AF49" s="281">
        <f>AF48*0.986</f>
        <v>4.427346073999999</v>
      </c>
      <c r="AG49" s="4"/>
      <c r="AH49" s="276" t="s">
        <v>144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145</v>
      </c>
      <c r="AU49" s="280" t="s">
        <v>146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8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149</v>
      </c>
      <c r="AF50" s="281">
        <f>AF48*0.974*0.986</f>
        <v>4.3122350760759991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149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8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152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154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155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156</v>
      </c>
      <c r="C55" s="268"/>
      <c r="D55" s="268"/>
      <c r="E55" s="268"/>
      <c r="F55" s="268"/>
      <c r="G55" s="268"/>
      <c r="H55" s="268"/>
      <c r="I55" s="268"/>
      <c r="J55" s="301" t="s">
        <v>157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158</v>
      </c>
      <c r="K56" s="306"/>
      <c r="L56" s="306"/>
      <c r="M56" s="306"/>
      <c r="N56" s="307"/>
      <c r="O56" s="308" t="s">
        <v>159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3"/>
        <v/>
      </c>
      <c r="AY58" s="199"/>
      <c r="AZ58" s="200"/>
      <c r="BA58" s="288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160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161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161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161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161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161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TH-KD_FIX</vt:lpstr>
      <vt:lpstr>'TH-KD_FIX'!A.</vt:lpstr>
      <vt:lpstr>'TH-KD_FIX'!C.</vt:lpstr>
      <vt:lpstr>'TH-KD_FIX'!F.</vt:lpstr>
      <vt:lpstr>'TH-KD_FIX'!GCS</vt:lpstr>
      <vt:lpstr>'TH-KD_FIX'!GTH</vt:lpstr>
      <vt:lpstr>'TH-KD_FIX'!H</vt:lpstr>
      <vt:lpstr>'TH-KD_FIX'!h.1</vt:lpstr>
      <vt:lpstr>'TH-KD_FIX'!h.10</vt:lpstr>
      <vt:lpstr>'TH-KD_FIX'!h.2</vt:lpstr>
      <vt:lpstr>'TH-KD_FIX'!h.3</vt:lpstr>
      <vt:lpstr>'TH-KD_FIX'!h.4</vt:lpstr>
      <vt:lpstr>'TH-KD_FIX'!h.5</vt:lpstr>
      <vt:lpstr>'TH-KD_FIX'!h.6</vt:lpstr>
      <vt:lpstr>'TH-KD_FIX'!h.7</vt:lpstr>
      <vt:lpstr>'TH-KD_FIX'!h.8</vt:lpstr>
      <vt:lpstr>'TH-KD_FIX'!h.9</vt:lpstr>
      <vt:lpstr>'TH-KD_FIX'!HS</vt:lpstr>
      <vt:lpstr>'TH-KD_FIX'!HS.1</vt:lpstr>
      <vt:lpstr>'TH-KD_FIX'!HS.2</vt:lpstr>
      <vt:lpstr>'TH-KD_FIX'!HS.3</vt:lpstr>
      <vt:lpstr>'TH-KD_FIX'!HS.4</vt:lpstr>
      <vt:lpstr>'TH-KD_FIX'!HS.5</vt:lpstr>
      <vt:lpstr>'TH-KD_FIX'!Print_Area</vt:lpstr>
      <vt:lpstr>'TH-KD_FIX'!Q</vt:lpstr>
      <vt:lpstr>'TH-KD_FIX'!R.</vt:lpstr>
      <vt:lpstr>'TH-KD_FIX'!W</vt:lpstr>
      <vt:lpstr>'TH-KD_FIX'!w.1</vt:lpstr>
      <vt:lpstr>'TH-KD_FIX'!w.10</vt:lpstr>
      <vt:lpstr>'TH-KD_FIX'!w.2</vt:lpstr>
      <vt:lpstr>'TH-KD_FIX'!w.3</vt:lpstr>
      <vt:lpstr>'TH-KD_FIX'!w.4</vt:lpstr>
      <vt:lpstr>'TH-KD_FIX'!w.5</vt:lpstr>
      <vt:lpstr>'TH-KD_FIX'!w.6</vt:lpstr>
      <vt:lpstr>'TH-KD_FIX'!w.7</vt:lpstr>
      <vt:lpstr>'TH-KD_FIX'!w.8</vt:lpstr>
      <vt:lpstr>'TH-KD_FIX'!w.9</vt:lpstr>
      <vt:lpstr>'TH-KD_FIX'!WS</vt:lpstr>
      <vt:lpstr>'TH-KD_FIX'!WS.1</vt:lpstr>
      <vt:lpstr>'TH-KD_FIX'!WS.2</vt:lpstr>
      <vt:lpstr>'TH-KD_FIX'!WS.3</vt:lpstr>
      <vt:lpstr>'TH-KD_FIX'!WS.4</vt:lpstr>
      <vt:lpstr>'TH-KD_FIX'!WS.5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2024-07-30T02:50:33Z</dcterms:created>
  <dcterms:modified xsi:type="dcterms:W3CDTF">2024-08-16T08:48:55Z</dcterms:modified>
</cp:coreProperties>
</file>