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3F7A2E90-FE29-4DE9-A964-4EBCA154E680}" xr6:coauthVersionLast="47" xr6:coauthVersionMax="47" xr10:uidLastSave="{00000000-0000-0000-0000-000000000000}"/>
  <bookViews>
    <workbookView xWindow="-108" yWindow="-108" windowWidth="23256" windowHeight="12456" xr2:uid="{C7444638-4128-4710-B82C-087940D49288}"/>
  </bookViews>
  <sheets>
    <sheet name="CAL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'CAL-KD_FIX'!$P$18</definedName>
    <definedName name="BD">"BD"</definedName>
    <definedName name="C." localSheetId="0">'CAL-KD_FIX'!$P$17</definedName>
    <definedName name="F." localSheetId="0">'CAL-KD_FIX'!$P$16</definedName>
    <definedName name="GCS" localSheetId="0">'CAL-KD_FIX'!$O$12</definedName>
    <definedName name="GTH" localSheetId="0">'CAL-KD_FIX'!$O$11</definedName>
    <definedName name="H" localSheetId="0">'CAL-KD_FIX'!$E$12</definedName>
    <definedName name="h.1" localSheetId="0">'CAL-KD_FIX'!$C$14</definedName>
    <definedName name="h.10" localSheetId="0">'CAL-KD_FIX'!$E$18</definedName>
    <definedName name="h.2" localSheetId="0">'CAL-KD_FIX'!$C$15</definedName>
    <definedName name="h.3" localSheetId="0">'CAL-KD_FIX'!$C$16</definedName>
    <definedName name="h.4" localSheetId="0">'CAL-KD_FIX'!$C$17</definedName>
    <definedName name="h.5" localSheetId="0">'CAL-KD_FIX'!$C$18</definedName>
    <definedName name="h.6" localSheetId="0">'CAL-KD_FIX'!$E$14</definedName>
    <definedName name="h.7" localSheetId="0">'CAL-KD_FIX'!$E$15</definedName>
    <definedName name="h.8" localSheetId="0">'CAL-KD_FIX'!$E$16</definedName>
    <definedName name="h.9" localSheetId="0">'CAL-KD_FIX'!$E$17</definedName>
    <definedName name="HS" localSheetId="0">'CAL-KD_FIX'!$H$12</definedName>
    <definedName name="HS.1" localSheetId="0">'CAL-KD_FIX'!$L$14</definedName>
    <definedName name="HS.2" localSheetId="0">'CAL-KD_FIX'!$L$15</definedName>
    <definedName name="HS.3" localSheetId="0">'CAL-KD_FIX'!$L$16</definedName>
    <definedName name="HS.4" localSheetId="0">'CAL-KD_FIX'!$L$17</definedName>
    <definedName name="HS.5" localSheetId="0">'CAL-KD_FIX'!$L$18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'CAL-KD_FIX'!$1:$61</definedName>
    <definedName name="Q" localSheetId="0">'CAL-KD_FIX'!$I$11</definedName>
    <definedName name="R." localSheetId="0">'CAL-KD_FIX'!$C$62</definedName>
    <definedName name="st" hidden="1">[6]Gra_Ord_In_2000!$BA$12:$BA$1655</definedName>
    <definedName name="W" localSheetId="0">'CAL-KD_FIX'!$E$11</definedName>
    <definedName name="w.1" localSheetId="0">'CAL-KD_FIX'!$H$14</definedName>
    <definedName name="w.10" localSheetId="0">'CAL-KD_FIX'!$J$18</definedName>
    <definedName name="w.2" localSheetId="0">'CAL-KD_FIX'!$H$15</definedName>
    <definedName name="w.3" localSheetId="0">'CAL-KD_FIX'!$H$16</definedName>
    <definedName name="w.4" localSheetId="0">'CAL-KD_FIX'!$H$17</definedName>
    <definedName name="w.5" localSheetId="0">'CAL-KD_FIX'!$H$18</definedName>
    <definedName name="w.6" localSheetId="0">'CAL-KD_FIX'!$J$14</definedName>
    <definedName name="w.7" localSheetId="0">'CAL-KD_FIX'!$J$15</definedName>
    <definedName name="w.8" localSheetId="0">'CAL-KD_FIX'!$J$16</definedName>
    <definedName name="w.9" localSheetId="0">'CAL-KD_FIX'!$J$17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'CAL-KD_FIX'!$L$12</definedName>
    <definedName name="WS.1" localSheetId="0">'CAL-KD_FIX'!$N$14</definedName>
    <definedName name="WS.2" localSheetId="0">'CAL-KD_FIX'!$N$15</definedName>
    <definedName name="WS.3" localSheetId="0">'CAL-KD_FIX'!$N$16</definedName>
    <definedName name="WS.4" localSheetId="0">'CAL-KD_FIX'!$N$17</definedName>
    <definedName name="WS.5" localSheetId="0">'CAL-KD_FIX'!$N$18</definedName>
    <definedName name="Z_8BD11290_77B3_4D27_9040_BB9D2A7264B2_.wvu.PrintArea" localSheetId="0" hidden="1">'CAL-KD_FIX'!$1:$61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V34" i="1" s="1"/>
  <c r="BU28" i="1"/>
  <c r="BU27" i="1"/>
  <c r="BQ34" i="1"/>
  <c r="BQ23" i="1"/>
  <c r="BF60" i="1"/>
  <c r="BD60" i="1"/>
  <c r="AX60" i="1"/>
  <c r="BE34" i="1"/>
  <c r="BF34" i="1" s="1"/>
  <c r="BE35" i="1"/>
  <c r="BE36" i="1"/>
  <c r="BF36" i="1" s="1"/>
  <c r="BE31" i="1"/>
  <c r="BE30" i="1"/>
  <c r="BF30" i="1" s="1"/>
  <c r="BA31" i="1"/>
  <c r="BA22" i="1"/>
  <c r="X28" i="1"/>
  <c r="X29" i="1"/>
  <c r="W25" i="1"/>
  <c r="BF37" i="1"/>
  <c r="BF35" i="1"/>
  <c r="BF32" i="1"/>
  <c r="BF31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BF41" i="1"/>
  <c r="BD41" i="1"/>
  <c r="AX41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BF39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V37" i="1"/>
  <c r="BT37" i="1"/>
  <c r="BN37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V32" i="1"/>
  <c r="AV32" i="1"/>
  <c r="AU32" i="1"/>
  <c r="AP32" i="1"/>
  <c r="AL32" i="1"/>
  <c r="AF32" i="1"/>
  <c r="AE32" i="1"/>
  <c r="Z32" i="1"/>
  <c r="V32" i="1"/>
  <c r="BV31" i="1"/>
  <c r="AV31" i="1"/>
  <c r="AU31" i="1"/>
  <c r="AP31" i="1"/>
  <c r="AL31" i="1"/>
  <c r="AF31" i="1"/>
  <c r="AE31" i="1"/>
  <c r="Z31" i="1"/>
  <c r="V31" i="1"/>
  <c r="BV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Z28" i="1"/>
  <c r="V28" i="1"/>
  <c r="AU27" i="1"/>
  <c r="AP27" i="1"/>
  <c r="AL27" i="1"/>
  <c r="AE27" i="1"/>
  <c r="AF27" i="1" s="1"/>
  <c r="Z27" i="1"/>
  <c r="X27" i="1"/>
  <c r="V27" i="1"/>
  <c r="BV26" i="1"/>
  <c r="BF26" i="1"/>
  <c r="AU26" i="1"/>
  <c r="AP26" i="1"/>
  <c r="AL26" i="1"/>
  <c r="AE26" i="1"/>
  <c r="AF26" i="1" s="1"/>
  <c r="AB26" i="1"/>
  <c r="Z26" i="1"/>
  <c r="X26" i="1"/>
  <c r="V26" i="1"/>
  <c r="BV25" i="1"/>
  <c r="BF25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15" i="1"/>
  <c r="BF38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BV27" i="1" s="1"/>
  <c r="L14" i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Z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W9" i="1"/>
  <c r="BQ9" i="1"/>
  <c r="BK9" i="1"/>
  <c r="BA9" i="1"/>
  <c r="AU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Q3" i="1" s="1"/>
  <c r="AF2" i="1"/>
  <c r="AV2" i="1" s="1"/>
  <c r="BL2" i="1" s="1"/>
  <c r="CB2" i="1" s="1"/>
  <c r="AF24" i="1" l="1"/>
  <c r="BV28" i="1"/>
  <c r="AF28" i="1"/>
  <c r="AF29" i="1"/>
  <c r="BK4" i="1"/>
  <c r="AE4" i="1"/>
  <c r="CA4" i="1"/>
  <c r="AF48" i="1"/>
  <c r="U3" i="1"/>
  <c r="BA3" i="1"/>
  <c r="AQ9" i="1"/>
  <c r="AD11" i="1"/>
  <c r="BH14" i="1"/>
  <c r="BZ14" i="1"/>
  <c r="BF27" i="1"/>
  <c r="AK3" i="1"/>
  <c r="BX14" i="1"/>
  <c r="AN22" i="1"/>
  <c r="AV22" i="1" s="1"/>
  <c r="AN25" i="1"/>
  <c r="AV25" i="1" s="1"/>
  <c r="AS22" i="1"/>
  <c r="BV35" i="1"/>
  <c r="AA10" i="1"/>
  <c r="AR14" i="1"/>
  <c r="AN27" i="1"/>
  <c r="AV27" i="1" s="1"/>
  <c r="AS24" i="1"/>
  <c r="BJ12" i="1"/>
  <c r="BJ14" i="1"/>
  <c r="AN23" i="1"/>
  <c r="AV23" i="1" s="1"/>
  <c r="AN26" i="1"/>
  <c r="AV26" i="1" s="1"/>
  <c r="AT14" i="1"/>
  <c r="AS23" i="1"/>
  <c r="AM24" i="1"/>
  <c r="AB14" i="1"/>
  <c r="AN24" i="1"/>
  <c r="AV24" i="1" s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1518F8FE-A361-49B5-949A-89DDE7E6A4C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3B2562B8-9628-4593-BE40-FD7410FB3B2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5788D171-A29D-4333-A03C-98E52CE99B2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<sst xmlns="http://schemas.openxmlformats.org/spreadsheetml/2006/main" count="549" uniqueCount="192">
  <si>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</si>
  <si>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</si>
  <si>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</si>
  <si>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</si>
  <si>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</si>
  <si>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</si>
  <si>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</si>
  <si>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</si>
  <si>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</si>
  <si>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</si>
  <si>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</si>
  <si>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</si>
  <si>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</si>
  <si>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</si>
  <si>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</si>
  <si>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CAL-KD FIX NM</t>
  </si>
  <si>
    <t>Delivery Date</t>
  </si>
  <si>
    <t>Elevation Code</t>
  </si>
  <si>
    <t>52CL/F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</si>
  <si>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</si>
  <si>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</si>
  <si>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</si>
  <si>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U9E-51030</t>
  </si>
  <si>
    <t>Unit Code</t>
  </si>
  <si>
    <r>
      <t xml:space="preserve">H </t>
    </r>
    <r>
      <rPr>
        <sz val="10"/>
        <rFont val="Arial"/>
        <family val="2"/>
      </rPr>
      <t>item</t>
    </r>
  </si>
  <si>
    <t>U9E-50008</t>
  </si>
  <si>
    <t>52CL-A/SM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</si>
  <si>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</si>
  <si>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</si>
  <si>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</si>
  <si>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</si>
  <si>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</si>
  <si>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</si>
  <si>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</si>
  <si>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</si>
  <si>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</si>
  <si>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</si>
  <si>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</si>
  <si>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</si>
  <si>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</si>
  <si>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</si>
  <si>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</si>
  <si>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</si>
  <si>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</si>
  <si>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</si>
  <si>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</si>
  <si>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</si>
  <si>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</si>
  <si>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</si>
  <si>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</si>
  <si>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</si>
  <si>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</si>
  <si>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</si>
  <si>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</si>
  <si>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</si>
  <si>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</si>
  <si>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</si>
  <si>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</si>
  <si>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</si>
  <si>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</si>
  <si>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</si>
  <si>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</si>
  <si>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</si>
  <si>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</si>
  <si>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</si>
  <si>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</si>
  <si>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</si>
  <si>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</si>
  <si>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</si>
  <si>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</si>
  <si>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</si>
  <si>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</si>
  <si>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</si>
  <si>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</si>
  <si>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</si>
  <si>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</si>
  <si>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</si>
  <si>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</si>
  <si>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</si>
  <si>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</si>
  <si>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</si>
  <si>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</si>
  <si>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</si>
  <si>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</si>
  <si>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</si>
  <si>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9K-11089</t>
  </si>
  <si>
    <t>SILL</t>
  </si>
  <si>
    <t>BOTTOM RAIL</t>
  </si>
  <si>
    <t>9K-11090</t>
  </si>
  <si>
    <t>TRANSOM</t>
  </si>
  <si>
    <t>STILE(L)</t>
  </si>
  <si>
    <t>9K-87137</t>
  </si>
  <si>
    <t>2K-30630</t>
  </si>
  <si>
    <t>JAMB(L)</t>
  </si>
  <si>
    <t>9K-87104</t>
  </si>
  <si>
    <t>STILE(R)</t>
  </si>
  <si>
    <t>9K-20754</t>
  </si>
  <si>
    <t>M</t>
  </si>
  <si>
    <t>9K-20669</t>
  </si>
  <si>
    <t>JAMB(R)</t>
  </si>
  <si>
    <t>BEADING</t>
  </si>
  <si>
    <t>9K-86115</t>
  </si>
  <si>
    <t>9K-20856</t>
  </si>
  <si>
    <t>GLASS BEAD</t>
  </si>
  <si>
    <t>9K-87119</t>
  </si>
  <si>
    <t>2K-22277</t>
  </si>
  <si>
    <t>GLASS BEAD L</t>
  </si>
  <si>
    <t>2K-29161</t>
  </si>
  <si>
    <t>GLASS BEAD R</t>
  </si>
  <si>
    <t>9K-20849</t>
  </si>
  <si>
    <t>EM-4016</t>
  </si>
  <si>
    <t>FOR HANDLE</t>
  </si>
  <si>
    <t>EM-4010</t>
  </si>
  <si>
    <t>EM-4008</t>
  </si>
  <si>
    <t>EM-4008D8-SA</t>
  </si>
  <si>
    <t>9K-30250</t>
  </si>
  <si>
    <t>FOR PULLING BLOCK</t>
  </si>
  <si>
    <t>EF-4008D7-SA</t>
  </si>
  <si>
    <t>S</t>
  </si>
  <si>
    <t>EF-4006D6</t>
  </si>
  <si>
    <t>BM-4025G</t>
  </si>
  <si>
    <t>FOR JOINT FRAME</t>
  </si>
  <si>
    <t>EF-4008D7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</si>
  <si>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</si>
  <si>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</si>
  <si>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</si>
  <si>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</si>
  <si>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</si>
  <si>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</si>
  <si>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</si>
  <si>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</si>
  <si>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</si>
  <si>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</si>
  <si>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</si>
  <si>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</si>
  <si>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</si>
  <si>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</si>
  <si>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</si>
  <si>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</si>
  <si>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</si>
  <si>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</si>
  <si>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</si>
  <si>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</si>
  <si>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</si>
  <si>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</si>
  <si>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</si>
  <si>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</si>
  <si>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</si>
  <si>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</si>
  <si>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</si>
  <si>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</si>
  <si>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</si>
  <si>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</si>
  <si>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</si>
  <si>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</si>
  <si>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</si>
  <si>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</si>
  <si>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</si>
  <si>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</si>
  <si>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</si>
  <si>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</si>
  <si>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</si>
  <si>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</si>
  <si>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</si>
  <si>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</si>
  <si>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</si>
  <si>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</si>
  <si>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</si>
  <si>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</si>
  <si>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LOCK KEEPER</t>
  </si>
  <si>
    <t>PULLING BLOCK</t>
  </si>
  <si>
    <t>AT MATERIAL</t>
  </si>
  <si>
    <t>SETTING BLOCK</t>
  </si>
  <si>
    <t>9K-30241</t>
  </si>
  <si>
    <t>2K-29158</t>
  </si>
  <si>
    <t>YS</t>
  </si>
  <si>
    <t>YK</t>
  </si>
  <si>
    <t>FOR FRICTION STAY</t>
  </si>
  <si>
    <t>FOR LOCK KEEPER</t>
  </si>
  <si>
    <t>FOR JAMB (R), FOR JAMB (L), FOR HEAD</t>
  </si>
  <si>
    <t>FOR INSIDE</t>
  </si>
  <si>
    <t>FOR OUTSIDE</t>
  </si>
  <si>
    <t>HANDLE</t>
  </si>
  <si>
    <t>TRANSMISSION ROD</t>
  </si>
  <si>
    <t>WEATHER STRIP</t>
  </si>
  <si>
    <t>HANDLE CAP</t>
  </si>
  <si>
    <t>FOR TRANSMISSION ROD</t>
  </si>
  <si>
    <t>9K-87103</t>
  </si>
  <si>
    <t>9K-87131</t>
  </si>
  <si>
    <t>9K-20850</t>
  </si>
  <si>
    <t>DG</t>
  </si>
  <si>
    <t>FOR GLASS BEAD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</si>
</sst>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383E0A1D-582E-4BB7-960B-A5B27439B4E5}"/>
    <cellStyle name="Normal" xfId="0" builtinId="0"/>
    <cellStyle name="Normal 2" xfId="1" xr:uid="{E6EE7014-EC15-42D2-9999-17007561849D}"/>
    <cellStyle name="Normal 5" xfId="3" xr:uid="{E5772319-8626-45EB-AF7F-76CEF12DF2DF}"/>
    <cellStyle name="Normal_COBA 2" xfId="4" xr:uid="{A9F98B4E-2AEF-40C8-8BA5-6E51C0E78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F5F9EF7-DB51-4EED-894B-D7425E47F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A5FFA163-3FA9-40A0-AF4A-8D1A5AB73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C4FC8AE6-5C93-4D98-B1C4-CC3AFDA23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CD406432-8C45-4AB7-ABAA-926870E8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A50DD08-C95C-4FD9-9E6F-A229295A9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C360FB1D-0F4D-4047-BDB8-D55ED53C2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7DFC4580-619A-409A-9ECD-032EBBE46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408215</xdr:colOff>
      <xdr:row>23</xdr:row>
      <xdr:rowOff>68035</xdr:rowOff>
    </xdr:from>
    <xdr:to>
      <xdr:col>12</xdr:col>
      <xdr:colOff>146742</xdr:colOff>
      <xdr:row>37</xdr:row>
      <xdr:rowOff>46127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52DD4F7D-B29B-45AC-949A-E57329AF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175" y="4365715"/>
          <a:ext cx="3358027" cy="2637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6A9D-78A2-4708-B0BB-0F14F31DC579}">
  <sheetPr>
    <tabColor indexed="14"/>
    <pageSetUpPr fitToPage="1"/>
  </sheetPr>
  <dimension ref="B1:DP65"/>
  <sheetViews>
    <sheetView showGridLines="0" tabSelected="1" topLeftCell="A7" zoomScale="70" zoomScaleNormal="70" zoomScaleSheetLayoutView="70" workbookViewId="0">
      <selection activeCell="R33" sqref="R33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45520.673009027778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45520.673009027778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45520.673009027778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45520.673009027778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45520.673009027778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CAL-KD FIX NM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CAL-KD FIX NM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CAL-KD FIX NM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CAL-KD FIX NM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52CL/F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52CL/F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52CL/F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52CL/F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3">
        <f>W</f>
        <v>1000</v>
      </c>
      <c r="L9" s="32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52CL/F</v>
      </c>
      <c r="V9" s="36"/>
      <c r="W9" s="55"/>
      <c r="X9" s="62"/>
      <c r="Y9" s="62"/>
      <c r="Z9" s="63" t="s">
        <v>21</v>
      </c>
      <c r="AA9" s="323">
        <f>$K$9</f>
        <v>1000</v>
      </c>
      <c r="AB9" s="325"/>
      <c r="AC9" s="65"/>
      <c r="AD9" s="61"/>
      <c r="AE9" s="59" t="str">
        <f>IF($O$9&gt;0,$O$9,"")</f>
        <v>U9E-51030</v>
      </c>
      <c r="AF9" s="60"/>
      <c r="AG9" s="3"/>
      <c r="AH9" s="53" t="s">
        <v>20</v>
      </c>
      <c r="AI9" s="36"/>
      <c r="AJ9" s="37"/>
      <c r="AK9" s="54" t="str">
        <f>IF($E$9&gt;0,$E$9,"")</f>
        <v>52CL/F</v>
      </c>
      <c r="AL9" s="36"/>
      <c r="AM9" s="55"/>
      <c r="AN9" s="62"/>
      <c r="AO9" s="62"/>
      <c r="AP9" s="63" t="s">
        <v>21</v>
      </c>
      <c r="AQ9" s="323">
        <f>$K$9</f>
        <v>1000</v>
      </c>
      <c r="AR9" s="325"/>
      <c r="AS9" s="65"/>
      <c r="AT9" s="61"/>
      <c r="AU9" s="59" t="str">
        <f>IF($O$9&gt;0,$O$9,"")</f>
        <v>U9E-51030</v>
      </c>
      <c r="AV9" s="60"/>
      <c r="AW9" s="3"/>
      <c r="AX9" s="53" t="s">
        <v>20</v>
      </c>
      <c r="AY9" s="36"/>
      <c r="AZ9" s="37"/>
      <c r="BA9" s="54" t="str">
        <f>IF(E9&gt;0,E9,"")</f>
        <v>52CL/F</v>
      </c>
      <c r="BB9" s="36"/>
      <c r="BC9" s="55"/>
      <c r="BD9" s="62"/>
      <c r="BE9" s="62"/>
      <c r="BF9" s="63" t="s">
        <v>21</v>
      </c>
      <c r="BG9" s="323">
        <f>$K$9</f>
        <v>1000</v>
      </c>
      <c r="BH9" s="325"/>
      <c r="BI9" s="65"/>
      <c r="BJ9" s="61"/>
      <c r="BK9" s="59" t="str">
        <f>IF($O$9&gt;0,$O$9,"")</f>
        <v>U9E-51030</v>
      </c>
      <c r="BL9" s="60"/>
      <c r="BM9" s="3"/>
      <c r="BN9" s="53" t="s">
        <v>20</v>
      </c>
      <c r="BO9" s="36"/>
      <c r="BP9" s="37"/>
      <c r="BQ9" s="54" t="str">
        <f>IF(U9&gt;0,U9,"")</f>
        <v>52CL/F</v>
      </c>
      <c r="BR9" s="36"/>
      <c r="BS9" s="55"/>
      <c r="BT9" s="62"/>
      <c r="BU9" s="62"/>
      <c r="BV9" s="63" t="s">
        <v>21</v>
      </c>
      <c r="BW9" s="323">
        <f>$K$9</f>
        <v>1000</v>
      </c>
      <c r="BX9" s="325"/>
      <c r="BY9" s="65"/>
      <c r="BZ9" s="61"/>
      <c r="CA9" s="59" t="str">
        <f>IF($O$9&gt;0,$O$9,"")</f>
        <v>U9E-51030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3">
        <f>H</f>
        <v>2000</v>
      </c>
      <c r="L10" s="324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3">
        <f>$K$10</f>
        <v>2000</v>
      </c>
      <c r="AB10" s="325"/>
      <c r="AC10" s="65"/>
      <c r="AD10" s="61"/>
      <c r="AE10" s="59" t="str">
        <f>IF($O$10&gt;0,$O$10,"")</f>
        <v>U9E-50008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3">
        <f>$K$10</f>
        <v>2000</v>
      </c>
      <c r="AR10" s="325"/>
      <c r="AS10" s="65"/>
      <c r="AT10" s="61"/>
      <c r="AU10" s="59" t="str">
        <f>IF($O$10&gt;0,$O$10,"")</f>
        <v>U9E-50008</v>
      </c>
      <c r="AV10" s="60"/>
      <c r="AW10" s="3"/>
      <c r="AX10" s="53" t="s">
        <v>23</v>
      </c>
      <c r="AY10" s="36"/>
      <c r="AZ10" s="37"/>
      <c r="BA10" s="54" t="str">
        <f>IF($U$10&gt;0,$U$10,"")</f>
        <v>52CL/F</v>
      </c>
      <c r="BB10" s="36"/>
      <c r="BC10" s="55"/>
      <c r="BD10" s="62"/>
      <c r="BE10" s="62"/>
      <c r="BF10" s="66" t="s">
        <v>24</v>
      </c>
      <c r="BG10" s="323">
        <f>$K$10</f>
        <v>2000</v>
      </c>
      <c r="BH10" s="325"/>
      <c r="BI10" s="65"/>
      <c r="BJ10" s="61"/>
      <c r="BK10" s="59" t="str">
        <f>IF($O$10&gt;0,$O$10,"")</f>
        <v>U9E-50008</v>
      </c>
      <c r="BL10" s="60"/>
      <c r="BM10" s="3"/>
      <c r="BN10" s="53" t="s">
        <v>23</v>
      </c>
      <c r="BO10" s="36"/>
      <c r="BP10" s="37"/>
      <c r="BQ10" s="54" t="str">
        <f>IF($AK$10&gt;0,$AK$10,"")</f>
        <v>52CL-A/SM</v>
      </c>
      <c r="BR10" s="36"/>
      <c r="BS10" s="55"/>
      <c r="BT10" s="62"/>
      <c r="BU10" s="62"/>
      <c r="BV10" s="66" t="s">
        <v>24</v>
      </c>
      <c r="BW10" s="323">
        <f>$K$10</f>
        <v>2000</v>
      </c>
      <c r="BX10" s="325"/>
      <c r="BY10" s="65"/>
      <c r="BZ10" s="61"/>
      <c r="CA10" s="59" t="str">
        <f>IF($O$10&gt;0,$O$10,"")</f>
        <v>U9E-50008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6" t="s">
        <v>28</v>
      </c>
      <c r="I11" s="326">
        <v>1</v>
      </c>
      <c r="J11" s="326" t="s">
        <v>29</v>
      </c>
      <c r="K11" s="328" t="s">
        <v>30</v>
      </c>
      <c r="L11" s="329"/>
      <c r="M11" s="332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6" t="s">
        <v>28</v>
      </c>
      <c r="Y11" s="326">
        <f>IF($I$11&gt;0,$I$11,"")</f>
        <v>1</v>
      </c>
      <c r="Z11" s="326" t="s">
        <v>29</v>
      </c>
      <c r="AA11" s="328" t="str">
        <f>IF($K$11&gt;0,$K$11,"")</f>
        <v>TT01</v>
      </c>
      <c r="AB11" s="329"/>
      <c r="AC11" s="332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6" t="s">
        <v>28</v>
      </c>
      <c r="AO11" s="326">
        <f>IF($I$11&gt;0,$I$11,"")</f>
        <v>1</v>
      </c>
      <c r="AP11" s="326" t="s">
        <v>29</v>
      </c>
      <c r="AQ11" s="328" t="str">
        <f>IF($K$11&gt;0,$K$11,"")</f>
        <v>TT01</v>
      </c>
      <c r="AR11" s="329"/>
      <c r="AS11" s="332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6" t="s">
        <v>28</v>
      </c>
      <c r="BE11" s="326">
        <f>IF($I$11&gt;0,$I$11,"")</f>
        <v>1</v>
      </c>
      <c r="BF11" s="326" t="s">
        <v>29</v>
      </c>
      <c r="BG11" s="328" t="str">
        <f>IF($K$11&gt;0,$K$11,"")</f>
        <v>TT01</v>
      </c>
      <c r="BH11" s="329"/>
      <c r="BI11" s="332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6" t="s">
        <v>28</v>
      </c>
      <c r="BU11" s="326">
        <f>IF($I$11&gt;0,$I$11,"")</f>
        <v>1</v>
      </c>
      <c r="BV11" s="326" t="s">
        <v>29</v>
      </c>
      <c r="BW11" s="328" t="str">
        <f>IF($K$11&gt;0,$K$11,"")</f>
        <v>TT01</v>
      </c>
      <c r="BX11" s="329"/>
      <c r="BY11" s="332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640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640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640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640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640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22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162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175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182</v>
      </c>
      <c r="BO22" s="199"/>
      <c r="BP22" s="200"/>
      <c r="BQ22" s="204" t="s">
        <v>85</v>
      </c>
      <c r="BR22" s="168"/>
      <c r="BS22" s="180"/>
      <c r="BT22" s="181" t="s">
        <v>176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187</v>
      </c>
      <c r="V23" s="168" t="str">
        <f t="shared" si="0"/>
        <v>-</v>
      </c>
      <c r="W23" s="169">
        <v>2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164</v>
      </c>
      <c r="AY23" s="199"/>
      <c r="AZ23" s="200"/>
      <c r="BA23" s="167" t="s">
        <v>173</v>
      </c>
      <c r="BB23" s="168"/>
      <c r="BC23" s="180"/>
      <c r="BD23" s="181" t="s">
        <v>175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183</v>
      </c>
      <c r="BO23" s="199"/>
      <c r="BP23" s="200"/>
      <c r="BQ23" s="167" t="str">
        <f>IF(HS.1&lt;1550,"9K-11092","9K-11332")</f>
        <v>9K-11092</v>
      </c>
      <c r="BR23" s="168"/>
      <c r="BS23" s="180"/>
      <c r="BT23" s="181" t="s">
        <v>175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188</v>
      </c>
      <c r="V24" s="168" t="str">
        <f t="shared" si="0"/>
        <v>-</v>
      </c>
      <c r="W24" s="169">
        <v>3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90</v>
      </c>
      <c r="AI24" s="199"/>
      <c r="AJ24" s="203"/>
      <c r="AK24" s="167" t="s">
        <v>91</v>
      </c>
      <c r="AL24" s="168" t="str">
        <f t="shared" si="3"/>
        <v>-</v>
      </c>
      <c r="AM24" s="201">
        <f>IF(HS.1&lt;1550,6,8)</f>
        <v>6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IF(HS.1&lt;1550,CONCATENATE("as = ",(HS.1/2)),"")</f>
        <v>as = 645</v>
      </c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165</v>
      </c>
      <c r="AY24" s="199"/>
      <c r="AZ24" s="200"/>
      <c r="BA24" s="167" t="s">
        <v>114</v>
      </c>
      <c r="BB24" s="168"/>
      <c r="BC24" s="180"/>
      <c r="BD24" s="181" t="s">
        <v>175</v>
      </c>
      <c r="BE24" s="171">
        <v>8</v>
      </c>
      <c r="BF24" s="172">
        <f t="shared" si="7"/>
        <v>8</v>
      </c>
      <c r="BG24" s="183"/>
      <c r="BH24" s="184" t="s">
        <v>177</v>
      </c>
      <c r="BI24" s="185"/>
      <c r="BJ24" s="186"/>
      <c r="BK24" s="187"/>
      <c r="BL24" s="188"/>
      <c r="BM24" s="4"/>
      <c r="BN24" s="198" t="s">
        <v>170</v>
      </c>
      <c r="BO24" s="199"/>
      <c r="BP24" s="200"/>
      <c r="BQ24" s="167" t="s">
        <v>92</v>
      </c>
      <c r="BR24" s="168"/>
      <c r="BS24" s="180"/>
      <c r="BT24" s="181" t="s">
        <v>176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93</v>
      </c>
      <c r="S25" s="199"/>
      <c r="T25" s="200"/>
      <c r="U25" s="167" t="s">
        <v>94</v>
      </c>
      <c r="V25" s="168" t="str">
        <f t="shared" si="0"/>
        <v>-</v>
      </c>
      <c r="W25" s="201">
        <f>IF(h.1&lt;1550,43,45)</f>
        <v>43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CONCATENATE("a = ",(h.1/2)+20)</f>
        <v>a = 670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95</v>
      </c>
      <c r="AI25" s="199"/>
      <c r="AJ25" s="203"/>
      <c r="AK25" s="167" t="s">
        <v>91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165</v>
      </c>
      <c r="AY25" s="199"/>
      <c r="AZ25" s="200"/>
      <c r="BA25" s="167" t="s">
        <v>113</v>
      </c>
      <c r="BB25" s="168"/>
      <c r="BC25" s="180"/>
      <c r="BD25" s="181" t="s">
        <v>175</v>
      </c>
      <c r="BE25" s="171">
        <v>2</v>
      </c>
      <c r="BF25" s="172">
        <f t="shared" si="7"/>
        <v>2</v>
      </c>
      <c r="BG25" s="183"/>
      <c r="BH25" s="184" t="s">
        <v>116</v>
      </c>
      <c r="BI25" s="185"/>
      <c r="BJ25" s="186"/>
      <c r="BK25" s="187"/>
      <c r="BL25" s="188"/>
      <c r="BM25" s="4"/>
      <c r="BN25" s="198" t="s">
        <v>172</v>
      </c>
      <c r="BO25" s="199"/>
      <c r="BP25" s="200"/>
      <c r="BQ25" s="167" t="s">
        <v>98</v>
      </c>
      <c r="BR25" s="168"/>
      <c r="BS25" s="180"/>
      <c r="BT25" s="181" t="s">
        <v>176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99</v>
      </c>
      <c r="S26" s="199"/>
      <c r="T26" s="200"/>
      <c r="U26" s="167" t="s">
        <v>94</v>
      </c>
      <c r="V26" s="168" t="str">
        <f t="shared" si="0"/>
        <v>-</v>
      </c>
      <c r="W26" s="169">
        <v>42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CONCATENATE("H1/2+20 = ",(h.1/2)+20)</f>
        <v>H1/2+20 = 670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100</v>
      </c>
      <c r="AI26" s="199"/>
      <c r="AJ26" s="203"/>
      <c r="AK26" s="167" t="s">
        <v>101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165</v>
      </c>
      <c r="AY26" s="199"/>
      <c r="AZ26" s="200"/>
      <c r="BA26" s="167" t="s">
        <v>119</v>
      </c>
      <c r="BB26" s="168"/>
      <c r="BC26" s="180"/>
      <c r="BD26" s="181" t="s">
        <v>175</v>
      </c>
      <c r="BE26" s="171">
        <v>2</v>
      </c>
      <c r="BF26" s="172">
        <f t="shared" si="7"/>
        <v>2</v>
      </c>
      <c r="BG26" s="183"/>
      <c r="BH26" s="184" t="s">
        <v>191</v>
      </c>
      <c r="BI26" s="185"/>
      <c r="BJ26" s="186"/>
      <c r="BK26" s="187"/>
      <c r="BL26" s="188"/>
      <c r="BM26" s="4"/>
      <c r="BN26" s="198" t="s">
        <v>172</v>
      </c>
      <c r="BO26" s="199"/>
      <c r="BP26" s="200"/>
      <c r="BQ26" s="167" t="s">
        <v>102</v>
      </c>
      <c r="BR26" s="168"/>
      <c r="BS26" s="180"/>
      <c r="BT26" s="181" t="s">
        <v>176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103</v>
      </c>
      <c r="S27" s="199"/>
      <c r="T27" s="200"/>
      <c r="U27" s="167" t="s">
        <v>104</v>
      </c>
      <c r="V27" s="168" t="str">
        <f t="shared" si="0"/>
        <v>-</v>
      </c>
      <c r="W27" s="169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165</v>
      </c>
      <c r="AY27" s="199"/>
      <c r="AZ27" s="200"/>
      <c r="BA27" s="167" t="s">
        <v>122</v>
      </c>
      <c r="BB27" s="168"/>
      <c r="BC27" s="180"/>
      <c r="BD27" s="181" t="s">
        <v>175</v>
      </c>
      <c r="BE27" s="171">
        <v>4</v>
      </c>
      <c r="BF27" s="172">
        <f t="shared" si="7"/>
        <v>4</v>
      </c>
      <c r="BG27" s="212"/>
      <c r="BH27" s="184" t="s">
        <v>178</v>
      </c>
      <c r="BI27" s="185"/>
      <c r="BJ27" s="186"/>
      <c r="BK27" s="187"/>
      <c r="BL27" s="188"/>
      <c r="BM27" s="4"/>
      <c r="BN27" s="198" t="s">
        <v>168</v>
      </c>
      <c r="BO27" s="199"/>
      <c r="BP27" s="200"/>
      <c r="BQ27" s="167" t="s">
        <v>105</v>
      </c>
      <c r="BR27" s="168"/>
      <c r="BS27" s="180"/>
      <c r="BT27" s="181" t="s">
        <v>176</v>
      </c>
      <c r="BU27" s="171">
        <f>(((WS.1-66)*2)+((HS.1-84)*2))/1000</f>
        <v>4.1760000000000002</v>
      </c>
      <c r="BV27" s="172">
        <f t="shared" si="8"/>
        <v>4.1760000000000002</v>
      </c>
      <c r="BW27" s="212" t="s">
        <v>97</v>
      </c>
      <c r="BX27" s="184" t="s">
        <v>181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106</v>
      </c>
      <c r="S28" s="214"/>
      <c r="T28" s="215"/>
      <c r="U28" s="167" t="s">
        <v>104</v>
      </c>
      <c r="V28" s="168" t="str">
        <f t="shared" si="0"/>
        <v>-</v>
      </c>
      <c r="W28" s="169">
        <v>1</v>
      </c>
      <c r="X28" s="170">
        <f>h.2-36</f>
        <v>604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8.3956000000000003E-2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165</v>
      </c>
      <c r="AY28" s="199"/>
      <c r="AZ28" s="200"/>
      <c r="BA28" s="167" t="s">
        <v>120</v>
      </c>
      <c r="BB28" s="168"/>
      <c r="BC28" s="180"/>
      <c r="BD28" s="181" t="s">
        <v>175</v>
      </c>
      <c r="BE28" s="171">
        <v>12</v>
      </c>
      <c r="BF28" s="172">
        <f t="shared" si="7"/>
        <v>12</v>
      </c>
      <c r="BG28" s="183"/>
      <c r="BH28" s="184" t="s">
        <v>121</v>
      </c>
      <c r="BI28" s="185"/>
      <c r="BJ28" s="186"/>
      <c r="BK28" s="187"/>
      <c r="BL28" s="188" t="s">
        <v>118</v>
      </c>
      <c r="BM28" s="4"/>
      <c r="BN28" s="198" t="s">
        <v>184</v>
      </c>
      <c r="BO28" s="199"/>
      <c r="BP28" s="200"/>
      <c r="BQ28" s="167" t="s">
        <v>107</v>
      </c>
      <c r="BR28" s="168"/>
      <c r="BS28" s="180"/>
      <c r="BT28" s="181" t="s">
        <v>176</v>
      </c>
      <c r="BU28" s="171">
        <f>(HS.1*2)/1000</f>
        <v>2.58</v>
      </c>
      <c r="BV28" s="172">
        <f t="shared" si="8"/>
        <v>2.58</v>
      </c>
      <c r="BW28" s="183" t="s">
        <v>97</v>
      </c>
      <c r="BX28" s="184"/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108</v>
      </c>
      <c r="S29" s="214"/>
      <c r="T29" s="215"/>
      <c r="U29" s="217" t="s">
        <v>104</v>
      </c>
      <c r="V29" s="168" t="str">
        <f t="shared" si="0"/>
        <v>-</v>
      </c>
      <c r="W29" s="169">
        <v>2</v>
      </c>
      <c r="X29" s="170">
        <f>h.2-36</f>
        <v>604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8.3956000000000003E-2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166</v>
      </c>
      <c r="AY29" s="199"/>
      <c r="AZ29" s="200"/>
      <c r="BA29" s="167" t="s">
        <v>123</v>
      </c>
      <c r="BB29" s="168"/>
      <c r="BC29" s="180"/>
      <c r="BD29" s="181" t="s">
        <v>141</v>
      </c>
      <c r="BE29" s="171"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 t="s">
        <v>118</v>
      </c>
      <c r="BM29" s="4"/>
      <c r="BN29" s="198" t="s">
        <v>165</v>
      </c>
      <c r="BO29" s="199"/>
      <c r="BP29" s="200"/>
      <c r="BQ29" s="167" t="s">
        <v>110</v>
      </c>
      <c r="BR29" s="168"/>
      <c r="BS29" s="180"/>
      <c r="BT29" s="181" t="s">
        <v>175</v>
      </c>
      <c r="BU29" s="171">
        <v>2</v>
      </c>
      <c r="BV29" s="172">
        <f t="shared" si="8"/>
        <v>2</v>
      </c>
      <c r="BW29" s="183"/>
      <c r="BX29" s="184" t="s">
        <v>111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167</v>
      </c>
      <c r="AY30" s="199"/>
      <c r="AZ30" s="200"/>
      <c r="BA30" s="167" t="s">
        <v>124</v>
      </c>
      <c r="BB30" s="168"/>
      <c r="BC30" s="180"/>
      <c r="BD30" s="181" t="s">
        <v>190</v>
      </c>
      <c r="BE30" s="171">
        <f>IF(W&lt;=841,2,3)+IF(h.1&lt;=780,2,IF(h.1&lt;=1160,3,IF(h.1&gt;1160,5,5)))+IF(h.1&lt;=1360,3,IF(h.1&gt;1360,5,5))</f>
        <v>11</v>
      </c>
      <c r="BF30" s="172">
        <f t="shared" si="7"/>
        <v>11</v>
      </c>
      <c r="BG30" s="183"/>
      <c r="BH30" s="184" t="s">
        <v>179</v>
      </c>
      <c r="BI30" s="185"/>
      <c r="BJ30" s="186"/>
      <c r="BK30" s="187"/>
      <c r="BL30" s="188" t="s">
        <v>118</v>
      </c>
      <c r="BM30" s="4"/>
      <c r="BN30" s="198" t="s">
        <v>165</v>
      </c>
      <c r="BO30" s="199"/>
      <c r="BP30" s="200"/>
      <c r="BQ30" s="167" t="s">
        <v>112</v>
      </c>
      <c r="BR30" s="168"/>
      <c r="BS30" s="180"/>
      <c r="BT30" s="181" t="s">
        <v>175</v>
      </c>
      <c r="BU30" s="171">
        <v>6</v>
      </c>
      <c r="BV30" s="172">
        <f t="shared" si="8"/>
        <v>6</v>
      </c>
      <c r="BW30" s="183"/>
      <c r="BX30" s="184" t="s">
        <v>186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168</v>
      </c>
      <c r="AY31" s="199"/>
      <c r="AZ31" s="200"/>
      <c r="BA31" s="167" t="str">
        <f>IF(GTH=5,"9K-20523",IF(GTH=6,"2K-22973",IF(GTH=8,"2K-22975","")))</f>
        <v>9K-20523</v>
      </c>
      <c r="BB31" s="168"/>
      <c r="BC31" s="180"/>
      <c r="BD31" s="181" t="s">
        <v>176</v>
      </c>
      <c r="BE31" s="171">
        <f>((2*W)+(2*h.2)-68)/1000</f>
        <v>3.2120000000000002</v>
      </c>
      <c r="BF31" s="172">
        <f t="shared" si="7"/>
        <v>3.2120000000000002</v>
      </c>
      <c r="BG31" s="183" t="s">
        <v>97</v>
      </c>
      <c r="BH31" s="184" t="s">
        <v>180</v>
      </c>
      <c r="BI31" s="185"/>
      <c r="BJ31" s="186"/>
      <c r="BK31" s="187"/>
      <c r="BL31" s="188" t="s">
        <v>118</v>
      </c>
      <c r="BM31" s="4"/>
      <c r="BN31" s="198" t="s">
        <v>165</v>
      </c>
      <c r="BO31" s="199"/>
      <c r="BP31" s="200"/>
      <c r="BQ31" s="167" t="s">
        <v>113</v>
      </c>
      <c r="BR31" s="168"/>
      <c r="BS31" s="180"/>
      <c r="BT31" s="181" t="s">
        <v>175</v>
      </c>
      <c r="BU31" s="171">
        <v>2</v>
      </c>
      <c r="BV31" s="172">
        <f t="shared" si="8"/>
        <v>2</v>
      </c>
      <c r="BW31" s="183"/>
      <c r="BX31" s="184" t="s">
        <v>116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169</v>
      </c>
      <c r="AY32" s="199"/>
      <c r="AZ32" s="200"/>
      <c r="BA32" s="167" t="s">
        <v>88</v>
      </c>
      <c r="BB32" s="168"/>
      <c r="BC32" s="180"/>
      <c r="BD32" s="181" t="s">
        <v>175</v>
      </c>
      <c r="BE32" s="171">
        <v>2</v>
      </c>
      <c r="BF32" s="172">
        <f t="shared" si="7"/>
        <v>2</v>
      </c>
      <c r="BG32" s="183"/>
      <c r="BH32" s="184"/>
      <c r="BI32" s="185"/>
      <c r="BJ32" s="186"/>
      <c r="BK32" s="187"/>
      <c r="BL32" s="188"/>
      <c r="BM32" s="4"/>
      <c r="BN32" s="198" t="s">
        <v>185</v>
      </c>
      <c r="BO32" s="199"/>
      <c r="BP32" s="200"/>
      <c r="BQ32" s="167" t="s">
        <v>115</v>
      </c>
      <c r="BR32" s="168"/>
      <c r="BS32" s="180"/>
      <c r="BT32" s="181" t="s">
        <v>176</v>
      </c>
      <c r="BU32" s="171">
        <v>2</v>
      </c>
      <c r="BV32" s="172">
        <f t="shared" si="8"/>
        <v>2</v>
      </c>
      <c r="BW32" s="183" t="s">
        <v>7</v>
      </c>
      <c r="BX32" s="184" t="s">
        <v>111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170</v>
      </c>
      <c r="AY33" s="199"/>
      <c r="AZ33" s="200"/>
      <c r="BA33" s="167" t="s">
        <v>92</v>
      </c>
      <c r="BB33" s="168"/>
      <c r="BC33" s="180"/>
      <c r="BD33" s="181" t="s">
        <v>176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165</v>
      </c>
      <c r="BO33" s="199"/>
      <c r="BP33" s="200"/>
      <c r="BQ33" s="167" t="s">
        <v>117</v>
      </c>
      <c r="BR33" s="168"/>
      <c r="BS33" s="180"/>
      <c r="BT33" s="181" t="s">
        <v>175</v>
      </c>
      <c r="BU33" s="171">
        <v>8</v>
      </c>
      <c r="BV33" s="172">
        <f t="shared" si="8"/>
        <v>8</v>
      </c>
      <c r="BW33" s="212"/>
      <c r="BX33" s="184" t="s">
        <v>177</v>
      </c>
      <c r="BY33" s="185"/>
      <c r="BZ33" s="186"/>
      <c r="CA33" s="187"/>
      <c r="CB33" s="188" t="s">
        <v>118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201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171</v>
      </c>
      <c r="AY34" s="199"/>
      <c r="AZ34" s="200"/>
      <c r="BA34" s="167" t="s">
        <v>96</v>
      </c>
      <c r="BB34" s="168"/>
      <c r="BC34" s="180"/>
      <c r="BD34" s="181" t="s">
        <v>176</v>
      </c>
      <c r="BE34" s="171">
        <f>((W-41)+(h.1-36))*2/1000</f>
        <v>4.4459999999999997</v>
      </c>
      <c r="BF34" s="172">
        <f t="shared" si="7"/>
        <v>4.4459999999999997</v>
      </c>
      <c r="BG34" s="212" t="s">
        <v>97</v>
      </c>
      <c r="BH34" s="184"/>
      <c r="BI34" s="185"/>
      <c r="BJ34" s="186"/>
      <c r="BK34" s="187"/>
      <c r="BL34" s="188"/>
      <c r="BM34" s="4"/>
      <c r="BN34" s="198" t="s">
        <v>168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176</v>
      </c>
      <c r="BU34" s="171">
        <f>((2*WS.1)+(2*HS.1)-216)/1000</f>
        <v>4.26</v>
      </c>
      <c r="BV34" s="172">
        <f t="shared" si="8"/>
        <v>4.26</v>
      </c>
      <c r="BW34" s="212" t="s">
        <v>97</v>
      </c>
      <c r="BX34" s="184" t="s">
        <v>180</v>
      </c>
      <c r="BY34" s="185"/>
      <c r="BZ34" s="186"/>
      <c r="CA34" s="187"/>
      <c r="CB34" s="188" t="s">
        <v>118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171</v>
      </c>
      <c r="AY35" s="199"/>
      <c r="AZ35" s="200"/>
      <c r="BA35" s="167" t="s">
        <v>174</v>
      </c>
      <c r="BB35" s="168"/>
      <c r="BC35" s="180"/>
      <c r="BD35" s="181" t="s">
        <v>176</v>
      </c>
      <c r="BE35" s="171">
        <f>(W-41)/1000</f>
        <v>0.95899999999999996</v>
      </c>
      <c r="BF35" s="172">
        <f t="shared" si="7"/>
        <v>0.95899999999999996</v>
      </c>
      <c r="BG35" s="212" t="s">
        <v>97</v>
      </c>
      <c r="BH35" s="184"/>
      <c r="BI35" s="185"/>
      <c r="BJ35" s="186"/>
      <c r="BK35" s="187"/>
      <c r="BL35" s="188"/>
      <c r="BM35" s="4"/>
      <c r="BN35" s="198" t="s">
        <v>165</v>
      </c>
      <c r="BO35" s="199"/>
      <c r="BP35" s="200"/>
      <c r="BQ35" s="167" t="s">
        <v>120</v>
      </c>
      <c r="BR35" s="168"/>
      <c r="BS35" s="180"/>
      <c r="BT35" s="181" t="s">
        <v>175</v>
      </c>
      <c r="BU35" s="171">
        <v>8</v>
      </c>
      <c r="BV35" s="172">
        <f t="shared" si="8"/>
        <v>8</v>
      </c>
      <c r="BW35" s="212"/>
      <c r="BX35" s="184" t="s">
        <v>121</v>
      </c>
      <c r="BY35" s="185"/>
      <c r="BZ35" s="186"/>
      <c r="CA35" s="187"/>
      <c r="CB35" s="188" t="s">
        <v>118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168</v>
      </c>
      <c r="AY36" s="199"/>
      <c r="AZ36" s="200"/>
      <c r="BA36" s="167" t="s">
        <v>105</v>
      </c>
      <c r="BB36" s="168"/>
      <c r="BC36" s="180"/>
      <c r="BD36" s="181" t="s">
        <v>176</v>
      </c>
      <c r="BE36" s="171">
        <f>((W-41)+(h.2-36))*2/1000</f>
        <v>3.1259999999999999</v>
      </c>
      <c r="BF36" s="172">
        <f t="shared" si="7"/>
        <v>3.1259999999999999</v>
      </c>
      <c r="BG36" s="212" t="s">
        <v>97</v>
      </c>
      <c r="BH36" s="184" t="s">
        <v>181</v>
      </c>
      <c r="BI36" s="185"/>
      <c r="BJ36" s="186"/>
      <c r="BK36" s="187"/>
      <c r="BL36" s="188"/>
      <c r="BM36" s="4"/>
      <c r="BN36" s="198" t="str">
        <f t="shared" ref="BN36:BN60" si="10">IF(BQ36&gt;"",VLOOKUP(BQ36,PART_NAMA,3,FALSE),"")</f>
        <v/>
      </c>
      <c r="BO36" s="199"/>
      <c r="BP36" s="200"/>
      <c r="BQ36" s="167"/>
      <c r="BR36" s="168"/>
      <c r="BS36" s="180"/>
      <c r="BT36" s="181" t="str">
        <f t="shared" ref="BT36:BT57" si="11">IF(BQ36&gt;"",VLOOKUP(BQ36&amp;$M$10,PART_MASTER,3,FALSE),"")</f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172</v>
      </c>
      <c r="AY37" s="199"/>
      <c r="AZ37" s="200"/>
      <c r="BA37" s="167" t="s">
        <v>102</v>
      </c>
      <c r="BB37" s="168"/>
      <c r="BC37" s="180"/>
      <c r="BD37" s="181" t="s">
        <v>176</v>
      </c>
      <c r="BE37" s="171">
        <v>2</v>
      </c>
      <c r="BF37" s="172">
        <f t="shared" si="7"/>
        <v>2</v>
      </c>
      <c r="BG37" s="212"/>
      <c r="BH37" s="184"/>
      <c r="BI37" s="185"/>
      <c r="BJ37" s="186"/>
      <c r="BK37" s="187"/>
      <c r="BL37" s="188"/>
      <c r="BM37" s="4"/>
      <c r="BN37" s="198" t="str">
        <f t="shared" si="10"/>
        <v/>
      </c>
      <c r="BO37" s="199"/>
      <c r="BP37" s="200"/>
      <c r="BQ37" s="167"/>
      <c r="BR37" s="168"/>
      <c r="BS37" s="180"/>
      <c r="BT37" s="181" t="str">
        <f t="shared" si="11"/>
        <v/>
      </c>
      <c r="BU37" s="171"/>
      <c r="BV37" s="172" t="str">
        <f t="shared" si="8"/>
        <v/>
      </c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163</v>
      </c>
      <c r="AY38" s="199"/>
      <c r="AZ38" s="200"/>
      <c r="BA38" s="167" t="s">
        <v>109</v>
      </c>
      <c r="BB38" s="168"/>
      <c r="BC38" s="180"/>
      <c r="BD38" s="181" t="s">
        <v>176</v>
      </c>
      <c r="BE38" s="171">
        <v>2</v>
      </c>
      <c r="BF38" s="172">
        <f t="shared" si="7"/>
        <v>2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204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163</v>
      </c>
      <c r="AY39" s="199"/>
      <c r="AZ39" s="200"/>
      <c r="BA39" s="167" t="s">
        <v>189</v>
      </c>
      <c r="BB39" s="168"/>
      <c r="BC39" s="180"/>
      <c r="BD39" s="181" t="s">
        <v>176</v>
      </c>
      <c r="BE39" s="171">
        <v>1</v>
      </c>
      <c r="BF39" s="172">
        <f t="shared" si="7"/>
        <v>1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205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82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125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tr">
        <f t="shared" ref="AX41:AX60" si="13">IF(BA41&gt;"",VLOOKUP(BA41,PART_NAMA,3,FALSE),"")</f>
        <v/>
      </c>
      <c r="AY41" s="199"/>
      <c r="AZ41" s="200"/>
      <c r="BA41" s="167"/>
      <c r="BB41" s="168"/>
      <c r="BC41" s="180"/>
      <c r="BD41" s="181" t="str">
        <f t="shared" ref="BD41:BD60" si="14">IF(BA41&gt;"",VLOOKUP(BA41&amp;$M$10,PART_MASTER,3,FALSE),"")</f>
        <v/>
      </c>
      <c r="BE41" s="182"/>
      <c r="BF41" s="172" t="str">
        <f t="shared" si="7"/>
        <v/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204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126</v>
      </c>
      <c r="C43" s="240"/>
      <c r="D43" s="240"/>
      <c r="E43" s="240"/>
      <c r="F43" s="241"/>
      <c r="G43" s="242"/>
      <c r="H43" s="243"/>
      <c r="I43" s="233"/>
      <c r="J43" s="244" t="s">
        <v>127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204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212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128</v>
      </c>
      <c r="C44" s="334" t="s">
        <v>129</v>
      </c>
      <c r="D44" s="335"/>
      <c r="E44" s="336"/>
      <c r="F44" s="334" t="s">
        <v>130</v>
      </c>
      <c r="G44" s="335"/>
      <c r="H44" s="336"/>
      <c r="I44" s="252"/>
      <c r="J44" s="253" t="s">
        <v>128</v>
      </c>
      <c r="K44" s="334" t="s">
        <v>129</v>
      </c>
      <c r="L44" s="335"/>
      <c r="M44" s="335"/>
      <c r="N44" s="336"/>
      <c r="O44" s="253" t="s">
        <v>131</v>
      </c>
      <c r="P44" s="254" t="s">
        <v>128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132</v>
      </c>
      <c r="D45" s="257"/>
      <c r="E45" s="257"/>
      <c r="F45" s="258"/>
      <c r="G45" s="259"/>
      <c r="H45" s="260"/>
      <c r="I45" s="261"/>
      <c r="J45" s="262">
        <v>1</v>
      </c>
      <c r="K45" s="263" t="s">
        <v>133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134</v>
      </c>
      <c r="D46" s="259"/>
      <c r="E46" s="259"/>
      <c r="F46" s="263"/>
      <c r="G46" s="259"/>
      <c r="H46" s="260"/>
      <c r="I46" s="261"/>
      <c r="J46" s="262">
        <v>2</v>
      </c>
      <c r="K46" s="263" t="s">
        <v>135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136</v>
      </c>
      <c r="D47" s="259"/>
      <c r="E47" s="259"/>
      <c r="F47" s="263"/>
      <c r="G47" s="259"/>
      <c r="H47" s="260"/>
      <c r="I47" s="267"/>
      <c r="J47" s="262">
        <v>3</v>
      </c>
      <c r="K47" s="263" t="s">
        <v>137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138</v>
      </c>
      <c r="D48" s="259"/>
      <c r="E48" s="259"/>
      <c r="F48" s="263"/>
      <c r="G48" s="259"/>
      <c r="H48" s="260"/>
      <c r="I48" s="267"/>
      <c r="J48" s="262">
        <v>4</v>
      </c>
      <c r="K48" s="263" t="s">
        <v>139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140</v>
      </c>
      <c r="AD48" s="272"/>
      <c r="AE48" s="273" t="s">
        <v>141</v>
      </c>
      <c r="AF48" s="274">
        <f>SUM(AF22:AF47)</f>
        <v>4.4902089999999992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140</v>
      </c>
      <c r="AT48" s="272"/>
      <c r="AU48" s="273" t="s">
        <v>141</v>
      </c>
      <c r="AV48" s="274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142</v>
      </c>
      <c r="D49" s="259"/>
      <c r="E49" s="259"/>
      <c r="F49" s="263"/>
      <c r="G49" s="259"/>
      <c r="H49" s="260"/>
      <c r="I49" s="267"/>
      <c r="J49" s="262">
        <v>5</v>
      </c>
      <c r="K49" s="263" t="s">
        <v>143</v>
      </c>
      <c r="L49" s="259"/>
      <c r="M49" s="259"/>
      <c r="N49" s="264"/>
      <c r="O49" s="265"/>
      <c r="P49" s="266"/>
      <c r="Q49" s="4"/>
      <c r="R49" s="275" t="s">
        <v>144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145</v>
      </c>
      <c r="AE49" s="279" t="s">
        <v>146</v>
      </c>
      <c r="AF49" s="280">
        <f>AF48*0.986</f>
        <v>4.427346073999999</v>
      </c>
      <c r="AG49" s="4"/>
      <c r="AH49" s="275" t="s">
        <v>144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145</v>
      </c>
      <c r="AU49" s="279" t="s">
        <v>146</v>
      </c>
      <c r="AV49" s="280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147</v>
      </c>
      <c r="D50" s="259"/>
      <c r="E50" s="259"/>
      <c r="F50" s="263"/>
      <c r="G50" s="259"/>
      <c r="H50" s="260"/>
      <c r="I50" s="267"/>
      <c r="J50" s="262">
        <v>6</v>
      </c>
      <c r="K50" s="263" t="s">
        <v>148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149</v>
      </c>
      <c r="AF50" s="280">
        <f>AF48*0.974*0.986</f>
        <v>4.3122350760759991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149</v>
      </c>
      <c r="AV50" s="280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212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150</v>
      </c>
      <c r="D51" s="259"/>
      <c r="E51" s="259"/>
      <c r="F51" s="263"/>
      <c r="G51" s="259"/>
      <c r="H51" s="260"/>
      <c r="I51" s="267"/>
      <c r="J51" s="262">
        <v>7</v>
      </c>
      <c r="K51" s="263" t="s">
        <v>151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152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153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154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155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156</v>
      </c>
      <c r="C55" s="267"/>
      <c r="D55" s="267"/>
      <c r="E55" s="267"/>
      <c r="F55" s="267"/>
      <c r="G55" s="267"/>
      <c r="H55" s="267"/>
      <c r="I55" s="267"/>
      <c r="J55" s="300" t="s">
        <v>157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158</v>
      </c>
      <c r="K56" s="305"/>
      <c r="L56" s="305"/>
      <c r="M56" s="305"/>
      <c r="N56" s="306"/>
      <c r="O56" s="307" t="s">
        <v>159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160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:AX61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1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161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161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161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161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161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CAL-KD_FIX</vt:lpstr>
      <vt:lpstr>'CAL-KD_FIX'!A.</vt:lpstr>
      <vt:lpstr>'CAL-KD_FIX'!C.</vt:lpstr>
      <vt:lpstr>'CAL-KD_FIX'!F.</vt:lpstr>
      <vt:lpstr>'CAL-KD_FIX'!GCS</vt:lpstr>
      <vt:lpstr>'CAL-KD_FIX'!GTH</vt:lpstr>
      <vt:lpstr>'CAL-KD_FIX'!H</vt:lpstr>
      <vt:lpstr>'CAL-KD_FIX'!h.1</vt:lpstr>
      <vt:lpstr>'CAL-KD_FIX'!h.10</vt:lpstr>
      <vt:lpstr>'CAL-KD_FIX'!h.2</vt:lpstr>
      <vt:lpstr>'CAL-KD_FIX'!h.3</vt:lpstr>
      <vt:lpstr>'CAL-KD_FIX'!h.4</vt:lpstr>
      <vt:lpstr>'CAL-KD_FIX'!h.5</vt:lpstr>
      <vt:lpstr>'CAL-KD_FIX'!h.6</vt:lpstr>
      <vt:lpstr>'CAL-KD_FIX'!h.7</vt:lpstr>
      <vt:lpstr>'CAL-KD_FIX'!h.8</vt:lpstr>
      <vt:lpstr>'CAL-KD_FIX'!h.9</vt:lpstr>
      <vt:lpstr>'CAL-KD_FIX'!HS</vt:lpstr>
      <vt:lpstr>'CAL-KD_FIX'!HS.1</vt:lpstr>
      <vt:lpstr>'CAL-KD_FIX'!HS.2</vt:lpstr>
      <vt:lpstr>'CAL-KD_FIX'!HS.3</vt:lpstr>
      <vt:lpstr>'CAL-KD_FIX'!HS.4</vt:lpstr>
      <vt:lpstr>'CAL-KD_FIX'!HS.5</vt:lpstr>
      <vt:lpstr>'CAL-KD_FIX'!Print_Area</vt:lpstr>
      <vt:lpstr>'CAL-KD_FIX'!Q</vt:lpstr>
      <vt:lpstr>'CAL-KD_FIX'!R.</vt:lpstr>
      <vt:lpstr>'CAL-KD_FIX'!W</vt:lpstr>
      <vt:lpstr>'CAL-KD_FIX'!w.1</vt:lpstr>
      <vt:lpstr>'CAL-KD_FIX'!w.10</vt:lpstr>
      <vt:lpstr>'CAL-KD_FIX'!w.2</vt:lpstr>
      <vt:lpstr>'CAL-KD_FIX'!w.3</vt:lpstr>
      <vt:lpstr>'CAL-KD_FIX'!w.4</vt:lpstr>
      <vt:lpstr>'CAL-KD_FIX'!w.5</vt:lpstr>
      <vt:lpstr>'CAL-KD_FIX'!w.6</vt:lpstr>
      <vt:lpstr>'CAL-KD_FIX'!w.7</vt:lpstr>
      <vt:lpstr>'CAL-KD_FIX'!w.8</vt:lpstr>
      <vt:lpstr>'CAL-KD_FIX'!w.9</vt:lpstr>
      <vt:lpstr>'CAL-KD_FIX'!WS</vt:lpstr>
      <vt:lpstr>'CAL-KD_FIX'!WS.1</vt:lpstr>
      <vt:lpstr>'CAL-KD_FIX'!WS.2</vt:lpstr>
      <vt:lpstr>'CAL-KD_FIX'!WS.3</vt:lpstr>
      <vt:lpstr>'CAL-KD_FIX'!WS.4</vt:lpstr>
      <vt:lpstr>'CAL-KD_FIX'!WS.5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2024-07-30T02:53:48Z</dcterms:created>
  <dcterms:modified xsi:type="dcterms:W3CDTF">2024-08-16T09:09:13Z</dcterms:modified>
</cp:coreProperties>
</file>