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C083D0C-0C7F-41B1-AA82-F8F7B44BED1C}" xr6:coauthVersionLast="47" xr6:coauthVersionMax="47" xr10:uidLastSave="{00000000-0000-0000-0000-000000000000}"/>
  <bookViews>
    <workbookView xWindow="-108" yWindow="-108" windowWidth="23256" windowHeight="12456" xr2:uid="{18C36DBA-95B8-4730-BD62-6EAFAA321B86}"/>
  </bookViews>
  <sheets>
    <sheet name="CAR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'CAR-KD'!$P$18</definedName>
    <definedName name="BD">"BD"</definedName>
    <definedName name="C." localSheetId="0">'CAR-KD'!$P$17</definedName>
    <definedName name="F." localSheetId="0">'CAR-KD'!$P$16</definedName>
    <definedName name="GCS" localSheetId="0">'CAR-KD'!$O$12</definedName>
    <definedName name="GTH" localSheetId="0">'CAR-KD'!$O$11</definedName>
    <definedName name="H" localSheetId="0">'CAR-KD'!$E$12</definedName>
    <definedName name="h.1" localSheetId="0">'CAR-KD'!$C$14</definedName>
    <definedName name="h.10" localSheetId="0">'CAR-KD'!$E$18</definedName>
    <definedName name="h.2" localSheetId="0">'CAR-KD'!$C$15</definedName>
    <definedName name="h.3" localSheetId="0">'CAR-KD'!$C$16</definedName>
    <definedName name="h.4" localSheetId="0">'CAR-KD'!$C$17</definedName>
    <definedName name="h.5" localSheetId="0">'CAR-KD'!$C$18</definedName>
    <definedName name="h.6" localSheetId="0">'CAR-KD'!$E$14</definedName>
    <definedName name="h.7" localSheetId="0">'CAR-KD'!$E$15</definedName>
    <definedName name="h.8" localSheetId="0">'CAR-KD'!$E$16</definedName>
    <definedName name="h.9" localSheetId="0">'CAR-KD'!$E$17</definedName>
    <definedName name="HS" localSheetId="0">'CAR-KD'!$H$12</definedName>
    <definedName name="HS.1" localSheetId="0">'CAR-KD'!$L$14</definedName>
    <definedName name="HS.2" localSheetId="0">'CAR-KD'!$L$15</definedName>
    <definedName name="HS.3" localSheetId="0">'CAR-KD'!$L$16</definedName>
    <definedName name="HS.4" localSheetId="0">'CAR-KD'!$L$17</definedName>
    <definedName name="HS.5" localSheetId="0">'CAR-KD'!$L$18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'CAR-KD'!$1:$61</definedName>
    <definedName name="Q" localSheetId="0">'CAR-KD'!$I$11</definedName>
    <definedName name="R." localSheetId="0">'CAR-KD'!$C$62</definedName>
    <definedName name="st" hidden="1">[6]Gra_Ord_In_2000!$BA$12:$BA$1655</definedName>
    <definedName name="W" localSheetId="0">'CAR-KD'!$E$11</definedName>
    <definedName name="w.1" localSheetId="0">'CAR-KD'!$H$14</definedName>
    <definedName name="w.10" localSheetId="0">'CAR-KD'!$J$18</definedName>
    <definedName name="w.2" localSheetId="0">'CAR-KD'!$H$15</definedName>
    <definedName name="w.3" localSheetId="0">'CAR-KD'!$H$16</definedName>
    <definedName name="w.4" localSheetId="0">'CAR-KD'!$H$17</definedName>
    <definedName name="w.5" localSheetId="0">'CAR-KD'!$H$18</definedName>
    <definedName name="w.6" localSheetId="0">'CAR-KD'!$J$14</definedName>
    <definedName name="w.7" localSheetId="0">'CAR-KD'!$J$15</definedName>
    <definedName name="w.8" localSheetId="0">'CAR-KD'!$J$16</definedName>
    <definedName name="w.9" localSheetId="0">'CAR-KD'!$J$17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'CAR-KD'!$L$12</definedName>
    <definedName name="WS.1" localSheetId="0">'CAR-KD'!$N$14</definedName>
    <definedName name="WS.2" localSheetId="0">'CAR-KD'!$N$15</definedName>
    <definedName name="WS.3" localSheetId="0">'CAR-KD'!$N$16</definedName>
    <definedName name="WS.4" localSheetId="0">'CAR-KD'!$N$17</definedName>
    <definedName name="WS.5" localSheetId="0">'CAR-KD'!$N$18</definedName>
    <definedName name="Z_8BD11290_77B3_4D27_9040_BB9D2A7264B2_.wvu.PrintArea" localSheetId="0" hidden="1">'CAR-KD'!$1:$61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3" i="1" l="1"/>
  <c r="BV33" i="1" s="1"/>
  <c r="BU32" i="1"/>
  <c r="BU29" i="1"/>
  <c r="BU28" i="1"/>
  <c r="BU27" i="1"/>
  <c r="BU26" i="1"/>
  <c r="BU23" i="1"/>
  <c r="BV23" i="1" s="1"/>
  <c r="BQ33" i="1"/>
  <c r="BE34" i="1"/>
  <c r="BE32" i="1"/>
  <c r="BE31" i="1"/>
  <c r="BE29" i="1"/>
  <c r="BF29" i="1" s="1"/>
  <c r="BE26" i="1"/>
  <c r="BE23" i="1"/>
  <c r="BF23" i="1"/>
  <c r="BF27" i="1"/>
  <c r="BA27" i="1"/>
  <c r="BA22" i="1"/>
  <c r="AS23" i="1"/>
  <c r="AS24" i="1"/>
  <c r="AS26" i="1"/>
  <c r="AN27" i="1"/>
  <c r="AN24" i="1"/>
  <c r="AN23" i="1"/>
  <c r="AN22" i="1"/>
  <c r="AN26" i="1"/>
  <c r="AN25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BD35" i="1"/>
  <c r="AX35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AF34" i="1"/>
  <c r="AE34" i="1"/>
  <c r="Z34" i="1"/>
  <c r="V34" i="1"/>
  <c r="BF33" i="1"/>
  <c r="AF33" i="1"/>
  <c r="AE33" i="1"/>
  <c r="Z33" i="1"/>
  <c r="V33" i="1"/>
  <c r="BV32" i="1"/>
  <c r="BF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V27" i="1"/>
  <c r="AU27" i="1"/>
  <c r="AP27" i="1"/>
  <c r="AL27" i="1"/>
  <c r="AF27" i="1"/>
  <c r="AE27" i="1"/>
  <c r="Z27" i="1"/>
  <c r="V27" i="1"/>
  <c r="BF26" i="1"/>
  <c r="AU26" i="1"/>
  <c r="AV26" i="1" s="1"/>
  <c r="AP26" i="1"/>
  <c r="AL26" i="1"/>
  <c r="AF26" i="1"/>
  <c r="AE26" i="1"/>
  <c r="Z26" i="1"/>
  <c r="V26" i="1"/>
  <c r="BF25" i="1"/>
  <c r="AU25" i="1"/>
  <c r="AV25" i="1" s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AU23" i="1"/>
  <c r="AV23" i="1" s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P17" i="1"/>
  <c r="AF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L14" i="1"/>
  <c r="BV29" i="1" s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Q10" i="1"/>
  <c r="BK10" i="1"/>
  <c r="BA10" i="1"/>
  <c r="AU10" i="1"/>
  <c r="AE10" i="1"/>
  <c r="M10" i="1"/>
  <c r="K10" i="1"/>
  <c r="BG10" i="1" s="1"/>
  <c r="CA9" i="1"/>
  <c r="BK9" i="1"/>
  <c r="BA9" i="1"/>
  <c r="AU9" i="1"/>
  <c r="AQ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U3" i="1"/>
  <c r="E3" i="1"/>
  <c r="AK3" i="1" s="1"/>
  <c r="AF2" i="1"/>
  <c r="AV2" i="1" s="1"/>
  <c r="BL2" i="1" s="1"/>
  <c r="CB2" i="1" s="1"/>
  <c r="AF48" i="1" l="1"/>
  <c r="AU4" i="1"/>
  <c r="BK4" i="1"/>
  <c r="AE4" i="1"/>
  <c r="AF50" i="1"/>
  <c r="AF49" i="1"/>
  <c r="AA10" i="1"/>
  <c r="BW10" i="1"/>
  <c r="BJ11" i="1"/>
  <c r="AR14" i="1"/>
  <c r="AV24" i="1"/>
  <c r="AA9" i="1"/>
  <c r="AT11" i="1"/>
  <c r="BL17" i="1"/>
  <c r="BJ12" i="1"/>
  <c r="BG9" i="1"/>
  <c r="AD12" i="1"/>
  <c r="BV25" i="1"/>
  <c r="AV27" i="1"/>
  <c r="BV30" i="1"/>
  <c r="AQ10" i="1"/>
  <c r="BZ12" i="1"/>
  <c r="CB17" i="1"/>
  <c r="AV17" i="1"/>
  <c r="BX14" i="1"/>
  <c r="AV22" i="1"/>
  <c r="BV26" i="1"/>
  <c r="BV28" i="1"/>
  <c r="BV31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884697C-B5B9-496E-951F-6B2C76623F5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1A5D8AA7-FE93-46D3-A935-BB0878A3F3B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DDDCFDE5-B22A-48D1-9B9E-6867AD2C041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<sst xmlns="http://schemas.openxmlformats.org/spreadsheetml/2006/main" count="517" uniqueCount="180">
  <si>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</si>
  <si>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</si>
  <si>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</si>
  <si>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</si>
  <si>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</si>
  <si>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</si>
  <si>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</si>
  <si>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</si>
  <si>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</si>
  <si>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</si>
  <si>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</si>
  <si>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</si>
  <si>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</si>
  <si>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</si>
  <si>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</si>
  <si>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CAR-KD EC</t>
  </si>
  <si>
    <t>Delivery Date</t>
  </si>
  <si>
    <t>Elevation Code</t>
  </si>
  <si>
    <t>52CR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</si>
  <si>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</si>
  <si>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</si>
  <si>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</si>
  <si>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U9E-51033</t>
  </si>
  <si>
    <t>Unit Code</t>
  </si>
  <si>
    <r>
      <t xml:space="preserve">H </t>
    </r>
    <r>
      <rPr>
        <sz val="10"/>
        <rFont val="Arial"/>
        <family val="2"/>
      </rPr>
      <t>item</t>
    </r>
  </si>
  <si>
    <t>U9E-50009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</si>
  <si>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</si>
  <si>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</si>
  <si>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</si>
  <si>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</si>
  <si>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</si>
  <si>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</si>
  <si>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</si>
  <si>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</si>
  <si>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</si>
  <si>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</si>
  <si>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</si>
  <si>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</si>
  <si>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</si>
  <si>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</si>
  <si>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</si>
  <si>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</si>
  <si>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</si>
  <si>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</si>
  <si>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</si>
  <si>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</si>
  <si>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</si>
  <si>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</si>
  <si>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</si>
  <si>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</si>
  <si>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</si>
  <si>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</si>
  <si>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</si>
  <si>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</si>
  <si>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</si>
  <si>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</si>
  <si>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</si>
  <si>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</si>
  <si>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</si>
  <si>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</si>
  <si>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</si>
  <si>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</si>
  <si>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</si>
  <si>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</si>
  <si>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</si>
  <si>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</si>
  <si>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</si>
  <si>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</si>
  <si>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</si>
  <si>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</si>
  <si>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</si>
  <si>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</si>
  <si>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</si>
  <si>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</si>
  <si>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</si>
  <si>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</si>
  <si>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</si>
  <si>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</si>
  <si>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</si>
  <si>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</si>
  <si>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</si>
  <si>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</si>
  <si>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</si>
  <si>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Without Arm Stopper</t>
  </si>
  <si>
    <t>TOP RAIL</t>
  </si>
  <si>
    <t>9K-87136</t>
  </si>
  <si>
    <t>2K-33877Y</t>
  </si>
  <si>
    <t>SILL</t>
  </si>
  <si>
    <t>9K-87103</t>
  </si>
  <si>
    <t>BOTTOM RAIL</t>
  </si>
  <si>
    <t>9K-30239</t>
  </si>
  <si>
    <t>9K-20669</t>
  </si>
  <si>
    <t>JAMB(L)</t>
  </si>
  <si>
    <t>9K-87104</t>
  </si>
  <si>
    <t>STILE(L)</t>
  </si>
  <si>
    <t>9K-87137</t>
  </si>
  <si>
    <t>9K-20849</t>
  </si>
  <si>
    <t>9K-20856</t>
  </si>
  <si>
    <t>JAMB(R)</t>
  </si>
  <si>
    <t>STILE(R)</t>
  </si>
  <si>
    <t>9K-20754</t>
  </si>
  <si>
    <t>M</t>
  </si>
  <si>
    <t>2K-22277</t>
  </si>
  <si>
    <t>9K-86115</t>
  </si>
  <si>
    <t>2K-29158</t>
  </si>
  <si>
    <t>2K-29161</t>
  </si>
  <si>
    <t>MS-4012</t>
  </si>
  <si>
    <t>FOR HANDLE</t>
  </si>
  <si>
    <t>EM-4008D8-SA</t>
  </si>
  <si>
    <t>FOR STAY</t>
  </si>
  <si>
    <t>BM-4025G</t>
  </si>
  <si>
    <t>S</t>
  </si>
  <si>
    <t>9K-10840</t>
  </si>
  <si>
    <t>9K-30171</t>
  </si>
  <si>
    <t>FOR JOINT FRAME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</si>
  <si>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</si>
  <si>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</si>
  <si>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</si>
  <si>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</si>
  <si>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</si>
  <si>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</si>
  <si>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</si>
  <si>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</si>
  <si>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</si>
  <si>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</si>
  <si>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</si>
  <si>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</si>
  <si>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</si>
  <si>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</si>
  <si>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</si>
  <si>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</si>
  <si>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</si>
  <si>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</si>
  <si>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</si>
  <si>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</si>
  <si>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</si>
  <si>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</si>
  <si>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</si>
  <si>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</si>
  <si>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</si>
  <si>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</si>
  <si>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</si>
  <si>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</si>
  <si>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</si>
  <si>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</si>
  <si>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</si>
  <si>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</si>
  <si>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</si>
  <si>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</si>
  <si>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</si>
  <si>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</si>
  <si>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</si>
  <si>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BEADING</t>
  </si>
  <si>
    <t>FRICTION STAY</t>
  </si>
  <si>
    <t>SCREW</t>
  </si>
  <si>
    <t>SHIM RECEIVER</t>
  </si>
  <si>
    <t>HOLE CAP</t>
  </si>
  <si>
    <t>SPACER</t>
  </si>
  <si>
    <t>CAMLATCH RECEIVER</t>
  </si>
  <si>
    <t>PULLING BLOCK</t>
  </si>
  <si>
    <t>SEALER PAD</t>
  </si>
  <si>
    <t>AT MATERIAL</t>
  </si>
  <si>
    <t>LABEL</t>
  </si>
  <si>
    <t>EM-4008</t>
  </si>
  <si>
    <t>2K-30630</t>
  </si>
  <si>
    <t>9K-30241</t>
  </si>
  <si>
    <t>YS</t>
  </si>
  <si>
    <t>Y</t>
  </si>
  <si>
    <t>YK</t>
  </si>
  <si>
    <t>FOR PULLING BLOCK</t>
  </si>
  <si>
    <t>FOR JAMB (L), FOR JAMB (R), FOR HEAD</t>
  </si>
  <si>
    <t>FOR FRICTION STAY</t>
  </si>
  <si>
    <t>CAMLATCH HANDLE</t>
  </si>
  <si>
    <t>SETTING BLOCK</t>
  </si>
  <si>
    <t>WEATHER STRIP</t>
  </si>
  <si>
    <t>GASKET</t>
  </si>
  <si>
    <t>EF-4008D7-SA</t>
  </si>
  <si>
    <t>FOR OUTSIDE</t>
  </si>
  <si>
    <t>FOR JOIN FRAME</t>
  </si>
  <si>
    <t>FOR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</si>
</sst>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1" xfId="3" applyFont="1" applyBorder="1" applyAlignment="1">
      <alignment vertical="center"/>
    </xf>
    <xf numFmtId="0" fontId="16" fillId="0" borderId="62" xfId="3" applyFont="1" applyBorder="1" applyAlignment="1">
      <alignment vertical="center"/>
    </xf>
    <xf numFmtId="0" fontId="17" fillId="0" borderId="63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4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5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7D258656-5BA8-42CC-8447-08D441CB033E}"/>
    <cellStyle name="Normal" xfId="0" builtinId="0"/>
    <cellStyle name="Normal 2" xfId="1" xr:uid="{F927A268-2CCD-43E5-A8E3-E4F4F2E082F9}"/>
    <cellStyle name="Normal 5" xfId="3" xr:uid="{498BCC85-8CAC-4834-BB3E-3A5369EAEBF2}"/>
    <cellStyle name="Normal_COBA 2" xfId="4" xr:uid="{94BA14C0-BBAD-47D2-9309-BF591442A4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A57A327-AC3A-4683-BDEC-19AD8FBA9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F9DB6CC-5284-4FD7-A8CE-07DD89914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2</xdr:row>
      <xdr:rowOff>2234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2B4396B6-1D53-43A8-9E2E-313585F50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2</xdr:row>
      <xdr:rowOff>2234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4B68AB13-EBAC-417B-9914-A1476A8C7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F59809B-8B2F-42DB-8B9C-4131E1345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3034EEF3-0102-42EF-9C0A-45F5FE655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29815AD-CBB6-4744-9C11-31DDFD365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389573</xdr:colOff>
      <xdr:row>36</xdr:row>
      <xdr:rowOff>14162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68DC88AB-8229-463A-A9B9-B0F0E1CE61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83" r="17967"/>
        <a:stretch/>
      </xdr:blipFill>
      <xdr:spPr bwMode="auto">
        <a:xfrm>
          <a:off x="2720340" y="4107180"/>
          <a:ext cx="2873693" cy="2673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FE91-853E-469C-BE42-BCA94FDC906E}">
  <sheetPr>
    <tabColor indexed="14"/>
    <pageSetUpPr fitToPage="1"/>
  </sheetPr>
  <dimension ref="B1:DP65"/>
  <sheetViews>
    <sheetView showGridLines="0" tabSelected="1" zoomScale="76" zoomScaleNormal="70" zoomScaleSheetLayoutView="70" workbookViewId="0">
      <selection activeCell="R27" sqref="R27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7.441406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7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45523.555824884257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45523.555824884257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45523.555824884257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45523.555824884257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45523.555824884257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CAR-KD EC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CAR-KD EC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CAR-KD EC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CAR-KD EC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52CR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52CR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52CR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52CR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2">
        <f>W</f>
        <v>1000</v>
      </c>
      <c r="L9" s="324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52CR</v>
      </c>
      <c r="V9" s="36"/>
      <c r="W9" s="55"/>
      <c r="X9" s="62"/>
      <c r="Y9" s="62"/>
      <c r="Z9" s="63" t="s">
        <v>21</v>
      </c>
      <c r="AA9" s="322">
        <f>$K$9</f>
        <v>1000</v>
      </c>
      <c r="AB9" s="324"/>
      <c r="AC9" s="65"/>
      <c r="AD9" s="61"/>
      <c r="AE9" s="59" t="str">
        <f>IF($O$9&gt;0,$O$9,"")</f>
        <v>U9E-51033</v>
      </c>
      <c r="AF9" s="60"/>
      <c r="AG9" s="3"/>
      <c r="AH9" s="53" t="s">
        <v>20</v>
      </c>
      <c r="AI9" s="36"/>
      <c r="AJ9" s="37"/>
      <c r="AK9" s="54" t="str">
        <f>IF($E$9&gt;0,$E$9,"")</f>
        <v>52CR</v>
      </c>
      <c r="AL9" s="36"/>
      <c r="AM9" s="55"/>
      <c r="AN9" s="62"/>
      <c r="AO9" s="62"/>
      <c r="AP9" s="63" t="s">
        <v>21</v>
      </c>
      <c r="AQ9" s="322">
        <f>$K$9</f>
        <v>1000</v>
      </c>
      <c r="AR9" s="324"/>
      <c r="AS9" s="65"/>
      <c r="AT9" s="61"/>
      <c r="AU9" s="59" t="str">
        <f>IF($O$9&gt;0,$O$9,"")</f>
        <v>U9E-51033</v>
      </c>
      <c r="AV9" s="60"/>
      <c r="AW9" s="3"/>
      <c r="AX9" s="53" t="s">
        <v>20</v>
      </c>
      <c r="AY9" s="36"/>
      <c r="AZ9" s="37"/>
      <c r="BA9" s="54" t="str">
        <f>IF(E9&gt;0,E9,"")</f>
        <v>52CR</v>
      </c>
      <c r="BB9" s="36"/>
      <c r="BC9" s="55"/>
      <c r="BD9" s="62"/>
      <c r="BE9" s="62"/>
      <c r="BF9" s="63" t="s">
        <v>21</v>
      </c>
      <c r="BG9" s="322">
        <f>$K$9</f>
        <v>1000</v>
      </c>
      <c r="BH9" s="324"/>
      <c r="BI9" s="65"/>
      <c r="BJ9" s="61"/>
      <c r="BK9" s="59" t="str">
        <f>IF($O$9&gt;0,$O$9,"")</f>
        <v>U9E-51033</v>
      </c>
      <c r="BL9" s="60"/>
      <c r="BM9" s="3"/>
      <c r="BN9" s="53" t="s">
        <v>20</v>
      </c>
      <c r="BO9" s="36"/>
      <c r="BP9" s="37"/>
      <c r="BQ9" s="54" t="str">
        <f>IF(U9&gt;0,U9,"")</f>
        <v>52CR</v>
      </c>
      <c r="BR9" s="36"/>
      <c r="BS9" s="55"/>
      <c r="BT9" s="62"/>
      <c r="BU9" s="62"/>
      <c r="BV9" s="63" t="s">
        <v>21</v>
      </c>
      <c r="BW9" s="322">
        <f>$K$9</f>
        <v>1000</v>
      </c>
      <c r="BX9" s="324"/>
      <c r="BY9" s="65"/>
      <c r="BZ9" s="61"/>
      <c r="CA9" s="59" t="str">
        <f>IF($O$9&gt;0,$O$9,"")</f>
        <v>U9E-51033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2">
        <f>H</f>
        <v>2000</v>
      </c>
      <c r="L10" s="323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2">
        <f>$K$10</f>
        <v>2000</v>
      </c>
      <c r="AB10" s="324"/>
      <c r="AC10" s="65"/>
      <c r="AD10" s="61"/>
      <c r="AE10" s="59" t="str">
        <f>IF($O$10&gt;0,$O$10,"")</f>
        <v>U9E-50009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2">
        <f>$K$10</f>
        <v>2000</v>
      </c>
      <c r="AR10" s="324"/>
      <c r="AS10" s="65"/>
      <c r="AT10" s="61"/>
      <c r="AU10" s="59" t="str">
        <f>IF($O$10&gt;0,$O$10,"")</f>
        <v>U9E-50009</v>
      </c>
      <c r="AV10" s="60"/>
      <c r="AW10" s="3"/>
      <c r="AX10" s="53" t="s">
        <v>23</v>
      </c>
      <c r="AY10" s="36"/>
      <c r="AZ10" s="37"/>
      <c r="BA10" s="54" t="str">
        <f>IF($U$10&gt;0,$U$10,"")</f>
        <v>52CR</v>
      </c>
      <c r="BB10" s="36"/>
      <c r="BC10" s="55"/>
      <c r="BD10" s="62"/>
      <c r="BE10" s="62"/>
      <c r="BF10" s="66" t="s">
        <v>24</v>
      </c>
      <c r="BG10" s="322">
        <f>$K$10</f>
        <v>2000</v>
      </c>
      <c r="BH10" s="324"/>
      <c r="BI10" s="65"/>
      <c r="BJ10" s="61"/>
      <c r="BK10" s="59" t="str">
        <f>IF($O$10&gt;0,$O$10,"")</f>
        <v>U9E-50009</v>
      </c>
      <c r="BL10" s="60"/>
      <c r="BM10" s="3"/>
      <c r="BN10" s="53" t="s">
        <v>23</v>
      </c>
      <c r="BO10" s="36"/>
      <c r="BP10" s="37"/>
      <c r="BQ10" s="54" t="str">
        <f>IF($AK$10&gt;0,$AK$10,"")</f>
        <v>52CR-A/SC</v>
      </c>
      <c r="BR10" s="36"/>
      <c r="BS10" s="55"/>
      <c r="BT10" s="62"/>
      <c r="BU10" s="62"/>
      <c r="BV10" s="66" t="s">
        <v>24</v>
      </c>
      <c r="BW10" s="322">
        <f>$K$10</f>
        <v>2000</v>
      </c>
      <c r="BX10" s="324"/>
      <c r="BY10" s="65"/>
      <c r="BZ10" s="61"/>
      <c r="CA10" s="59" t="str">
        <f>IF($O$10&gt;0,$O$10,"")</f>
        <v>U9E-50009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5" t="s">
        <v>28</v>
      </c>
      <c r="I11" s="325">
        <v>1</v>
      </c>
      <c r="J11" s="325" t="s">
        <v>29</v>
      </c>
      <c r="K11" s="327" t="s">
        <v>30</v>
      </c>
      <c r="L11" s="328"/>
      <c r="M11" s="331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5" t="s">
        <v>28</v>
      </c>
      <c r="Y11" s="325">
        <f>IF($I$11&gt;0,$I$11,"")</f>
        <v>1</v>
      </c>
      <c r="Z11" s="325" t="s">
        <v>29</v>
      </c>
      <c r="AA11" s="327" t="str">
        <f>IF($K$11&gt;0,$K$11,"")</f>
        <v>TT01</v>
      </c>
      <c r="AB11" s="328"/>
      <c r="AC11" s="331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5" t="s">
        <v>28</v>
      </c>
      <c r="AO11" s="325">
        <f>IF($I$11&gt;0,$I$11,"")</f>
        <v>1</v>
      </c>
      <c r="AP11" s="325" t="s">
        <v>29</v>
      </c>
      <c r="AQ11" s="327" t="str">
        <f>IF($K$11&gt;0,$K$11,"")</f>
        <v>TT01</v>
      </c>
      <c r="AR11" s="328"/>
      <c r="AS11" s="331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5" t="s">
        <v>28</v>
      </c>
      <c r="BE11" s="325">
        <f>IF($I$11&gt;0,$I$11,"")</f>
        <v>1</v>
      </c>
      <c r="BF11" s="325" t="s">
        <v>29</v>
      </c>
      <c r="BG11" s="327" t="str">
        <f>IF($K$11&gt;0,$K$11,"")</f>
        <v>TT01</v>
      </c>
      <c r="BH11" s="328"/>
      <c r="BI11" s="331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5" t="s">
        <v>28</v>
      </c>
      <c r="BU11" s="325">
        <f>IF($I$11&gt;0,$I$11,"")</f>
        <v>1</v>
      </c>
      <c r="BV11" s="325" t="s">
        <v>29</v>
      </c>
      <c r="BW11" s="327" t="str">
        <f>IF($K$11&gt;0,$K$11,"")</f>
        <v>TT01</v>
      </c>
      <c r="BX11" s="328"/>
      <c r="BY11" s="331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6"/>
      <c r="I12" s="326"/>
      <c r="J12" s="326"/>
      <c r="K12" s="329"/>
      <c r="L12" s="330"/>
      <c r="M12" s="332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6"/>
      <c r="Y12" s="326"/>
      <c r="Z12" s="326"/>
      <c r="AA12" s="329"/>
      <c r="AB12" s="330"/>
      <c r="AC12" s="332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6"/>
      <c r="AO12" s="326"/>
      <c r="AP12" s="326"/>
      <c r="AQ12" s="329"/>
      <c r="AR12" s="330"/>
      <c r="AS12" s="332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6"/>
      <c r="BE12" s="326"/>
      <c r="BF12" s="326"/>
      <c r="BG12" s="329"/>
      <c r="BH12" s="330"/>
      <c r="BI12" s="332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6"/>
      <c r="BU12" s="326"/>
      <c r="BV12" s="326"/>
      <c r="BW12" s="329"/>
      <c r="BX12" s="330"/>
      <c r="BY12" s="332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(HS.1/2)+25</f>
        <v>1000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1000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1000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5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 t="s">
        <v>83</v>
      </c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152</v>
      </c>
      <c r="AI22" s="199"/>
      <c r="AJ22" s="203"/>
      <c r="AK22" s="167" t="s">
        <v>103</v>
      </c>
      <c r="AL22" s="168" t="str">
        <f t="shared" ref="AL22:AL47" si="3">IF(AK22&gt;"","-","")</f>
        <v>-</v>
      </c>
      <c r="AM22" s="201">
        <v>0</v>
      </c>
      <c r="AN22" s="170">
        <f>HS.1-84</f>
        <v>1866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9.6000000000000002E-2</v>
      </c>
      <c r="AV22" s="178">
        <f t="shared" ref="AV22:AV47" si="6">IF(AK22&gt;"",(AU22*AN22*AP22)/1000,"")</f>
        <v>0.17913599999999999</v>
      </c>
      <c r="AW22" s="4"/>
      <c r="AX22" s="198" t="s">
        <v>153</v>
      </c>
      <c r="AY22" s="199"/>
      <c r="AZ22" s="200"/>
      <c r="BA22" s="204" t="str">
        <f>IF(W&lt;=400,"MIN LIMIT",IF(W&lt;=500,"9K-11346",IF(W&lt;=700,"9K-11347",IF(W&lt;=1000,"9K-11349","9K-11349"))))</f>
        <v>9K-11349</v>
      </c>
      <c r="BB22" s="168"/>
      <c r="BC22" s="180"/>
      <c r="BD22" s="181" t="s">
        <v>166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172</v>
      </c>
      <c r="BO22" s="199"/>
      <c r="BP22" s="200"/>
      <c r="BQ22" s="204" t="s">
        <v>86</v>
      </c>
      <c r="BR22" s="168"/>
      <c r="BS22" s="180"/>
      <c r="BT22" s="181" t="s">
        <v>167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87</v>
      </c>
      <c r="S23" s="199"/>
      <c r="T23" s="200"/>
      <c r="U23" s="167" t="s">
        <v>88</v>
      </c>
      <c r="V23" s="168" t="str">
        <f t="shared" si="0"/>
        <v>-</v>
      </c>
      <c r="W23" s="201">
        <v>5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 t="s">
        <v>83</v>
      </c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84</v>
      </c>
      <c r="AI23" s="199"/>
      <c r="AJ23" s="203"/>
      <c r="AK23" s="167" t="s">
        <v>85</v>
      </c>
      <c r="AL23" s="168" t="str">
        <f t="shared" si="3"/>
        <v>-</v>
      </c>
      <c r="AM23" s="201">
        <v>6</v>
      </c>
      <c r="AN23" s="170">
        <f>WS.1-32</f>
        <v>916</v>
      </c>
      <c r="AO23" s="182">
        <v>1</v>
      </c>
      <c r="AP23" s="172">
        <f t="shared" si="4"/>
        <v>1</v>
      </c>
      <c r="AQ23" s="202"/>
      <c r="AR23" s="174" t="s">
        <v>83</v>
      </c>
      <c r="AS23" s="175" t="str">
        <f>IF(WS.1&lt;=448,"9K-11346",IF(WS.1&lt;=648,"9K-11347",IF(WS.1&lt;=948,"9K-11349","9K-11349")))</f>
        <v>9K-11349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154</v>
      </c>
      <c r="AY23" s="199"/>
      <c r="AZ23" s="200"/>
      <c r="BA23" s="167" t="s">
        <v>163</v>
      </c>
      <c r="BB23" s="168"/>
      <c r="BC23" s="180"/>
      <c r="BD23" s="181" t="s">
        <v>166</v>
      </c>
      <c r="BE23" s="171">
        <f>IF(H&gt;1000,2,0)</f>
        <v>2</v>
      </c>
      <c r="BF23" s="172">
        <f t="shared" si="7"/>
        <v>2</v>
      </c>
      <c r="BG23" s="183"/>
      <c r="BH23" s="184" t="s">
        <v>169</v>
      </c>
      <c r="BI23" s="185"/>
      <c r="BJ23" s="186"/>
      <c r="BK23" s="205"/>
      <c r="BL23" s="188"/>
      <c r="BM23" s="4"/>
      <c r="BN23" s="198" t="s">
        <v>159</v>
      </c>
      <c r="BO23" s="199"/>
      <c r="BP23" s="200"/>
      <c r="BQ23" s="167" t="s">
        <v>164</v>
      </c>
      <c r="BR23" s="168"/>
      <c r="BS23" s="180"/>
      <c r="BT23" s="181" t="s">
        <v>168</v>
      </c>
      <c r="BU23" s="171">
        <f>IF(HS.1&gt;950,2,"")</f>
        <v>2</v>
      </c>
      <c r="BV23" s="172">
        <f t="shared" si="8"/>
        <v>2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92</v>
      </c>
      <c r="S24" s="199"/>
      <c r="T24" s="200"/>
      <c r="U24" s="167" t="s">
        <v>93</v>
      </c>
      <c r="V24" s="168" t="str">
        <f t="shared" si="0"/>
        <v>-</v>
      </c>
      <c r="W24" s="201">
        <v>11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89</v>
      </c>
      <c r="AI24" s="199"/>
      <c r="AJ24" s="203"/>
      <c r="AK24" s="167" t="s">
        <v>85</v>
      </c>
      <c r="AL24" s="168" t="str">
        <f t="shared" si="3"/>
        <v>-</v>
      </c>
      <c r="AM24" s="201">
        <v>5</v>
      </c>
      <c r="AN24" s="207">
        <f>WS.1-32</f>
        <v>916</v>
      </c>
      <c r="AO24" s="171">
        <v>1</v>
      </c>
      <c r="AP24" s="172">
        <f t="shared" si="4"/>
        <v>1</v>
      </c>
      <c r="AQ24" s="202"/>
      <c r="AR24" s="174" t="s">
        <v>83</v>
      </c>
      <c r="AS24" s="175" t="str">
        <f>IF(WS.1&lt;=448,"9K-11346",IF(WS.1&lt;=648,"9K-11347",IF(WS.1&lt;=948,"9K-11349","9K-11349")))</f>
        <v>9K-11349</v>
      </c>
      <c r="AT24" s="176"/>
      <c r="AU24" s="177">
        <f t="shared" si="5"/>
        <v>0.48299999999999998</v>
      </c>
      <c r="AV24" s="178">
        <f t="shared" si="6"/>
        <v>0.44242799999999999</v>
      </c>
      <c r="AW24" s="4"/>
      <c r="AX24" s="198" t="s">
        <v>154</v>
      </c>
      <c r="AY24" s="199"/>
      <c r="AZ24" s="200"/>
      <c r="BA24" s="167" t="s">
        <v>110</v>
      </c>
      <c r="BB24" s="168"/>
      <c r="BC24" s="180"/>
      <c r="BD24" s="181" t="s">
        <v>166</v>
      </c>
      <c r="BE24" s="171">
        <v>8</v>
      </c>
      <c r="BF24" s="172">
        <f t="shared" si="7"/>
        <v>8</v>
      </c>
      <c r="BG24" s="183"/>
      <c r="BH24" s="184" t="s">
        <v>114</v>
      </c>
      <c r="BI24" s="185"/>
      <c r="BJ24" s="186"/>
      <c r="BK24" s="187"/>
      <c r="BL24" s="188" t="s">
        <v>111</v>
      </c>
      <c r="BM24" s="4"/>
      <c r="BN24" s="198" t="s">
        <v>173</v>
      </c>
      <c r="BO24" s="199"/>
      <c r="BP24" s="200"/>
      <c r="BQ24" s="167" t="s">
        <v>91</v>
      </c>
      <c r="BR24" s="168"/>
      <c r="BS24" s="180"/>
      <c r="BT24" s="181" t="s">
        <v>168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98</v>
      </c>
      <c r="S25" s="199"/>
      <c r="T25" s="200"/>
      <c r="U25" s="167" t="s">
        <v>93</v>
      </c>
      <c r="V25" s="168" t="str">
        <f t="shared" si="0"/>
        <v>-</v>
      </c>
      <c r="W25" s="201">
        <v>8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",(H/2))</f>
        <v>a = 1000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94</v>
      </c>
      <c r="AI25" s="199"/>
      <c r="AJ25" s="203"/>
      <c r="AK25" s="167" t="s">
        <v>95</v>
      </c>
      <c r="AL25" s="168" t="str">
        <f t="shared" si="3"/>
        <v>-</v>
      </c>
      <c r="AM25" s="201">
        <v>1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155</v>
      </c>
      <c r="AY25" s="199"/>
      <c r="AZ25" s="200"/>
      <c r="BA25" s="167" t="s">
        <v>112</v>
      </c>
      <c r="BB25" s="168"/>
      <c r="BC25" s="180"/>
      <c r="BD25" s="181" t="s">
        <v>131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111</v>
      </c>
      <c r="BM25" s="4"/>
      <c r="BN25" s="198" t="s">
        <v>173</v>
      </c>
      <c r="BO25" s="199"/>
      <c r="BP25" s="200"/>
      <c r="BQ25" s="167" t="s">
        <v>97</v>
      </c>
      <c r="BR25" s="168"/>
      <c r="BS25" s="180"/>
      <c r="BT25" s="181" t="s">
        <v>168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99</v>
      </c>
      <c r="AI26" s="199"/>
      <c r="AJ26" s="203"/>
      <c r="AK26" s="167" t="s">
        <v>95</v>
      </c>
      <c r="AL26" s="168" t="str">
        <f t="shared" si="3"/>
        <v>-</v>
      </c>
      <c r="AM26" s="201">
        <v>3</v>
      </c>
      <c r="AN26" s="207">
        <f>HS.1</f>
        <v>1950</v>
      </c>
      <c r="AO26" s="171">
        <v>2</v>
      </c>
      <c r="AP26" s="172">
        <f t="shared" si="4"/>
        <v>2</v>
      </c>
      <c r="AQ26" s="209"/>
      <c r="AR26" s="174"/>
      <c r="AS26" s="175" t="str">
        <f>CONCATENATE("as = ",(HS.1/2))</f>
        <v>as = 975</v>
      </c>
      <c r="AT26" s="211"/>
      <c r="AU26" s="177">
        <f t="shared" si="5"/>
        <v>0.55700000000000005</v>
      </c>
      <c r="AV26" s="178">
        <f t="shared" si="6"/>
        <v>2.1723000000000003</v>
      </c>
      <c r="AW26" s="4"/>
      <c r="AX26" s="198" t="s">
        <v>156</v>
      </c>
      <c r="AY26" s="199"/>
      <c r="AZ26" s="200"/>
      <c r="BA26" s="167" t="s">
        <v>113</v>
      </c>
      <c r="BB26" s="168"/>
      <c r="BC26" s="180"/>
      <c r="BD26" s="181" t="s">
        <v>167</v>
      </c>
      <c r="BE26" s="171">
        <f>IF(W&lt;=600,2,3)+IF(H&lt;=820,2,IF(H&lt;=1200,3,IF(H&lt;=1800,4,IF(H&lt;=2000,5,5))))+IF(H&lt;=800,2,IF(H&lt;=1300,3,IF(H&lt;=1800,4,5)))</f>
        <v>13</v>
      </c>
      <c r="BF26" s="172">
        <f t="shared" si="7"/>
        <v>13</v>
      </c>
      <c r="BG26" s="183"/>
      <c r="BH26" s="184" t="s">
        <v>170</v>
      </c>
      <c r="BI26" s="185"/>
      <c r="BJ26" s="186"/>
      <c r="BK26" s="187"/>
      <c r="BL26" s="188" t="s">
        <v>111</v>
      </c>
      <c r="BM26" s="4"/>
      <c r="BN26" s="198" t="s">
        <v>174</v>
      </c>
      <c r="BO26" s="199"/>
      <c r="BP26" s="200"/>
      <c r="BQ26" s="167" t="s">
        <v>105</v>
      </c>
      <c r="BR26" s="168"/>
      <c r="BS26" s="180"/>
      <c r="BT26" s="181" t="s">
        <v>168</v>
      </c>
      <c r="BU26" s="171">
        <f>(HS.1*2)/1000</f>
        <v>3.9</v>
      </c>
      <c r="BV26" s="172">
        <f t="shared" si="8"/>
        <v>3.9</v>
      </c>
      <c r="BW26" s="183" t="s">
        <v>101</v>
      </c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152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WS.1-83</f>
        <v>865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0.16608000000000001</v>
      </c>
      <c r="AW27" s="4"/>
      <c r="AX27" s="198" t="s">
        <v>157</v>
      </c>
      <c r="AY27" s="199"/>
      <c r="AZ27" s="200"/>
      <c r="BA27" s="167" t="str">
        <f>IF(W&lt;=500,"9K-11340","")</f>
        <v/>
      </c>
      <c r="BB27" s="168"/>
      <c r="BC27" s="180"/>
      <c r="BD27" s="181" t="s">
        <v>166</v>
      </c>
      <c r="BE27" s="171">
        <v>2</v>
      </c>
      <c r="BF27" s="167">
        <f>IF(W&lt;=500,BE27,0)</f>
        <v>0</v>
      </c>
      <c r="BG27" s="212"/>
      <c r="BH27" s="184" t="s">
        <v>171</v>
      </c>
      <c r="BI27" s="185"/>
      <c r="BJ27" s="186"/>
      <c r="BK27" s="187"/>
      <c r="BL27" s="188"/>
      <c r="BM27" s="4"/>
      <c r="BN27" s="198" t="s">
        <v>175</v>
      </c>
      <c r="BO27" s="199"/>
      <c r="BP27" s="200"/>
      <c r="BQ27" s="167" t="s">
        <v>102</v>
      </c>
      <c r="BR27" s="168"/>
      <c r="BS27" s="180"/>
      <c r="BT27" s="181" t="s">
        <v>168</v>
      </c>
      <c r="BU27" s="171">
        <f>(((WS.1-66)*2)+((HS.1-84)*2))/1000</f>
        <v>5.4960000000000004</v>
      </c>
      <c r="BV27" s="172">
        <f t="shared" si="8"/>
        <v>5.4960000000000004</v>
      </c>
      <c r="BW27" s="212" t="s">
        <v>101</v>
      </c>
      <c r="BX27" s="184" t="s">
        <v>177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158</v>
      </c>
      <c r="AY28" s="199"/>
      <c r="AZ28" s="200"/>
      <c r="BA28" s="167" t="s">
        <v>90</v>
      </c>
      <c r="BB28" s="168"/>
      <c r="BC28" s="180"/>
      <c r="BD28" s="181" t="s">
        <v>167</v>
      </c>
      <c r="BE28" s="171"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/>
      <c r="BM28" s="4"/>
      <c r="BN28" s="198" t="s">
        <v>154</v>
      </c>
      <c r="BO28" s="199"/>
      <c r="BP28" s="200"/>
      <c r="BQ28" s="167" t="s">
        <v>108</v>
      </c>
      <c r="BR28" s="168"/>
      <c r="BS28" s="180"/>
      <c r="BT28" s="181" t="s">
        <v>166</v>
      </c>
      <c r="BU28" s="171">
        <f>IF(WS.1&lt;=448,6,IF(WS.1&lt;=648,8,4))</f>
        <v>4</v>
      </c>
      <c r="BV28" s="172">
        <f t="shared" si="8"/>
        <v>4</v>
      </c>
      <c r="BW28" s="183"/>
      <c r="BX28" s="184" t="s">
        <v>109</v>
      </c>
      <c r="BY28" s="185"/>
      <c r="BZ28" s="186"/>
      <c r="CA28" s="187"/>
      <c r="CB28" s="188" t="s">
        <v>111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198"/>
      <c r="AI29" s="199"/>
      <c r="AJ29" s="203"/>
      <c r="AK29" s="167"/>
      <c r="AL29" s="168"/>
      <c r="AM29" s="201"/>
      <c r="AN29" s="170"/>
      <c r="AO29" s="171"/>
      <c r="AP29" s="172"/>
      <c r="AQ29" s="202"/>
      <c r="AR29" s="174"/>
      <c r="AS29" s="175"/>
      <c r="AT29" s="176"/>
      <c r="AU29" s="177"/>
      <c r="AV29" s="178"/>
      <c r="AW29" s="4"/>
      <c r="AX29" s="198" t="s">
        <v>159</v>
      </c>
      <c r="AY29" s="199"/>
      <c r="AZ29" s="200"/>
      <c r="BA29" s="167" t="s">
        <v>164</v>
      </c>
      <c r="BB29" s="168"/>
      <c r="BC29" s="180"/>
      <c r="BD29" s="181" t="s">
        <v>168</v>
      </c>
      <c r="BE29" s="171">
        <f>IF(H&gt;1000,1,0)</f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/>
      <c r="BM29" s="4"/>
      <c r="BN29" s="198" t="s">
        <v>154</v>
      </c>
      <c r="BO29" s="199"/>
      <c r="BP29" s="200"/>
      <c r="BQ29" s="167" t="s">
        <v>176</v>
      </c>
      <c r="BR29" s="168"/>
      <c r="BS29" s="180"/>
      <c r="BT29" s="181" t="s">
        <v>166</v>
      </c>
      <c r="BU29" s="171">
        <f>IF(WS.1&lt;=648,0,6)</f>
        <v>6</v>
      </c>
      <c r="BV29" s="172">
        <f t="shared" si="8"/>
        <v>6</v>
      </c>
      <c r="BW29" s="183"/>
      <c r="BX29" s="184" t="s">
        <v>109</v>
      </c>
      <c r="BY29" s="185"/>
      <c r="BZ29" s="186"/>
      <c r="CA29" s="187"/>
      <c r="CB29" s="188" t="s">
        <v>111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/>
      <c r="AM30" s="201"/>
      <c r="AN30" s="207"/>
      <c r="AO30" s="182"/>
      <c r="AP30" s="172"/>
      <c r="AQ30" s="202"/>
      <c r="AR30" s="174"/>
      <c r="AS30" s="175"/>
      <c r="AT30" s="176"/>
      <c r="AU30" s="177"/>
      <c r="AV30" s="178"/>
      <c r="AW30" s="4"/>
      <c r="AX30" s="198" t="s">
        <v>160</v>
      </c>
      <c r="AY30" s="199"/>
      <c r="AZ30" s="200"/>
      <c r="BA30" s="167" t="s">
        <v>96</v>
      </c>
      <c r="BB30" s="168"/>
      <c r="BC30" s="180"/>
      <c r="BD30" s="181" t="s">
        <v>168</v>
      </c>
      <c r="BE30" s="171">
        <v>2</v>
      </c>
      <c r="BF30" s="172">
        <f t="shared" si="7"/>
        <v>2</v>
      </c>
      <c r="BG30" s="183"/>
      <c r="BH30" s="184"/>
      <c r="BI30" s="185"/>
      <c r="BJ30" s="186"/>
      <c r="BK30" s="187"/>
      <c r="BL30" s="188"/>
      <c r="BM30" s="4"/>
      <c r="BN30" s="198" t="s">
        <v>154</v>
      </c>
      <c r="BO30" s="199"/>
      <c r="BP30" s="200"/>
      <c r="BQ30" s="167" t="s">
        <v>106</v>
      </c>
      <c r="BR30" s="168"/>
      <c r="BS30" s="180"/>
      <c r="BT30" s="181" t="s">
        <v>166</v>
      </c>
      <c r="BU30" s="171">
        <v>2</v>
      </c>
      <c r="BV30" s="172">
        <f t="shared" si="8"/>
        <v>2</v>
      </c>
      <c r="BW30" s="183"/>
      <c r="BX30" s="184" t="s">
        <v>107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1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/>
      <c r="AM31" s="201"/>
      <c r="AN31" s="207"/>
      <c r="AO31" s="171"/>
      <c r="AP31" s="172"/>
      <c r="AQ31" s="202"/>
      <c r="AR31" s="174"/>
      <c r="AS31" s="175"/>
      <c r="AT31" s="176"/>
      <c r="AU31" s="177"/>
      <c r="AV31" s="178"/>
      <c r="AW31" s="4"/>
      <c r="AX31" s="198" t="s">
        <v>161</v>
      </c>
      <c r="AY31" s="199"/>
      <c r="AZ31" s="200"/>
      <c r="BA31" s="167" t="s">
        <v>100</v>
      </c>
      <c r="BB31" s="168"/>
      <c r="BC31" s="180"/>
      <c r="BD31" s="181" t="s">
        <v>168</v>
      </c>
      <c r="BE31" s="171">
        <f>((W-41)+(H-76))*2/1000</f>
        <v>5.766</v>
      </c>
      <c r="BF31" s="172">
        <f t="shared" si="7"/>
        <v>5.766</v>
      </c>
      <c r="BG31" s="183" t="s">
        <v>101</v>
      </c>
      <c r="BH31" s="184"/>
      <c r="BI31" s="185"/>
      <c r="BJ31" s="186"/>
      <c r="BK31" s="187"/>
      <c r="BL31" s="188"/>
      <c r="BM31" s="4"/>
      <c r="BN31" s="198" t="s">
        <v>154</v>
      </c>
      <c r="BO31" s="199"/>
      <c r="BP31" s="200"/>
      <c r="BQ31" s="167" t="s">
        <v>110</v>
      </c>
      <c r="BR31" s="168"/>
      <c r="BS31" s="180"/>
      <c r="BT31" s="181" t="s">
        <v>166</v>
      </c>
      <c r="BU31" s="171">
        <v>8</v>
      </c>
      <c r="BV31" s="172">
        <f t="shared" si="8"/>
        <v>8</v>
      </c>
      <c r="BW31" s="183"/>
      <c r="BX31" s="184" t="s">
        <v>178</v>
      </c>
      <c r="BY31" s="185"/>
      <c r="BZ31" s="186"/>
      <c r="CA31" s="187"/>
      <c r="CB31" s="188" t="s">
        <v>111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/>
      <c r="AM32" s="201"/>
      <c r="AN32" s="207"/>
      <c r="AO32" s="171"/>
      <c r="AP32" s="172"/>
      <c r="AQ32" s="209"/>
      <c r="AR32" s="174"/>
      <c r="AS32" s="175"/>
      <c r="AT32" s="176"/>
      <c r="AU32" s="177"/>
      <c r="AV32" s="178"/>
      <c r="AW32" s="4"/>
      <c r="AX32" s="198" t="s">
        <v>161</v>
      </c>
      <c r="AY32" s="199"/>
      <c r="AZ32" s="200"/>
      <c r="BA32" s="167" t="s">
        <v>104</v>
      </c>
      <c r="BB32" s="168"/>
      <c r="BC32" s="180"/>
      <c r="BD32" s="181" t="s">
        <v>168</v>
      </c>
      <c r="BE32" s="171">
        <f>(W-41)/1000</f>
        <v>0.95899999999999996</v>
      </c>
      <c r="BF32" s="172">
        <f t="shared" si="7"/>
        <v>0.95899999999999996</v>
      </c>
      <c r="BG32" s="183" t="s">
        <v>101</v>
      </c>
      <c r="BH32" s="184"/>
      <c r="BI32" s="185"/>
      <c r="BJ32" s="186"/>
      <c r="BK32" s="187"/>
      <c r="BL32" s="188"/>
      <c r="BM32" s="4"/>
      <c r="BN32" s="198" t="s">
        <v>154</v>
      </c>
      <c r="BO32" s="199"/>
      <c r="BP32" s="200"/>
      <c r="BQ32" s="167" t="s">
        <v>163</v>
      </c>
      <c r="BR32" s="168"/>
      <c r="BS32" s="180"/>
      <c r="BT32" s="181" t="s">
        <v>166</v>
      </c>
      <c r="BU32" s="171">
        <f>IF(HS.1&gt;950,2,0)</f>
        <v>2</v>
      </c>
      <c r="BV32" s="172">
        <f t="shared" si="8"/>
        <v>2</v>
      </c>
      <c r="BW32" s="183"/>
      <c r="BX32" s="184" t="s">
        <v>169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198"/>
      <c r="AI33" s="199"/>
      <c r="AJ33" s="203"/>
      <c r="AK33" s="167"/>
      <c r="AL33" s="168"/>
      <c r="AM33" s="201"/>
      <c r="AN33" s="170"/>
      <c r="AO33" s="171"/>
      <c r="AP33" s="172"/>
      <c r="AQ33" s="209"/>
      <c r="AR33" s="174"/>
      <c r="AS33" s="175"/>
      <c r="AT33" s="211"/>
      <c r="AU33" s="177"/>
      <c r="AV33" s="178"/>
      <c r="AW33" s="4"/>
      <c r="AX33" s="198" t="s">
        <v>162</v>
      </c>
      <c r="AY33" s="199"/>
      <c r="AZ33" s="200"/>
      <c r="BA33" s="167" t="s">
        <v>165</v>
      </c>
      <c r="BB33" s="168"/>
      <c r="BC33" s="180"/>
      <c r="BD33" s="181" t="s">
        <v>166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175</v>
      </c>
      <c r="BO33" s="199"/>
      <c r="BP33" s="200"/>
      <c r="BQ33" s="167" t="str">
        <f>IF(GTH=5,"9K-20523",IF(GTH=6,"2K-22973",""))</f>
        <v>9K-20523</v>
      </c>
      <c r="BR33" s="168"/>
      <c r="BS33" s="180"/>
      <c r="BT33" s="181" t="s">
        <v>168</v>
      </c>
      <c r="BU33" s="171">
        <f>((2*WS.1)+(2*HS.1)-216)/1000</f>
        <v>5.58</v>
      </c>
      <c r="BV33" s="172">
        <f t="shared" si="8"/>
        <v>5.58</v>
      </c>
      <c r="BW33" s="212" t="s">
        <v>101</v>
      </c>
      <c r="BX33" s="184" t="s">
        <v>179</v>
      </c>
      <c r="BY33" s="185"/>
      <c r="BZ33" s="186"/>
      <c r="CA33" s="187"/>
      <c r="CB33" s="188" t="s">
        <v>111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198"/>
      <c r="AI34" s="199"/>
      <c r="AJ34" s="203"/>
      <c r="AK34" s="167"/>
      <c r="AL34" s="168"/>
      <c r="AM34" s="201"/>
      <c r="AN34" s="170"/>
      <c r="AO34" s="171"/>
      <c r="AP34" s="172"/>
      <c r="AQ34" s="209"/>
      <c r="AR34" s="174"/>
      <c r="AS34" s="175"/>
      <c r="AT34" s="211"/>
      <c r="AU34" s="177"/>
      <c r="AV34" s="178"/>
      <c r="AW34" s="4"/>
      <c r="AX34" s="198" t="s">
        <v>154</v>
      </c>
      <c r="AY34" s="199"/>
      <c r="AZ34" s="200"/>
      <c r="BA34" s="167" t="s">
        <v>108</v>
      </c>
      <c r="BB34" s="168"/>
      <c r="BC34" s="180"/>
      <c r="BD34" s="181" t="s">
        <v>166</v>
      </c>
      <c r="BE34" s="171">
        <f>IF(W&lt;=500,6,IF(W&lt;=700,10,IF(W&lt;=1000,12,12)))</f>
        <v>12</v>
      </c>
      <c r="BF34" s="172">
        <f t="shared" si="7"/>
        <v>12</v>
      </c>
      <c r="BG34" s="212"/>
      <c r="BH34" s="184" t="s">
        <v>109</v>
      </c>
      <c r="BI34" s="185"/>
      <c r="BJ34" s="186"/>
      <c r="BK34" s="187"/>
      <c r="BL34" s="188"/>
      <c r="BM34" s="4"/>
      <c r="BN34" s="198" t="str">
        <f t="shared" ref="BN22:BN60" si="10">IF(BQ34&gt;"",VLOOKUP(BQ34,PART_NAMA,3,FALSE),"")</f>
        <v/>
      </c>
      <c r="BO34" s="199"/>
      <c r="BP34" s="200"/>
      <c r="BQ34" s="167"/>
      <c r="BR34" s="168"/>
      <c r="BS34" s="180"/>
      <c r="BT34" s="181" t="str">
        <f t="shared" ref="BT22:BT57" si="11">IF(BQ34&gt;"",VLOOKUP(BQ34&amp;$M$10,PART_MASTER,3,FALSE),"")</f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ref="AX22:AX60" si="12">IF(BA35&gt;"",VLOOKUP(BA35,PART_NAMA,3,FALSE),"")</f>
        <v/>
      </c>
      <c r="AY35" s="199"/>
      <c r="AZ35" s="200"/>
      <c r="BA35" s="167"/>
      <c r="BB35" s="168"/>
      <c r="BC35" s="180"/>
      <c r="BD35" s="181" t="str">
        <f t="shared" ref="BD22:BD60" si="13">IF(BA35&gt;"",VLOOKUP(BA35&amp;$M$10,PART_MASTER,3,FALSE),"")</f>
        <v/>
      </c>
      <c r="BE35" s="171"/>
      <c r="BF35" s="172" t="str">
        <f t="shared" si="7"/>
        <v/>
      </c>
      <c r="BG35" s="212"/>
      <c r="BH35" s="184"/>
      <c r="BI35" s="185"/>
      <c r="BJ35" s="186"/>
      <c r="BK35" s="187"/>
      <c r="BL35" s="188"/>
      <c r="BM35" s="4"/>
      <c r="BN35" s="198" t="str">
        <f t="shared" si="10"/>
        <v/>
      </c>
      <c r="BO35" s="199"/>
      <c r="BP35" s="200"/>
      <c r="BQ35" s="167"/>
      <c r="BR35" s="168"/>
      <c r="BS35" s="180"/>
      <c r="BT35" s="181" t="str">
        <f t="shared" si="11"/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204"/>
      <c r="BB36" s="168"/>
      <c r="BC36" s="180"/>
      <c r="BD36" s="181"/>
      <c r="BE36" s="171"/>
      <c r="BF36" s="172"/>
      <c r="BG36" s="183"/>
      <c r="BH36" s="184"/>
      <c r="BI36" s="185"/>
      <c r="BJ36" s="186"/>
      <c r="BK36" s="205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183"/>
      <c r="BH37" s="184"/>
      <c r="BI37" s="185"/>
      <c r="BJ37" s="186"/>
      <c r="BK37" s="205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2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115</v>
      </c>
      <c r="C41" s="224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5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212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3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116</v>
      </c>
      <c r="C43" s="239"/>
      <c r="D43" s="239"/>
      <c r="E43" s="239"/>
      <c r="F43" s="240"/>
      <c r="G43" s="241"/>
      <c r="H43" s="242"/>
      <c r="I43" s="232"/>
      <c r="J43" s="243" t="s">
        <v>117</v>
      </c>
      <c r="K43" s="243"/>
      <c r="L43" s="244"/>
      <c r="M43" s="245"/>
      <c r="N43" s="246"/>
      <c r="O43" s="247"/>
      <c r="P43" s="248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118</v>
      </c>
      <c r="C44" s="333" t="s">
        <v>119</v>
      </c>
      <c r="D44" s="334"/>
      <c r="E44" s="335"/>
      <c r="F44" s="333" t="s">
        <v>120</v>
      </c>
      <c r="G44" s="334"/>
      <c r="H44" s="335"/>
      <c r="I44" s="251"/>
      <c r="J44" s="252" t="s">
        <v>118</v>
      </c>
      <c r="K44" s="333" t="s">
        <v>119</v>
      </c>
      <c r="L44" s="334"/>
      <c r="M44" s="334"/>
      <c r="N44" s="335"/>
      <c r="O44" s="252" t="s">
        <v>121</v>
      </c>
      <c r="P44" s="253" t="s">
        <v>118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122</v>
      </c>
      <c r="D45" s="256"/>
      <c r="E45" s="256"/>
      <c r="F45" s="257"/>
      <c r="G45" s="258"/>
      <c r="H45" s="259"/>
      <c r="I45" s="260"/>
      <c r="J45" s="261">
        <v>1</v>
      </c>
      <c r="K45" s="262" t="s">
        <v>123</v>
      </c>
      <c r="L45" s="258"/>
      <c r="M45" s="258"/>
      <c r="N45" s="263"/>
      <c r="O45" s="264"/>
      <c r="P45" s="265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124</v>
      </c>
      <c r="D46" s="258"/>
      <c r="E46" s="258"/>
      <c r="F46" s="262"/>
      <c r="G46" s="258"/>
      <c r="H46" s="259"/>
      <c r="I46" s="260"/>
      <c r="J46" s="261">
        <v>2</v>
      </c>
      <c r="K46" s="262" t="s">
        <v>125</v>
      </c>
      <c r="L46" s="258"/>
      <c r="M46" s="258"/>
      <c r="N46" s="263"/>
      <c r="O46" s="264"/>
      <c r="P46" s="265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126</v>
      </c>
      <c r="D47" s="258"/>
      <c r="E47" s="258"/>
      <c r="F47" s="262"/>
      <c r="G47" s="258"/>
      <c r="H47" s="259"/>
      <c r="I47" s="266"/>
      <c r="J47" s="261">
        <v>3</v>
      </c>
      <c r="K47" s="262" t="s">
        <v>127</v>
      </c>
      <c r="L47" s="258"/>
      <c r="M47" s="258"/>
      <c r="N47" s="263"/>
      <c r="O47" s="264"/>
      <c r="P47" s="265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212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128</v>
      </c>
      <c r="D48" s="258"/>
      <c r="E48" s="258"/>
      <c r="F48" s="262"/>
      <c r="G48" s="258"/>
      <c r="H48" s="259"/>
      <c r="I48" s="266"/>
      <c r="J48" s="261">
        <v>4</v>
      </c>
      <c r="K48" s="262" t="s">
        <v>129</v>
      </c>
      <c r="L48" s="258"/>
      <c r="M48" s="258"/>
      <c r="N48" s="263"/>
      <c r="O48" s="264"/>
      <c r="P48" s="265"/>
      <c r="Q48" s="4"/>
      <c r="R48" s="267" t="s">
        <v>77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130</v>
      </c>
      <c r="AD48" s="271"/>
      <c r="AE48" s="272" t="s">
        <v>131</v>
      </c>
      <c r="AF48" s="273">
        <f>SUM(AF22:AF47)</f>
        <v>3.3355559999999995</v>
      </c>
      <c r="AG48" s="4"/>
      <c r="AH48" s="267" t="s">
        <v>77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130</v>
      </c>
      <c r="AT48" s="271"/>
      <c r="AU48" s="272" t="s">
        <v>131</v>
      </c>
      <c r="AV48" s="273">
        <f>SUM(AV22:AV47)</f>
        <v>4.4885220000000006</v>
      </c>
      <c r="AW48" s="4"/>
      <c r="AX48" s="198" t="str">
        <f t="shared" si="12"/>
        <v/>
      </c>
      <c r="AY48" s="199"/>
      <c r="AZ48" s="200"/>
      <c r="BA48" s="167"/>
      <c r="BB48" s="168"/>
      <c r="BC48" s="180"/>
      <c r="BD48" s="181" t="str">
        <f t="shared" si="13"/>
        <v/>
      </c>
      <c r="BE48" s="182"/>
      <c r="BF48" s="172" t="str">
        <f t="shared" si="7"/>
        <v/>
      </c>
      <c r="BG48" s="183"/>
      <c r="BH48" s="249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49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132</v>
      </c>
      <c r="D49" s="258"/>
      <c r="E49" s="258"/>
      <c r="F49" s="262"/>
      <c r="G49" s="258"/>
      <c r="H49" s="259"/>
      <c r="I49" s="266"/>
      <c r="J49" s="261">
        <v>5</v>
      </c>
      <c r="K49" s="262" t="s">
        <v>133</v>
      </c>
      <c r="L49" s="258"/>
      <c r="M49" s="258"/>
      <c r="N49" s="263"/>
      <c r="O49" s="264"/>
      <c r="P49" s="265"/>
      <c r="Q49" s="4"/>
      <c r="R49" s="274" t="s">
        <v>134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135</v>
      </c>
      <c r="AE49" s="278" t="s">
        <v>136</v>
      </c>
      <c r="AF49" s="279">
        <f>AF48*0.986</f>
        <v>3.2888582159999995</v>
      </c>
      <c r="AG49" s="4"/>
      <c r="AH49" s="274" t="s">
        <v>134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135</v>
      </c>
      <c r="AU49" s="278" t="s">
        <v>136</v>
      </c>
      <c r="AV49" s="279">
        <f>AV48*0.986</f>
        <v>4.4256826920000005</v>
      </c>
      <c r="AW49" s="4"/>
      <c r="AX49" s="198" t="str">
        <f t="shared" si="12"/>
        <v/>
      </c>
      <c r="AY49" s="199"/>
      <c r="AZ49" s="200"/>
      <c r="BA49" s="167"/>
      <c r="BB49" s="168"/>
      <c r="BC49" s="180"/>
      <c r="BD49" s="181" t="str">
        <f t="shared" si="13"/>
        <v/>
      </c>
      <c r="BE49" s="182"/>
      <c r="BF49" s="172" t="str">
        <f t="shared" si="7"/>
        <v/>
      </c>
      <c r="BG49" s="183"/>
      <c r="BH49" s="249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49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137</v>
      </c>
      <c r="D50" s="258"/>
      <c r="E50" s="258"/>
      <c r="F50" s="262"/>
      <c r="G50" s="258"/>
      <c r="H50" s="259"/>
      <c r="I50" s="266"/>
      <c r="J50" s="261">
        <v>6</v>
      </c>
      <c r="K50" s="262" t="s">
        <v>138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139</v>
      </c>
      <c r="AF50" s="279">
        <f>AF48*0.974*0.986</f>
        <v>3.2033479023839995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139</v>
      </c>
      <c r="AV50" s="279">
        <f>AV48*0.974*0.986</f>
        <v>4.3106149420080007</v>
      </c>
      <c r="AW50" s="4"/>
      <c r="AX50" s="198" t="str">
        <f t="shared" si="12"/>
        <v/>
      </c>
      <c r="AY50" s="199"/>
      <c r="AZ50" s="200"/>
      <c r="BA50" s="167"/>
      <c r="BB50" s="168"/>
      <c r="BC50" s="180"/>
      <c r="BD50" s="181" t="str">
        <f t="shared" si="13"/>
        <v/>
      </c>
      <c r="BE50" s="182"/>
      <c r="BF50" s="172" t="str">
        <f t="shared" si="7"/>
        <v/>
      </c>
      <c r="BG50" s="183"/>
      <c r="BH50" s="249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49"/>
      <c r="BY50" s="185"/>
      <c r="BZ50" s="186"/>
      <c r="CA50" s="187"/>
      <c r="CB50" s="188"/>
      <c r="CG50" s="3"/>
    </row>
    <row r="51" spans="2:120" ht="15" customHeight="1" x14ac:dyDescent="0.25">
      <c r="B51" s="254">
        <v>7</v>
      </c>
      <c r="C51" s="255" t="s">
        <v>140</v>
      </c>
      <c r="D51" s="258"/>
      <c r="E51" s="258"/>
      <c r="F51" s="262"/>
      <c r="G51" s="258"/>
      <c r="H51" s="259"/>
      <c r="I51" s="266"/>
      <c r="J51" s="261">
        <v>7</v>
      </c>
      <c r="K51" s="262" t="s">
        <v>141</v>
      </c>
      <c r="L51" s="258"/>
      <c r="M51" s="258"/>
      <c r="N51" s="263"/>
      <c r="O51" s="264"/>
      <c r="P51" s="265"/>
      <c r="Q51" s="4"/>
      <c r="R51" s="280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2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2"/>
      <c r="AW51" s="4"/>
      <c r="AX51" s="198" t="str">
        <f t="shared" si="12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3" t="s">
        <v>142</v>
      </c>
      <c r="C52" s="284"/>
      <c r="D52" s="285"/>
      <c r="E52" s="285"/>
      <c r="F52" s="285"/>
      <c r="G52" s="285"/>
      <c r="H52" s="285"/>
      <c r="I52" s="266"/>
      <c r="J52" s="261">
        <v>8</v>
      </c>
      <c r="K52" s="262" t="s">
        <v>143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2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2"/>
      <c r="AW52" s="4"/>
      <c r="AX52" s="198" t="str">
        <f t="shared" si="12"/>
        <v/>
      </c>
      <c r="AY52" s="199"/>
      <c r="AZ52" s="200"/>
      <c r="BA52" s="286"/>
      <c r="BB52" s="168"/>
      <c r="BC52" s="180"/>
      <c r="BD52" s="181" t="str">
        <f t="shared" si="13"/>
        <v/>
      </c>
      <c r="BE52" s="182"/>
      <c r="BF52" s="172" t="str">
        <f t="shared" si="7"/>
        <v/>
      </c>
      <c r="BG52" s="212"/>
      <c r="BH52" s="249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6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49"/>
      <c r="BY52" s="185"/>
      <c r="BZ52" s="186"/>
      <c r="CA52" s="187"/>
      <c r="CB52" s="188"/>
      <c r="CG52" s="3"/>
    </row>
    <row r="53" spans="2:120" ht="15" customHeight="1" x14ac:dyDescent="0.25">
      <c r="B53" s="287" t="s">
        <v>144</v>
      </c>
      <c r="C53" s="266"/>
      <c r="D53" s="266"/>
      <c r="E53" s="266"/>
      <c r="F53" s="266"/>
      <c r="G53" s="266"/>
      <c r="H53" s="266"/>
      <c r="I53" s="266"/>
      <c r="J53" s="288"/>
      <c r="K53" s="289"/>
      <c r="L53" s="289"/>
      <c r="M53" s="289"/>
      <c r="N53" s="290"/>
      <c r="O53" s="291"/>
      <c r="P53" s="292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2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2"/>
      <c r="AW53" s="4"/>
      <c r="AX53" s="198" t="str">
        <f t="shared" si="12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3" t="s">
        <v>145</v>
      </c>
      <c r="C54" s="266"/>
      <c r="D54" s="266"/>
      <c r="E54" s="266"/>
      <c r="F54" s="266"/>
      <c r="G54" s="266"/>
      <c r="H54" s="266"/>
      <c r="I54" s="266"/>
      <c r="J54" s="294"/>
      <c r="K54" s="295"/>
      <c r="L54" s="295"/>
      <c r="M54" s="295"/>
      <c r="N54" s="296"/>
      <c r="O54" s="297"/>
      <c r="P54" s="298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2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2"/>
      <c r="AW54" s="4"/>
      <c r="AX54" s="198" t="str">
        <f t="shared" si="12"/>
        <v/>
      </c>
      <c r="AY54" s="199"/>
      <c r="AZ54" s="200"/>
      <c r="BA54" s="286"/>
      <c r="BB54" s="168"/>
      <c r="BC54" s="180"/>
      <c r="BD54" s="181" t="str">
        <f t="shared" si="13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6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3" t="s">
        <v>146</v>
      </c>
      <c r="C55" s="266"/>
      <c r="D55" s="266"/>
      <c r="E55" s="266"/>
      <c r="F55" s="266"/>
      <c r="G55" s="266"/>
      <c r="H55" s="266"/>
      <c r="I55" s="266"/>
      <c r="J55" s="299" t="s">
        <v>147</v>
      </c>
      <c r="K55" s="291"/>
      <c r="L55" s="285"/>
      <c r="M55" s="285"/>
      <c r="N55" s="300"/>
      <c r="O55" s="258"/>
      <c r="P55" s="301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2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2"/>
      <c r="AW55" s="4"/>
      <c r="AX55" s="198" t="str">
        <f t="shared" si="12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2"/>
      <c r="C56" s="266"/>
      <c r="D56" s="266"/>
      <c r="E56" s="266"/>
      <c r="F56" s="266"/>
      <c r="G56" s="266"/>
      <c r="H56" s="266"/>
      <c r="I56" s="266"/>
      <c r="J56" s="303" t="s">
        <v>148</v>
      </c>
      <c r="K56" s="304"/>
      <c r="L56" s="304"/>
      <c r="M56" s="304"/>
      <c r="N56" s="305"/>
      <c r="O56" s="306" t="s">
        <v>149</v>
      </c>
      <c r="P56" s="307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2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2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8"/>
      <c r="C57" s="309"/>
      <c r="D57" s="309"/>
      <c r="E57" s="309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0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2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2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8"/>
      <c r="C58" s="309"/>
      <c r="D58" s="309"/>
      <c r="E58" s="309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0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2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2"/>
      <c r="AW58" s="4"/>
      <c r="AX58" s="213" t="str">
        <f t="shared" si="12"/>
        <v/>
      </c>
      <c r="AY58" s="199"/>
      <c r="AZ58" s="200"/>
      <c r="BA58" s="286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49"/>
      <c r="BI58" s="185"/>
      <c r="BJ58" s="186"/>
      <c r="BK58" s="205"/>
      <c r="BL58" s="311"/>
      <c r="BM58" s="4"/>
      <c r="BN58" s="213" t="str">
        <f t="shared" si="10"/>
        <v/>
      </c>
      <c r="BO58" s="199"/>
      <c r="BP58" s="200"/>
      <c r="BQ58" s="286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49"/>
      <c r="BY58" s="185"/>
      <c r="BZ58" s="186"/>
      <c r="CA58" s="205"/>
      <c r="CB58" s="311"/>
      <c r="CG58" s="3"/>
    </row>
    <row r="59" spans="2:120" ht="15" customHeight="1" x14ac:dyDescent="0.25">
      <c r="B59" s="308"/>
      <c r="C59" s="309"/>
      <c r="D59" s="309"/>
      <c r="E59" s="309"/>
      <c r="F59" s="309"/>
      <c r="G59" s="309"/>
      <c r="H59" s="309"/>
      <c r="I59" s="266"/>
      <c r="J59" s="266"/>
      <c r="K59" s="266"/>
      <c r="L59" s="312"/>
      <c r="M59" s="312"/>
      <c r="N59" s="312"/>
      <c r="O59" s="312"/>
      <c r="P59" s="310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2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2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49"/>
      <c r="BI59" s="185"/>
      <c r="BJ59" s="186"/>
      <c r="BK59" s="205"/>
      <c r="BL59" s="311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49"/>
      <c r="BY59" s="185"/>
      <c r="BZ59" s="186"/>
      <c r="CA59" s="205"/>
      <c r="CB59" s="311"/>
    </row>
    <row r="60" spans="2:120" ht="15" customHeight="1" thickBot="1" x14ac:dyDescent="0.3">
      <c r="B60" s="313"/>
      <c r="C60" s="314"/>
      <c r="D60" s="314"/>
      <c r="E60" s="314"/>
      <c r="F60" s="314"/>
      <c r="G60" s="314"/>
      <c r="H60" s="314"/>
      <c r="I60" s="314"/>
      <c r="J60" s="314"/>
      <c r="K60" s="314"/>
      <c r="L60" s="314" t="s">
        <v>150</v>
      </c>
      <c r="M60" s="314"/>
      <c r="N60" s="314"/>
      <c r="O60" s="314"/>
      <c r="P60" s="315"/>
      <c r="Q60" s="4"/>
      <c r="R60" s="316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8"/>
      <c r="AG60" s="4"/>
      <c r="AH60" s="316"/>
      <c r="AI60" s="317"/>
      <c r="AJ60" s="317"/>
      <c r="AK60" s="317"/>
      <c r="AL60" s="317"/>
      <c r="AM60" s="317"/>
      <c r="AN60" s="317"/>
      <c r="AO60" s="317"/>
      <c r="AP60" s="317"/>
      <c r="AQ60" s="317"/>
      <c r="AR60" s="317"/>
      <c r="AS60" s="317"/>
      <c r="AT60" s="317"/>
      <c r="AU60" s="317"/>
      <c r="AV60" s="318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49"/>
      <c r="BI60" s="185"/>
      <c r="BJ60" s="186"/>
      <c r="BK60" s="205"/>
      <c r="BL60" s="311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49"/>
      <c r="BY60" s="185"/>
      <c r="BZ60" s="186"/>
      <c r="CA60" s="205"/>
      <c r="CB60" s="311"/>
      <c r="CG60" s="3"/>
    </row>
    <row r="61" spans="2:120" ht="15" customHeight="1" x14ac:dyDescent="0.3">
      <c r="P61" s="319" t="s">
        <v>151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19" t="s">
        <v>151</v>
      </c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319" t="s">
        <v>151</v>
      </c>
      <c r="AX61" s="320"/>
      <c r="AY61" s="320"/>
      <c r="AZ61" s="320"/>
      <c r="BA61" s="320"/>
      <c r="BB61" s="320"/>
      <c r="BC61" s="320"/>
      <c r="BD61" s="320"/>
      <c r="BE61" s="320"/>
      <c r="BF61" s="320"/>
      <c r="BG61" s="320"/>
      <c r="BH61" s="320"/>
      <c r="BI61" s="320"/>
      <c r="BJ61" s="320"/>
      <c r="BK61" s="320"/>
      <c r="BL61" s="319" t="s">
        <v>151</v>
      </c>
      <c r="BN61" s="320"/>
      <c r="BO61" s="320"/>
      <c r="BP61" s="320"/>
      <c r="BQ61" s="320"/>
      <c r="BR61" s="320"/>
      <c r="BS61" s="320"/>
      <c r="BT61" s="320"/>
      <c r="BU61" s="320"/>
      <c r="BV61" s="320"/>
      <c r="BW61" s="320"/>
      <c r="BX61" s="320"/>
      <c r="BY61" s="320"/>
      <c r="BZ61" s="320"/>
      <c r="CA61" s="320"/>
      <c r="CB61" s="319" t="s">
        <v>151</v>
      </c>
    </row>
    <row r="63" spans="2:120" x14ac:dyDescent="0.25">
      <c r="BT63" s="321"/>
    </row>
    <row r="64" spans="2:120" x14ac:dyDescent="0.25">
      <c r="BT64" s="321"/>
    </row>
    <row r="65" spans="72:72" x14ac:dyDescent="0.25">
      <c r="BT65" s="321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</vt:lpstr>
      <vt:lpstr>'CAR-KD'!A.</vt:lpstr>
      <vt:lpstr>'CAR-KD'!C.</vt:lpstr>
      <vt:lpstr>'CAR-KD'!F.</vt:lpstr>
      <vt:lpstr>'CAR-KD'!GCS</vt:lpstr>
      <vt:lpstr>'CAR-KD'!GTH</vt:lpstr>
      <vt:lpstr>'CAR-KD'!H</vt:lpstr>
      <vt:lpstr>'CAR-KD'!h.1</vt:lpstr>
      <vt:lpstr>'CAR-KD'!h.10</vt:lpstr>
      <vt:lpstr>'CAR-KD'!h.2</vt:lpstr>
      <vt:lpstr>'CAR-KD'!h.3</vt:lpstr>
      <vt:lpstr>'CAR-KD'!h.4</vt:lpstr>
      <vt:lpstr>'CAR-KD'!h.5</vt:lpstr>
      <vt:lpstr>'CAR-KD'!h.6</vt:lpstr>
      <vt:lpstr>'CAR-KD'!h.7</vt:lpstr>
      <vt:lpstr>'CAR-KD'!h.8</vt:lpstr>
      <vt:lpstr>'CAR-KD'!h.9</vt:lpstr>
      <vt:lpstr>'CAR-KD'!HS</vt:lpstr>
      <vt:lpstr>'CAR-KD'!HS.1</vt:lpstr>
      <vt:lpstr>'CAR-KD'!HS.2</vt:lpstr>
      <vt:lpstr>'CAR-KD'!HS.3</vt:lpstr>
      <vt:lpstr>'CAR-KD'!HS.4</vt:lpstr>
      <vt:lpstr>'CAR-KD'!HS.5</vt:lpstr>
      <vt:lpstr>'CAR-KD'!Print_Area</vt:lpstr>
      <vt:lpstr>'CAR-KD'!Q</vt:lpstr>
      <vt:lpstr>'CAR-KD'!R.</vt:lpstr>
      <vt:lpstr>'CAR-KD'!W</vt:lpstr>
      <vt:lpstr>'CAR-KD'!w.1</vt:lpstr>
      <vt:lpstr>'CAR-KD'!w.10</vt:lpstr>
      <vt:lpstr>'CAR-KD'!w.2</vt:lpstr>
      <vt:lpstr>'CAR-KD'!w.3</vt:lpstr>
      <vt:lpstr>'CAR-KD'!w.4</vt:lpstr>
      <vt:lpstr>'CAR-KD'!w.5</vt:lpstr>
      <vt:lpstr>'CAR-KD'!w.6</vt:lpstr>
      <vt:lpstr>'CAR-KD'!w.7</vt:lpstr>
      <vt:lpstr>'CAR-KD'!w.8</vt:lpstr>
      <vt:lpstr>'CAR-KD'!w.9</vt:lpstr>
      <vt:lpstr>'CAR-KD'!WS</vt:lpstr>
      <vt:lpstr>'CAR-KD'!WS.1</vt:lpstr>
      <vt:lpstr>'CAR-KD'!WS.2</vt:lpstr>
      <vt:lpstr>'CAR-KD'!WS.3</vt:lpstr>
      <vt:lpstr>'CAR-KD'!WS.4</vt:lpstr>
      <vt:lpstr>'CAR-KD'!WS.5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2024-07-30T03:40:54Z</dcterms:created>
  <dcterms:modified xsi:type="dcterms:W3CDTF">2024-08-19T06:20:30Z</dcterms:modified>
</cp:coreProperties>
</file>