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A688687E-5CD6-4AE6-8D9D-08130ACD69DE}" xr6:coauthVersionLast="47" xr6:coauthVersionMax="47" xr10:uidLastSave="{00000000-0000-0000-0000-000000000000}"/>
  <bookViews>
    <workbookView xWindow="-108" yWindow="-108" windowWidth="23256" windowHeight="12456" xr2:uid="{B9FAD468-D2F1-4F39-B253-279019DE5D14}"/>
  </bookViews>
  <sheets>
    <sheet name="FIX_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'FIX_CAR-KD'!$P$18</definedName>
    <definedName name="BD">"BD"</definedName>
    <definedName name="C." localSheetId="0">'FIX_CAR-KD'!$P$17</definedName>
    <definedName name="F." localSheetId="0">'FIX_CAR-KD'!$P$16</definedName>
    <definedName name="GCS" localSheetId="0">'FIX_CAR-KD'!$O$12</definedName>
    <definedName name="GTH" localSheetId="0">'FIX_CAR-KD'!$O$11</definedName>
    <definedName name="H" localSheetId="0">'FIX_CAR-KD'!$E$12</definedName>
    <definedName name="h.1" localSheetId="0">'FIX_CAR-KD'!$C$14</definedName>
    <definedName name="h.10" localSheetId="0">'FIX_CAR-KD'!$E$18</definedName>
    <definedName name="h.2" localSheetId="0">'FIX_CAR-KD'!$C$15</definedName>
    <definedName name="h.3" localSheetId="0">'FIX_CAR-KD'!$C$16</definedName>
    <definedName name="h.4" localSheetId="0">'FIX_CAR-KD'!$C$17</definedName>
    <definedName name="h.5" localSheetId="0">'FIX_CAR-KD'!$C$18</definedName>
    <definedName name="h.6" localSheetId="0">'FIX_CAR-KD'!$E$14</definedName>
    <definedName name="h.7" localSheetId="0">'FIX_CAR-KD'!$E$15</definedName>
    <definedName name="h.8" localSheetId="0">'FIX_CAR-KD'!$E$16</definedName>
    <definedName name="h.9" localSheetId="0">'FIX_CAR-KD'!$E$17</definedName>
    <definedName name="HS" localSheetId="0">'FIX_CAR-KD'!$H$12</definedName>
    <definedName name="HS.1" localSheetId="0">'FIX_CAR-KD'!$L$14</definedName>
    <definedName name="HS.2" localSheetId="0">'FIX_CAR-KD'!$L$15</definedName>
    <definedName name="HS.3" localSheetId="0">'FIX_CAR-KD'!$L$16</definedName>
    <definedName name="HS.4" localSheetId="0">'FIX_CAR-KD'!$L$17</definedName>
    <definedName name="HS.5" localSheetId="0">'FIX_CAR-KD'!$L$18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'FIX_CAR-KD'!$U$40</definedName>
    <definedName name="Q" localSheetId="0">'FIX_CAR-KD'!$I$11</definedName>
    <definedName name="R." localSheetId="0">'FIX_CAR-KD'!$C$62</definedName>
    <definedName name="st" hidden="1">[6]Gra_Ord_In_2000!$BA$12:$BA$1655</definedName>
    <definedName name="W" localSheetId="0">'FIX_CAR-KD'!$E$11</definedName>
    <definedName name="w.1" localSheetId="0">'FIX_CAR-KD'!$H$14</definedName>
    <definedName name="w.10" localSheetId="0">'FIX_CAR-KD'!$J$18</definedName>
    <definedName name="w.2" localSheetId="0">'FIX_CAR-KD'!$H$15</definedName>
    <definedName name="w.3" localSheetId="0">'FIX_CAR-KD'!$H$16</definedName>
    <definedName name="w.4" localSheetId="0">'FIX_CAR-KD'!$H$17</definedName>
    <definedName name="w.5" localSheetId="0">'FIX_CAR-KD'!$H$18</definedName>
    <definedName name="w.6" localSheetId="0">'FIX_CAR-KD'!$J$14</definedName>
    <definedName name="w.7" localSheetId="0">'FIX_CAR-KD'!$J$15</definedName>
    <definedName name="w.8" localSheetId="0">'FIX_CAR-KD'!$J$16</definedName>
    <definedName name="w.9" localSheetId="0">'FIX_CAR-KD'!$J$17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'FIX_CAR-KD'!$L$12</definedName>
    <definedName name="WS.1" localSheetId="0">'FIX_CAR-KD'!$N$14</definedName>
    <definedName name="WS.2" localSheetId="0">'FIX_CAR-KD'!$N$15</definedName>
    <definedName name="WS.3" localSheetId="0">'FIX_CAR-KD'!$N$16</definedName>
    <definedName name="WS.4" localSheetId="0">'FIX_CAR-KD'!$N$17</definedName>
    <definedName name="WS.5" localSheetId="0">'FIX_CAR-KD'!$N$18</definedName>
    <definedName name="Z_8BD11290_77B3_4D27_9040_BB9D2A7264B2_.wvu.PrintArea" localSheetId="0" hidden="1">'FIX_CAR-KD'!$1:$61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9" i="1" l="1"/>
  <c r="BU32" i="1"/>
  <c r="BU30" i="1"/>
  <c r="BU28" i="1"/>
  <c r="BU27" i="1"/>
  <c r="BV27" i="1" s="1"/>
  <c r="BU26" i="1"/>
  <c r="BU23" i="1"/>
  <c r="BQ32" i="1"/>
  <c r="BE36" i="1"/>
  <c r="BE38" i="1"/>
  <c r="BE37" i="1"/>
  <c r="BF37" i="1"/>
  <c r="BE35" i="1"/>
  <c r="BF35" i="1" s="1"/>
  <c r="BE32" i="1"/>
  <c r="BE31" i="1"/>
  <c r="BE28" i="1"/>
  <c r="BE26" i="1"/>
  <c r="BF26" i="1" s="1"/>
  <c r="BF33" i="1"/>
  <c r="BA33" i="1"/>
  <c r="BA32" i="1"/>
  <c r="BA22" i="1"/>
  <c r="BV60" i="1"/>
  <c r="BT60" i="1"/>
  <c r="BN60" i="1"/>
  <c r="BF60" i="1"/>
  <c r="BD60" i="1"/>
  <c r="AX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Z29" i="1"/>
  <c r="X29" i="1"/>
  <c r="AF29" i="1" s="1"/>
  <c r="V29" i="1"/>
  <c r="BF28" i="1"/>
  <c r="AV28" i="1"/>
  <c r="AU28" i="1"/>
  <c r="AP28" i="1"/>
  <c r="AL28" i="1"/>
  <c r="AE28" i="1"/>
  <c r="AF28" i="1" s="1"/>
  <c r="Z28" i="1"/>
  <c r="X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F26" i="1"/>
  <c r="AE26" i="1"/>
  <c r="Z26" i="1"/>
  <c r="X26" i="1"/>
  <c r="V26" i="1"/>
  <c r="BF25" i="1"/>
  <c r="AU25" i="1"/>
  <c r="AP25" i="1"/>
  <c r="AL25" i="1"/>
  <c r="AE25" i="1"/>
  <c r="AF25" i="1" s="1"/>
  <c r="Z25" i="1"/>
  <c r="X25" i="1"/>
  <c r="V25" i="1"/>
  <c r="BV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Z22" i="1"/>
  <c r="X22" i="1"/>
  <c r="AF22" i="1" s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AB2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G10" i="1"/>
  <c r="BA10" i="1"/>
  <c r="AU10" i="1"/>
  <c r="AE10" i="1"/>
  <c r="AA10" i="1"/>
  <c r="M10" i="1"/>
  <c r="K10" i="1"/>
  <c r="AQ10" i="1" s="1"/>
  <c r="CA9" i="1"/>
  <c r="BQ9" i="1"/>
  <c r="BK9" i="1"/>
  <c r="BA9" i="1"/>
  <c r="AU9" i="1"/>
  <c r="AQ9" i="1"/>
  <c r="AK9" i="1"/>
  <c r="AE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U3" i="1"/>
  <c r="E3" i="1"/>
  <c r="BQ3" i="1" s="1"/>
  <c r="AV2" i="1"/>
  <c r="BL2" i="1" s="1"/>
  <c r="CB2" i="1" s="1"/>
  <c r="AF2" i="1"/>
  <c r="AF48" i="1" l="1"/>
  <c r="AS23" i="1"/>
  <c r="BV30" i="1"/>
  <c r="BV31" i="1"/>
  <c r="AN23" i="1"/>
  <c r="AV23" i="1" s="1"/>
  <c r="AE4" i="1"/>
  <c r="AA9" i="1"/>
  <c r="AD14" i="1"/>
  <c r="AB26" i="1"/>
  <c r="BV33" i="1"/>
  <c r="BF36" i="1"/>
  <c r="BF38" i="1"/>
  <c r="BF39" i="1"/>
  <c r="AS22" i="1"/>
  <c r="BK4" i="1"/>
  <c r="BG9" i="1"/>
  <c r="AT14" i="1"/>
  <c r="S15" i="1"/>
  <c r="CA4" i="1"/>
  <c r="L14" i="1"/>
  <c r="BV25" i="1" s="1"/>
  <c r="BO15" i="1"/>
  <c r="BZ14" i="1"/>
  <c r="AN22" i="1"/>
  <c r="AV22" i="1" s="1"/>
  <c r="BJ14" i="1"/>
  <c r="AI15" i="1"/>
  <c r="BF24" i="1"/>
  <c r="AN26" i="1"/>
  <c r="AV26" i="1" s="1"/>
  <c r="P17" i="1" l="1"/>
  <c r="BH14" i="1"/>
  <c r="BX14" i="1"/>
  <c r="AR14" i="1"/>
  <c r="BV29" i="1"/>
  <c r="AN25" i="1"/>
  <c r="AV25" i="1" s="1"/>
  <c r="AS25" i="1"/>
  <c r="BV28" i="1"/>
  <c r="AB14" i="1"/>
  <c r="AN27" i="1"/>
  <c r="AV27" i="1" s="1"/>
  <c r="BV26" i="1"/>
  <c r="AN24" i="1"/>
  <c r="AV24" i="1" s="1"/>
  <c r="AV48" i="1" s="1"/>
  <c r="AF50" i="1"/>
  <c r="AF49" i="1"/>
  <c r="AV50" i="1" l="1"/>
  <c r="AV49" i="1"/>
  <c r="AF17" i="1"/>
  <c r="AV17" i="1"/>
  <c r="BL17" i="1"/>
  <c r="C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053D0674-F78A-4857-A7E2-F8BAC055184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26971D3-5726-4597-B22A-84DE41FAC8A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<sst xmlns="http://schemas.openxmlformats.org/spreadsheetml/2006/main" count="553" uniqueCount="191">
  <si>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</si>
  <si>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</si>
  <si>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</si>
  <si>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</si>
  <si>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</si>
  <si>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</si>
  <si>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</si>
  <si>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</si>
  <si>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</si>
  <si>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</si>
  <si>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</si>
  <si>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</si>
  <si>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</si>
  <si>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</si>
  <si>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</si>
  <si>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EC</t>
  </si>
  <si>
    <t>Delivery Date</t>
  </si>
  <si>
    <t>Elevation Code</t>
  </si>
  <si>
    <t>52F/CR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</si>
  <si>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</si>
  <si>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</si>
  <si>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</si>
  <si>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U9E-51035</t>
  </si>
  <si>
    <t>Unit Code</t>
  </si>
  <si>
    <r>
      <t xml:space="preserve">H </t>
    </r>
    <r>
      <rPr>
        <sz val="10"/>
        <rFont val="Arial"/>
        <family val="2"/>
      </rPr>
      <t>item</t>
    </r>
  </si>
  <si>
    <t>U9E-50009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</si>
  <si>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</si>
  <si>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</si>
  <si>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</si>
  <si>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</si>
  <si>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</si>
  <si>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</si>
  <si>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</si>
  <si>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</si>
  <si>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</si>
  <si>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</si>
  <si>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</si>
  <si>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</si>
  <si>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</si>
  <si>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</si>
  <si>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</si>
  <si>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</si>
  <si>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</si>
  <si>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</si>
  <si>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</si>
  <si>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</si>
  <si>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</si>
  <si>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</si>
  <si>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</si>
  <si>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</si>
  <si>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</si>
  <si>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</si>
  <si>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</si>
  <si>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</si>
  <si>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</si>
  <si>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</si>
  <si>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</si>
  <si>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</si>
  <si>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</si>
  <si>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</si>
  <si>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</si>
  <si>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</si>
  <si>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</si>
  <si>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</si>
  <si>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</si>
  <si>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</si>
  <si>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</si>
  <si>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</si>
  <si>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</si>
  <si>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</si>
  <si>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</si>
  <si>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</si>
  <si>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</si>
  <si>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</si>
  <si>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</si>
  <si>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</si>
  <si>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</si>
  <si>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</si>
  <si>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</si>
  <si>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</si>
  <si>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</si>
  <si>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</si>
  <si>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Without Arm Stopper</t>
  </si>
  <si>
    <t>TOP RAIL</t>
  </si>
  <si>
    <t>9K-87136</t>
  </si>
  <si>
    <t>2K-33877Y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</si>
  <si>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</si>
  <si>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</si>
  <si>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</si>
  <si>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</si>
  <si>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</si>
  <si>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</si>
  <si>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</si>
  <si>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</si>
  <si>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</si>
  <si>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</si>
  <si>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</si>
  <si>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</si>
  <si>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</si>
  <si>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</si>
  <si>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</si>
  <si>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</si>
  <si>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</si>
  <si>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</si>
  <si>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</si>
  <si>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</si>
  <si>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</si>
  <si>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</si>
  <si>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</si>
  <si>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</si>
  <si>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</si>
  <si>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9K-20848</t>
  </si>
  <si>
    <t/>
  </si>
  <si>
    <t>GLASS BEAD R</t>
  </si>
  <si>
    <t>9K-20849</t>
  </si>
  <si>
    <t>9K-20851</t>
  </si>
  <si>
    <t>EM-4008D8-SA</t>
  </si>
  <si>
    <t>FOR STAY</t>
  </si>
  <si>
    <t>S</t>
  </si>
  <si>
    <t>BM-4025G</t>
  </si>
  <si>
    <t>FOR JOINT FRAME</t>
  </si>
  <si>
    <t>EF-4006D6</t>
  </si>
  <si>
    <t>FOR GLASS BEAD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</si>
  <si>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</si>
  <si>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</si>
  <si>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</si>
  <si>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</si>
  <si>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</si>
  <si>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</si>
  <si>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</si>
  <si>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</si>
  <si>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</si>
  <si>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</si>
  <si>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</si>
  <si>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</si>
  <si>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</si>
  <si>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</si>
  <si>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</si>
  <si>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</si>
  <si>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</si>
  <si>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</si>
  <si>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</si>
  <si>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</si>
  <si>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</si>
  <si>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</si>
  <si>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</si>
  <si>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</si>
  <si>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</si>
  <si>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</si>
  <si>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</si>
  <si>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</si>
  <si>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</si>
  <si>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</si>
  <si>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</si>
  <si>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</si>
  <si>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</si>
  <si>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</si>
  <si>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</si>
  <si>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</si>
  <si>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</si>
  <si>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</si>
  <si>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</si>
  <si>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</si>
  <si>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</si>
  <si>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FRICTION STAY</t>
  </si>
  <si>
    <t>SEALER PAD</t>
  </si>
  <si>
    <t>LABEL</t>
  </si>
  <si>
    <t>SCREW</t>
  </si>
  <si>
    <t>SHIM RECEIVER</t>
  </si>
  <si>
    <t>HOLE CAP</t>
  </si>
  <si>
    <t>GASKET</t>
  </si>
  <si>
    <t>SPACER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</si>
  <si>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</si>
  <si>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</si>
  <si>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</si>
  <si>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</si>
  <si>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</si>
  <si>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</si>
  <si>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</si>
  <si>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</si>
  <si>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</si>
  <si>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</si>
  <si>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YW</t>
  </si>
  <si>
    <t>FOR PULLING BLOCK</t>
  </si>
  <si>
    <t>FOR JAMB (R), FOR JAMB (L), FOR HEAD</t>
  </si>
  <si>
    <t>FOR INSIDE</t>
  </si>
  <si>
    <t>FOR FRICTION STAY</t>
  </si>
  <si>
    <t>FOR OUTSIDE</t>
  </si>
  <si>
    <t>CAMLATCH HANDLE</t>
  </si>
  <si>
    <t>WEATHER STRIP</t>
  </si>
  <si>
    <t>EF-4008D7-SA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</si>
</sst>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" fillId="5" borderId="52" xfId="1" applyFill="1" applyBorder="1" applyAlignment="1" applyProtection="1">
      <alignment horizontal="left"/>
      <protection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</cellXfs>
  <cellStyles count="6">
    <cellStyle name="Currency_FORM New Break Down 2" xfId="3" xr:uid="{BE1F77F2-6CE5-444C-A7E6-20D9A86D077A}"/>
    <cellStyle name="Normal" xfId="0" builtinId="0"/>
    <cellStyle name="Normal 10" xfId="2" xr:uid="{5682FB64-1EE3-4C7F-803E-36F1BBF41222}"/>
    <cellStyle name="Normal 2" xfId="1" xr:uid="{32594C19-C6A8-475A-BA0D-D8529AA64C7A}"/>
    <cellStyle name="Normal 5" xfId="4" xr:uid="{B675B394-77E6-4893-9FB3-7F514C5EEF60}"/>
    <cellStyle name="Normal_COBA 2" xfId="5" xr:uid="{B50958C7-A130-48A4-AD06-A8FDD2BA2A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11995</xdr:colOff>
      <xdr:row>38</xdr:row>
      <xdr:rowOff>20002</xdr:rowOff>
    </xdr:to>
    <xdr:pic>
      <xdr:nvPicPr>
        <xdr:cNvPr id="10" name="B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0"/>
          <a:ext cx="4271575" cy="306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6815-6C82-451C-987B-129C8DF7F9DC}">
  <sheetPr>
    <tabColor indexed="14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9.332031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45523.671613078703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45523.671613078703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45523.671613078703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45523.671613078703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45523.671613078703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CAR-KD EC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CAR-KD EC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CAR-KD EC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CAR-KD EC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52F/CR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52F/CR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52F/CR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52F/CR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8">
        <f>W</f>
        <v>1000</v>
      </c>
      <c r="L9" s="330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52F/CR</v>
      </c>
      <c r="V9" s="37"/>
      <c r="W9" s="56"/>
      <c r="X9" s="63"/>
      <c r="Y9" s="63"/>
      <c r="Z9" s="64" t="s">
        <v>21</v>
      </c>
      <c r="AA9" s="328">
        <f>$K$9</f>
        <v>1000</v>
      </c>
      <c r="AB9" s="330"/>
      <c r="AC9" s="66"/>
      <c r="AD9" s="62"/>
      <c r="AE9" s="60" t="str">
        <f>IF($O$9&gt;0,$O$9,"")</f>
        <v>U9E-51035</v>
      </c>
      <c r="AF9" s="61"/>
      <c r="AG9" s="3"/>
      <c r="AH9" s="54" t="s">
        <v>20</v>
      </c>
      <c r="AI9" s="37"/>
      <c r="AJ9" s="38"/>
      <c r="AK9" s="55" t="str">
        <f>IF($E$9&gt;0,$E$9,"")</f>
        <v>52F/CR</v>
      </c>
      <c r="AL9" s="37"/>
      <c r="AM9" s="56"/>
      <c r="AN9" s="63"/>
      <c r="AO9" s="63"/>
      <c r="AP9" s="64" t="s">
        <v>21</v>
      </c>
      <c r="AQ9" s="328">
        <f>$K$9</f>
        <v>1000</v>
      </c>
      <c r="AR9" s="330"/>
      <c r="AS9" s="66"/>
      <c r="AT9" s="62"/>
      <c r="AU9" s="60" t="str">
        <f>IF($O$9&gt;0,$O$9,"")</f>
        <v>U9E-51035</v>
      </c>
      <c r="AV9" s="61"/>
      <c r="AW9" s="3"/>
      <c r="AX9" s="54" t="s">
        <v>20</v>
      </c>
      <c r="AY9" s="37"/>
      <c r="AZ9" s="38"/>
      <c r="BA9" s="55" t="str">
        <f>IF(E9&gt;0,E9,"")</f>
        <v>52F/CR</v>
      </c>
      <c r="BB9" s="37"/>
      <c r="BC9" s="56"/>
      <c r="BD9" s="63"/>
      <c r="BE9" s="63"/>
      <c r="BF9" s="64" t="s">
        <v>21</v>
      </c>
      <c r="BG9" s="328">
        <f>$K$9</f>
        <v>1000</v>
      </c>
      <c r="BH9" s="330"/>
      <c r="BI9" s="66"/>
      <c r="BJ9" s="62"/>
      <c r="BK9" s="60" t="str">
        <f>IF($O$9&gt;0,$O$9,"")</f>
        <v>U9E-51035</v>
      </c>
      <c r="BL9" s="61"/>
      <c r="BM9" s="3"/>
      <c r="BN9" s="54" t="s">
        <v>20</v>
      </c>
      <c r="BO9" s="37"/>
      <c r="BP9" s="38"/>
      <c r="BQ9" s="55" t="str">
        <f>IF(U9&gt;0,U9,"")</f>
        <v>52F/CR</v>
      </c>
      <c r="BR9" s="37"/>
      <c r="BS9" s="56"/>
      <c r="BT9" s="63"/>
      <c r="BU9" s="63"/>
      <c r="BV9" s="64" t="s">
        <v>21</v>
      </c>
      <c r="BW9" s="328">
        <f>$K$9</f>
        <v>1000</v>
      </c>
      <c r="BX9" s="330"/>
      <c r="BY9" s="66"/>
      <c r="BZ9" s="62"/>
      <c r="CA9" s="60" t="str">
        <f>IF($O$9&gt;0,$O$9,"")</f>
        <v>U9E-51035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8">
        <f>H</f>
        <v>2000</v>
      </c>
      <c r="L10" s="329"/>
      <c r="M10" s="68">
        <f>IF(K11="",1,VLOOKUP(K11,'[4]PART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8">
        <f>$K$10</f>
        <v>2000</v>
      </c>
      <c r="AB10" s="330"/>
      <c r="AC10" s="66"/>
      <c r="AD10" s="62"/>
      <c r="AE10" s="60" t="str">
        <f>IF($O$10&gt;0,$O$10,"")</f>
        <v>U9E-50009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8">
        <f>$K$10</f>
        <v>2000</v>
      </c>
      <c r="AR10" s="330"/>
      <c r="AS10" s="66"/>
      <c r="AT10" s="62"/>
      <c r="AU10" s="60" t="str">
        <f>IF($O$10&gt;0,$O$10,"")</f>
        <v>U9E-50009</v>
      </c>
      <c r="AV10" s="61"/>
      <c r="AW10" s="3"/>
      <c r="AX10" s="54" t="s">
        <v>23</v>
      </c>
      <c r="AY10" s="37"/>
      <c r="AZ10" s="38"/>
      <c r="BA10" s="55" t="str">
        <f>IF($U$10&gt;0,$U$10,"")</f>
        <v>52F/CR</v>
      </c>
      <c r="BB10" s="37"/>
      <c r="BC10" s="56"/>
      <c r="BD10" s="63"/>
      <c r="BE10" s="63"/>
      <c r="BF10" s="67" t="s">
        <v>24</v>
      </c>
      <c r="BG10" s="328">
        <f>$K$10</f>
        <v>2000</v>
      </c>
      <c r="BH10" s="330"/>
      <c r="BI10" s="66"/>
      <c r="BJ10" s="62"/>
      <c r="BK10" s="60" t="str">
        <f>IF($O$10&gt;0,$O$10,"")</f>
        <v>U9E-50009</v>
      </c>
      <c r="BL10" s="61"/>
      <c r="BM10" s="3"/>
      <c r="BN10" s="54" t="s">
        <v>23</v>
      </c>
      <c r="BO10" s="37"/>
      <c r="BP10" s="38"/>
      <c r="BQ10" s="55" t="str">
        <f>IF($AK$10&gt;0,$AK$10,"")</f>
        <v>52CR-A/SC</v>
      </c>
      <c r="BR10" s="37"/>
      <c r="BS10" s="56"/>
      <c r="BT10" s="63"/>
      <c r="BU10" s="63"/>
      <c r="BV10" s="67" t="s">
        <v>24</v>
      </c>
      <c r="BW10" s="328">
        <f>$K$10</f>
        <v>2000</v>
      </c>
      <c r="BX10" s="330"/>
      <c r="BY10" s="66"/>
      <c r="BZ10" s="62"/>
      <c r="CA10" s="60" t="str">
        <f>IF($O$10&gt;0,$O$10,"")</f>
        <v>U9E-50009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1" t="s">
        <v>28</v>
      </c>
      <c r="I11" s="331">
        <v>1</v>
      </c>
      <c r="J11" s="331" t="s">
        <v>29</v>
      </c>
      <c r="K11" s="333" t="s">
        <v>30</v>
      </c>
      <c r="L11" s="334"/>
      <c r="M11" s="337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1" t="s">
        <v>28</v>
      </c>
      <c r="Y11" s="331">
        <f>IF($I$11&gt;0,$I$11,"")</f>
        <v>1</v>
      </c>
      <c r="Z11" s="331" t="s">
        <v>29</v>
      </c>
      <c r="AA11" s="333" t="str">
        <f>IF($K$11&gt;0,$K$11,"")</f>
        <v>TT01</v>
      </c>
      <c r="AB11" s="334"/>
      <c r="AC11" s="337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1" t="s">
        <v>28</v>
      </c>
      <c r="AO11" s="331">
        <f>IF($I$11&gt;0,$I$11,"")</f>
        <v>1</v>
      </c>
      <c r="AP11" s="331" t="s">
        <v>29</v>
      </c>
      <c r="AQ11" s="333" t="str">
        <f>IF($K$11&gt;0,$K$11,"")</f>
        <v>TT01</v>
      </c>
      <c r="AR11" s="334"/>
      <c r="AS11" s="337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1" t="s">
        <v>28</v>
      </c>
      <c r="BE11" s="331">
        <f>IF($I$11&gt;0,$I$11,"")</f>
        <v>1</v>
      </c>
      <c r="BF11" s="331" t="s">
        <v>29</v>
      </c>
      <c r="BG11" s="333" t="str">
        <f>IF($K$11&gt;0,$K$11,"")</f>
        <v>TT01</v>
      </c>
      <c r="BH11" s="334"/>
      <c r="BI11" s="337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1" t="s">
        <v>28</v>
      </c>
      <c r="BU11" s="331">
        <f>IF($I$11&gt;0,$I$11,"")</f>
        <v>1</v>
      </c>
      <c r="BV11" s="331" t="s">
        <v>29</v>
      </c>
      <c r="BW11" s="333" t="str">
        <f>IF($K$11&gt;0,$K$11,"")</f>
        <v>TT01</v>
      </c>
      <c r="BX11" s="334"/>
      <c r="BY11" s="337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2000</v>
      </c>
      <c r="F12" s="81"/>
      <c r="G12" s="82"/>
      <c r="H12" s="332"/>
      <c r="I12" s="332"/>
      <c r="J12" s="332"/>
      <c r="K12" s="335"/>
      <c r="L12" s="336"/>
      <c r="M12" s="338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2000</v>
      </c>
      <c r="V12" s="81"/>
      <c r="W12" s="82"/>
      <c r="X12" s="332"/>
      <c r="Y12" s="332"/>
      <c r="Z12" s="332"/>
      <c r="AA12" s="335"/>
      <c r="AB12" s="336"/>
      <c r="AC12" s="338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2000</v>
      </c>
      <c r="AL12" s="81"/>
      <c r="AM12" s="82"/>
      <c r="AN12" s="332"/>
      <c r="AO12" s="332"/>
      <c r="AP12" s="332"/>
      <c r="AQ12" s="335"/>
      <c r="AR12" s="336"/>
      <c r="AS12" s="338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2000</v>
      </c>
      <c r="BB12" s="81"/>
      <c r="BC12" s="82"/>
      <c r="BD12" s="332"/>
      <c r="BE12" s="332"/>
      <c r="BF12" s="332"/>
      <c r="BG12" s="335"/>
      <c r="BH12" s="336"/>
      <c r="BI12" s="338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2000</v>
      </c>
      <c r="BR12" s="81"/>
      <c r="BS12" s="82"/>
      <c r="BT12" s="332"/>
      <c r="BU12" s="332"/>
      <c r="BV12" s="332"/>
      <c r="BW12" s="335"/>
      <c r="BX12" s="336"/>
      <c r="BY12" s="338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500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h.2-10</f>
        <v>1430</v>
      </c>
      <c r="M14" s="96" t="s">
        <v>39</v>
      </c>
      <c r="N14" s="98">
        <f>W-52</f>
        <v>948</v>
      </c>
      <c r="O14" s="99"/>
      <c r="P14" s="100"/>
      <c r="R14" s="91" t="s">
        <v>34</v>
      </c>
      <c r="S14" s="101">
        <f>IF($C$14&gt;0,$C$14,"")</f>
        <v>500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1430</v>
      </c>
      <c r="AC14" s="96" t="s">
        <v>39</v>
      </c>
      <c r="AD14" s="103">
        <f>IF($N$14&gt;0,$N$14,"")</f>
        <v>948</v>
      </c>
      <c r="AE14" s="99"/>
      <c r="AF14" s="100"/>
      <c r="AH14" s="91" t="s">
        <v>34</v>
      </c>
      <c r="AI14" s="101">
        <f>IF($C$14&gt;0,$C$14,"")</f>
        <v>500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1430</v>
      </c>
      <c r="AS14" s="96" t="s">
        <v>39</v>
      </c>
      <c r="AT14" s="103">
        <f>IF($N$14&gt;0,$N$14,"")</f>
        <v>948</v>
      </c>
      <c r="AU14" s="99"/>
      <c r="AV14" s="100"/>
      <c r="AX14" s="91" t="s">
        <v>34</v>
      </c>
      <c r="AY14" s="101">
        <f>IF($C$14&gt;0,$C$14,"")</f>
        <v>500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1430</v>
      </c>
      <c r="BI14" s="96" t="s">
        <v>39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34</v>
      </c>
      <c r="BO14" s="101">
        <f>IF($C$14&gt;0,$C$14,"")</f>
        <v>500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1430</v>
      </c>
      <c r="BY14" s="96" t="s">
        <v>39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f>H-h.1-60</f>
        <v>1440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1440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1440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1440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1440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/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(HS.1/2)+h.1+45</f>
        <v>1260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1260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1260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1260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1260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/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28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28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28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29</v>
      </c>
      <c r="BE20" s="150" t="s">
        <v>70</v>
      </c>
      <c r="BF20" s="151" t="s">
        <v>28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29</v>
      </c>
      <c r="BU20" s="150" t="s">
        <v>70</v>
      </c>
      <c r="BV20" s="151" t="s">
        <v>28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5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 t="s">
        <v>82</v>
      </c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83</v>
      </c>
      <c r="AI22" s="200"/>
      <c r="AJ22" s="201"/>
      <c r="AK22" s="168" t="s">
        <v>84</v>
      </c>
      <c r="AL22" s="169" t="str">
        <f t="shared" ref="AL22:AL47" si="3">IF(AK22&gt;"","-","")</f>
        <v>-</v>
      </c>
      <c r="AM22" s="202">
        <v>6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 t="s">
        <v>82</v>
      </c>
      <c r="AS22" s="176" t="str">
        <f>IF(WS.1&lt;=448,"9K-11346",IF(WS.1&lt;=648,"9K-11347",IF(WS.1&lt;=948,"9K-11349","9K-11349")))</f>
        <v>9K-11349</v>
      </c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164</v>
      </c>
      <c r="AY22" s="200"/>
      <c r="AZ22" s="201"/>
      <c r="BA22" s="204" t="str">
        <f>IF(W&lt;=400,"MIN LIMIT",IF(W&lt;=500,"9K-11346",IF(W&lt;=700,"9K-11347",IF(W&lt;=1000,"9K-11349","9K-11349"))))</f>
        <v>9K-11349</v>
      </c>
      <c r="BB22" s="169"/>
      <c r="BC22" s="181"/>
      <c r="BD22" s="182" t="s">
        <v>179</v>
      </c>
      <c r="BE22" s="172">
        <v>2</v>
      </c>
      <c r="BF22" s="173">
        <f t="shared" ref="BF22:BF60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188</v>
      </c>
      <c r="BO22" s="200"/>
      <c r="BP22" s="201"/>
      <c r="BQ22" s="204" t="s">
        <v>85</v>
      </c>
      <c r="BR22" s="169"/>
      <c r="BS22" s="181"/>
      <c r="BT22" s="182" t="s">
        <v>181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88</v>
      </c>
      <c r="AI23" s="200"/>
      <c r="AJ23" s="201"/>
      <c r="AK23" s="168" t="s">
        <v>84</v>
      </c>
      <c r="AL23" s="169" t="str">
        <f t="shared" si="3"/>
        <v>-</v>
      </c>
      <c r="AM23" s="202">
        <v>5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 t="s">
        <v>82</v>
      </c>
      <c r="AS23" s="176" t="str">
        <f>IF(WS.1&lt;=448,"9K-11346",IF(WS.1&lt;=648,"9K-11347",IF(WS.1&lt;=948,"9K-11349","9K-11349")))</f>
        <v>9K-11349</v>
      </c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165</v>
      </c>
      <c r="AY23" s="200"/>
      <c r="AZ23" s="201"/>
      <c r="BA23" s="168" t="s">
        <v>114</v>
      </c>
      <c r="BB23" s="169"/>
      <c r="BC23" s="181"/>
      <c r="BD23" s="182" t="s">
        <v>180</v>
      </c>
      <c r="BE23" s="172">
        <v>1</v>
      </c>
      <c r="BF23" s="173">
        <f t="shared" si="6"/>
        <v>1</v>
      </c>
      <c r="BG23" s="184"/>
      <c r="BH23" s="185"/>
      <c r="BI23" s="186"/>
      <c r="BJ23" s="187"/>
      <c r="BK23" s="205"/>
      <c r="BL23" s="189"/>
      <c r="BM23" s="4"/>
      <c r="BN23" s="199" t="s">
        <v>173</v>
      </c>
      <c r="BO23" s="200"/>
      <c r="BP23" s="201"/>
      <c r="BQ23" s="168" t="s">
        <v>178</v>
      </c>
      <c r="BR23" s="169"/>
      <c r="BS23" s="181"/>
      <c r="BT23" s="182" t="s">
        <v>180</v>
      </c>
      <c r="BU23" s="172">
        <f>IF(HS.1&gt;950,1,"")</f>
        <v>1</v>
      </c>
      <c r="BV23" s="173">
        <f t="shared" si="7"/>
        <v>1</v>
      </c>
      <c r="BW23" s="184"/>
      <c r="BX23" s="185"/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5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 t="s">
        <v>82</v>
      </c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93</v>
      </c>
      <c r="AI24" s="200"/>
      <c r="AJ24" s="201"/>
      <c r="AK24" s="168" t="s">
        <v>94</v>
      </c>
      <c r="AL24" s="169" t="str">
        <f t="shared" si="3"/>
        <v>-</v>
      </c>
      <c r="AM24" s="202">
        <v>1</v>
      </c>
      <c r="AN24" s="207">
        <f>HS.1</f>
        <v>1430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ref="AU24:AU38" si="9">IF(AK24&gt;"",VLOOKUP(AK24,MATERIAL_WEIGHT,2,FALSE),"")</f>
        <v>0.55700000000000005</v>
      </c>
      <c r="AV24" s="179">
        <f t="shared" si="5"/>
        <v>0.79651000000000005</v>
      </c>
      <c r="AW24" s="4"/>
      <c r="AX24" s="199" t="s">
        <v>165</v>
      </c>
      <c r="AY24" s="200"/>
      <c r="AZ24" s="201"/>
      <c r="BA24" s="168" t="s">
        <v>115</v>
      </c>
      <c r="BB24" s="169"/>
      <c r="BC24" s="181"/>
      <c r="BD24" s="182" t="s">
        <v>180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175</v>
      </c>
      <c r="BO24" s="200"/>
      <c r="BP24" s="201"/>
      <c r="BQ24" s="168" t="s">
        <v>90</v>
      </c>
      <c r="BR24" s="169"/>
      <c r="BS24" s="181"/>
      <c r="BT24" s="182" t="s">
        <v>180</v>
      </c>
      <c r="BU24" s="172">
        <v>2</v>
      </c>
      <c r="BV24" s="173">
        <f t="shared" si="7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98</v>
      </c>
      <c r="S25" s="200"/>
      <c r="T25" s="201"/>
      <c r="U25" s="168" t="s">
        <v>99</v>
      </c>
      <c r="V25" s="169" t="str">
        <f t="shared" si="0"/>
        <v>-</v>
      </c>
      <c r="W25" s="202">
        <v>17</v>
      </c>
      <c r="X25" s="207">
        <f>H</f>
        <v>2000</v>
      </c>
      <c r="Y25" s="172">
        <v>1</v>
      </c>
      <c r="Z25" s="173">
        <f t="shared" si="1"/>
        <v>1</v>
      </c>
      <c r="AA25" s="209"/>
      <c r="AB25" s="175" t="str">
        <f>CONCATENATE("H1+H2/2+40 = ",(h.1+(h.2/2)+40))</f>
        <v>H1+H2/2+40 = 1260</v>
      </c>
      <c r="AC25" s="176"/>
      <c r="AD25" s="177"/>
      <c r="AE25" s="178">
        <f t="shared" si="2"/>
        <v>0.57399999999999995</v>
      </c>
      <c r="AF25" s="179">
        <f t="shared" si="8"/>
        <v>1.1479999999999999</v>
      </c>
      <c r="AG25" s="4"/>
      <c r="AH25" s="199" t="s">
        <v>100</v>
      </c>
      <c r="AI25" s="200"/>
      <c r="AJ25" s="201"/>
      <c r="AK25" s="168" t="s">
        <v>94</v>
      </c>
      <c r="AL25" s="169" t="str">
        <f t="shared" si="3"/>
        <v>-</v>
      </c>
      <c r="AM25" s="202">
        <v>3</v>
      </c>
      <c r="AN25" s="207">
        <f>HS.1</f>
        <v>1430</v>
      </c>
      <c r="AO25" s="172">
        <v>1</v>
      </c>
      <c r="AP25" s="173">
        <f t="shared" si="4"/>
        <v>1</v>
      </c>
      <c r="AQ25" s="209"/>
      <c r="AR25" s="175"/>
      <c r="AS25" s="176" t="str">
        <f>CONCATENATE("as = ",(HS.1/2))</f>
        <v>as = 715</v>
      </c>
      <c r="AT25" s="177"/>
      <c r="AU25" s="178">
        <f t="shared" si="9"/>
        <v>0.55700000000000005</v>
      </c>
      <c r="AV25" s="179">
        <f t="shared" si="5"/>
        <v>0.79651000000000005</v>
      </c>
      <c r="AW25" s="4"/>
      <c r="AX25" s="199" t="s">
        <v>166</v>
      </c>
      <c r="AY25" s="200"/>
      <c r="AZ25" s="201"/>
      <c r="BA25" s="168" t="s">
        <v>176</v>
      </c>
      <c r="BB25" s="169"/>
      <c r="BC25" s="181"/>
      <c r="BD25" s="182" t="s">
        <v>179</v>
      </c>
      <c r="BE25" s="172">
        <v>1</v>
      </c>
      <c r="BF25" s="173">
        <f t="shared" si="6"/>
        <v>1</v>
      </c>
      <c r="BG25" s="184"/>
      <c r="BH25" s="185"/>
      <c r="BI25" s="186"/>
      <c r="BJ25" s="187"/>
      <c r="BK25" s="188"/>
      <c r="BL25" s="189"/>
      <c r="BM25" s="4"/>
      <c r="BN25" s="199" t="s">
        <v>175</v>
      </c>
      <c r="BO25" s="200"/>
      <c r="BP25" s="201"/>
      <c r="BQ25" s="168" t="s">
        <v>97</v>
      </c>
      <c r="BR25" s="169"/>
      <c r="BS25" s="181"/>
      <c r="BT25" s="182" t="s">
        <v>180</v>
      </c>
      <c r="BU25" s="172">
        <v>2</v>
      </c>
      <c r="BV25" s="173">
        <f t="shared" si="7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103</v>
      </c>
      <c r="S26" s="200"/>
      <c r="T26" s="201"/>
      <c r="U26" s="168" t="s">
        <v>99</v>
      </c>
      <c r="V26" s="169" t="str">
        <f t="shared" si="0"/>
        <v>-</v>
      </c>
      <c r="W26" s="202">
        <v>14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tr">
        <f>CONCATENATE("a = ",(h.1+(h.2/2)+40))</f>
        <v>a = 1260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104</v>
      </c>
      <c r="AI26" s="200"/>
      <c r="AJ26" s="201"/>
      <c r="AK26" s="168" t="s">
        <v>105</v>
      </c>
      <c r="AL26" s="169" t="str">
        <f t="shared" si="3"/>
        <v>-</v>
      </c>
      <c r="AM26" s="202">
        <v>0</v>
      </c>
      <c r="AN26" s="171">
        <f>WS.1-83</f>
        <v>865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0.16608000000000001</v>
      </c>
      <c r="AW26" s="4"/>
      <c r="AX26" s="199" t="s">
        <v>167</v>
      </c>
      <c r="AY26" s="200"/>
      <c r="AZ26" s="201"/>
      <c r="BA26" s="168" t="s">
        <v>177</v>
      </c>
      <c r="BB26" s="169"/>
      <c r="BC26" s="181"/>
      <c r="BD26" s="182" t="s">
        <v>179</v>
      </c>
      <c r="BE26" s="172">
        <f>IF(h.2&gt;960,2,0)</f>
        <v>2</v>
      </c>
      <c r="BF26" s="173">
        <f t="shared" si="6"/>
        <v>2</v>
      </c>
      <c r="BG26" s="184"/>
      <c r="BH26" s="185" t="s">
        <v>183</v>
      </c>
      <c r="BI26" s="186"/>
      <c r="BJ26" s="187"/>
      <c r="BK26" s="188"/>
      <c r="BL26" s="189"/>
      <c r="BM26" s="4"/>
      <c r="BN26" s="199" t="s">
        <v>170</v>
      </c>
      <c r="BO26" s="200"/>
      <c r="BP26" s="201"/>
      <c r="BQ26" s="168" t="s">
        <v>102</v>
      </c>
      <c r="BR26" s="169"/>
      <c r="BS26" s="181"/>
      <c r="BT26" s="182" t="s">
        <v>180</v>
      </c>
      <c r="BU26" s="172">
        <f>(((WS.1-66)*2)+((HS.1-84)*2))/1000</f>
        <v>4.4560000000000004</v>
      </c>
      <c r="BV26" s="173">
        <f t="shared" si="7"/>
        <v>4.4560000000000004</v>
      </c>
      <c r="BW26" s="184" t="s">
        <v>96</v>
      </c>
      <c r="BX26" s="185" t="s">
        <v>187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104</v>
      </c>
      <c r="S27" s="200"/>
      <c r="T27" s="201"/>
      <c r="U27" s="168" t="s">
        <v>107</v>
      </c>
      <c r="V27" s="169" t="str">
        <f t="shared" si="0"/>
        <v>-</v>
      </c>
      <c r="W27" s="202">
        <v>0</v>
      </c>
      <c r="X27" s="171">
        <f>W-76</f>
        <v>924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8"/>
        <v>0.12843599999999999</v>
      </c>
      <c r="AG27" s="4"/>
      <c r="AH27" s="199" t="s">
        <v>104</v>
      </c>
      <c r="AI27" s="200"/>
      <c r="AJ27" s="201"/>
      <c r="AK27" s="168" t="s">
        <v>105</v>
      </c>
      <c r="AL27" s="169" t="str">
        <f t="shared" si="3"/>
        <v>-</v>
      </c>
      <c r="AM27" s="202">
        <v>0</v>
      </c>
      <c r="AN27" s="171">
        <f>HS.1-84</f>
        <v>1346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0.258432</v>
      </c>
      <c r="AW27" s="4"/>
      <c r="AX27" s="199" t="s">
        <v>167</v>
      </c>
      <c r="AY27" s="200"/>
      <c r="AZ27" s="201"/>
      <c r="BA27" s="168" t="s">
        <v>121</v>
      </c>
      <c r="BB27" s="169"/>
      <c r="BC27" s="181"/>
      <c r="BD27" s="182" t="s">
        <v>179</v>
      </c>
      <c r="BE27" s="172">
        <v>2</v>
      </c>
      <c r="BF27" s="173">
        <f t="shared" si="6"/>
        <v>2</v>
      </c>
      <c r="BG27" s="212"/>
      <c r="BH27" s="185" t="s">
        <v>122</v>
      </c>
      <c r="BI27" s="186"/>
      <c r="BJ27" s="187"/>
      <c r="BK27" s="188"/>
      <c r="BL27" s="189" t="s">
        <v>7</v>
      </c>
      <c r="BM27" s="4"/>
      <c r="BN27" s="199" t="s">
        <v>189</v>
      </c>
      <c r="BO27" s="200"/>
      <c r="BP27" s="201"/>
      <c r="BQ27" s="168" t="s">
        <v>106</v>
      </c>
      <c r="BR27" s="169"/>
      <c r="BS27" s="181"/>
      <c r="BT27" s="182" t="s">
        <v>180</v>
      </c>
      <c r="BU27" s="172">
        <f>(HS.1*2)/1000</f>
        <v>2.86</v>
      </c>
      <c r="BV27" s="173">
        <f t="shared" si="7"/>
        <v>2.86</v>
      </c>
      <c r="BW27" s="212" t="s">
        <v>96</v>
      </c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110</v>
      </c>
      <c r="S28" s="214"/>
      <c r="T28" s="215"/>
      <c r="U28" s="168" t="s">
        <v>107</v>
      </c>
      <c r="V28" s="169" t="str">
        <f t="shared" si="0"/>
        <v>-</v>
      </c>
      <c r="W28" s="202">
        <v>1</v>
      </c>
      <c r="X28" s="171">
        <f>h.1-36</f>
        <v>464</v>
      </c>
      <c r="Y28" s="172">
        <v>1</v>
      </c>
      <c r="Z28" s="173">
        <f t="shared" si="1"/>
        <v>1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6.4496000000000012E-2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167</v>
      </c>
      <c r="AY28" s="200"/>
      <c r="AZ28" s="201"/>
      <c r="BA28" s="168" t="s">
        <v>116</v>
      </c>
      <c r="BB28" s="169"/>
      <c r="BC28" s="181"/>
      <c r="BD28" s="182" t="s">
        <v>179</v>
      </c>
      <c r="BE28" s="172">
        <f>IF(W&lt;=500,6,IF(W&lt;=700,10,IF(W&lt;=1000,12,12)))</f>
        <v>12</v>
      </c>
      <c r="BF28" s="173">
        <f t="shared" si="6"/>
        <v>12</v>
      </c>
      <c r="BG28" s="184"/>
      <c r="BH28" s="185" t="s">
        <v>117</v>
      </c>
      <c r="BI28" s="186"/>
      <c r="BJ28" s="187"/>
      <c r="BK28" s="188"/>
      <c r="BL28" s="189"/>
      <c r="BM28" s="4"/>
      <c r="BN28" s="199" t="s">
        <v>167</v>
      </c>
      <c r="BO28" s="200"/>
      <c r="BP28" s="201"/>
      <c r="BQ28" s="168" t="s">
        <v>177</v>
      </c>
      <c r="BR28" s="169"/>
      <c r="BS28" s="181" t="s">
        <v>112</v>
      </c>
      <c r="BT28" s="182" t="s">
        <v>179</v>
      </c>
      <c r="BU28" s="172">
        <f>IF(HS.1&gt;950,2,"")</f>
        <v>2</v>
      </c>
      <c r="BV28" s="173">
        <f t="shared" si="7"/>
        <v>2</v>
      </c>
      <c r="BW28" s="184"/>
      <c r="BX28" s="185" t="s">
        <v>183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113</v>
      </c>
      <c r="S29" s="214"/>
      <c r="T29" s="215"/>
      <c r="U29" s="216" t="s">
        <v>107</v>
      </c>
      <c r="V29" s="169" t="str">
        <f t="shared" si="0"/>
        <v>-</v>
      </c>
      <c r="W29" s="217">
        <v>2</v>
      </c>
      <c r="X29" s="171">
        <f>h.1-36</f>
        <v>464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6.4496000000000012E-2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167</v>
      </c>
      <c r="AY29" s="200"/>
      <c r="AZ29" s="201"/>
      <c r="BA29" s="168" t="s">
        <v>119</v>
      </c>
      <c r="BB29" s="169"/>
      <c r="BC29" s="181"/>
      <c r="BD29" s="182" t="s">
        <v>179</v>
      </c>
      <c r="BE29" s="172">
        <v>12</v>
      </c>
      <c r="BF29" s="173">
        <f t="shared" si="6"/>
        <v>12</v>
      </c>
      <c r="BG29" s="184"/>
      <c r="BH29" s="185" t="s">
        <v>123</v>
      </c>
      <c r="BI29" s="186"/>
      <c r="BJ29" s="187"/>
      <c r="BK29" s="188"/>
      <c r="BL29" s="189" t="s">
        <v>118</v>
      </c>
      <c r="BM29" s="4"/>
      <c r="BN29" s="199" t="s">
        <v>167</v>
      </c>
      <c r="BO29" s="200"/>
      <c r="BP29" s="201"/>
      <c r="BQ29" s="168" t="s">
        <v>116</v>
      </c>
      <c r="BR29" s="169"/>
      <c r="BS29" s="181"/>
      <c r="BT29" s="182" t="s">
        <v>179</v>
      </c>
      <c r="BU29" s="172">
        <f>IF(WS.1&lt;=448,6,IF(WS.1&lt;=648,8,IF(WS.1&lt;=948,4,0)))</f>
        <v>4</v>
      </c>
      <c r="BV29" s="173">
        <f t="shared" si="7"/>
        <v>4</v>
      </c>
      <c r="BW29" s="184"/>
      <c r="BX29" s="185" t="s">
        <v>117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8"/>
        <v/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168</v>
      </c>
      <c r="AY30" s="200"/>
      <c r="AZ30" s="201"/>
      <c r="BA30" s="168" t="s">
        <v>124</v>
      </c>
      <c r="BB30" s="169"/>
      <c r="BC30" s="181"/>
      <c r="BD30" s="182" t="s">
        <v>142</v>
      </c>
      <c r="BE30" s="172">
        <v>1</v>
      </c>
      <c r="BF30" s="173">
        <f t="shared" si="6"/>
        <v>1</v>
      </c>
      <c r="BG30" s="184"/>
      <c r="BH30" s="185"/>
      <c r="BI30" s="186"/>
      <c r="BJ30" s="187"/>
      <c r="BK30" s="188"/>
      <c r="BL30" s="189" t="s">
        <v>118</v>
      </c>
      <c r="BM30" s="4"/>
      <c r="BN30" s="199" t="s">
        <v>167</v>
      </c>
      <c r="BO30" s="200"/>
      <c r="BP30" s="201"/>
      <c r="BQ30" s="168" t="s">
        <v>190</v>
      </c>
      <c r="BR30" s="169"/>
      <c r="BS30" s="181"/>
      <c r="BT30" s="182" t="s">
        <v>179</v>
      </c>
      <c r="BU30" s="172">
        <f>IF(WS.1&lt;=648,"",6)</f>
        <v>6</v>
      </c>
      <c r="BV30" s="173">
        <f t="shared" si="7"/>
        <v>6</v>
      </c>
      <c r="BW30" s="184"/>
      <c r="BX30" s="185" t="s">
        <v>117</v>
      </c>
      <c r="BY30" s="186"/>
      <c r="BZ30" s="187"/>
      <c r="CA30" s="188"/>
      <c r="CB30" s="189" t="s">
        <v>118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8"/>
        <v/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169</v>
      </c>
      <c r="AY31" s="200"/>
      <c r="AZ31" s="201"/>
      <c r="BA31" s="168" t="s">
        <v>125</v>
      </c>
      <c r="BB31" s="169"/>
      <c r="BC31" s="181" t="s">
        <v>112</v>
      </c>
      <c r="BD31" s="182" t="s">
        <v>181</v>
      </c>
      <c r="BE31" s="172">
        <f>IF(W&lt;=600,2,3)+IF(h.2&lt;=760,2,IF(h.2&lt;=1260,3,IF(h.2&lt;=1760,4,IF(h.2&lt;=1960,5,5))))+IF(h.2&lt;=780,2,IF(h.2&lt;=1160,3,IF(h.2&lt;=1960,5,5)))</f>
        <v>12</v>
      </c>
      <c r="BF31" s="173">
        <f t="shared" si="6"/>
        <v>12</v>
      </c>
      <c r="BG31" s="184"/>
      <c r="BH31" s="185" t="s">
        <v>184</v>
      </c>
      <c r="BI31" s="186"/>
      <c r="BJ31" s="187"/>
      <c r="BK31" s="188"/>
      <c r="BL31" s="189" t="s">
        <v>118</v>
      </c>
      <c r="BM31" s="4"/>
      <c r="BN31" s="199" t="s">
        <v>167</v>
      </c>
      <c r="BO31" s="200"/>
      <c r="BP31" s="201"/>
      <c r="BQ31" s="168" t="s">
        <v>108</v>
      </c>
      <c r="BR31" s="169"/>
      <c r="BS31" s="181"/>
      <c r="BT31" s="182" t="s">
        <v>179</v>
      </c>
      <c r="BU31" s="172">
        <v>2</v>
      </c>
      <c r="BV31" s="173">
        <f t="shared" si="7"/>
        <v>2</v>
      </c>
      <c r="BW31" s="184"/>
      <c r="BX31" s="185" t="s">
        <v>109</v>
      </c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8"/>
        <v/>
      </c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170</v>
      </c>
      <c r="AY32" s="200"/>
      <c r="AZ32" s="201"/>
      <c r="BA32" s="168" t="str">
        <f>IF(GTH=5,"9K-20523",IF(GTH=6,"2K-22973",IF(GTH=8,"2K-22975","")))</f>
        <v>9K-20523</v>
      </c>
      <c r="BB32" s="169"/>
      <c r="BC32" s="181" t="s">
        <v>112</v>
      </c>
      <c r="BD32" s="182" t="s">
        <v>180</v>
      </c>
      <c r="BE32" s="172">
        <f>((2*W)+(2*h.1)-68)/1000</f>
        <v>2.9319999999999999</v>
      </c>
      <c r="BF32" s="173">
        <f t="shared" si="6"/>
        <v>2.9319999999999999</v>
      </c>
      <c r="BG32" s="184" t="s">
        <v>96</v>
      </c>
      <c r="BH32" s="185" t="s">
        <v>185</v>
      </c>
      <c r="BI32" s="186"/>
      <c r="BJ32" s="187"/>
      <c r="BK32" s="188"/>
      <c r="BL32" s="189" t="s">
        <v>118</v>
      </c>
      <c r="BM32" s="4"/>
      <c r="BN32" s="199" t="s">
        <v>170</v>
      </c>
      <c r="BO32" s="200"/>
      <c r="BP32" s="201"/>
      <c r="BQ32" s="168" t="str">
        <f>IF(GTH=5,"9K-20523",IF(GTH=6,"2K-22973",""))</f>
        <v>9K-20523</v>
      </c>
      <c r="BR32" s="169"/>
      <c r="BS32" s="181"/>
      <c r="BT32" s="182" t="s">
        <v>180</v>
      </c>
      <c r="BU32" s="172">
        <f>((2*WS.1)+(2*HS.1)-216)/1000</f>
        <v>4.54</v>
      </c>
      <c r="BV32" s="173">
        <f t="shared" si="7"/>
        <v>4.54</v>
      </c>
      <c r="BW32" s="184" t="s">
        <v>96</v>
      </c>
      <c r="BX32" s="185" t="s">
        <v>185</v>
      </c>
      <c r="BY32" s="186"/>
      <c r="BZ32" s="187"/>
      <c r="CA32" s="188"/>
      <c r="CB32" s="189" t="s">
        <v>118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8"/>
        <v/>
      </c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171</v>
      </c>
      <c r="AY33" s="200"/>
      <c r="AZ33" s="201"/>
      <c r="BA33" s="168" t="str">
        <f>IF(W&lt;=500,"9K-11340","")</f>
        <v/>
      </c>
      <c r="BB33" s="169"/>
      <c r="BC33" s="181"/>
      <c r="BD33" s="182" t="s">
        <v>179</v>
      </c>
      <c r="BE33" s="172">
        <v>2</v>
      </c>
      <c r="BF33" s="173">
        <f>IF(W&lt;=500,BE33,0)</f>
        <v>0</v>
      </c>
      <c r="BG33" s="212"/>
      <c r="BH33" s="185" t="s">
        <v>186</v>
      </c>
      <c r="BI33" s="186"/>
      <c r="BJ33" s="187"/>
      <c r="BK33" s="188"/>
      <c r="BL33" s="189"/>
      <c r="BM33" s="4"/>
      <c r="BN33" s="199" t="s">
        <v>167</v>
      </c>
      <c r="BO33" s="200"/>
      <c r="BP33" s="201"/>
      <c r="BQ33" s="168" t="s">
        <v>119</v>
      </c>
      <c r="BR33" s="169"/>
      <c r="BS33" s="181"/>
      <c r="BT33" s="182" t="s">
        <v>179</v>
      </c>
      <c r="BU33" s="172">
        <v>8</v>
      </c>
      <c r="BV33" s="173">
        <f t="shared" si="7"/>
        <v>8</v>
      </c>
      <c r="BW33" s="212"/>
      <c r="BX33" s="185" t="s">
        <v>120</v>
      </c>
      <c r="BY33" s="186"/>
      <c r="BZ33" s="187"/>
      <c r="CA33" s="188"/>
      <c r="CB33" s="189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8"/>
        <v/>
      </c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172</v>
      </c>
      <c r="AY34" s="200"/>
      <c r="AZ34" s="201"/>
      <c r="BA34" s="168" t="s">
        <v>89</v>
      </c>
      <c r="BB34" s="169"/>
      <c r="BC34" s="181"/>
      <c r="BD34" s="182" t="s">
        <v>182</v>
      </c>
      <c r="BE34" s="172">
        <v>1</v>
      </c>
      <c r="BF34" s="173">
        <f t="shared" si="6"/>
        <v>1</v>
      </c>
      <c r="BG34" s="212"/>
      <c r="BH34" s="185"/>
      <c r="BI34" s="186"/>
      <c r="BJ34" s="187"/>
      <c r="BK34" s="188"/>
      <c r="BL34" s="189"/>
      <c r="BM34" s="4"/>
      <c r="BN34" s="199" t="str">
        <f t="shared" ref="BN22:BN60" si="10">IF(BQ34&gt;"",VLOOKUP(BQ34,PART_NAMA,3,FALSE),"")</f>
        <v/>
      </c>
      <c r="BO34" s="200"/>
      <c r="BP34" s="201"/>
      <c r="BQ34" s="168"/>
      <c r="BR34" s="169"/>
      <c r="BS34" s="181"/>
      <c r="BT34" s="182" t="str">
        <f t="shared" ref="BT22:BT57" si="11">IF(BQ34&gt;"",VLOOKUP(BQ34&amp;$M$10,PART_MASTER,3,FALSE),"")</f>
        <v/>
      </c>
      <c r="BU34" s="172"/>
      <c r="BV34" s="173" t="str">
        <f t="shared" si="7"/>
        <v/>
      </c>
      <c r="BW34" s="212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8"/>
        <v/>
      </c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173</v>
      </c>
      <c r="AY35" s="200"/>
      <c r="AZ35" s="201"/>
      <c r="BA35" s="168" t="s">
        <v>178</v>
      </c>
      <c r="BB35" s="169"/>
      <c r="BC35" s="181"/>
      <c r="BD35" s="182" t="s">
        <v>180</v>
      </c>
      <c r="BE35" s="172">
        <f>IF(h.2&gt;960,1,"")</f>
        <v>1</v>
      </c>
      <c r="BF35" s="173">
        <f t="shared" si="6"/>
        <v>1</v>
      </c>
      <c r="BG35" s="212"/>
      <c r="BH35" s="185"/>
      <c r="BI35" s="186"/>
      <c r="BJ35" s="187"/>
      <c r="BK35" s="188"/>
      <c r="BL35" s="189"/>
      <c r="BM35" s="4"/>
      <c r="BN35" s="199" t="str">
        <f t="shared" si="10"/>
        <v/>
      </c>
      <c r="BO35" s="200"/>
      <c r="BP35" s="201"/>
      <c r="BQ35" s="168"/>
      <c r="BR35" s="169"/>
      <c r="BS35" s="181"/>
      <c r="BT35" s="182" t="str">
        <f t="shared" si="11"/>
        <v/>
      </c>
      <c r="BU35" s="172"/>
      <c r="BV35" s="173" t="str">
        <f t="shared" si="7"/>
        <v/>
      </c>
      <c r="BW35" s="212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22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8"/>
        <v/>
      </c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174</v>
      </c>
      <c r="AY36" s="200"/>
      <c r="AZ36" s="201"/>
      <c r="BA36" s="168" t="s">
        <v>95</v>
      </c>
      <c r="BB36" s="169"/>
      <c r="BC36" s="181"/>
      <c r="BD36" s="182" t="s">
        <v>180</v>
      </c>
      <c r="BE36" s="172">
        <f>((W-41)+(h.2-36))*2/1000</f>
        <v>4.726</v>
      </c>
      <c r="BF36" s="173">
        <f t="shared" si="6"/>
        <v>4.726</v>
      </c>
      <c r="BG36" s="212" t="s">
        <v>96</v>
      </c>
      <c r="BH36" s="185"/>
      <c r="BI36" s="186"/>
      <c r="BJ36" s="187"/>
      <c r="BK36" s="188"/>
      <c r="BL36" s="189"/>
      <c r="BM36" s="4"/>
      <c r="BN36" s="199"/>
      <c r="BO36" s="200"/>
      <c r="BP36" s="201"/>
      <c r="BQ36" s="204"/>
      <c r="BR36" s="169"/>
      <c r="BS36" s="181"/>
      <c r="BT36" s="182"/>
      <c r="BU36" s="172"/>
      <c r="BV36" s="173"/>
      <c r="BW36" s="184"/>
      <c r="BX36" s="185"/>
      <c r="BY36" s="186"/>
      <c r="BZ36" s="187"/>
      <c r="CA36" s="205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8"/>
        <v/>
      </c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174</v>
      </c>
      <c r="AY37" s="200"/>
      <c r="AZ37" s="201"/>
      <c r="BA37" s="168" t="s">
        <v>101</v>
      </c>
      <c r="BB37" s="169"/>
      <c r="BC37" s="181"/>
      <c r="BD37" s="182" t="s">
        <v>180</v>
      </c>
      <c r="BE37" s="172">
        <f>(W-41)/1000</f>
        <v>0.95899999999999996</v>
      </c>
      <c r="BF37" s="173">
        <f t="shared" si="6"/>
        <v>0.95899999999999996</v>
      </c>
      <c r="BG37" s="212" t="s">
        <v>96</v>
      </c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205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8"/>
        <v/>
      </c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170</v>
      </c>
      <c r="AY38" s="200"/>
      <c r="AZ38" s="201"/>
      <c r="BA38" s="168" t="s">
        <v>102</v>
      </c>
      <c r="BB38" s="169"/>
      <c r="BC38" s="181"/>
      <c r="BD38" s="182" t="s">
        <v>180</v>
      </c>
      <c r="BE38" s="172">
        <f>((W-41)+(h.1-36))*2/1000</f>
        <v>2.8460000000000001</v>
      </c>
      <c r="BF38" s="173">
        <f t="shared" si="6"/>
        <v>2.8460000000000001</v>
      </c>
      <c r="BG38" s="212" t="s">
        <v>96</v>
      </c>
      <c r="BH38" s="185" t="s">
        <v>187</v>
      </c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8"/>
        <v/>
      </c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175</v>
      </c>
      <c r="AY39" s="200"/>
      <c r="AZ39" s="201"/>
      <c r="BA39" s="168" t="s">
        <v>97</v>
      </c>
      <c r="BB39" s="169"/>
      <c r="BC39" s="181"/>
      <c r="BD39" s="182" t="s">
        <v>180</v>
      </c>
      <c r="BE39" s="172">
        <v>2</v>
      </c>
      <c r="BF39" s="173">
        <f t="shared" si="6"/>
        <v>2</v>
      </c>
      <c r="BG39" s="212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165</v>
      </c>
      <c r="AY40" s="200"/>
      <c r="AZ40" s="201"/>
      <c r="BA40" s="168" t="s">
        <v>111</v>
      </c>
      <c r="BB40" s="169"/>
      <c r="BC40" s="181"/>
      <c r="BD40" s="182" t="s">
        <v>180</v>
      </c>
      <c r="BE40" s="183">
        <v>1</v>
      </c>
      <c r="BF40" s="173">
        <f t="shared" si="6"/>
        <v>1</v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126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 t="str">
        <f t="shared" ref="AX22:AX60" si="13">IF(BA41&gt;"",VLOOKUP(BA41,PART_NAMA,3,FALSE),"")</f>
        <v/>
      </c>
      <c r="AY41" s="200"/>
      <c r="AZ41" s="201"/>
      <c r="BA41" s="168"/>
      <c r="BB41" s="169"/>
      <c r="BC41" s="181"/>
      <c r="BD41" s="182" t="str">
        <f t="shared" ref="BD22:BD60" si="14">IF(BA41&gt;"",VLOOKUP(BA41&amp;$M$10,PART_MASTER,3,FALSE),"")</f>
        <v/>
      </c>
      <c r="BE41" s="183"/>
      <c r="BF41" s="173" t="str">
        <f t="shared" si="6"/>
        <v/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212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/>
      <c r="AY42" s="200"/>
      <c r="AZ42" s="201"/>
      <c r="BA42" s="204"/>
      <c r="BB42" s="169"/>
      <c r="BC42" s="181"/>
      <c r="BD42" s="182"/>
      <c r="BE42" s="172"/>
      <c r="BF42" s="173"/>
      <c r="BG42" s="184"/>
      <c r="BH42" s="185"/>
      <c r="BI42" s="186"/>
      <c r="BJ42" s="187"/>
      <c r="BK42" s="205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127</v>
      </c>
      <c r="C43" s="240"/>
      <c r="D43" s="240"/>
      <c r="E43" s="240"/>
      <c r="F43" s="241"/>
      <c r="G43" s="242"/>
      <c r="H43" s="243"/>
      <c r="I43" s="233"/>
      <c r="J43" s="244" t="s">
        <v>128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129</v>
      </c>
      <c r="C44" s="339" t="s">
        <v>130</v>
      </c>
      <c r="D44" s="340"/>
      <c r="E44" s="341"/>
      <c r="F44" s="339" t="s">
        <v>131</v>
      </c>
      <c r="G44" s="340"/>
      <c r="H44" s="341"/>
      <c r="I44" s="252"/>
      <c r="J44" s="253" t="s">
        <v>129</v>
      </c>
      <c r="K44" s="339" t="s">
        <v>130</v>
      </c>
      <c r="L44" s="340"/>
      <c r="M44" s="340"/>
      <c r="N44" s="341"/>
      <c r="O44" s="253" t="s">
        <v>132</v>
      </c>
      <c r="P44" s="254" t="s">
        <v>129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7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212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212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7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141</v>
      </c>
      <c r="AD48" s="272"/>
      <c r="AE48" s="273" t="s">
        <v>142</v>
      </c>
      <c r="AF48" s="274">
        <f>SUM(AF22:AF47)</f>
        <v>4.4273139999999991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141</v>
      </c>
      <c r="AT48" s="272"/>
      <c r="AU48" s="273" t="s">
        <v>142</v>
      </c>
      <c r="AV48" s="274">
        <f>SUM(AV22:AV47)</f>
        <v>2.8792355944399022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7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7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5" t="s">
        <v>145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146</v>
      </c>
      <c r="AE49" s="279" t="s">
        <v>147</v>
      </c>
      <c r="AF49" s="280">
        <f>AF48*0.986</f>
        <v>4.3653316039999988</v>
      </c>
      <c r="AG49" s="4"/>
      <c r="AH49" s="275" t="s">
        <v>145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146</v>
      </c>
      <c r="AU49" s="279" t="s">
        <v>147</v>
      </c>
      <c r="AV49" s="280">
        <f>AV48*0.986</f>
        <v>2.8389262961177435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7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7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1"/>
      <c r="S50" s="282"/>
      <c r="T50" s="282"/>
      <c r="U50" s="282"/>
      <c r="V50" s="282"/>
      <c r="W50" s="282"/>
      <c r="X50" s="282"/>
      <c r="Y50" s="282"/>
      <c r="Z50" s="283"/>
      <c r="AA50" s="283"/>
      <c r="AB50" s="4"/>
      <c r="AC50" s="277"/>
      <c r="AD50" s="284"/>
      <c r="AE50" s="279" t="s">
        <v>150</v>
      </c>
      <c r="AF50" s="280">
        <f>AF48*0.974*0.986</f>
        <v>4.2518329822959995</v>
      </c>
      <c r="AG50" s="4"/>
      <c r="AH50" s="285"/>
      <c r="AI50" s="4"/>
      <c r="AJ50" s="4"/>
      <c r="AK50" s="4"/>
      <c r="AL50" s="4"/>
      <c r="AM50" s="4"/>
      <c r="AN50" s="4"/>
      <c r="AO50" s="4"/>
      <c r="AR50" s="4"/>
      <c r="AS50" s="277"/>
      <c r="AT50" s="284"/>
      <c r="AU50" s="279" t="s">
        <v>150</v>
      </c>
      <c r="AV50" s="280">
        <f>AV48*0.974*0.986</f>
        <v>2.7651142124186818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7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7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6"/>
      <c r="S51" s="287"/>
      <c r="T51" s="4"/>
      <c r="V51" s="4"/>
      <c r="W51" s="4"/>
      <c r="X51" s="4"/>
      <c r="Y51" s="4"/>
      <c r="AB51" s="4"/>
      <c r="AC51" s="4"/>
      <c r="AD51" s="4"/>
      <c r="AE51" s="4"/>
      <c r="AF51" s="288"/>
      <c r="AG51" s="4"/>
      <c r="AH51" s="285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8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7"/>
        <v/>
      </c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9" t="s">
        <v>153</v>
      </c>
      <c r="C52" s="290"/>
      <c r="D52" s="291"/>
      <c r="E52" s="291"/>
      <c r="F52" s="291"/>
      <c r="G52" s="291"/>
      <c r="H52" s="291"/>
      <c r="I52" s="267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5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8"/>
      <c r="AG52" s="4"/>
      <c r="AH52" s="285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8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2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3" t="s">
        <v>155</v>
      </c>
      <c r="C53" s="267"/>
      <c r="D53" s="267"/>
      <c r="E53" s="267"/>
      <c r="F53" s="267"/>
      <c r="G53" s="267"/>
      <c r="H53" s="267"/>
      <c r="I53" s="267"/>
      <c r="J53" s="294"/>
      <c r="K53" s="295"/>
      <c r="L53" s="295"/>
      <c r="M53" s="295"/>
      <c r="N53" s="296"/>
      <c r="O53" s="297"/>
      <c r="P53" s="298"/>
      <c r="Q53" s="4"/>
      <c r="R53" s="285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8"/>
      <c r="AG53" s="4"/>
      <c r="AH53" s="285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8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2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9" t="s">
        <v>156</v>
      </c>
      <c r="C54" s="267"/>
      <c r="D54" s="267"/>
      <c r="E54" s="267"/>
      <c r="F54" s="267"/>
      <c r="G54" s="267"/>
      <c r="H54" s="267"/>
      <c r="I54" s="267"/>
      <c r="J54" s="300"/>
      <c r="K54" s="301"/>
      <c r="L54" s="301"/>
      <c r="M54" s="301"/>
      <c r="N54" s="302"/>
      <c r="O54" s="303"/>
      <c r="P54" s="304"/>
      <c r="Q54" s="4"/>
      <c r="R54" s="285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8"/>
      <c r="AG54" s="4"/>
      <c r="AH54" s="285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8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2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9" t="s">
        <v>157</v>
      </c>
      <c r="C55" s="267"/>
      <c r="D55" s="267"/>
      <c r="E55" s="267"/>
      <c r="F55" s="267"/>
      <c r="G55" s="267"/>
      <c r="H55" s="267"/>
      <c r="I55" s="267"/>
      <c r="J55" s="305" t="s">
        <v>158</v>
      </c>
      <c r="K55" s="297"/>
      <c r="L55" s="291"/>
      <c r="M55" s="291"/>
      <c r="N55" s="306"/>
      <c r="O55" s="259"/>
      <c r="P55" s="307"/>
      <c r="Q55" s="4"/>
      <c r="R55" s="285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8"/>
      <c r="AG55" s="4"/>
      <c r="AH55" s="285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8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8"/>
      <c r="C56" s="267"/>
      <c r="D56" s="267"/>
      <c r="E56" s="267"/>
      <c r="F56" s="267"/>
      <c r="G56" s="267"/>
      <c r="H56" s="267"/>
      <c r="I56" s="267"/>
      <c r="J56" s="309" t="s">
        <v>159</v>
      </c>
      <c r="K56" s="310"/>
      <c r="L56" s="310"/>
      <c r="M56" s="310"/>
      <c r="N56" s="311"/>
      <c r="O56" s="312" t="s">
        <v>160</v>
      </c>
      <c r="P56" s="313"/>
      <c r="Q56" s="4"/>
      <c r="R56" s="285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8"/>
      <c r="AG56" s="4"/>
      <c r="AH56" s="285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8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4"/>
      <c r="C57" s="315"/>
      <c r="D57" s="315"/>
      <c r="E57" s="315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6"/>
      <c r="Q57" s="4"/>
      <c r="R57" s="285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8"/>
      <c r="AG57" s="4"/>
      <c r="AH57" s="285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8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4"/>
      <c r="C58" s="315"/>
      <c r="D58" s="315"/>
      <c r="E58" s="315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6"/>
      <c r="Q58" s="4"/>
      <c r="R58" s="285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8"/>
      <c r="AG58" s="4"/>
      <c r="AH58" s="285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8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2"/>
      <c r="BR58" s="169"/>
      <c r="BS58" s="181"/>
      <c r="BT58" s="182" t="str">
        <f t="shared" ref="BT58" si="15">IF(BQ58&gt;"",VLOOKUP(BQ58&amp;$M$10,PART_MASTER,3,FALSE),"")</f>
        <v/>
      </c>
      <c r="BU58" s="172"/>
      <c r="BV58" s="173" t="str">
        <f t="shared" si="7"/>
        <v/>
      </c>
      <c r="BW58" s="184"/>
      <c r="BX58" s="250"/>
      <c r="BY58" s="186"/>
      <c r="BZ58" s="187"/>
      <c r="CA58" s="205"/>
      <c r="CB58" s="317"/>
      <c r="CG58" s="3"/>
    </row>
    <row r="59" spans="2:120" ht="15" customHeight="1" x14ac:dyDescent="0.25">
      <c r="B59" s="314"/>
      <c r="C59" s="315"/>
      <c r="D59" s="315"/>
      <c r="E59" s="315"/>
      <c r="F59" s="315"/>
      <c r="G59" s="315"/>
      <c r="H59" s="315"/>
      <c r="I59" s="267"/>
      <c r="J59" s="267"/>
      <c r="K59" s="267"/>
      <c r="L59" s="318"/>
      <c r="M59" s="318"/>
      <c r="N59" s="318"/>
      <c r="O59" s="318"/>
      <c r="P59" s="316"/>
      <c r="Q59" s="4"/>
      <c r="R59" s="285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8"/>
      <c r="AG59" s="4"/>
      <c r="AH59" s="285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8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6">IF(BQ59&gt;"",VLOOKUP(BQ59&amp;$M$10,PART_MASTER,3,FALSE),"")</f>
        <v/>
      </c>
      <c r="BU59" s="172"/>
      <c r="BV59" s="173" t="str">
        <f t="shared" si="7"/>
        <v/>
      </c>
      <c r="BW59" s="184"/>
      <c r="BX59" s="250"/>
      <c r="BY59" s="186"/>
      <c r="BZ59" s="187"/>
      <c r="CA59" s="205"/>
      <c r="CB59" s="317"/>
    </row>
    <row r="60" spans="2:120" ht="15" customHeight="1" thickBot="1" x14ac:dyDescent="0.3">
      <c r="B60" s="319"/>
      <c r="C60" s="320"/>
      <c r="D60" s="320"/>
      <c r="E60" s="320"/>
      <c r="F60" s="320"/>
      <c r="G60" s="320"/>
      <c r="H60" s="320"/>
      <c r="I60" s="320"/>
      <c r="J60" s="320"/>
      <c r="K60" s="320"/>
      <c r="L60" s="320" t="s">
        <v>161</v>
      </c>
      <c r="M60" s="320"/>
      <c r="N60" s="320"/>
      <c r="O60" s="320"/>
      <c r="P60" s="321"/>
      <c r="Q60" s="4"/>
      <c r="R60" s="322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4"/>
      <c r="AG60" s="4"/>
      <c r="AH60" s="322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4"/>
      <c r="AW60" s="4"/>
      <c r="AX60" s="213" t="str">
        <f t="shared" si="13"/>
        <v/>
      </c>
      <c r="AY60" s="200"/>
      <c r="AZ60" s="201"/>
      <c r="BA60" s="168"/>
      <c r="BB60" s="169"/>
      <c r="BC60" s="181"/>
      <c r="BD60" s="182" t="str">
        <f t="shared" si="14"/>
        <v/>
      </c>
      <c r="BE60" s="172"/>
      <c r="BF60" s="173" t="str">
        <f t="shared" si="6"/>
        <v/>
      </c>
      <c r="BG60" s="184"/>
      <c r="BH60" s="250"/>
      <c r="BI60" s="186"/>
      <c r="BJ60" s="187"/>
      <c r="BK60" s="205"/>
      <c r="BL60" s="317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7">IF(BQ60&gt;"",VLOOKUP(BQ60&amp;$M$10,PART_MASTER,3,FALSE),"")</f>
        <v/>
      </c>
      <c r="BU60" s="172"/>
      <c r="BV60" s="173" t="str">
        <f t="shared" ref="BV60" si="18">IF(BU60="","",Q*BU60)</f>
        <v/>
      </c>
      <c r="BW60" s="184"/>
      <c r="BX60" s="250"/>
      <c r="BY60" s="186"/>
      <c r="BZ60" s="187"/>
      <c r="CA60" s="205"/>
      <c r="CB60" s="317"/>
      <c r="CG60" s="3"/>
    </row>
    <row r="61" spans="2:120" ht="15" customHeight="1" x14ac:dyDescent="0.3">
      <c r="P61" s="325" t="s">
        <v>162</v>
      </c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5" t="s">
        <v>162</v>
      </c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5" t="s">
        <v>162</v>
      </c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5" t="s">
        <v>162</v>
      </c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5" t="s">
        <v>162</v>
      </c>
    </row>
    <row r="62" spans="2:120" x14ac:dyDescent="0.25">
      <c r="BT62" s="283" t="s">
        <v>163</v>
      </c>
    </row>
    <row r="63" spans="2:120" x14ac:dyDescent="0.25">
      <c r="BT63" s="327"/>
    </row>
    <row r="64" spans="2:120" x14ac:dyDescent="0.25">
      <c r="BT64" s="327" t="s">
        <v>163</v>
      </c>
    </row>
    <row r="65" spans="72:72" x14ac:dyDescent="0.25">
      <c r="BT65" s="327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</vt:lpstr>
      <vt:lpstr>'FIX_CAR-KD'!A.</vt:lpstr>
      <vt:lpstr>'FIX_CAR-KD'!C.</vt:lpstr>
      <vt:lpstr>'FIX_CAR-KD'!F.</vt:lpstr>
      <vt:lpstr>'FIX_CAR-KD'!GCS</vt:lpstr>
      <vt:lpstr>'FIX_CAR-KD'!GTH</vt:lpstr>
      <vt:lpstr>'FIX_CAR-KD'!H</vt:lpstr>
      <vt:lpstr>'FIX_CAR-KD'!h.1</vt:lpstr>
      <vt:lpstr>'FIX_CAR-KD'!h.10</vt:lpstr>
      <vt:lpstr>'FIX_CAR-KD'!h.2</vt:lpstr>
      <vt:lpstr>'FIX_CAR-KD'!h.3</vt:lpstr>
      <vt:lpstr>'FIX_CAR-KD'!h.4</vt:lpstr>
      <vt:lpstr>'FIX_CAR-KD'!h.5</vt:lpstr>
      <vt:lpstr>'FIX_CAR-KD'!h.6</vt:lpstr>
      <vt:lpstr>'FIX_CAR-KD'!h.7</vt:lpstr>
      <vt:lpstr>'FIX_CAR-KD'!h.8</vt:lpstr>
      <vt:lpstr>'FIX_CAR-KD'!h.9</vt:lpstr>
      <vt:lpstr>'FIX_CAR-KD'!HS</vt:lpstr>
      <vt:lpstr>'FIX_CAR-KD'!HS.1</vt:lpstr>
      <vt:lpstr>'FIX_CAR-KD'!HS.2</vt:lpstr>
      <vt:lpstr>'FIX_CAR-KD'!HS.3</vt:lpstr>
      <vt:lpstr>'FIX_CAR-KD'!HS.4</vt:lpstr>
      <vt:lpstr>'FIX_CAR-KD'!HS.5</vt:lpstr>
      <vt:lpstr>'FIX_CAR-KD'!Print_Area</vt:lpstr>
      <vt:lpstr>'FIX_CAR-KD'!Q</vt:lpstr>
      <vt:lpstr>'FIX_CAR-KD'!R.</vt:lpstr>
      <vt:lpstr>'FIX_CAR-KD'!W</vt:lpstr>
      <vt:lpstr>'FIX_CAR-KD'!w.1</vt:lpstr>
      <vt:lpstr>'FIX_CAR-KD'!w.10</vt:lpstr>
      <vt:lpstr>'FIX_CAR-KD'!w.2</vt:lpstr>
      <vt:lpstr>'FIX_CAR-KD'!w.3</vt:lpstr>
      <vt:lpstr>'FIX_CAR-KD'!w.4</vt:lpstr>
      <vt:lpstr>'FIX_CAR-KD'!w.5</vt:lpstr>
      <vt:lpstr>'FIX_CAR-KD'!w.6</vt:lpstr>
      <vt:lpstr>'FIX_CAR-KD'!w.7</vt:lpstr>
      <vt:lpstr>'FIX_CAR-KD'!w.8</vt:lpstr>
      <vt:lpstr>'FIX_CAR-KD'!w.9</vt:lpstr>
      <vt:lpstr>'FIX_CAR-KD'!WS</vt:lpstr>
      <vt:lpstr>'FIX_CAR-KD'!WS.1</vt:lpstr>
      <vt:lpstr>'FIX_CAR-KD'!WS.2</vt:lpstr>
      <vt:lpstr>'FIX_CAR-KD'!WS.3</vt:lpstr>
      <vt:lpstr>'FIX_CAR-KD'!WS.4</vt:lpstr>
      <vt:lpstr>'FIX_CAR-KD'!WS.5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2024-07-30T04:34:32Z</dcterms:created>
  <dcterms:modified xsi:type="dcterms:W3CDTF">2024-08-19T09:07:11Z</dcterms:modified>
</cp:coreProperties>
</file>