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4EF0A2F3-98AE-451C-89DB-81F5C4C3E27B}" xr6:coauthVersionLast="47" xr6:coauthVersionMax="47" xr10:uidLastSave="{00000000-0000-0000-0000-000000000000}"/>
  <bookViews>
    <workbookView xWindow="-108" yWindow="-108" windowWidth="23256" windowHeight="12456" xr2:uid="{522E7E0B-79D8-4526-A498-F230CAE5E319}"/>
  </bookViews>
  <sheets>
    <sheet name="FIX_DOOR-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'FIX_DOOR-CR'!$P$18</definedName>
    <definedName name="BD">"BD"</definedName>
    <definedName name="C." localSheetId="0">'FIX_DOOR-CR'!$P$17</definedName>
    <definedName name="F." localSheetId="0">'FIX_DOOR-CR'!$P$16</definedName>
    <definedName name="GCS" localSheetId="0">'FIX_DOOR-CR'!$O$12</definedName>
    <definedName name="GTH" localSheetId="0">'FIX_DOOR-CR'!$O$11</definedName>
    <definedName name="H" localSheetId="0">'FIX_DOOR-CR'!$E$12</definedName>
    <definedName name="h.1" localSheetId="0">'FIX_DOOR-CR'!$C$14</definedName>
    <definedName name="h.10" localSheetId="0">'FIX_DOOR-CR'!$E$18</definedName>
    <definedName name="h.2" localSheetId="0">'FIX_DOOR-CR'!$C$15</definedName>
    <definedName name="h.3" localSheetId="0">'FIX_DOOR-CR'!$C$16</definedName>
    <definedName name="h.4" localSheetId="0">'FIX_DOOR-CR'!$C$17</definedName>
    <definedName name="h.5" localSheetId="0">'FIX_DOOR-CR'!$C$18</definedName>
    <definedName name="h.6" localSheetId="0">'FIX_DOOR-CR'!$E$14</definedName>
    <definedName name="h.7" localSheetId="0">'FIX_DOOR-CR'!$E$15</definedName>
    <definedName name="h.8" localSheetId="0">'FIX_DOOR-CR'!$E$16</definedName>
    <definedName name="h.9" localSheetId="0">'FIX_DOOR-CR'!$E$17</definedName>
    <definedName name="HS" localSheetId="0">'FIX_DOOR-CR'!$H$12</definedName>
    <definedName name="HS.1" localSheetId="0">'FIX_DOOR-CR'!$L$14</definedName>
    <definedName name="HS.2" localSheetId="0">'FIX_DOOR-CR'!$L$15</definedName>
    <definedName name="HS.3" localSheetId="0">'FIX_DOOR-CR'!$L$16</definedName>
    <definedName name="HS.4" localSheetId="0">'FIX_DOOR-CR'!$L$17</definedName>
    <definedName name="HS.5" localSheetId="0">'FIX_DOOR-CR'!$L$18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'FIX_DOOR-CR'!$1:$61</definedName>
    <definedName name="Q" localSheetId="0">'FIX_DOOR-CR'!$I$11</definedName>
    <definedName name="R." localSheetId="0">'FIX_DOOR-CR'!$C$62</definedName>
    <definedName name="st" hidden="1">[6]Gra_Ord_In_2000!$BA$12:$BA$1655</definedName>
    <definedName name="W" localSheetId="0">'FIX_DOOR-CR'!$E$11</definedName>
    <definedName name="w.1" localSheetId="0">'FIX_DOOR-CR'!$H$14</definedName>
    <definedName name="w.10" localSheetId="0">'FIX_DOOR-CR'!$J$18</definedName>
    <definedName name="w.2" localSheetId="0">'FIX_DOOR-CR'!$H$15</definedName>
    <definedName name="w.3" localSheetId="0">'FIX_DOOR-CR'!$H$16</definedName>
    <definedName name="w.4" localSheetId="0">'FIX_DOOR-CR'!$H$17</definedName>
    <definedName name="w.5" localSheetId="0">'FIX_DOOR-CR'!$H$18</definedName>
    <definedName name="w.6" localSheetId="0">'FIX_DOOR-CR'!$J$14</definedName>
    <definedName name="w.7" localSheetId="0">'FIX_DOOR-CR'!$J$15</definedName>
    <definedName name="w.8" localSheetId="0">'FIX_DOOR-CR'!$J$16</definedName>
    <definedName name="w.9" localSheetId="0">'FIX_DOOR-CR'!$J$17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'FIX_DOOR-CR'!$L$12</definedName>
    <definedName name="WS.1" localSheetId="0">'FIX_DOOR-CR'!$N$14</definedName>
    <definedName name="WS.2" localSheetId="0">'FIX_DOOR-CR'!$N$15</definedName>
    <definedName name="WS.3" localSheetId="0">'FIX_DOOR-CR'!$N$16</definedName>
    <definedName name="WS.4" localSheetId="0">'FIX_DOOR-CR'!$N$17</definedName>
    <definedName name="WS.5" localSheetId="0">'FIX_DOOR-CR'!$N$18</definedName>
    <definedName name="Z_8BD11290_77B3_4D27_9040_BB9D2A7264B2_.wvu.PrintArea" localSheetId="0" hidden="1">'FIX_DOOR-CR'!$1:$61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V32" i="1" s="1"/>
  <c r="BQ32" i="1"/>
  <c r="BE33" i="1"/>
  <c r="BE32" i="1"/>
  <c r="BE27" i="1"/>
  <c r="BF27" i="1" s="1"/>
  <c r="BE26" i="1"/>
  <c r="BF26" i="1" s="1"/>
  <c r="BA26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BF38" i="1"/>
  <c r="BD38" i="1"/>
  <c r="AX38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BV36" i="1"/>
  <c r="BT36" i="1"/>
  <c r="BN36" i="1"/>
  <c r="AV36" i="1"/>
  <c r="AU36" i="1"/>
  <c r="AP36" i="1"/>
  <c r="AL36" i="1"/>
  <c r="AF36" i="1"/>
  <c r="AE36" i="1"/>
  <c r="Z36" i="1"/>
  <c r="V36" i="1"/>
  <c r="BV35" i="1"/>
  <c r="BT35" i="1"/>
  <c r="BN35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V33" i="1"/>
  <c r="BF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V27" i="1"/>
  <c r="AV27" i="1"/>
  <c r="AU27" i="1"/>
  <c r="AP27" i="1"/>
  <c r="AL27" i="1"/>
  <c r="AF27" i="1"/>
  <c r="AE27" i="1"/>
  <c r="Z27" i="1"/>
  <c r="X27" i="1"/>
  <c r="V27" i="1"/>
  <c r="BV26" i="1"/>
  <c r="AV26" i="1"/>
  <c r="AU26" i="1"/>
  <c r="AP26" i="1"/>
  <c r="AL26" i="1"/>
  <c r="AF26" i="1"/>
  <c r="AE26" i="1"/>
  <c r="Z26" i="1"/>
  <c r="X26" i="1"/>
  <c r="V26" i="1"/>
  <c r="BV25" i="1"/>
  <c r="BF25" i="1"/>
  <c r="AU25" i="1"/>
  <c r="AR25" i="1"/>
  <c r="AP25" i="1"/>
  <c r="AL25" i="1"/>
  <c r="AF25" i="1"/>
  <c r="AE25" i="1"/>
  <c r="AB25" i="1"/>
  <c r="Z25" i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AV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BV34" i="1" s="1"/>
  <c r="L14" i="1"/>
  <c r="AB14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Z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T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W9" i="1"/>
  <c r="BK9" i="1"/>
  <c r="BA9" i="1"/>
  <c r="AU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BA3" i="1"/>
  <c r="AK3" i="1"/>
  <c r="U3" i="1"/>
  <c r="E3" i="1"/>
  <c r="BQ3" i="1" s="1"/>
  <c r="AF2" i="1"/>
  <c r="AV2" i="1" s="1"/>
  <c r="BL2" i="1" s="1"/>
  <c r="CB2" i="1" s="1"/>
  <c r="AE4" i="1" l="1"/>
  <c r="CA4" i="1"/>
  <c r="AU4" i="1"/>
  <c r="AF48" i="1"/>
  <c r="AV23" i="1"/>
  <c r="BX14" i="1"/>
  <c r="AN22" i="1"/>
  <c r="AV22" i="1" s="1"/>
  <c r="BJ14" i="1"/>
  <c r="BL18" i="1"/>
  <c r="AN23" i="1"/>
  <c r="AQ9" i="1"/>
  <c r="AD11" i="1"/>
  <c r="BH14" i="1"/>
  <c r="BZ14" i="1"/>
  <c r="CB18" i="1"/>
  <c r="AN25" i="1"/>
  <c r="AV25" i="1" s="1"/>
  <c r="AA10" i="1"/>
  <c r="BJ11" i="1"/>
  <c r="AR14" i="1"/>
  <c r="AN24" i="1"/>
  <c r="AV24" i="1" s="1"/>
  <c r="BG9" i="1"/>
  <c r="AT14" i="1"/>
  <c r="AD14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3B20317-F45A-4AFF-A385-49F559E9AA8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4F163C8-497B-43FF-82B2-885A95BA26D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BEC73406-EFE8-4D19-9C25-78866D7636A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<sst xmlns="http://schemas.openxmlformats.org/spreadsheetml/2006/main" count="518" uniqueCount="183">
  <si>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</si>
  <si>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</si>
  <si>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</si>
  <si>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</si>
  <si>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</si>
  <si>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</si>
  <si>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</si>
  <si>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</si>
  <si>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</si>
  <si>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</si>
  <si>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</si>
  <si>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</si>
  <si>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</si>
  <si>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</si>
  <si>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</si>
  <si>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DOOR-CR IH</t>
  </si>
  <si>
    <t>Delivery Date</t>
  </si>
  <si>
    <t>Elevation Code</t>
  </si>
  <si>
    <t>52PR/F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</si>
  <si>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</si>
  <si>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</si>
  <si>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</si>
  <si>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U9D-81013</t>
  </si>
  <si>
    <t>Unit Code</t>
  </si>
  <si>
    <r>
      <t xml:space="preserve">H </t>
    </r>
    <r>
      <rPr>
        <sz val="10"/>
        <rFont val="Arial"/>
        <family val="2"/>
      </rPr>
      <t>item</t>
    </r>
  </si>
  <si>
    <t>U9D-80005</t>
  </si>
  <si>
    <t>52PR-I/N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</si>
  <si>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</si>
  <si>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</si>
  <si>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</si>
  <si>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</si>
  <si>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</si>
  <si>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</si>
  <si>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</si>
  <si>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</si>
  <si>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</si>
  <si>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</si>
  <si>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</si>
  <si>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</si>
  <si>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</si>
  <si>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</si>
  <si>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</si>
  <si>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</si>
  <si>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</si>
  <si>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</si>
  <si>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</si>
  <si>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</si>
  <si>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</si>
  <si>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</si>
  <si>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</si>
  <si>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</si>
  <si>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</si>
  <si>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</si>
  <si>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</si>
  <si>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</si>
  <si>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</si>
  <si>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</si>
  <si>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</si>
  <si>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</si>
  <si>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</si>
  <si>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</si>
  <si>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</si>
  <si>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</si>
  <si>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</si>
  <si>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</si>
  <si>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</si>
  <si>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</si>
  <si>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</si>
  <si>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</si>
  <si>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</si>
  <si>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</si>
  <si>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</si>
  <si>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</si>
  <si>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</si>
  <si>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</si>
  <si>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</si>
  <si>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</si>
  <si>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</si>
  <si>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</si>
  <si>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</si>
  <si>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</si>
  <si>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</si>
  <si>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</si>
  <si>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</si>
  <si>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</si>
  <si>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9K-13470</t>
  </si>
  <si>
    <t>9K-11415</t>
  </si>
  <si>
    <t>TRANSOM</t>
  </si>
  <si>
    <t>9K-87131</t>
  </si>
  <si>
    <t>BOTTOM RAIL</t>
  </si>
  <si>
    <t>9K-11369</t>
  </si>
  <si>
    <t>9K-11374</t>
  </si>
  <si>
    <t>JAMB(L)</t>
  </si>
  <si>
    <t>9K-87149</t>
  </si>
  <si>
    <t>HINGE STILE</t>
  </si>
  <si>
    <t>9K-87148</t>
  </si>
  <si>
    <t>9K-10707</t>
  </si>
  <si>
    <t>9K-11370</t>
  </si>
  <si>
    <t>JAMB(R)</t>
  </si>
  <si>
    <t>LOCK STILE</t>
  </si>
  <si>
    <t>9K-20849</t>
  </si>
  <si>
    <t>9K-30180</t>
  </si>
  <si>
    <t>GLASS BEAD</t>
  </si>
  <si>
    <t>9K-87119</t>
  </si>
  <si>
    <t>9K-20850</t>
  </si>
  <si>
    <t>9K-20669</t>
  </si>
  <si>
    <t>2K-22464</t>
  </si>
  <si>
    <t>M</t>
  </si>
  <si>
    <t>9K-20623</t>
  </si>
  <si>
    <t>2K-22277</t>
  </si>
  <si>
    <t>MS-4010</t>
  </si>
  <si>
    <t>9K-20856</t>
  </si>
  <si>
    <t>EF-4010D7</t>
  </si>
  <si>
    <t>9K-30241</t>
  </si>
  <si>
    <t>EF-4012D7</t>
  </si>
  <si>
    <t>BM-4070G</t>
  </si>
  <si>
    <t>FOR JOINT FRAME</t>
  </si>
  <si>
    <t>S</t>
  </si>
  <si>
    <t>FOR HINGE</t>
  </si>
  <si>
    <t>BM-4025G</t>
  </si>
  <si>
    <t>K-6519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</si>
  <si>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</si>
  <si>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</si>
  <si>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</si>
  <si>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</si>
  <si>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</si>
  <si>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</si>
  <si>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</si>
  <si>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</si>
  <si>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</si>
  <si>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</si>
  <si>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</si>
  <si>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</si>
  <si>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</si>
  <si>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</si>
  <si>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</si>
  <si>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</si>
  <si>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</si>
  <si>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</si>
  <si>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</si>
  <si>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</si>
  <si>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</si>
  <si>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</si>
  <si>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</si>
  <si>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</si>
  <si>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</si>
  <si>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</si>
  <si>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</si>
  <si>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</si>
  <si>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</si>
  <si>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</si>
  <si>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</si>
  <si>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</si>
  <si>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</si>
  <si>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</si>
  <si>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</si>
  <si>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</si>
  <si>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</si>
  <si>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</si>
  <si>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</si>
  <si>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</si>
  <si>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HINGE</t>
  </si>
  <si>
    <t>SCREW</t>
  </si>
  <si>
    <t>GASKET</t>
  </si>
  <si>
    <t>HOLE CAP</t>
  </si>
  <si>
    <t>BACKPLATE</t>
  </si>
  <si>
    <t>CAULKING RECEIVER</t>
  </si>
  <si>
    <t>SEALER PAD</t>
  </si>
  <si>
    <t>AT MATERIAL</t>
  </si>
  <si>
    <t>SETTING BLOCK</t>
  </si>
  <si>
    <t>LABEL</t>
  </si>
  <si>
    <t>YS</t>
  </si>
  <si>
    <t>Y</t>
  </si>
  <si>
    <t>YK</t>
  </si>
  <si>
    <t>FOR BACK P, LOCK REC</t>
  </si>
  <si>
    <t>FOR JAMB(L), JAMB(R)</t>
  </si>
  <si>
    <t>FOR OUTSIDE</t>
  </si>
  <si>
    <t>HANDLE SET</t>
  </si>
  <si>
    <t>REINFORCEMENT</t>
  </si>
  <si>
    <t>DOOR CAP</t>
  </si>
  <si>
    <t>DG</t>
  </si>
  <si>
    <t>FOR BACK P, CAP, REINFORCE</t>
  </si>
  <si>
    <t>FOR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</si>
</sst>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3752C3AB-1D06-4B5F-A018-ADFA0F8554F5}"/>
    <cellStyle name="Normal" xfId="0" builtinId="0"/>
    <cellStyle name="Normal 10" xfId="2" xr:uid="{418E2CA2-285D-4374-B3E7-C58EEBB231F1}"/>
    <cellStyle name="Normal 2" xfId="1" xr:uid="{2A2588EA-0B60-4A2E-8CFE-3F3E26E34F77}"/>
    <cellStyle name="Normal 5" xfId="4" xr:uid="{352FC4F5-5868-4B0B-ABBF-A3A813882F10}"/>
    <cellStyle name="Normal_COBA 2" xfId="5" xr:uid="{9DB6E5BA-D448-4858-B4B8-BE5531D68A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185059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BCD55F6-3522-41F8-96AE-EB1B9A6A4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1828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09A9187B-4B81-4FE2-96A2-6EDADE838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047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571500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E7C1D336-D1EC-4416-92C4-DCF56F08A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686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E393214B-8A8F-487D-B7DC-BA8ED137E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9340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20A2369D-0FB9-42D8-8AB8-304EE7DDD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295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24492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F4488EBE-C439-4DC0-AD6A-19FF4EEEE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9637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50884C6A-FFA4-4BF2-BFE7-577624AA5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1321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</xdr:colOff>
      <xdr:row>22</xdr:row>
      <xdr:rowOff>0</xdr:rowOff>
    </xdr:from>
    <xdr:to>
      <xdr:col>11</xdr:col>
      <xdr:colOff>217647</xdr:colOff>
      <xdr:row>38</xdr:row>
      <xdr:rowOff>28790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243180F1-6F6E-4DBA-A7D6-A725D5CF8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1" y="4107180"/>
          <a:ext cx="2191226" cy="3069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BC4F-3D47-402F-ADE0-2F58F124C277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30" sqref="R30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9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45525.663481249998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45525.663481249998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45525.663481249998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45525.663481249998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45525.663481249998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DOOR-CR IH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DOOR-CR IH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DOOR-CR IH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DOOR-CR IH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52PR/F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52PR/F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52PR/F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52PR/F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6">
        <f>W</f>
        <v>1000</v>
      </c>
      <c r="L9" s="337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52PR/F</v>
      </c>
      <c r="V9" s="37"/>
      <c r="W9" s="56"/>
      <c r="X9" s="63"/>
      <c r="Y9" s="63"/>
      <c r="Z9" s="64" t="s">
        <v>21</v>
      </c>
      <c r="AA9" s="336">
        <f>$K$9</f>
        <v>1000</v>
      </c>
      <c r="AB9" s="337"/>
      <c r="AC9" s="66"/>
      <c r="AD9" s="62"/>
      <c r="AE9" s="60" t="str">
        <f>IF($O$9&gt;0,$O$9,"")</f>
        <v>U9D-81013</v>
      </c>
      <c r="AF9" s="61"/>
      <c r="AG9" s="3"/>
      <c r="AH9" s="54" t="s">
        <v>20</v>
      </c>
      <c r="AI9" s="37"/>
      <c r="AJ9" s="38"/>
      <c r="AK9" s="55" t="str">
        <f>IF($E$9&gt;0,$E$9,"")</f>
        <v>52PR/F</v>
      </c>
      <c r="AL9" s="37"/>
      <c r="AM9" s="56"/>
      <c r="AN9" s="63"/>
      <c r="AO9" s="63"/>
      <c r="AP9" s="64" t="s">
        <v>21</v>
      </c>
      <c r="AQ9" s="336">
        <f>$K$9</f>
        <v>1000</v>
      </c>
      <c r="AR9" s="337"/>
      <c r="AS9" s="66"/>
      <c r="AT9" s="62"/>
      <c r="AU9" s="60" t="str">
        <f>IF($O$9&gt;0,$O$9,"")</f>
        <v>U9D-81013</v>
      </c>
      <c r="AV9" s="61"/>
      <c r="AW9" s="3"/>
      <c r="AX9" s="54" t="s">
        <v>20</v>
      </c>
      <c r="AY9" s="37"/>
      <c r="AZ9" s="38"/>
      <c r="BA9" s="55" t="str">
        <f>IF(E9&gt;0,E9,"")</f>
        <v>52PR/F</v>
      </c>
      <c r="BB9" s="37"/>
      <c r="BC9" s="56"/>
      <c r="BD9" s="63"/>
      <c r="BE9" s="63"/>
      <c r="BF9" s="64" t="s">
        <v>21</v>
      </c>
      <c r="BG9" s="336">
        <f>$K$9</f>
        <v>1000</v>
      </c>
      <c r="BH9" s="337"/>
      <c r="BI9" s="66"/>
      <c r="BJ9" s="62"/>
      <c r="BK9" s="60" t="str">
        <f>IF($O$9&gt;0,$O$9,"")</f>
        <v>U9D-81013</v>
      </c>
      <c r="BL9" s="61"/>
      <c r="BM9" s="3"/>
      <c r="BN9" s="54" t="s">
        <v>20</v>
      </c>
      <c r="BO9" s="37"/>
      <c r="BP9" s="38"/>
      <c r="BQ9" s="55" t="str">
        <f>IF(U9&gt;0,U9,"")</f>
        <v>52PR/F</v>
      </c>
      <c r="BR9" s="37"/>
      <c r="BS9" s="56"/>
      <c r="BT9" s="63"/>
      <c r="BU9" s="63"/>
      <c r="BV9" s="64" t="s">
        <v>21</v>
      </c>
      <c r="BW9" s="336">
        <f>$K$9</f>
        <v>1000</v>
      </c>
      <c r="BX9" s="337"/>
      <c r="BY9" s="66"/>
      <c r="BZ9" s="62"/>
      <c r="CA9" s="60" t="str">
        <f>IF($O$9&gt;0,$O$9,"")</f>
        <v>U9D-81013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6">
        <f>H</f>
        <v>3000</v>
      </c>
      <c r="L10" s="338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6">
        <f>$K$10</f>
        <v>3000</v>
      </c>
      <c r="AB10" s="337"/>
      <c r="AC10" s="66"/>
      <c r="AD10" s="62"/>
      <c r="AE10" s="60" t="str">
        <f>IF($O$10&gt;0,$O$10,"")</f>
        <v>U9D-80005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36">
        <f>$K$10</f>
        <v>3000</v>
      </c>
      <c r="AR10" s="337"/>
      <c r="AS10" s="66"/>
      <c r="AT10" s="62"/>
      <c r="AU10" s="60" t="str">
        <f>IF($O$10&gt;0,$O$10,"")</f>
        <v>U9D-80005</v>
      </c>
      <c r="AV10" s="61"/>
      <c r="AW10" s="3"/>
      <c r="AX10" s="54" t="s">
        <v>23</v>
      </c>
      <c r="AY10" s="37"/>
      <c r="AZ10" s="38"/>
      <c r="BA10" s="55" t="str">
        <f>IF($U$10&gt;0,$U$10,"")</f>
        <v>52PR/F</v>
      </c>
      <c r="BB10" s="37"/>
      <c r="BC10" s="56"/>
      <c r="BD10" s="63"/>
      <c r="BE10" s="63"/>
      <c r="BF10" s="67" t="s">
        <v>24</v>
      </c>
      <c r="BG10" s="336">
        <f>$K$10</f>
        <v>3000</v>
      </c>
      <c r="BH10" s="337"/>
      <c r="BI10" s="66"/>
      <c r="BJ10" s="62"/>
      <c r="BK10" s="60" t="str">
        <f>IF($O$10&gt;0,$O$10,"")</f>
        <v>U9D-80005</v>
      </c>
      <c r="BL10" s="61"/>
      <c r="BM10" s="3"/>
      <c r="BN10" s="54" t="s">
        <v>23</v>
      </c>
      <c r="BO10" s="37"/>
      <c r="BP10" s="38"/>
      <c r="BQ10" s="55" t="str">
        <f>IF($AK$10&gt;0,$AK$10,"")</f>
        <v>52PR-I/N</v>
      </c>
      <c r="BR10" s="37"/>
      <c r="BS10" s="56"/>
      <c r="BT10" s="63"/>
      <c r="BU10" s="63"/>
      <c r="BV10" s="67" t="s">
        <v>24</v>
      </c>
      <c r="BW10" s="336">
        <f>$K$10</f>
        <v>3000</v>
      </c>
      <c r="BX10" s="337"/>
      <c r="BY10" s="66"/>
      <c r="BZ10" s="62"/>
      <c r="CA10" s="60" t="str">
        <f>IF($O$10&gt;0,$O$10,"")</f>
        <v>U9D-80005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34" t="s">
        <v>28</v>
      </c>
      <c r="I11" s="334">
        <v>1</v>
      </c>
      <c r="J11" s="334" t="s">
        <v>29</v>
      </c>
      <c r="K11" s="330" t="s">
        <v>30</v>
      </c>
      <c r="L11" s="331"/>
      <c r="M11" s="325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34" t="s">
        <v>28</v>
      </c>
      <c r="Y11" s="334">
        <f>IF($I$11&gt;0,$I$11,"")</f>
        <v>1</v>
      </c>
      <c r="Z11" s="334" t="s">
        <v>29</v>
      </c>
      <c r="AA11" s="330" t="str">
        <f>IF($K$11&gt;0,$K$11,"")</f>
        <v>TT01</v>
      </c>
      <c r="AB11" s="331"/>
      <c r="AC11" s="325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34" t="s">
        <v>28</v>
      </c>
      <c r="AO11" s="334">
        <f>IF($I$11&gt;0,$I$11,"")</f>
        <v>1</v>
      </c>
      <c r="AP11" s="334" t="s">
        <v>29</v>
      </c>
      <c r="AQ11" s="330" t="str">
        <f>IF($K$11&gt;0,$K$11,"")</f>
        <v>TT01</v>
      </c>
      <c r="AR11" s="331"/>
      <c r="AS11" s="325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34" t="s">
        <v>28</v>
      </c>
      <c r="BE11" s="334">
        <f>IF($I$11&gt;0,$I$11,"")</f>
        <v>1</v>
      </c>
      <c r="BF11" s="334" t="s">
        <v>29</v>
      </c>
      <c r="BG11" s="330" t="str">
        <f>IF($K$11&gt;0,$K$11,"")</f>
        <v>TT01</v>
      </c>
      <c r="BH11" s="331"/>
      <c r="BI11" s="325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34" t="s">
        <v>28</v>
      </c>
      <c r="BU11" s="334">
        <f>IF($I$11&gt;0,$I$11,"")</f>
        <v>1</v>
      </c>
      <c r="BV11" s="334" t="s">
        <v>29</v>
      </c>
      <c r="BW11" s="330" t="str">
        <f>IF($K$11&gt;0,$K$11,"")</f>
        <v>TT01</v>
      </c>
      <c r="BX11" s="331"/>
      <c r="BY11" s="325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35"/>
      <c r="I12" s="335"/>
      <c r="J12" s="335"/>
      <c r="K12" s="332"/>
      <c r="L12" s="333"/>
      <c r="M12" s="326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35"/>
      <c r="Y12" s="335"/>
      <c r="Z12" s="335"/>
      <c r="AA12" s="332"/>
      <c r="AB12" s="333"/>
      <c r="AC12" s="326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35"/>
      <c r="AO12" s="335"/>
      <c r="AP12" s="335"/>
      <c r="AQ12" s="332"/>
      <c r="AR12" s="333"/>
      <c r="AS12" s="326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35"/>
      <c r="BE12" s="335"/>
      <c r="BF12" s="335"/>
      <c r="BG12" s="332"/>
      <c r="BH12" s="333"/>
      <c r="BI12" s="326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35"/>
      <c r="BU12" s="335"/>
      <c r="BV12" s="335"/>
      <c r="BW12" s="332"/>
      <c r="BX12" s="333"/>
      <c r="BY12" s="326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>
        <v>2000</v>
      </c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h.1-15</f>
        <v>1985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>
        <f>IF($C$14&gt;0,$C$14,"")</f>
        <v>2000</v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1985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>
        <f>IF($C$14&gt;0,$C$14,"")</f>
        <v>2000</v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1985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>
        <f>IF($C$14&gt;0,$C$14,"")</f>
        <v>2000</v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1985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>
        <f>IF($C$14&gt;0,$C$14,"")</f>
        <v>2000</v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1985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>
        <v>500</v>
      </c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>
        <f>IF($C$15&gt;0,$C$15,"")</f>
        <v>500</v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>
        <f>IF($C$15&gt;0,$C$15,"")</f>
        <v>500</v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>
        <f>IF($C$15&gt;0,$C$15,"")</f>
        <v>500</v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>
        <f>IF($C$15&gt;0,$C$15,"")</f>
        <v>500</v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>
        <v>1000</v>
      </c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>
        <f>IF($P$17&gt;0,$P$17,"")</f>
        <v>1000</v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>
        <f>IF($P$17&gt;0,$P$17,"")</f>
        <v>1000</v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>
        <f>C.-10</f>
        <v>990</v>
      </c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>
        <f>IF($P$18&gt;0,$P$18,"")</f>
        <v>990</v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>
        <f>IF($P$18&gt;0,$P$18,"")</f>
        <v>990</v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>
        <f>IF($P$18&gt;0,$P$18,"")</f>
        <v>990</v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159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159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4" t="s">
        <v>75</v>
      </c>
      <c r="BB20" s="153"/>
      <c r="BC20" s="156" t="s">
        <v>160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4" t="s">
        <v>75</v>
      </c>
      <c r="BR20" s="153"/>
      <c r="BS20" s="156" t="s">
        <v>160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7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3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161</v>
      </c>
      <c r="AY22" s="200"/>
      <c r="AZ22" s="201"/>
      <c r="BA22" s="205" t="s">
        <v>85</v>
      </c>
      <c r="BB22" s="169"/>
      <c r="BC22" s="181"/>
      <c r="BD22" s="182" t="s">
        <v>171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177</v>
      </c>
      <c r="BO22" s="200"/>
      <c r="BP22" s="201"/>
      <c r="BQ22" s="205" t="s">
        <v>91</v>
      </c>
      <c r="BR22" s="169"/>
      <c r="BS22" s="181"/>
      <c r="BT22" s="182" t="s">
        <v>171</v>
      </c>
      <c r="BU22" s="172">
        <v>1</v>
      </c>
      <c r="BV22" s="173">
        <f t="shared" ref="BV22:BV59" si="8">IF(BU22="","",Q*BU22)</f>
        <v>1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0.89500000000000002</v>
      </c>
      <c r="AF23" s="179">
        <f>IF(U23&gt;"",(AE23*X23*Z23)/1000,"")</f>
        <v>0.84040499999999996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4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162</v>
      </c>
      <c r="AY23" s="200"/>
      <c r="AZ23" s="201"/>
      <c r="BA23" s="168" t="s">
        <v>110</v>
      </c>
      <c r="BB23" s="169"/>
      <c r="BC23" s="181"/>
      <c r="BD23" s="182" t="s">
        <v>171</v>
      </c>
      <c r="BE23" s="172">
        <v>9</v>
      </c>
      <c r="BF23" s="173">
        <f t="shared" si="7"/>
        <v>9</v>
      </c>
      <c r="BG23" s="184"/>
      <c r="BH23" s="185" t="s">
        <v>174</v>
      </c>
      <c r="BI23" s="186"/>
      <c r="BJ23" s="187"/>
      <c r="BK23" s="206"/>
      <c r="BL23" s="189"/>
      <c r="BM23" s="4"/>
      <c r="BN23" s="199" t="s">
        <v>165</v>
      </c>
      <c r="BO23" s="200"/>
      <c r="BP23" s="201"/>
      <c r="BQ23" s="168" t="s">
        <v>86</v>
      </c>
      <c r="BR23" s="169"/>
      <c r="BS23" s="181"/>
      <c r="BT23" s="182" t="s">
        <v>171</v>
      </c>
      <c r="BU23" s="172">
        <v>3</v>
      </c>
      <c r="BV23" s="173">
        <f t="shared" si="8"/>
        <v>3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93</v>
      </c>
      <c r="V24" s="169" t="str">
        <f t="shared" si="0"/>
        <v>-</v>
      </c>
      <c r="W24" s="202">
        <v>25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94</v>
      </c>
      <c r="AI24" s="200"/>
      <c r="AJ24" s="204"/>
      <c r="AK24" s="168" t="s">
        <v>95</v>
      </c>
      <c r="AL24" s="169" t="str">
        <f t="shared" si="3"/>
        <v>-</v>
      </c>
      <c r="AM24" s="202">
        <v>6</v>
      </c>
      <c r="AN24" s="208">
        <f>HS.1</f>
        <v>1985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0.74199999999999999</v>
      </c>
      <c r="AV24" s="179">
        <f t="shared" si="6"/>
        <v>1.4728699999999999</v>
      </c>
      <c r="AW24" s="4"/>
      <c r="AX24" s="199" t="s">
        <v>162</v>
      </c>
      <c r="AY24" s="200"/>
      <c r="AZ24" s="201"/>
      <c r="BA24" s="168" t="s">
        <v>112</v>
      </c>
      <c r="BB24" s="169"/>
      <c r="BC24" s="181"/>
      <c r="BD24" s="182" t="s">
        <v>171</v>
      </c>
      <c r="BE24" s="172">
        <v>15</v>
      </c>
      <c r="BF24" s="173">
        <f t="shared" si="7"/>
        <v>15</v>
      </c>
      <c r="BG24" s="184"/>
      <c r="BH24" s="185" t="s">
        <v>118</v>
      </c>
      <c r="BI24" s="186"/>
      <c r="BJ24" s="187"/>
      <c r="BK24" s="188"/>
      <c r="BL24" s="189"/>
      <c r="BM24" s="4"/>
      <c r="BN24" s="199" t="s">
        <v>178</v>
      </c>
      <c r="BO24" s="200"/>
      <c r="BP24" s="201"/>
      <c r="BQ24" s="168" t="s">
        <v>97</v>
      </c>
      <c r="BR24" s="169"/>
      <c r="BS24" s="181"/>
      <c r="BT24" s="182" t="s">
        <v>171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98</v>
      </c>
      <c r="S25" s="200"/>
      <c r="T25" s="201"/>
      <c r="U25" s="168" t="s">
        <v>93</v>
      </c>
      <c r="V25" s="169" t="str">
        <f t="shared" si="0"/>
        <v>-</v>
      </c>
      <c r="W25" s="202">
        <v>28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 t="str">
        <f>CONCATENATE("a-15.5= ",C.-15.5)</f>
        <v>a-15.5= 984,5</v>
      </c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99</v>
      </c>
      <c r="AI25" s="200"/>
      <c r="AJ25" s="204"/>
      <c r="AK25" s="168" t="s">
        <v>95</v>
      </c>
      <c r="AL25" s="169" t="str">
        <f t="shared" si="3"/>
        <v>-</v>
      </c>
      <c r="AM25" s="202">
        <v>5</v>
      </c>
      <c r="AN25" s="208">
        <f>HS.1</f>
        <v>1985</v>
      </c>
      <c r="AO25" s="172">
        <v>1</v>
      </c>
      <c r="AP25" s="173">
        <f t="shared" si="4"/>
        <v>1</v>
      </c>
      <c r="AQ25" s="210"/>
      <c r="AR25" s="175" t="str">
        <f>CONCATENATE("as= ",C.-10)</f>
        <v>as= 990</v>
      </c>
      <c r="AS25" s="176"/>
      <c r="AT25" s="177"/>
      <c r="AU25" s="178">
        <f t="shared" si="5"/>
        <v>0.74199999999999999</v>
      </c>
      <c r="AV25" s="179">
        <f t="shared" si="6"/>
        <v>1.4728699999999999</v>
      </c>
      <c r="AW25" s="4"/>
      <c r="AX25" s="199" t="s">
        <v>162</v>
      </c>
      <c r="AY25" s="200"/>
      <c r="AZ25" s="201"/>
      <c r="BA25" s="168" t="s">
        <v>119</v>
      </c>
      <c r="BB25" s="169"/>
      <c r="BC25" s="181"/>
      <c r="BD25" s="182" t="s">
        <v>171</v>
      </c>
      <c r="BE25" s="172">
        <v>8</v>
      </c>
      <c r="BF25" s="173">
        <f t="shared" si="7"/>
        <v>8</v>
      </c>
      <c r="BG25" s="184"/>
      <c r="BH25" s="185" t="s">
        <v>116</v>
      </c>
      <c r="BI25" s="186"/>
      <c r="BJ25" s="187"/>
      <c r="BK25" s="188"/>
      <c r="BL25" s="189" t="s">
        <v>117</v>
      </c>
      <c r="BM25" s="4"/>
      <c r="BN25" s="199" t="s">
        <v>179</v>
      </c>
      <c r="BO25" s="200"/>
      <c r="BP25" s="201"/>
      <c r="BQ25" s="168" t="s">
        <v>101</v>
      </c>
      <c r="BR25" s="169"/>
      <c r="BS25" s="181"/>
      <c r="BT25" s="182" t="s">
        <v>180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102</v>
      </c>
      <c r="S26" s="200"/>
      <c r="T26" s="201"/>
      <c r="U26" s="168" t="s">
        <v>103</v>
      </c>
      <c r="V26" s="169" t="str">
        <f t="shared" si="0"/>
        <v>-</v>
      </c>
      <c r="W26" s="202">
        <v>0</v>
      </c>
      <c r="X26" s="171">
        <f>h.2-36</f>
        <v>464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0.12899200000000002</v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163</v>
      </c>
      <c r="AY26" s="200"/>
      <c r="AZ26" s="201"/>
      <c r="BA26" s="168" t="str">
        <f>IF(GTH=5,"9K-20523",IF(GTH=6,"2K-22973",IF(GTH=8,"2K-22975","")))</f>
        <v>9K-20523</v>
      </c>
      <c r="BB26" s="169"/>
      <c r="BC26" s="181"/>
      <c r="BD26" s="182" t="s">
        <v>171</v>
      </c>
      <c r="BE26" s="172">
        <f>((2*W)+(2*h.2)-108)/1000</f>
        <v>2.8919999999999999</v>
      </c>
      <c r="BF26" s="173">
        <f t="shared" si="7"/>
        <v>2.8919999999999999</v>
      </c>
      <c r="BG26" s="184" t="s">
        <v>107</v>
      </c>
      <c r="BH26" s="185" t="s">
        <v>116</v>
      </c>
      <c r="BI26" s="186"/>
      <c r="BJ26" s="187"/>
      <c r="BK26" s="188"/>
      <c r="BL26" s="189" t="s">
        <v>117</v>
      </c>
      <c r="BM26" s="4"/>
      <c r="BN26" s="199" t="s">
        <v>169</v>
      </c>
      <c r="BO26" s="200"/>
      <c r="BP26" s="201"/>
      <c r="BQ26" s="168" t="s">
        <v>105</v>
      </c>
      <c r="BR26" s="169"/>
      <c r="BS26" s="181"/>
      <c r="BT26" s="182" t="s">
        <v>173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102</v>
      </c>
      <c r="S27" s="200"/>
      <c r="T27" s="201"/>
      <c r="U27" s="168" t="s">
        <v>103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0.13066000000000003</v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164</v>
      </c>
      <c r="AY27" s="200"/>
      <c r="AZ27" s="201"/>
      <c r="BA27" s="168" t="s">
        <v>121</v>
      </c>
      <c r="BB27" s="169"/>
      <c r="BC27" s="181"/>
      <c r="BD27" s="182" t="s">
        <v>172</v>
      </c>
      <c r="BE27" s="172">
        <f>IF(h.1&lt;=1880,9,IF(h.1&lt;=2280,10,IF(h.1&lt;=2650,11,11)))+IF(h.1&lt;=1733,5,IF(h.1&lt;=2133,6,IF(h.1&lt;=2533,7,8)))</f>
        <v>16</v>
      </c>
      <c r="BF27" s="173">
        <f t="shared" si="7"/>
        <v>16</v>
      </c>
      <c r="BG27" s="213"/>
      <c r="BH27" s="185" t="s">
        <v>175</v>
      </c>
      <c r="BI27" s="186"/>
      <c r="BJ27" s="187"/>
      <c r="BK27" s="188"/>
      <c r="BL27" s="189" t="s">
        <v>117</v>
      </c>
      <c r="BM27" s="4"/>
      <c r="BN27" s="199" t="s">
        <v>169</v>
      </c>
      <c r="BO27" s="200"/>
      <c r="BP27" s="201"/>
      <c r="BQ27" s="168" t="s">
        <v>108</v>
      </c>
      <c r="BR27" s="169"/>
      <c r="BS27" s="181"/>
      <c r="BT27" s="182" t="s">
        <v>173</v>
      </c>
      <c r="BU27" s="172">
        <v>2</v>
      </c>
      <c r="BV27" s="173">
        <f t="shared" si="8"/>
        <v>2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165</v>
      </c>
      <c r="AY28" s="200"/>
      <c r="AZ28" s="201"/>
      <c r="BA28" s="168" t="s">
        <v>90</v>
      </c>
      <c r="BB28" s="169"/>
      <c r="BC28" s="181"/>
      <c r="BD28" s="182" t="s">
        <v>171</v>
      </c>
      <c r="BE28" s="172">
        <v>3</v>
      </c>
      <c r="BF28" s="173">
        <f t="shared" si="7"/>
        <v>3</v>
      </c>
      <c r="BG28" s="184"/>
      <c r="BH28" s="185"/>
      <c r="BI28" s="186"/>
      <c r="BJ28" s="187"/>
      <c r="BK28" s="188"/>
      <c r="BL28" s="189"/>
      <c r="BM28" s="4"/>
      <c r="BN28" s="199" t="s">
        <v>162</v>
      </c>
      <c r="BO28" s="200"/>
      <c r="BP28" s="201"/>
      <c r="BQ28" s="168" t="s">
        <v>110</v>
      </c>
      <c r="BR28" s="169"/>
      <c r="BS28" s="181"/>
      <c r="BT28" s="182" t="s">
        <v>171</v>
      </c>
      <c r="BU28" s="172">
        <v>22</v>
      </c>
      <c r="BV28" s="173">
        <f t="shared" si="8"/>
        <v>22</v>
      </c>
      <c r="BW28" s="184"/>
      <c r="BX28" s="185" t="s">
        <v>181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166</v>
      </c>
      <c r="AY29" s="200"/>
      <c r="AZ29" s="201"/>
      <c r="BA29" s="168" t="s">
        <v>96</v>
      </c>
      <c r="BB29" s="169"/>
      <c r="BC29" s="181"/>
      <c r="BD29" s="182" t="s">
        <v>171</v>
      </c>
      <c r="BE29" s="172">
        <v>2</v>
      </c>
      <c r="BF29" s="173">
        <f t="shared" si="7"/>
        <v>2</v>
      </c>
      <c r="BG29" s="184"/>
      <c r="BH29" s="185"/>
      <c r="BI29" s="186"/>
      <c r="BJ29" s="187"/>
      <c r="BK29" s="188"/>
      <c r="BL29" s="189"/>
      <c r="BM29" s="4"/>
      <c r="BN29" s="199" t="s">
        <v>162</v>
      </c>
      <c r="BO29" s="200"/>
      <c r="BP29" s="201"/>
      <c r="BQ29" s="168" t="s">
        <v>112</v>
      </c>
      <c r="BR29" s="169"/>
      <c r="BS29" s="181"/>
      <c r="BT29" s="182" t="s">
        <v>171</v>
      </c>
      <c r="BU29" s="172">
        <v>2</v>
      </c>
      <c r="BV29" s="173">
        <f t="shared" si="8"/>
        <v>2</v>
      </c>
      <c r="BW29" s="184"/>
      <c r="BX29" s="185" t="s">
        <v>182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167</v>
      </c>
      <c r="AY30" s="200"/>
      <c r="AZ30" s="201"/>
      <c r="BA30" s="168" t="s">
        <v>100</v>
      </c>
      <c r="BB30" s="169"/>
      <c r="BC30" s="181"/>
      <c r="BD30" s="182" t="s">
        <v>173</v>
      </c>
      <c r="BE30" s="172">
        <v>1</v>
      </c>
      <c r="BF30" s="173">
        <f t="shared" si="7"/>
        <v>1</v>
      </c>
      <c r="BG30" s="184"/>
      <c r="BH30" s="185"/>
      <c r="BI30" s="186"/>
      <c r="BJ30" s="187"/>
      <c r="BK30" s="188"/>
      <c r="BL30" s="189"/>
      <c r="BM30" s="4"/>
      <c r="BN30" s="199" t="s">
        <v>162</v>
      </c>
      <c r="BO30" s="200"/>
      <c r="BP30" s="201"/>
      <c r="BQ30" s="168" t="s">
        <v>114</v>
      </c>
      <c r="BR30" s="169"/>
      <c r="BS30" s="181"/>
      <c r="BT30" s="182" t="s">
        <v>171</v>
      </c>
      <c r="BU30" s="172">
        <v>8</v>
      </c>
      <c r="BV30" s="173">
        <f t="shared" si="8"/>
        <v>8</v>
      </c>
      <c r="BW30" s="184"/>
      <c r="BX30" s="185" t="s">
        <v>182</v>
      </c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167</v>
      </c>
      <c r="AY31" s="200"/>
      <c r="AZ31" s="201"/>
      <c r="BA31" s="168" t="s">
        <v>104</v>
      </c>
      <c r="BB31" s="169"/>
      <c r="BC31" s="181"/>
      <c r="BD31" s="182" t="s">
        <v>173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164</v>
      </c>
      <c r="BO31" s="200"/>
      <c r="BP31" s="201"/>
      <c r="BQ31" s="168" t="s">
        <v>120</v>
      </c>
      <c r="BR31" s="169"/>
      <c r="BS31" s="181"/>
      <c r="BT31" s="182" t="s">
        <v>172</v>
      </c>
      <c r="BU31" s="172">
        <v>8</v>
      </c>
      <c r="BV31" s="173">
        <f t="shared" si="8"/>
        <v>8</v>
      </c>
      <c r="BW31" s="184"/>
      <c r="BX31" s="185"/>
      <c r="BY31" s="186"/>
      <c r="BZ31" s="187"/>
      <c r="CA31" s="188"/>
      <c r="CB31" s="189" t="s">
        <v>117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168</v>
      </c>
      <c r="AY32" s="200"/>
      <c r="AZ32" s="201"/>
      <c r="BA32" s="168" t="s">
        <v>106</v>
      </c>
      <c r="BB32" s="169"/>
      <c r="BC32" s="181"/>
      <c r="BD32" s="182" t="s">
        <v>173</v>
      </c>
      <c r="BE32" s="172">
        <f>((W-61)+((h.1-18)*2))/1000</f>
        <v>4.9029999999999996</v>
      </c>
      <c r="BF32" s="173">
        <f t="shared" si="7"/>
        <v>4.9029999999999996</v>
      </c>
      <c r="BG32" s="184" t="s">
        <v>107</v>
      </c>
      <c r="BH32" s="185"/>
      <c r="BI32" s="186"/>
      <c r="BJ32" s="187"/>
      <c r="BK32" s="188"/>
      <c r="BL32" s="189"/>
      <c r="BM32" s="4"/>
      <c r="BN32" s="199" t="s">
        <v>163</v>
      </c>
      <c r="BO32" s="200"/>
      <c r="BP32" s="201"/>
      <c r="BQ32" s="168" t="str">
        <f>IF(GTH=5,"K-25041",IF(GTH=6,"9K-20765",IF(GTH=8,"9K-20766","")))</f>
        <v>K-25041</v>
      </c>
      <c r="BR32" s="169"/>
      <c r="BS32" s="181"/>
      <c r="BT32" s="182" t="s">
        <v>173</v>
      </c>
      <c r="BU32" s="172">
        <f>((2*WS.1)+(2*HS.1)-524)/1000</f>
        <v>5.3</v>
      </c>
      <c r="BV32" s="173">
        <f t="shared" si="8"/>
        <v>5.3</v>
      </c>
      <c r="BW32" s="184" t="s">
        <v>107</v>
      </c>
      <c r="BX32" s="185"/>
      <c r="BY32" s="186"/>
      <c r="BZ32" s="187"/>
      <c r="CA32" s="188"/>
      <c r="CB32" s="189" t="s">
        <v>117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163</v>
      </c>
      <c r="AY33" s="200"/>
      <c r="AZ33" s="201"/>
      <c r="BA33" s="168" t="s">
        <v>109</v>
      </c>
      <c r="BB33" s="169"/>
      <c r="BC33" s="181"/>
      <c r="BD33" s="182" t="s">
        <v>173</v>
      </c>
      <c r="BE33" s="172">
        <f>((W-61)+((h.2-36)*2))/1000</f>
        <v>1.867</v>
      </c>
      <c r="BF33" s="173">
        <f t="shared" si="7"/>
        <v>1.867</v>
      </c>
      <c r="BG33" s="213" t="s">
        <v>107</v>
      </c>
      <c r="BH33" s="185" t="s">
        <v>176</v>
      </c>
      <c r="BI33" s="186"/>
      <c r="BJ33" s="187"/>
      <c r="BK33" s="188"/>
      <c r="BL33" s="189"/>
      <c r="BM33" s="4"/>
      <c r="BN33" s="199" t="s">
        <v>162</v>
      </c>
      <c r="BO33" s="200"/>
      <c r="BP33" s="201"/>
      <c r="BQ33" s="168" t="s">
        <v>115</v>
      </c>
      <c r="BR33" s="169"/>
      <c r="BS33" s="181"/>
      <c r="BT33" s="182" t="s">
        <v>171</v>
      </c>
      <c r="BU33" s="172">
        <v>8</v>
      </c>
      <c r="BV33" s="173">
        <f t="shared" si="8"/>
        <v>8</v>
      </c>
      <c r="BW33" s="213"/>
      <c r="BX33" s="185" t="s">
        <v>116</v>
      </c>
      <c r="BY33" s="186"/>
      <c r="BZ33" s="187"/>
      <c r="CA33" s="188"/>
      <c r="CB33" s="189" t="s">
        <v>117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169</v>
      </c>
      <c r="AY34" s="200"/>
      <c r="AZ34" s="201"/>
      <c r="BA34" s="168" t="s">
        <v>111</v>
      </c>
      <c r="BB34" s="169"/>
      <c r="BC34" s="181"/>
      <c r="BD34" s="182" t="s">
        <v>173</v>
      </c>
      <c r="BE34" s="172">
        <v>2</v>
      </c>
      <c r="BF34" s="173">
        <f t="shared" si="7"/>
        <v>2</v>
      </c>
      <c r="BG34" s="213"/>
      <c r="BH34" s="185"/>
      <c r="BI34" s="186"/>
      <c r="BJ34" s="187"/>
      <c r="BK34" s="188"/>
      <c r="BL34" s="189"/>
      <c r="BM34" s="4"/>
      <c r="BN34" s="199" t="s">
        <v>162</v>
      </c>
      <c r="BO34" s="200"/>
      <c r="BP34" s="201"/>
      <c r="BQ34" s="168" t="s">
        <v>112</v>
      </c>
      <c r="BR34" s="169"/>
      <c r="BS34" s="181"/>
      <c r="BT34" s="182" t="s">
        <v>171</v>
      </c>
      <c r="BU34" s="172">
        <v>15</v>
      </c>
      <c r="BV34" s="173">
        <f t="shared" si="8"/>
        <v>15</v>
      </c>
      <c r="BW34" s="213"/>
      <c r="BX34" s="185" t="s">
        <v>118</v>
      </c>
      <c r="BY34" s="186"/>
      <c r="BZ34" s="187"/>
      <c r="CA34" s="188"/>
      <c r="CB34" s="189" t="s">
        <v>117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170</v>
      </c>
      <c r="AY35" s="200"/>
      <c r="AZ35" s="201"/>
      <c r="BA35" s="168" t="s">
        <v>113</v>
      </c>
      <c r="BB35" s="169"/>
      <c r="BC35" s="181"/>
      <c r="BD35" s="182" t="s">
        <v>171</v>
      </c>
      <c r="BE35" s="172">
        <v>1</v>
      </c>
      <c r="BF35" s="173">
        <f t="shared" si="7"/>
        <v>1</v>
      </c>
      <c r="BG35" s="213"/>
      <c r="BH35" s="185"/>
      <c r="BI35" s="186"/>
      <c r="BJ35" s="187"/>
      <c r="BK35" s="188"/>
      <c r="BL35" s="189"/>
      <c r="BM35" s="4"/>
      <c r="BN35" s="199" t="str">
        <f t="shared" ref="BN22:BN60" si="10">IF(BQ35&gt;"",VLOOKUP(BQ35,PART_NAMA,3,FALSE),"")</f>
        <v/>
      </c>
      <c r="BO35" s="200"/>
      <c r="BP35" s="201"/>
      <c r="BQ35" s="168"/>
      <c r="BR35" s="169"/>
      <c r="BS35" s="181"/>
      <c r="BT35" s="182" t="str">
        <f t="shared" ref="BT22:BT57" si="11">IF(BQ35&gt;"",VLOOKUP(BQ35&amp;$M$10,PART_MASTER,3,FALSE),"")</f>
        <v/>
      </c>
      <c r="BU35" s="172"/>
      <c r="BV35" s="173" t="str">
        <f t="shared" si="8"/>
        <v/>
      </c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213"/>
      <c r="BH36" s="185"/>
      <c r="BI36" s="186"/>
      <c r="BJ36" s="187"/>
      <c r="BK36" s="188"/>
      <c r="BL36" s="189"/>
      <c r="BM36" s="4"/>
      <c r="BN36" s="199" t="str">
        <f t="shared" si="10"/>
        <v/>
      </c>
      <c r="BO36" s="200"/>
      <c r="BP36" s="201"/>
      <c r="BQ36" s="168"/>
      <c r="BR36" s="169"/>
      <c r="BS36" s="181"/>
      <c r="BT36" s="182" t="str">
        <f t="shared" si="11"/>
        <v/>
      </c>
      <c r="BU36" s="172"/>
      <c r="BV36" s="173" t="str">
        <f t="shared" si="8"/>
        <v/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2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3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205"/>
      <c r="BR37" s="169"/>
      <c r="BS37" s="181"/>
      <c r="BT37" s="182"/>
      <c r="BU37" s="172"/>
      <c r="BV37" s="173"/>
      <c r="BW37" s="184"/>
      <c r="BX37" s="185"/>
      <c r="BY37" s="186"/>
      <c r="BZ37" s="187"/>
      <c r="CA37" s="206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 t="str">
        <f t="shared" si="12"/>
        <v/>
      </c>
      <c r="AY38" s="200"/>
      <c r="AZ38" s="201"/>
      <c r="BA38" s="168"/>
      <c r="BB38" s="169"/>
      <c r="BC38" s="181"/>
      <c r="BD38" s="182" t="str">
        <f t="shared" si="13"/>
        <v/>
      </c>
      <c r="BE38" s="172"/>
      <c r="BF38" s="173" t="str">
        <f t="shared" si="7"/>
        <v/>
      </c>
      <c r="BG38" s="213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206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205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206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122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213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123</v>
      </c>
      <c r="C43" s="241"/>
      <c r="D43" s="241"/>
      <c r="E43" s="241"/>
      <c r="F43" s="242"/>
      <c r="G43" s="243"/>
      <c r="H43" s="244"/>
      <c r="I43" s="234"/>
      <c r="J43" s="245" t="s">
        <v>124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125</v>
      </c>
      <c r="C44" s="327" t="s">
        <v>126</v>
      </c>
      <c r="D44" s="328"/>
      <c r="E44" s="329"/>
      <c r="F44" s="327" t="s">
        <v>127</v>
      </c>
      <c r="G44" s="328"/>
      <c r="H44" s="329"/>
      <c r="I44" s="253"/>
      <c r="J44" s="254" t="s">
        <v>125</v>
      </c>
      <c r="K44" s="327" t="s">
        <v>126</v>
      </c>
      <c r="L44" s="328"/>
      <c r="M44" s="328"/>
      <c r="N44" s="329"/>
      <c r="O44" s="254" t="s">
        <v>128</v>
      </c>
      <c r="P44" s="255" t="s">
        <v>125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213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129</v>
      </c>
      <c r="D45" s="258"/>
      <c r="E45" s="258"/>
      <c r="F45" s="259"/>
      <c r="G45" s="260"/>
      <c r="H45" s="261"/>
      <c r="I45" s="262"/>
      <c r="J45" s="263">
        <v>1</v>
      </c>
      <c r="K45" s="264" t="s">
        <v>130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131</v>
      </c>
      <c r="D46" s="260"/>
      <c r="E46" s="260"/>
      <c r="F46" s="264"/>
      <c r="G46" s="260"/>
      <c r="H46" s="261"/>
      <c r="I46" s="262"/>
      <c r="J46" s="263">
        <v>2</v>
      </c>
      <c r="K46" s="264" t="s">
        <v>132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133</v>
      </c>
      <c r="D47" s="260"/>
      <c r="E47" s="260"/>
      <c r="F47" s="264"/>
      <c r="G47" s="260"/>
      <c r="H47" s="261"/>
      <c r="I47" s="268"/>
      <c r="J47" s="263">
        <v>3</v>
      </c>
      <c r="K47" s="264" t="s">
        <v>134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135</v>
      </c>
      <c r="D48" s="260"/>
      <c r="E48" s="260"/>
      <c r="F48" s="264"/>
      <c r="G48" s="260"/>
      <c r="H48" s="261"/>
      <c r="I48" s="268"/>
      <c r="J48" s="263">
        <v>4</v>
      </c>
      <c r="K48" s="264" t="s">
        <v>136</v>
      </c>
      <c r="L48" s="260"/>
      <c r="M48" s="260"/>
      <c r="N48" s="265"/>
      <c r="O48" s="266"/>
      <c r="P48" s="267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137</v>
      </c>
      <c r="AD48" s="273"/>
      <c r="AE48" s="274" t="s">
        <v>138</v>
      </c>
      <c r="AF48" s="275">
        <f>SUM(AF22:AF47)</f>
        <v>5.2244330000000003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137</v>
      </c>
      <c r="AT48" s="273"/>
      <c r="AU48" s="274" t="s">
        <v>138</v>
      </c>
      <c r="AV48" s="275">
        <f>SUM(AV22:AV47)</f>
        <v>4.5460659999999997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213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139</v>
      </c>
      <c r="D49" s="260"/>
      <c r="E49" s="260"/>
      <c r="F49" s="264"/>
      <c r="G49" s="260"/>
      <c r="H49" s="261"/>
      <c r="I49" s="268"/>
      <c r="J49" s="263">
        <v>5</v>
      </c>
      <c r="K49" s="264" t="s">
        <v>140</v>
      </c>
      <c r="L49" s="260"/>
      <c r="M49" s="260"/>
      <c r="N49" s="265"/>
      <c r="O49" s="266"/>
      <c r="P49" s="267"/>
      <c r="Q49" s="4"/>
      <c r="R49" s="276" t="s">
        <v>141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142</v>
      </c>
      <c r="AE49" s="280" t="s">
        <v>143</v>
      </c>
      <c r="AF49" s="281">
        <f>AF48*0.986</f>
        <v>5.1512909379999998</v>
      </c>
      <c r="AG49" s="4"/>
      <c r="AH49" s="276" t="s">
        <v>141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142</v>
      </c>
      <c r="AU49" s="280" t="s">
        <v>143</v>
      </c>
      <c r="AV49" s="281">
        <f>AV48*0.986</f>
        <v>4.4824210759999996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144</v>
      </c>
      <c r="D50" s="260"/>
      <c r="E50" s="260"/>
      <c r="F50" s="264"/>
      <c r="G50" s="260"/>
      <c r="H50" s="261"/>
      <c r="I50" s="268"/>
      <c r="J50" s="263">
        <v>6</v>
      </c>
      <c r="K50" s="264" t="s">
        <v>145</v>
      </c>
      <c r="L50" s="260"/>
      <c r="M50" s="260"/>
      <c r="N50" s="265"/>
      <c r="O50" s="266"/>
      <c r="P50" s="267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146</v>
      </c>
      <c r="AF50" s="281">
        <f>AF48*0.974*0.986</f>
        <v>5.0173573736120005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146</v>
      </c>
      <c r="AV50" s="281">
        <f>AV48*0.974*0.986</f>
        <v>4.3658781280239998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147</v>
      </c>
      <c r="D51" s="260"/>
      <c r="E51" s="260"/>
      <c r="F51" s="264"/>
      <c r="G51" s="260"/>
      <c r="H51" s="261"/>
      <c r="I51" s="268"/>
      <c r="J51" s="263">
        <v>7</v>
      </c>
      <c r="K51" s="264" t="s">
        <v>148</v>
      </c>
      <c r="L51" s="260"/>
      <c r="M51" s="260"/>
      <c r="N51" s="265"/>
      <c r="O51" s="266"/>
      <c r="P51" s="267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149</v>
      </c>
      <c r="C52" s="286"/>
      <c r="D52" s="287"/>
      <c r="E52" s="287"/>
      <c r="F52" s="287"/>
      <c r="G52" s="287"/>
      <c r="H52" s="287"/>
      <c r="I52" s="268"/>
      <c r="J52" s="263">
        <v>8</v>
      </c>
      <c r="K52" s="264" t="s">
        <v>150</v>
      </c>
      <c r="L52" s="260"/>
      <c r="M52" s="260"/>
      <c r="N52" s="265"/>
      <c r="O52" s="266"/>
      <c r="P52" s="267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 t="str">
        <f t="shared" si="10"/>
        <v/>
      </c>
      <c r="BO52" s="200"/>
      <c r="BP52" s="201"/>
      <c r="BQ52" s="288"/>
      <c r="BR52" s="169"/>
      <c r="BS52" s="181"/>
      <c r="BT52" s="182" t="str">
        <f t="shared" si="11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89" t="s">
        <v>151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213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152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2"/>
        <v/>
      </c>
      <c r="AY54" s="200"/>
      <c r="AZ54" s="201"/>
      <c r="BA54" s="288"/>
      <c r="BB54" s="169"/>
      <c r="BC54" s="181"/>
      <c r="BD54" s="182" t="str">
        <f t="shared" si="13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88"/>
      <c r="BR54" s="169"/>
      <c r="BS54" s="181"/>
      <c r="BT54" s="182" t="str">
        <f t="shared" si="11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153</v>
      </c>
      <c r="C55" s="268"/>
      <c r="D55" s="268"/>
      <c r="E55" s="268"/>
      <c r="F55" s="268"/>
      <c r="G55" s="268"/>
      <c r="H55" s="268"/>
      <c r="I55" s="268"/>
      <c r="J55" s="301" t="s">
        <v>154</v>
      </c>
      <c r="K55" s="293"/>
      <c r="L55" s="287"/>
      <c r="M55" s="287"/>
      <c r="N55" s="302"/>
      <c r="O55" s="260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2"/>
        <v/>
      </c>
      <c r="AY55" s="200"/>
      <c r="AZ55" s="201"/>
      <c r="BA55" s="168"/>
      <c r="BB55" s="169"/>
      <c r="BC55" s="181"/>
      <c r="BD55" s="182" t="str">
        <f t="shared" si="13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155</v>
      </c>
      <c r="K56" s="306"/>
      <c r="L56" s="306"/>
      <c r="M56" s="306"/>
      <c r="N56" s="307"/>
      <c r="O56" s="308" t="s">
        <v>156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2"/>
        <v/>
      </c>
      <c r="AY56" s="200"/>
      <c r="AZ56" s="201"/>
      <c r="BA56" s="168"/>
      <c r="BB56" s="169"/>
      <c r="BC56" s="181"/>
      <c r="BD56" s="182" t="str">
        <f t="shared" si="13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2"/>
        <v/>
      </c>
      <c r="AY57" s="200"/>
      <c r="AZ57" s="201"/>
      <c r="BA57" s="168"/>
      <c r="BB57" s="169"/>
      <c r="BC57" s="181"/>
      <c r="BD57" s="182" t="str">
        <f t="shared" si="13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2"/>
        <v/>
      </c>
      <c r="AY58" s="200"/>
      <c r="AZ58" s="201"/>
      <c r="BA58" s="288"/>
      <c r="BB58" s="169"/>
      <c r="BC58" s="181"/>
      <c r="BD58" s="182" t="str">
        <f t="shared" si="13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3"/>
      <c r="BM58" s="4"/>
      <c r="BN58" s="214" t="str">
        <f t="shared" si="10"/>
        <v/>
      </c>
      <c r="BO58" s="200"/>
      <c r="BP58" s="201"/>
      <c r="BQ58" s="288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2"/>
        <v/>
      </c>
      <c r="AY59" s="200"/>
      <c r="AZ59" s="201"/>
      <c r="BA59" s="168"/>
      <c r="BB59" s="169"/>
      <c r="BC59" s="181"/>
      <c r="BD59" s="182" t="str">
        <f t="shared" si="13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3"/>
      <c r="BM59" s="4"/>
      <c r="BN59" s="214" t="str">
        <f t="shared" si="10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157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2"/>
        <v/>
      </c>
      <c r="AY60" s="200"/>
      <c r="AZ60" s="201"/>
      <c r="BA60" s="168"/>
      <c r="BB60" s="169"/>
      <c r="BC60" s="181"/>
      <c r="BD60" s="182" t="str">
        <f t="shared" si="13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3"/>
      <c r="BM60" s="4"/>
      <c r="BN60" s="214" t="str">
        <f t="shared" si="10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3"/>
      <c r="CG60" s="3"/>
    </row>
    <row r="61" spans="2:120" ht="15" customHeight="1" x14ac:dyDescent="0.3">
      <c r="P61" s="321" t="s">
        <v>158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158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158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158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158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FIX_DOOR-CR</vt:lpstr>
      <vt:lpstr>'FIX_DOOR-CR'!A.</vt:lpstr>
      <vt:lpstr>'FIX_DOOR-CR'!C.</vt:lpstr>
      <vt:lpstr>'FIX_DOOR-CR'!F.</vt:lpstr>
      <vt:lpstr>'FIX_DOOR-CR'!GCS</vt:lpstr>
      <vt:lpstr>'FIX_DOOR-CR'!GTH</vt:lpstr>
      <vt:lpstr>'FIX_DOOR-CR'!H</vt:lpstr>
      <vt:lpstr>'FIX_DOOR-CR'!h.1</vt:lpstr>
      <vt:lpstr>'FIX_DOOR-CR'!h.10</vt:lpstr>
      <vt:lpstr>'FIX_DOOR-CR'!h.2</vt:lpstr>
      <vt:lpstr>'FIX_DOOR-CR'!h.3</vt:lpstr>
      <vt:lpstr>'FIX_DOOR-CR'!h.4</vt:lpstr>
      <vt:lpstr>'FIX_DOOR-CR'!h.5</vt:lpstr>
      <vt:lpstr>'FIX_DOOR-CR'!h.6</vt:lpstr>
      <vt:lpstr>'FIX_DOOR-CR'!h.7</vt:lpstr>
      <vt:lpstr>'FIX_DOOR-CR'!h.8</vt:lpstr>
      <vt:lpstr>'FIX_DOOR-CR'!h.9</vt:lpstr>
      <vt:lpstr>'FIX_DOOR-CR'!HS</vt:lpstr>
      <vt:lpstr>'FIX_DOOR-CR'!HS.1</vt:lpstr>
      <vt:lpstr>'FIX_DOOR-CR'!HS.2</vt:lpstr>
      <vt:lpstr>'FIX_DOOR-CR'!HS.3</vt:lpstr>
      <vt:lpstr>'FIX_DOOR-CR'!HS.4</vt:lpstr>
      <vt:lpstr>'FIX_DOOR-CR'!HS.5</vt:lpstr>
      <vt:lpstr>'FIX_DOOR-CR'!Print_Area</vt:lpstr>
      <vt:lpstr>'FIX_DOOR-CR'!Q</vt:lpstr>
      <vt:lpstr>'FIX_DOOR-CR'!R.</vt:lpstr>
      <vt:lpstr>'FIX_DOOR-CR'!W</vt:lpstr>
      <vt:lpstr>'FIX_DOOR-CR'!w.1</vt:lpstr>
      <vt:lpstr>'FIX_DOOR-CR'!w.10</vt:lpstr>
      <vt:lpstr>'FIX_DOOR-CR'!w.2</vt:lpstr>
      <vt:lpstr>'FIX_DOOR-CR'!w.3</vt:lpstr>
      <vt:lpstr>'FIX_DOOR-CR'!w.4</vt:lpstr>
      <vt:lpstr>'FIX_DOOR-CR'!w.5</vt:lpstr>
      <vt:lpstr>'FIX_DOOR-CR'!w.6</vt:lpstr>
      <vt:lpstr>'FIX_DOOR-CR'!w.7</vt:lpstr>
      <vt:lpstr>'FIX_DOOR-CR'!w.8</vt:lpstr>
      <vt:lpstr>'FIX_DOOR-CR'!w.9</vt:lpstr>
      <vt:lpstr>'FIX_DOOR-CR'!WS</vt:lpstr>
      <vt:lpstr>'FIX_DOOR-CR'!WS.1</vt:lpstr>
      <vt:lpstr>'FIX_DOOR-CR'!WS.2</vt:lpstr>
      <vt:lpstr>'FIX_DOOR-CR'!WS.3</vt:lpstr>
      <vt:lpstr>'FIX_DOOR-CR'!WS.4</vt:lpstr>
      <vt:lpstr>'FIX_DOOR-CR'!WS.5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2024-07-30T06:46:50Z</dcterms:created>
  <dcterms:modified xsi:type="dcterms:W3CDTF">2024-08-21T08:55:31Z</dcterms:modified>
</cp:coreProperties>
</file>