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853E8BBF-4FA5-4F83-8EA2-1035E2AA257D}" xr6:coauthVersionLast="47" xr6:coauthVersionMax="47" xr10:uidLastSave="{00000000-0000-0000-0000-000000000000}"/>
  <bookViews>
    <workbookView xWindow="-108" yWindow="-108" windowWidth="23256" windowHeight="12456" xr2:uid="{C15A37A6-CAD2-4786-93EC-BA3D7871B1B0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4" i="1" l="1"/>
  <c r="BV60" i="1"/>
  <c r="BT60" i="1"/>
  <c r="BN60" i="1"/>
  <c r="BU41" i="1"/>
  <c r="BU37" i="1"/>
  <c r="BU36" i="1"/>
  <c r="BU35" i="1"/>
  <c r="BU34" i="1"/>
  <c r="BU33" i="1"/>
  <c r="AN32" i="1"/>
  <c r="AN31" i="1"/>
  <c r="AN30" i="1"/>
  <c r="AN29" i="1"/>
  <c r="AN28" i="1"/>
  <c r="AN27" i="1"/>
  <c r="AN26" i="1"/>
  <c r="AN25" i="1"/>
  <c r="AN24" i="1"/>
  <c r="AN23" i="1"/>
  <c r="AN22" i="1"/>
  <c r="AR29" i="1"/>
  <c r="AR28" i="1"/>
  <c r="AR23" i="1"/>
  <c r="AR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AF45" i="1"/>
  <c r="AE45" i="1"/>
  <c r="Z45" i="1"/>
  <c r="V45" i="1"/>
  <c r="BV44" i="1"/>
  <c r="BT44" i="1"/>
  <c r="BN44" i="1"/>
  <c r="AF44" i="1"/>
  <c r="AE44" i="1"/>
  <c r="Z44" i="1"/>
  <c r="V44" i="1"/>
  <c r="BV43" i="1"/>
  <c r="BT43" i="1"/>
  <c r="BN43" i="1"/>
  <c r="AF43" i="1"/>
  <c r="AE43" i="1"/>
  <c r="Z43" i="1"/>
  <c r="V43" i="1"/>
  <c r="BV42" i="1"/>
  <c r="AF42" i="1"/>
  <c r="AE42" i="1"/>
  <c r="Z42" i="1"/>
  <c r="V42" i="1"/>
  <c r="P42" i="1"/>
  <c r="O42" i="1"/>
  <c r="F42" i="1"/>
  <c r="AF41" i="1"/>
  <c r="AE41" i="1"/>
  <c r="Z41" i="1"/>
  <c r="V41" i="1"/>
  <c r="BV40" i="1"/>
  <c r="AF40" i="1"/>
  <c r="AE40" i="1"/>
  <c r="Z40" i="1"/>
  <c r="V40" i="1"/>
  <c r="BV39" i="1"/>
  <c r="AF39" i="1"/>
  <c r="AE39" i="1"/>
  <c r="Z39" i="1"/>
  <c r="V39" i="1"/>
  <c r="BV38" i="1"/>
  <c r="AF38" i="1"/>
  <c r="AE38" i="1"/>
  <c r="Z38" i="1"/>
  <c r="V38" i="1"/>
  <c r="AF37" i="1"/>
  <c r="AE37" i="1"/>
  <c r="Z37" i="1"/>
  <c r="V37" i="1"/>
  <c r="AF36" i="1"/>
  <c r="AE36" i="1"/>
  <c r="Z36" i="1"/>
  <c r="V36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F32" i="1"/>
  <c r="AU32" i="1"/>
  <c r="AP32" i="1"/>
  <c r="AL32" i="1"/>
  <c r="AF32" i="1"/>
  <c r="AE32" i="1"/>
  <c r="Z32" i="1"/>
  <c r="V32" i="1"/>
  <c r="BV31" i="1"/>
  <c r="BF31" i="1"/>
  <c r="AU31" i="1"/>
  <c r="AP31" i="1"/>
  <c r="AL31" i="1"/>
  <c r="AF31" i="1"/>
  <c r="AE31" i="1"/>
  <c r="Z31" i="1"/>
  <c r="V31" i="1"/>
  <c r="BV30" i="1"/>
  <c r="BF30" i="1"/>
  <c r="AU30" i="1"/>
  <c r="AP30" i="1"/>
  <c r="AL30" i="1"/>
  <c r="AF30" i="1"/>
  <c r="AE30" i="1"/>
  <c r="Z30" i="1"/>
  <c r="V30" i="1"/>
  <c r="BV29" i="1"/>
  <c r="BF29" i="1"/>
  <c r="AU29" i="1"/>
  <c r="AP29" i="1"/>
  <c r="AL29" i="1"/>
  <c r="AF29" i="1"/>
  <c r="AE29" i="1"/>
  <c r="Z29" i="1"/>
  <c r="V29" i="1"/>
  <c r="BV28" i="1"/>
  <c r="BF28" i="1"/>
  <c r="AU28" i="1"/>
  <c r="AP28" i="1"/>
  <c r="AL28" i="1"/>
  <c r="AF28" i="1"/>
  <c r="AE28" i="1"/>
  <c r="Z28" i="1"/>
  <c r="V28" i="1"/>
  <c r="BV27" i="1"/>
  <c r="BF27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AF26" i="1" s="1"/>
  <c r="Z26" i="1"/>
  <c r="X26" i="1"/>
  <c r="V26" i="1"/>
  <c r="BV25" i="1"/>
  <c r="BF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V23" i="1"/>
  <c r="BF23" i="1"/>
  <c r="AU23" i="1"/>
  <c r="AV23" i="1" s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CA12" i="1"/>
  <c r="BZ12" i="1"/>
  <c r="BQ12" i="1"/>
  <c r="BK12" i="1"/>
  <c r="BA12" i="1"/>
  <c r="AU12" i="1"/>
  <c r="AK12" i="1"/>
  <c r="AE12" i="1"/>
  <c r="AD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V22" i="1" l="1"/>
  <c r="BK4" i="1"/>
  <c r="AE4" i="1"/>
  <c r="CA4" i="1"/>
  <c r="AV28" i="1"/>
  <c r="AF50" i="1"/>
  <c r="AF49" i="1"/>
  <c r="BJ12" i="1"/>
  <c r="BJ11" i="1"/>
  <c r="AR14" i="1"/>
  <c r="AV27" i="1"/>
  <c r="BV37" i="1"/>
  <c r="BG9" i="1"/>
  <c r="BV36" i="1"/>
  <c r="BV35" i="1"/>
  <c r="BV41" i="1"/>
  <c r="AV31" i="1"/>
  <c r="AV32" i="1"/>
  <c r="BV34" i="1"/>
  <c r="AA9" i="1"/>
  <c r="AT11" i="1"/>
  <c r="BW9" i="1"/>
  <c r="AV30" i="1"/>
  <c r="U3" i="1"/>
  <c r="AK3" i="1"/>
  <c r="BZ11" i="1"/>
  <c r="BX14" i="1"/>
  <c r="AV24" i="1"/>
  <c r="BH14" i="1"/>
  <c r="AV25" i="1"/>
  <c r="AV29" i="1"/>
  <c r="AV26" i="1"/>
  <c r="AV48" i="1" l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70E4D726-9BA5-4847-A726-2C836471C99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A6BA856-44BE-4522-9A46-1FA9BC65C10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DDA1C47-371A-4582-8312-B1636C3F0FA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<sst xmlns="http://schemas.openxmlformats.org/spreadsheetml/2006/main" count="549" uniqueCount="203">
  <si>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</si>
  <si>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</si>
  <si>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</si>
  <si>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</si>
  <si>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</si>
  <si>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</si>
  <si>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</si>
  <si>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</si>
  <si>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</si>
  <si>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</si>
  <si>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</si>
  <si>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</si>
  <si>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</si>
  <si>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</si>
  <si>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</si>
  <si>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SL4 AWY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</si>
  <si>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</si>
  <si>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</si>
  <si>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</si>
  <si>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</si>
  <si>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</si>
  <si>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</si>
  <si>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U9H-21003</t>
  </si>
  <si>
    <t>Unit Code</t>
  </si>
  <si>
    <r>
      <t xml:space="preserve">H </t>
    </r>
    <r>
      <rPr>
        <sz val="10"/>
        <rFont val="Arial"/>
        <family val="2"/>
      </rPr>
      <t>item</t>
    </r>
  </si>
  <si>
    <t>U9H-20007</t>
  </si>
  <si>
    <t>52H4-A/O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</si>
  <si>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</si>
  <si>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</si>
  <si>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</si>
  <si>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</si>
  <si>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</si>
  <si>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</si>
  <si>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</si>
  <si>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</si>
  <si>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</si>
  <si>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</si>
  <si>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</si>
  <si>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</si>
  <si>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</si>
  <si>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</si>
  <si>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</si>
  <si>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</si>
  <si>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</si>
  <si>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</si>
  <si>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</si>
  <si>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</si>
  <si>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</si>
  <si>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</si>
  <si>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</si>
  <si>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</si>
  <si>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</si>
  <si>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</si>
  <si>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</si>
  <si>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</si>
  <si>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</si>
  <si>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</si>
  <si>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</si>
  <si>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</si>
  <si>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</si>
  <si>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</si>
  <si>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</si>
  <si>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</si>
  <si>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</si>
  <si>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</si>
  <si>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</si>
  <si>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</si>
  <si>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</si>
  <si>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</si>
  <si>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</si>
  <si>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</si>
  <si>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</si>
  <si>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</si>
  <si>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</si>
  <si>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</si>
  <si>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</si>
  <si>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</si>
  <si>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</si>
  <si>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</si>
  <si>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</si>
  <si>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</si>
  <si>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</si>
  <si>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</si>
  <si>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</si>
  <si>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</si>
  <si>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</si>
  <si>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9K-11376</t>
  </si>
  <si>
    <t>SILL</t>
  </si>
  <si>
    <t>9K-87106</t>
  </si>
  <si>
    <t>9K-20853</t>
  </si>
  <si>
    <t>9K-11375</t>
  </si>
  <si>
    <t>JAMB(L)</t>
  </si>
  <si>
    <t>9K-87107</t>
  </si>
  <si>
    <t>BOTTOM RAIL</t>
  </si>
  <si>
    <t>9K-87111</t>
  </si>
  <si>
    <t>9K-11377</t>
  </si>
  <si>
    <t>JAMB(R)</t>
  </si>
  <si>
    <t>STILE(L)</t>
  </si>
  <si>
    <t>9K-87139</t>
  </si>
  <si>
    <t>2K-7239</t>
  </si>
  <si>
    <t>ATTACHMENT</t>
  </si>
  <si>
    <t>9K-87109</t>
  </si>
  <si>
    <t>STILE(R)</t>
  </si>
  <si>
    <t>9K-11378</t>
  </si>
  <si>
    <t>FOR HOOK LOCK</t>
  </si>
  <si>
    <t>9K-87110</t>
  </si>
  <si>
    <t>9K-86981</t>
  </si>
  <si>
    <t>EM-4008</t>
  </si>
  <si>
    <t>K-39954</t>
  </si>
  <si>
    <t>5K-12950</t>
  </si>
  <si>
    <t>EM-4012</t>
  </si>
  <si>
    <t>9K-30232</t>
  </si>
  <si>
    <t>BM-4025G</t>
  </si>
  <si>
    <t>S</t>
  </si>
  <si>
    <t>9K-30195</t>
  </si>
  <si>
    <t>9K-86959</t>
  </si>
  <si>
    <t>9K-10840</t>
  </si>
  <si>
    <t>9K-30233</t>
  </si>
  <si>
    <t>9K-87141</t>
  </si>
  <si>
    <t>9K-30171</t>
  </si>
  <si>
    <t>9K-30198</t>
  </si>
  <si>
    <t>9K-30186</t>
  </si>
  <si>
    <t>M</t>
  </si>
  <si>
    <t>2K-26921</t>
  </si>
  <si>
    <t>9K-20762</t>
  </si>
  <si>
    <t>9K-20682</t>
  </si>
  <si>
    <t>K-20514</t>
  </si>
  <si>
    <t>9K-30246</t>
  </si>
  <si>
    <t>FOR INTERLOCK STILE</t>
  </si>
  <si>
    <t>9K-11395</t>
  </si>
  <si>
    <t>C5c</t>
  </si>
  <si>
    <t>9K-30192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</si>
  <si>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</si>
  <si>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</si>
  <si>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</si>
  <si>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</si>
  <si>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</si>
  <si>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</si>
  <si>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</si>
  <si>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</si>
  <si>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</si>
  <si>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</si>
  <si>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</si>
  <si>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</si>
  <si>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</si>
  <si>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</si>
  <si>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</si>
  <si>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</si>
  <si>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</si>
  <si>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</si>
  <si>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</si>
  <si>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</si>
  <si>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</si>
  <si>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</si>
  <si>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</si>
  <si>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</si>
  <si>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</si>
  <si>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</si>
  <si>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</si>
  <si>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</si>
  <si>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</si>
  <si>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</si>
  <si>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</si>
  <si>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</si>
  <si>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</si>
  <si>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</si>
  <si>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</si>
  <si>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</si>
  <si>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</si>
  <si>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</si>
  <si>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INTERLOCKING STILE(L)</t>
  </si>
  <si>
    <t>INTERLOCKING STILE(R)</t>
  </si>
  <si>
    <t>MEETING STILE(L)</t>
  </si>
  <si>
    <t>MEETING STILE(R)</t>
  </si>
  <si>
    <t>INSIDE TOP RAIL(L)</t>
  </si>
  <si>
    <t>SEALER PAD</t>
  </si>
  <si>
    <t>SHIM RECEIVER</t>
  </si>
  <si>
    <t>HOLE CAP</t>
  </si>
  <si>
    <t>HOOK LOCK CATCH</t>
  </si>
  <si>
    <t>BACK PLATE</t>
  </si>
  <si>
    <t>LABEL</t>
  </si>
  <si>
    <t>SCREW</t>
  </si>
  <si>
    <t>GUIDER</t>
  </si>
  <si>
    <t>9K-30241</t>
  </si>
  <si>
    <t>YK</t>
  </si>
  <si>
    <t>YS</t>
  </si>
  <si>
    <t>Y</t>
  </si>
  <si>
    <t>FOR SILL</t>
  </si>
  <si>
    <t>FOR HEAD &amp; JAMB</t>
  </si>
  <si>
    <t>FOR LOCK CATCH, BACK P</t>
  </si>
  <si>
    <t>FOR GUIDER</t>
  </si>
  <si>
    <t>FOR JOINT FRAME</t>
  </si>
  <si>
    <t>HOOK LOCK</t>
  </si>
  <si>
    <t>ROLLER</t>
  </si>
  <si>
    <t>SPACER</t>
  </si>
  <si>
    <t>GUIDE</t>
  </si>
  <si>
    <t>PULL BLOCK</t>
  </si>
  <si>
    <t>AT MATERIAL</t>
  </si>
  <si>
    <t>GASKET</t>
  </si>
  <si>
    <t>STOPPER</t>
  </si>
  <si>
    <t>P-12</t>
  </si>
  <si>
    <t>DG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</si>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</sst>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A92BF5D3-06C8-434C-97D5-47AAB108A3F1}"/>
    <cellStyle name="Normal" xfId="0" builtinId="0"/>
    <cellStyle name="Normal 10" xfId="2" xr:uid="{29D6F512-8966-4549-AC08-A0175A0B2986}"/>
    <cellStyle name="Normal 2" xfId="1" xr:uid="{55918798-F400-4716-95F4-940D65E5F723}"/>
    <cellStyle name="Normal 5" xfId="4" xr:uid="{FF189FA3-8EA0-44E4-8411-0B67250E295C}"/>
    <cellStyle name="Normal_COBA 2" xfId="5" xr:uid="{E77DF92D-D496-4E77-A614-4DD6145BB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18D7A90-DB74-4BBC-A154-E3C91018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8F8B9B2-33CC-4712-A9E9-15F2EA54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3461A6D-52A6-45B0-AD2B-592BE2E4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C12C193-9298-4C7B-9E0F-06FF2A8E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A063052-B17B-4C0B-B7FF-649CBFB8B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2E1FF37-B91A-4728-99D3-E9F5F652A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1517FE3-6876-4192-9963-B9220F20C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</xdr:colOff>
      <xdr:row>22</xdr:row>
      <xdr:rowOff>0</xdr:rowOff>
    </xdr:from>
    <xdr:to>
      <xdr:col>14</xdr:col>
      <xdr:colOff>246778</xdr:colOff>
      <xdr:row>36</xdr:row>
      <xdr:rowOff>40152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D947571-B400-44AA-98C4-E0E88DD98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9" b="15266"/>
        <a:stretch/>
      </xdr:blipFill>
      <xdr:spPr bwMode="auto">
        <a:xfrm>
          <a:off x="2415541" y="4107180"/>
          <a:ext cx="4155837" cy="2699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0BF2-FA4B-4D80-9CE3-E84B4192A76B}">
  <sheetPr>
    <tabColor rgb="FF92D050"/>
    <pageSetUpPr fitToPage="1"/>
  </sheetPr>
  <dimension ref="B1:DP61"/>
  <sheetViews>
    <sheetView showGridLines="0" tabSelected="1" topLeftCell="A7" zoomScale="70" zoomScaleNormal="70" zoomScaleSheetLayoutView="70" workbookViewId="0">
      <selection activeCell="T35" sqref="T35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45525.421860879629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45525.421860879629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45525.421860879629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45525.421860879629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45525.421860879629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SL4 AWY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SL4 AWY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SL4 AWY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SL4 AWY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52H4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52H4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52H4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52H4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3921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52H4</v>
      </c>
      <c r="V9" s="37"/>
      <c r="W9" s="56"/>
      <c r="X9" s="63"/>
      <c r="Y9" s="63"/>
      <c r="Z9" s="64" t="s">
        <v>21</v>
      </c>
      <c r="AA9" s="336">
        <f>$K$9</f>
        <v>3921</v>
      </c>
      <c r="AB9" s="337"/>
      <c r="AC9" s="66"/>
      <c r="AD9" s="62"/>
      <c r="AE9" s="60" t="str">
        <f>IF($O$9&gt;0,$O$9,"")</f>
        <v>U9H-21003</v>
      </c>
      <c r="AF9" s="61"/>
      <c r="AG9" s="3"/>
      <c r="AH9" s="54" t="s">
        <v>20</v>
      </c>
      <c r="AI9" s="37"/>
      <c r="AJ9" s="38"/>
      <c r="AK9" s="55" t="str">
        <f>IF($E$9&gt;0,$E$9,"")</f>
        <v>52H4</v>
      </c>
      <c r="AL9" s="37"/>
      <c r="AM9" s="56"/>
      <c r="AN9" s="63"/>
      <c r="AO9" s="63"/>
      <c r="AP9" s="64" t="s">
        <v>21</v>
      </c>
      <c r="AQ9" s="336">
        <f>$K$9</f>
        <v>3921</v>
      </c>
      <c r="AR9" s="337"/>
      <c r="AS9" s="66"/>
      <c r="AT9" s="62"/>
      <c r="AU9" s="60" t="str">
        <f>IF($O$9&gt;0,$O$9,"")</f>
        <v>U9H-21003</v>
      </c>
      <c r="AV9" s="61"/>
      <c r="AW9" s="3"/>
      <c r="AX9" s="54" t="s">
        <v>20</v>
      </c>
      <c r="AY9" s="37"/>
      <c r="AZ9" s="38"/>
      <c r="BA9" s="55" t="str">
        <f>IF(E9&gt;0,E9,"")</f>
        <v>52H4</v>
      </c>
      <c r="BB9" s="37"/>
      <c r="BC9" s="56"/>
      <c r="BD9" s="63"/>
      <c r="BE9" s="63"/>
      <c r="BF9" s="64" t="s">
        <v>21</v>
      </c>
      <c r="BG9" s="336">
        <f>$K$9</f>
        <v>3921</v>
      </c>
      <c r="BH9" s="337"/>
      <c r="BI9" s="66"/>
      <c r="BJ9" s="62"/>
      <c r="BK9" s="60" t="str">
        <f>IF($O$9&gt;0,$O$9,"")</f>
        <v>U9H-21003</v>
      </c>
      <c r="BL9" s="61"/>
      <c r="BM9" s="3"/>
      <c r="BN9" s="54" t="s">
        <v>20</v>
      </c>
      <c r="BO9" s="37"/>
      <c r="BP9" s="38"/>
      <c r="BQ9" s="55" t="str">
        <f>IF(U9&gt;0,U9,"")</f>
        <v>52H4</v>
      </c>
      <c r="BR9" s="37"/>
      <c r="BS9" s="56"/>
      <c r="BT9" s="63"/>
      <c r="BU9" s="63"/>
      <c r="BV9" s="64" t="s">
        <v>21</v>
      </c>
      <c r="BW9" s="336">
        <f>$K$9</f>
        <v>3921</v>
      </c>
      <c r="BX9" s="337"/>
      <c r="BY9" s="66"/>
      <c r="BZ9" s="62"/>
      <c r="CA9" s="60" t="str">
        <f>IF($O$9&gt;0,$O$9,"")</f>
        <v>U9H-21003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2800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2800</v>
      </c>
      <c r="AB10" s="337"/>
      <c r="AC10" s="66"/>
      <c r="AD10" s="62"/>
      <c r="AE10" s="60" t="str">
        <f>IF($O$10&gt;0,$O$10,"")</f>
        <v>U9H-20007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2800</v>
      </c>
      <c r="AR10" s="337"/>
      <c r="AS10" s="66"/>
      <c r="AT10" s="62"/>
      <c r="AU10" s="60" t="str">
        <f>IF($O$10&gt;0,$O$10,"")</f>
        <v>U9H-20007</v>
      </c>
      <c r="AV10" s="61"/>
      <c r="AW10" s="3"/>
      <c r="AX10" s="54" t="s">
        <v>23</v>
      </c>
      <c r="AY10" s="37"/>
      <c r="AZ10" s="38"/>
      <c r="BA10" s="55" t="str">
        <f>IF($U$10&gt;0,$U$10,"")</f>
        <v>52H4</v>
      </c>
      <c r="BB10" s="37"/>
      <c r="BC10" s="56"/>
      <c r="BD10" s="63"/>
      <c r="BE10" s="63"/>
      <c r="BF10" s="67" t="s">
        <v>24</v>
      </c>
      <c r="BG10" s="336">
        <f>$K$10</f>
        <v>2800</v>
      </c>
      <c r="BH10" s="337"/>
      <c r="BI10" s="66"/>
      <c r="BJ10" s="62"/>
      <c r="BK10" s="60" t="str">
        <f>IF($O$10&gt;0,$O$10,"")</f>
        <v>U9H-20007</v>
      </c>
      <c r="BL10" s="61"/>
      <c r="BM10" s="3"/>
      <c r="BN10" s="54" t="s">
        <v>23</v>
      </c>
      <c r="BO10" s="37"/>
      <c r="BP10" s="38"/>
      <c r="BQ10" s="55" t="str">
        <f>IF($AK$10&gt;0,$AK$10,"")</f>
        <v>52H4-A/O</v>
      </c>
      <c r="BR10" s="37"/>
      <c r="BS10" s="56"/>
      <c r="BT10" s="63"/>
      <c r="BU10" s="63"/>
      <c r="BV10" s="67" t="s">
        <v>24</v>
      </c>
      <c r="BW10" s="336">
        <f>$K$10</f>
        <v>2800</v>
      </c>
      <c r="BX10" s="337"/>
      <c r="BY10" s="66"/>
      <c r="BZ10" s="62"/>
      <c r="CA10" s="60" t="str">
        <f>IF($O$10&gt;0,$O$10,"")</f>
        <v>U9H-20007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3921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3921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3921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3921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3921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2800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2800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2800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2800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2800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H-80</f>
        <v>2720</v>
      </c>
      <c r="M14" s="96" t="s">
        <v>39</v>
      </c>
      <c r="N14" s="98">
        <f>W-40</f>
        <v>3881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2720</v>
      </c>
      <c r="AC14" s="96" t="s">
        <v>39</v>
      </c>
      <c r="AD14" s="103">
        <f>IF($N$14&gt;0,$N$14,"")</f>
        <v>3881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2720</v>
      </c>
      <c r="AS14" s="96" t="s">
        <v>39</v>
      </c>
      <c r="AT14" s="103">
        <f>IF($N$14&gt;0,$N$14,"")</f>
        <v>3881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2720</v>
      </c>
      <c r="BI14" s="96" t="s">
        <v>39</v>
      </c>
      <c r="BJ14" s="103">
        <f>IF($N$14&gt;0,$N$14,"")</f>
        <v>3881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2720</v>
      </c>
      <c r="BY14" s="96" t="s">
        <v>39</v>
      </c>
      <c r="BZ14" s="103">
        <f>IF($N$14&gt;0,$N$14,"")</f>
        <v>3881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700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700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700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700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700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168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168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169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169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3</v>
      </c>
      <c r="X22" s="171">
        <f>W-21</f>
        <v>3900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0.72599999999999998</v>
      </c>
      <c r="AF22" s="179">
        <f>IF(U22&gt;"",(AE22*X22*Z22)/1000,"")</f>
        <v>2.8313999999999999</v>
      </c>
      <c r="AG22" s="4"/>
      <c r="AH22" s="199" t="s">
        <v>97</v>
      </c>
      <c r="AI22" s="200"/>
      <c r="AJ22" s="204"/>
      <c r="AK22" s="168" t="s">
        <v>98</v>
      </c>
      <c r="AL22" s="169" t="str">
        <f t="shared" ref="AL22:AL47" si="3">IF(AK22&gt;"","-","")</f>
        <v>-</v>
      </c>
      <c r="AM22" s="202">
        <v>8</v>
      </c>
      <c r="AN22" s="208">
        <f t="shared" ref="AN22:AN29" si="4">HS.1+10</f>
        <v>2730</v>
      </c>
      <c r="AO22" s="172">
        <v>1</v>
      </c>
      <c r="AP22" s="173">
        <f t="shared" ref="AP22:AP47" si="5">IF(AO22&lt;0.1,"",Q*AO22)</f>
        <v>1</v>
      </c>
      <c r="AQ22" s="203"/>
      <c r="AR22" s="175" t="str">
        <f>CONCATENATE("cs+6.3 = ",(C.-45)+6.3)</f>
        <v>cs+6.3 = 661.3</v>
      </c>
      <c r="AS22" s="176"/>
      <c r="AT22" s="177"/>
      <c r="AU22" s="178">
        <f t="shared" ref="AU22:AU34" si="6">IF(AK22&gt;"",VLOOKUP(AK22,MATERIAL_WEIGHT,2,FALSE),"")</f>
        <v>0.51300000000000001</v>
      </c>
      <c r="AV22" s="179">
        <f t="shared" ref="AV22:AV47" si="7">IF(AK22&gt;"",(AU22*AN22*AP22)/1000,"")</f>
        <v>1.40049</v>
      </c>
      <c r="AW22" s="4"/>
      <c r="AX22" s="199" t="s">
        <v>175</v>
      </c>
      <c r="AY22" s="200"/>
      <c r="AZ22" s="201"/>
      <c r="BA22" s="205" t="s">
        <v>85</v>
      </c>
      <c r="BB22" s="169"/>
      <c r="BC22" s="181"/>
      <c r="BD22" s="182" t="s">
        <v>184</v>
      </c>
      <c r="BE22" s="172">
        <v>1</v>
      </c>
      <c r="BF22" s="173">
        <f t="shared" ref="BF22:BF60" si="8">IF(BE22="","",Q*BE22)</f>
        <v>1</v>
      </c>
      <c r="BG22" s="184"/>
      <c r="BH22" s="185"/>
      <c r="BI22" s="186"/>
      <c r="BJ22" s="187"/>
      <c r="BK22" s="206"/>
      <c r="BL22" s="189"/>
      <c r="BM22" s="4"/>
      <c r="BN22" s="199" t="s">
        <v>192</v>
      </c>
      <c r="BO22" s="200"/>
      <c r="BP22" s="201"/>
      <c r="BQ22" s="205" t="s">
        <v>86</v>
      </c>
      <c r="BR22" s="169"/>
      <c r="BS22" s="181"/>
      <c r="BT22" s="182" t="s">
        <v>201</v>
      </c>
      <c r="BU22" s="172">
        <v>2</v>
      </c>
      <c r="BV22" s="173">
        <f t="shared" ref="BV22:BV44" si="9">IF(BU22="","",Q*BU22)</f>
        <v>2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2</v>
      </c>
      <c r="X23" s="208">
        <f>W-21</f>
        <v>3900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0.754</v>
      </c>
      <c r="AF23" s="179">
        <f>IF(U23&gt;"",(AE23*X23*Z23)/1000,"")</f>
        <v>2.9405999999999999</v>
      </c>
      <c r="AG23" s="4"/>
      <c r="AH23" s="199" t="s">
        <v>102</v>
      </c>
      <c r="AI23" s="200"/>
      <c r="AJ23" s="204"/>
      <c r="AK23" s="168" t="s">
        <v>98</v>
      </c>
      <c r="AL23" s="169" t="str">
        <f t="shared" si="3"/>
        <v>-</v>
      </c>
      <c r="AM23" s="202">
        <v>7</v>
      </c>
      <c r="AN23" s="208">
        <f t="shared" si="4"/>
        <v>2730</v>
      </c>
      <c r="AO23" s="183">
        <v>1</v>
      </c>
      <c r="AP23" s="173">
        <f t="shared" si="5"/>
        <v>1</v>
      </c>
      <c r="AQ23" s="203"/>
      <c r="AR23" s="175" t="str">
        <f>CONCATENATE("cs+6.3 = ",(C.-45)+6.3)</f>
        <v>cs+6.3 = 661.3</v>
      </c>
      <c r="AS23" s="176"/>
      <c r="AT23" s="177"/>
      <c r="AU23" s="178">
        <f t="shared" si="6"/>
        <v>0.51300000000000001</v>
      </c>
      <c r="AV23" s="179">
        <f t="shared" si="7"/>
        <v>1.40049</v>
      </c>
      <c r="AW23" s="4"/>
      <c r="AX23" s="199" t="s">
        <v>176</v>
      </c>
      <c r="AY23" s="200"/>
      <c r="AZ23" s="201"/>
      <c r="BA23" s="168" t="s">
        <v>116</v>
      </c>
      <c r="BB23" s="169"/>
      <c r="BC23" s="181"/>
      <c r="BD23" s="182" t="s">
        <v>185</v>
      </c>
      <c r="BE23" s="172">
        <v>5</v>
      </c>
      <c r="BF23" s="173">
        <f t="shared" si="8"/>
        <v>5</v>
      </c>
      <c r="BG23" s="184"/>
      <c r="BH23" s="185" t="s">
        <v>187</v>
      </c>
      <c r="BI23" s="186"/>
      <c r="BJ23" s="187"/>
      <c r="BK23" s="206"/>
      <c r="BL23" s="189" t="s">
        <v>113</v>
      </c>
      <c r="BM23" s="4"/>
      <c r="BN23" s="199" t="s">
        <v>192</v>
      </c>
      <c r="BO23" s="200"/>
      <c r="BP23" s="201"/>
      <c r="BQ23" s="168" t="s">
        <v>90</v>
      </c>
      <c r="BR23" s="169"/>
      <c r="BS23" s="181"/>
      <c r="BT23" s="182" t="s">
        <v>201</v>
      </c>
      <c r="BU23" s="172">
        <v>1</v>
      </c>
      <c r="BV23" s="173">
        <f t="shared" si="9"/>
        <v>1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91</v>
      </c>
      <c r="S24" s="200"/>
      <c r="T24" s="201"/>
      <c r="U24" s="168" t="s">
        <v>92</v>
      </c>
      <c r="V24" s="169" t="str">
        <f t="shared" si="0"/>
        <v>-</v>
      </c>
      <c r="W24" s="202">
        <v>12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CONCATENATE("C+49 = ",(C.)+49)</f>
        <v>C+49 = 749</v>
      </c>
      <c r="AC24" s="176"/>
      <c r="AD24" s="177"/>
      <c r="AE24" s="178">
        <f t="shared" si="2"/>
        <v>0.46300000000000002</v>
      </c>
      <c r="AF24" s="179">
        <f t="shared" ref="AF24:AF47" si="10">IF(U24&gt;"",(AE24*X24*Z24)/1000,"")</f>
        <v>1.2964</v>
      </c>
      <c r="AG24" s="4"/>
      <c r="AH24" s="199" t="s">
        <v>170</v>
      </c>
      <c r="AI24" s="200"/>
      <c r="AJ24" s="204"/>
      <c r="AK24" s="168" t="s">
        <v>106</v>
      </c>
      <c r="AL24" s="169" t="str">
        <f t="shared" si="3"/>
        <v>-</v>
      </c>
      <c r="AM24" s="202">
        <v>26</v>
      </c>
      <c r="AN24" s="208">
        <f t="shared" si="4"/>
        <v>2730</v>
      </c>
      <c r="AO24" s="172">
        <v>1</v>
      </c>
      <c r="AP24" s="173">
        <f t="shared" si="5"/>
        <v>1</v>
      </c>
      <c r="AQ24" s="203"/>
      <c r="AR24" s="175"/>
      <c r="AS24" s="176"/>
      <c r="AT24" s="177"/>
      <c r="AU24" s="178">
        <f t="shared" si="6"/>
        <v>0.42399999999999999</v>
      </c>
      <c r="AV24" s="179">
        <f t="shared" si="7"/>
        <v>1.1575199999999999</v>
      </c>
      <c r="AW24" s="4"/>
      <c r="AX24" s="199" t="s">
        <v>177</v>
      </c>
      <c r="AY24" s="200"/>
      <c r="AZ24" s="201"/>
      <c r="BA24" s="168" t="s">
        <v>119</v>
      </c>
      <c r="BB24" s="169"/>
      <c r="BC24" s="181"/>
      <c r="BD24" s="182" t="s">
        <v>186</v>
      </c>
      <c r="BE24" s="172">
        <f>IF(W&lt;=821,2,IF(W&lt;=1921,4,IF(W&lt;=2921,6,IF(W&lt;=3921,8,10))+IF(H&lt;=900,4,IF(H&lt;=1500,6,IF(H&lt;=2500,10,14)))))</f>
        <v>22</v>
      </c>
      <c r="BF24" s="173">
        <f t="shared" si="8"/>
        <v>22</v>
      </c>
      <c r="BG24" s="184"/>
      <c r="BH24" s="185" t="s">
        <v>188</v>
      </c>
      <c r="BI24" s="186"/>
      <c r="BJ24" s="187"/>
      <c r="BK24" s="188"/>
      <c r="BL24" s="189" t="s">
        <v>113</v>
      </c>
      <c r="BM24" s="4"/>
      <c r="BN24" s="199" t="s">
        <v>178</v>
      </c>
      <c r="BO24" s="200"/>
      <c r="BP24" s="201"/>
      <c r="BQ24" s="168" t="s">
        <v>95</v>
      </c>
      <c r="BR24" s="169"/>
      <c r="BS24" s="181"/>
      <c r="BT24" s="182" t="s">
        <v>185</v>
      </c>
      <c r="BU24" s="172">
        <v>1</v>
      </c>
      <c r="BV24" s="173">
        <f t="shared" si="9"/>
        <v>1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96</v>
      </c>
      <c r="S25" s="200"/>
      <c r="T25" s="201"/>
      <c r="U25" s="168" t="s">
        <v>92</v>
      </c>
      <c r="V25" s="169" t="str">
        <f t="shared" si="0"/>
        <v>-</v>
      </c>
      <c r="W25" s="202">
        <v>11</v>
      </c>
      <c r="X25" s="208">
        <f>H</f>
        <v>2800</v>
      </c>
      <c r="Y25" s="172">
        <v>1</v>
      </c>
      <c r="Z25" s="173">
        <f t="shared" si="1"/>
        <v>1</v>
      </c>
      <c r="AA25" s="210"/>
      <c r="AB25" s="175" t="str">
        <f>CONCATENATE("C+49 = ",(C.)+49)</f>
        <v>C+49 = 749</v>
      </c>
      <c r="AC25" s="176"/>
      <c r="AD25" s="177"/>
      <c r="AE25" s="178">
        <f t="shared" si="2"/>
        <v>0.46300000000000002</v>
      </c>
      <c r="AF25" s="179">
        <f t="shared" si="10"/>
        <v>1.2964</v>
      </c>
      <c r="AG25" s="4"/>
      <c r="AH25" s="199" t="s">
        <v>171</v>
      </c>
      <c r="AI25" s="200"/>
      <c r="AJ25" s="204"/>
      <c r="AK25" s="168" t="s">
        <v>106</v>
      </c>
      <c r="AL25" s="169" t="str">
        <f t="shared" si="3"/>
        <v>-</v>
      </c>
      <c r="AM25" s="202">
        <v>24</v>
      </c>
      <c r="AN25" s="208">
        <f t="shared" si="4"/>
        <v>2730</v>
      </c>
      <c r="AO25" s="172">
        <v>1</v>
      </c>
      <c r="AP25" s="173">
        <f t="shared" si="5"/>
        <v>1</v>
      </c>
      <c r="AQ25" s="210"/>
      <c r="AR25" s="175"/>
      <c r="AS25" s="176"/>
      <c r="AT25" s="177"/>
      <c r="AU25" s="178">
        <f t="shared" si="6"/>
        <v>0.42399999999999999</v>
      </c>
      <c r="AV25" s="179">
        <f t="shared" si="7"/>
        <v>1.1575199999999999</v>
      </c>
      <c r="AW25" s="4"/>
      <c r="AX25" s="199" t="s">
        <v>175</v>
      </c>
      <c r="AY25" s="200"/>
      <c r="AZ25" s="201"/>
      <c r="BA25" s="168" t="s">
        <v>89</v>
      </c>
      <c r="BB25" s="169"/>
      <c r="BC25" s="181"/>
      <c r="BD25" s="182" t="s">
        <v>184</v>
      </c>
      <c r="BE25" s="172">
        <v>1</v>
      </c>
      <c r="BF25" s="173">
        <f t="shared" si="8"/>
        <v>1</v>
      </c>
      <c r="BG25" s="184"/>
      <c r="BH25" s="185"/>
      <c r="BI25" s="186"/>
      <c r="BJ25" s="187"/>
      <c r="BK25" s="188"/>
      <c r="BL25" s="189"/>
      <c r="BM25" s="4"/>
      <c r="BN25" s="199" t="s">
        <v>179</v>
      </c>
      <c r="BO25" s="200"/>
      <c r="BP25" s="201"/>
      <c r="BQ25" s="168" t="s">
        <v>99</v>
      </c>
      <c r="BR25" s="169"/>
      <c r="BS25" s="181"/>
      <c r="BT25" s="182" t="s">
        <v>185</v>
      </c>
      <c r="BU25" s="172">
        <v>1</v>
      </c>
      <c r="BV25" s="173">
        <f t="shared" si="9"/>
        <v>1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100</v>
      </c>
      <c r="S26" s="200"/>
      <c r="T26" s="201"/>
      <c r="U26" s="168" t="s">
        <v>101</v>
      </c>
      <c r="V26" s="169" t="str">
        <f t="shared" si="0"/>
        <v>-</v>
      </c>
      <c r="W26" s="202">
        <v>2</v>
      </c>
      <c r="X26" s="171">
        <f>W-21</f>
        <v>3900</v>
      </c>
      <c r="Y26" s="172">
        <v>1</v>
      </c>
      <c r="Z26" s="173">
        <f t="shared" si="1"/>
        <v>1</v>
      </c>
      <c r="AA26" s="210"/>
      <c r="AB26" s="175"/>
      <c r="AC26" s="176"/>
      <c r="AD26" s="212"/>
      <c r="AE26" s="178">
        <f t="shared" si="2"/>
        <v>0.219</v>
      </c>
      <c r="AF26" s="179">
        <f t="shared" si="10"/>
        <v>0.85409999999999997</v>
      </c>
      <c r="AG26" s="4"/>
      <c r="AH26" s="199" t="s">
        <v>170</v>
      </c>
      <c r="AI26" s="200"/>
      <c r="AJ26" s="204"/>
      <c r="AK26" s="168" t="s">
        <v>106</v>
      </c>
      <c r="AL26" s="169" t="str">
        <f t="shared" si="3"/>
        <v>-</v>
      </c>
      <c r="AM26" s="202">
        <v>26</v>
      </c>
      <c r="AN26" s="208">
        <f t="shared" si="4"/>
        <v>2730</v>
      </c>
      <c r="AO26" s="172">
        <v>1</v>
      </c>
      <c r="AP26" s="173">
        <f t="shared" si="5"/>
        <v>1</v>
      </c>
      <c r="AQ26" s="210"/>
      <c r="AR26" s="175"/>
      <c r="AS26" s="176"/>
      <c r="AT26" s="212"/>
      <c r="AU26" s="178">
        <f t="shared" si="6"/>
        <v>0.42399999999999999</v>
      </c>
      <c r="AV26" s="179">
        <f t="shared" si="7"/>
        <v>1.1575199999999999</v>
      </c>
      <c r="AW26" s="4"/>
      <c r="AX26" s="199" t="s">
        <v>178</v>
      </c>
      <c r="AY26" s="200"/>
      <c r="AZ26" s="201"/>
      <c r="BA26" s="168" t="s">
        <v>95</v>
      </c>
      <c r="BB26" s="169"/>
      <c r="BC26" s="181"/>
      <c r="BD26" s="182" t="s">
        <v>185</v>
      </c>
      <c r="BE26" s="172">
        <v>2</v>
      </c>
      <c r="BF26" s="173">
        <f t="shared" si="8"/>
        <v>2</v>
      </c>
      <c r="BG26" s="184"/>
      <c r="BH26" s="185"/>
      <c r="BI26" s="186"/>
      <c r="BJ26" s="187"/>
      <c r="BK26" s="188"/>
      <c r="BL26" s="189"/>
      <c r="BM26" s="4"/>
      <c r="BN26" s="199" t="s">
        <v>181</v>
      </c>
      <c r="BO26" s="200"/>
      <c r="BP26" s="201"/>
      <c r="BQ26" s="168" t="s">
        <v>103</v>
      </c>
      <c r="BR26" s="169"/>
      <c r="BS26" s="181"/>
      <c r="BT26" s="182" t="s">
        <v>185</v>
      </c>
      <c r="BU26" s="172">
        <v>6</v>
      </c>
      <c r="BV26" s="173">
        <f t="shared" si="9"/>
        <v>6</v>
      </c>
      <c r="BW26" s="184"/>
      <c r="BX26" s="185" t="s">
        <v>104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100</v>
      </c>
      <c r="S27" s="200"/>
      <c r="T27" s="201"/>
      <c r="U27" s="168" t="s">
        <v>105</v>
      </c>
      <c r="V27" s="169" t="str">
        <f t="shared" si="0"/>
        <v>-</v>
      </c>
      <c r="W27" s="202">
        <v>2</v>
      </c>
      <c r="X27" s="171">
        <f>W-21</f>
        <v>3900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0.31900000000000001</v>
      </c>
      <c r="AF27" s="179">
        <f t="shared" si="10"/>
        <v>1.2441</v>
      </c>
      <c r="AG27" s="4"/>
      <c r="AH27" s="199" t="s">
        <v>171</v>
      </c>
      <c r="AI27" s="200"/>
      <c r="AJ27" s="204"/>
      <c r="AK27" s="168" t="s">
        <v>106</v>
      </c>
      <c r="AL27" s="169" t="str">
        <f t="shared" si="3"/>
        <v>-</v>
      </c>
      <c r="AM27" s="202">
        <v>24</v>
      </c>
      <c r="AN27" s="208">
        <f t="shared" si="4"/>
        <v>2730</v>
      </c>
      <c r="AO27" s="172">
        <v>1</v>
      </c>
      <c r="AP27" s="173">
        <f t="shared" si="5"/>
        <v>1</v>
      </c>
      <c r="AQ27" s="210"/>
      <c r="AR27" s="175"/>
      <c r="AS27" s="176"/>
      <c r="AT27" s="212"/>
      <c r="AU27" s="178">
        <f t="shared" si="6"/>
        <v>0.42399999999999999</v>
      </c>
      <c r="AV27" s="179">
        <f t="shared" si="7"/>
        <v>1.1575199999999999</v>
      </c>
      <c r="AW27" s="4"/>
      <c r="AX27" s="199" t="s">
        <v>179</v>
      </c>
      <c r="AY27" s="200"/>
      <c r="AZ27" s="201"/>
      <c r="BA27" s="168" t="s">
        <v>99</v>
      </c>
      <c r="BB27" s="169"/>
      <c r="BC27" s="181"/>
      <c r="BD27" s="182" t="s">
        <v>185</v>
      </c>
      <c r="BE27" s="172">
        <v>2</v>
      </c>
      <c r="BF27" s="173">
        <f t="shared" si="8"/>
        <v>2</v>
      </c>
      <c r="BG27" s="213"/>
      <c r="BH27" s="185"/>
      <c r="BI27" s="186"/>
      <c r="BJ27" s="187"/>
      <c r="BK27" s="188"/>
      <c r="BL27" s="189"/>
      <c r="BM27" s="4"/>
      <c r="BN27" s="199" t="s">
        <v>181</v>
      </c>
      <c r="BO27" s="200"/>
      <c r="BP27" s="201"/>
      <c r="BQ27" s="168" t="s">
        <v>107</v>
      </c>
      <c r="BR27" s="169"/>
      <c r="BS27" s="181"/>
      <c r="BT27" s="182" t="s">
        <v>185</v>
      </c>
      <c r="BU27" s="172">
        <v>3</v>
      </c>
      <c r="BV27" s="173">
        <f t="shared" si="9"/>
        <v>3</v>
      </c>
      <c r="BW27" s="213"/>
      <c r="BX27" s="185" t="s">
        <v>189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10"/>
        <v/>
      </c>
      <c r="AG28" s="4"/>
      <c r="AH28" s="214" t="s">
        <v>172</v>
      </c>
      <c r="AI28" s="215"/>
      <c r="AJ28" s="217"/>
      <c r="AK28" s="168" t="s">
        <v>115</v>
      </c>
      <c r="AL28" s="169" t="str">
        <f t="shared" si="3"/>
        <v>-</v>
      </c>
      <c r="AM28" s="202">
        <v>12</v>
      </c>
      <c r="AN28" s="208">
        <f t="shared" si="4"/>
        <v>2730</v>
      </c>
      <c r="AO28" s="172">
        <v>1</v>
      </c>
      <c r="AP28" s="173">
        <f t="shared" si="5"/>
        <v>1</v>
      </c>
      <c r="AQ28" s="210"/>
      <c r="AR28" s="175" t="str">
        <f>CONCATENATE("cs+54 = ",(C.-45)+54)</f>
        <v>cs+54 = 709</v>
      </c>
      <c r="AS28" s="176"/>
      <c r="AT28" s="212"/>
      <c r="AU28" s="178">
        <f t="shared" si="6"/>
        <v>0.57399999999999995</v>
      </c>
      <c r="AV28" s="179">
        <f t="shared" si="7"/>
        <v>1.5670200000000001</v>
      </c>
      <c r="AW28" s="4"/>
      <c r="AX28" s="199" t="s">
        <v>180</v>
      </c>
      <c r="AY28" s="200"/>
      <c r="AZ28" s="201"/>
      <c r="BA28" s="168" t="s">
        <v>183</v>
      </c>
      <c r="BB28" s="169"/>
      <c r="BC28" s="181"/>
      <c r="BD28" s="182" t="s">
        <v>185</v>
      </c>
      <c r="BE28" s="172">
        <v>1</v>
      </c>
      <c r="BF28" s="173">
        <f t="shared" si="8"/>
        <v>1</v>
      </c>
      <c r="BG28" s="184"/>
      <c r="BH28" s="185"/>
      <c r="BI28" s="186"/>
      <c r="BJ28" s="187"/>
      <c r="BK28" s="188"/>
      <c r="BL28" s="189"/>
      <c r="BM28" s="4"/>
      <c r="BN28" s="199" t="s">
        <v>193</v>
      </c>
      <c r="BO28" s="200"/>
      <c r="BP28" s="201"/>
      <c r="BQ28" s="168" t="s">
        <v>109</v>
      </c>
      <c r="BR28" s="169"/>
      <c r="BS28" s="181"/>
      <c r="BT28" s="182" t="s">
        <v>185</v>
      </c>
      <c r="BU28" s="172">
        <v>8</v>
      </c>
      <c r="BV28" s="173">
        <f t="shared" si="9"/>
        <v>8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10"/>
        <v/>
      </c>
      <c r="AG29" s="4"/>
      <c r="AH29" s="214" t="s">
        <v>173</v>
      </c>
      <c r="AI29" s="215"/>
      <c r="AJ29" s="217"/>
      <c r="AK29" s="218" t="s">
        <v>118</v>
      </c>
      <c r="AL29" s="169" t="str">
        <f t="shared" si="3"/>
        <v>-</v>
      </c>
      <c r="AM29" s="219">
        <v>3</v>
      </c>
      <c r="AN29" s="208">
        <f t="shared" si="4"/>
        <v>2730</v>
      </c>
      <c r="AO29" s="220">
        <v>1</v>
      </c>
      <c r="AP29" s="222">
        <f t="shared" si="5"/>
        <v>1</v>
      </c>
      <c r="AQ29" s="221"/>
      <c r="AR29" s="175" t="str">
        <f>CONCATENATE("cs+6.3 = ",(C.-45)+6.3)</f>
        <v>cs+6.3 = 661.3</v>
      </c>
      <c r="AS29" s="176"/>
      <c r="AT29" s="212"/>
      <c r="AU29" s="178">
        <f t="shared" si="6"/>
        <v>0.69399999999999995</v>
      </c>
      <c r="AV29" s="179">
        <f t="shared" si="7"/>
        <v>1.89462</v>
      </c>
      <c r="AW29" s="4"/>
      <c r="AX29" s="199" t="s">
        <v>181</v>
      </c>
      <c r="AY29" s="200"/>
      <c r="AZ29" s="201"/>
      <c r="BA29" s="168" t="s">
        <v>107</v>
      </c>
      <c r="BB29" s="169"/>
      <c r="BC29" s="181"/>
      <c r="BD29" s="182" t="s">
        <v>185</v>
      </c>
      <c r="BE29" s="172">
        <v>6</v>
      </c>
      <c r="BF29" s="173">
        <f t="shared" si="8"/>
        <v>6</v>
      </c>
      <c r="BG29" s="184"/>
      <c r="BH29" s="185" t="s">
        <v>189</v>
      </c>
      <c r="BI29" s="186"/>
      <c r="BJ29" s="187"/>
      <c r="BK29" s="188"/>
      <c r="BL29" s="189"/>
      <c r="BM29" s="4"/>
      <c r="BN29" s="199" t="s">
        <v>194</v>
      </c>
      <c r="BO29" s="200"/>
      <c r="BP29" s="201"/>
      <c r="BQ29" s="168" t="s">
        <v>111</v>
      </c>
      <c r="BR29" s="169"/>
      <c r="BS29" s="181"/>
      <c r="BT29" s="182" t="s">
        <v>201</v>
      </c>
      <c r="BU29" s="172">
        <v>8</v>
      </c>
      <c r="BV29" s="173">
        <f t="shared" si="9"/>
        <v>8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10"/>
        <v/>
      </c>
      <c r="AG30" s="4"/>
      <c r="AH30" s="199" t="s">
        <v>83</v>
      </c>
      <c r="AI30" s="200"/>
      <c r="AJ30" s="204"/>
      <c r="AK30" s="168" t="s">
        <v>84</v>
      </c>
      <c r="AL30" s="169" t="str">
        <f t="shared" si="3"/>
        <v>-</v>
      </c>
      <c r="AM30" s="170">
        <v>0</v>
      </c>
      <c r="AN30" s="208">
        <f>(WS.1/4)-68</f>
        <v>902.25</v>
      </c>
      <c r="AO30" s="172">
        <v>3</v>
      </c>
      <c r="AP30" s="173">
        <f t="shared" si="5"/>
        <v>3</v>
      </c>
      <c r="AQ30" s="221"/>
      <c r="AR30" s="175"/>
      <c r="AS30" s="176"/>
      <c r="AT30" s="177"/>
      <c r="AU30" s="178">
        <f t="shared" si="6"/>
        <v>0.25800000000000001</v>
      </c>
      <c r="AV30" s="179">
        <f t="shared" si="7"/>
        <v>0.69834149999999995</v>
      </c>
      <c r="AW30" s="4"/>
      <c r="AX30" s="199" t="s">
        <v>182</v>
      </c>
      <c r="AY30" s="200"/>
      <c r="AZ30" s="201"/>
      <c r="BA30" s="168" t="s">
        <v>108</v>
      </c>
      <c r="BB30" s="169"/>
      <c r="BC30" s="181"/>
      <c r="BD30" s="182" t="s">
        <v>184</v>
      </c>
      <c r="BE30" s="172">
        <v>3</v>
      </c>
      <c r="BF30" s="173">
        <f t="shared" si="8"/>
        <v>3</v>
      </c>
      <c r="BG30" s="184"/>
      <c r="BH30" s="185"/>
      <c r="BI30" s="186"/>
      <c r="BJ30" s="187"/>
      <c r="BK30" s="188"/>
      <c r="BL30" s="189"/>
      <c r="BM30" s="4"/>
      <c r="BN30" s="199" t="s">
        <v>194</v>
      </c>
      <c r="BO30" s="200"/>
      <c r="BP30" s="201"/>
      <c r="BQ30" s="168" t="s">
        <v>114</v>
      </c>
      <c r="BR30" s="169"/>
      <c r="BS30" s="181"/>
      <c r="BT30" s="182" t="s">
        <v>201</v>
      </c>
      <c r="BU30" s="172">
        <v>8</v>
      </c>
      <c r="BV30" s="173">
        <f t="shared" si="9"/>
        <v>8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10"/>
        <v/>
      </c>
      <c r="AG31" s="4"/>
      <c r="AH31" s="199" t="s">
        <v>174</v>
      </c>
      <c r="AI31" s="200"/>
      <c r="AJ31" s="204"/>
      <c r="AK31" s="168" t="s">
        <v>84</v>
      </c>
      <c r="AL31" s="169" t="str">
        <f t="shared" si="3"/>
        <v>-</v>
      </c>
      <c r="AM31" s="223">
        <v>0</v>
      </c>
      <c r="AN31" s="208">
        <f>(WS.1/4)-68</f>
        <v>902.25</v>
      </c>
      <c r="AO31" s="172">
        <v>1</v>
      </c>
      <c r="AP31" s="173">
        <f t="shared" si="5"/>
        <v>1</v>
      </c>
      <c r="AQ31" s="221"/>
      <c r="AR31" s="175"/>
      <c r="AS31" s="176"/>
      <c r="AT31" s="212"/>
      <c r="AU31" s="178">
        <f t="shared" si="6"/>
        <v>0.25800000000000001</v>
      </c>
      <c r="AV31" s="179">
        <f t="shared" si="7"/>
        <v>0.23278050000000003</v>
      </c>
      <c r="AW31" s="4"/>
      <c r="AX31" s="199" t="s">
        <v>181</v>
      </c>
      <c r="AY31" s="200"/>
      <c r="AZ31" s="201"/>
      <c r="BA31" s="168" t="s">
        <v>110</v>
      </c>
      <c r="BB31" s="169"/>
      <c r="BC31" s="181"/>
      <c r="BD31" s="182" t="s">
        <v>185</v>
      </c>
      <c r="BE31" s="172">
        <v>3</v>
      </c>
      <c r="BF31" s="173">
        <f t="shared" si="8"/>
        <v>3</v>
      </c>
      <c r="BG31" s="184"/>
      <c r="BH31" s="185" t="s">
        <v>190</v>
      </c>
      <c r="BI31" s="186"/>
      <c r="BJ31" s="187"/>
      <c r="BK31" s="188"/>
      <c r="BL31" s="189"/>
      <c r="BM31" s="4"/>
      <c r="BN31" s="199" t="s">
        <v>195</v>
      </c>
      <c r="BO31" s="200"/>
      <c r="BP31" s="201"/>
      <c r="BQ31" s="168" t="s">
        <v>117</v>
      </c>
      <c r="BR31" s="169"/>
      <c r="BS31" s="181"/>
      <c r="BT31" s="182" t="s">
        <v>201</v>
      </c>
      <c r="BU31" s="172">
        <v>14</v>
      </c>
      <c r="BV31" s="173">
        <f t="shared" si="9"/>
        <v>14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10"/>
        <v/>
      </c>
      <c r="AG32" s="4"/>
      <c r="AH32" s="199" t="s">
        <v>93</v>
      </c>
      <c r="AI32" s="200"/>
      <c r="AJ32" s="204"/>
      <c r="AK32" s="168" t="s">
        <v>94</v>
      </c>
      <c r="AL32" s="169" t="str">
        <f t="shared" si="3"/>
        <v>-</v>
      </c>
      <c r="AM32" s="170">
        <v>0</v>
      </c>
      <c r="AN32" s="208">
        <f>(WS.1/4)-68</f>
        <v>902.25</v>
      </c>
      <c r="AO32" s="172">
        <v>4</v>
      </c>
      <c r="AP32" s="173">
        <f t="shared" si="5"/>
        <v>4</v>
      </c>
      <c r="AQ32" s="221"/>
      <c r="AR32" s="175"/>
      <c r="AS32" s="176"/>
      <c r="AT32" s="212"/>
      <c r="AU32" s="178">
        <f t="shared" si="6"/>
        <v>0.40799999999999997</v>
      </c>
      <c r="AV32" s="179">
        <f t="shared" si="7"/>
        <v>1.472472</v>
      </c>
      <c r="AW32" s="4"/>
      <c r="AX32" s="199" t="s">
        <v>181</v>
      </c>
      <c r="AY32" s="200"/>
      <c r="AZ32" s="201"/>
      <c r="BA32" s="168" t="s">
        <v>112</v>
      </c>
      <c r="BB32" s="169"/>
      <c r="BC32" s="181"/>
      <c r="BD32" s="182" t="s">
        <v>185</v>
      </c>
      <c r="BE32" s="172">
        <v>8</v>
      </c>
      <c r="BF32" s="173">
        <f t="shared" si="8"/>
        <v>8</v>
      </c>
      <c r="BG32" s="184"/>
      <c r="BH32" s="185" t="s">
        <v>191</v>
      </c>
      <c r="BI32" s="186"/>
      <c r="BJ32" s="187"/>
      <c r="BK32" s="188"/>
      <c r="BL32" s="189" t="s">
        <v>113</v>
      </c>
      <c r="BM32" s="4"/>
      <c r="BN32" s="199" t="s">
        <v>195</v>
      </c>
      <c r="BO32" s="200"/>
      <c r="BP32" s="201"/>
      <c r="BQ32" s="168" t="s">
        <v>120</v>
      </c>
      <c r="BR32" s="169"/>
      <c r="BS32" s="181"/>
      <c r="BT32" s="182" t="s">
        <v>201</v>
      </c>
      <c r="BU32" s="172">
        <v>2</v>
      </c>
      <c r="BV32" s="173">
        <f t="shared" si="9"/>
        <v>2</v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10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5"/>
        <v/>
      </c>
      <c r="AQ33" s="221"/>
      <c r="AR33" s="175"/>
      <c r="AS33" s="176"/>
      <c r="AT33" s="212"/>
      <c r="AU33" s="178" t="str">
        <f t="shared" si="6"/>
        <v/>
      </c>
      <c r="AV33" s="179" t="str">
        <f t="shared" si="7"/>
        <v/>
      </c>
      <c r="AW33" s="4"/>
      <c r="AX33" s="199" t="str">
        <f t="shared" ref="AX33:AX60" si="11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33:BD60" si="12">IF(BA33&gt;"",VLOOKUP(BA33&amp;$M$10,PART_MASTER,3,FALSE),"")</f>
        <v/>
      </c>
      <c r="BE33" s="172"/>
      <c r="BF33" s="173" t="str">
        <f t="shared" si="8"/>
        <v/>
      </c>
      <c r="BG33" s="213"/>
      <c r="BH33" s="185"/>
      <c r="BI33" s="186"/>
      <c r="BJ33" s="187"/>
      <c r="BK33" s="188"/>
      <c r="BL33" s="189"/>
      <c r="BM33" s="4"/>
      <c r="BN33" s="199" t="s">
        <v>196</v>
      </c>
      <c r="BO33" s="200"/>
      <c r="BP33" s="201"/>
      <c r="BQ33" s="168" t="s">
        <v>121</v>
      </c>
      <c r="BR33" s="169"/>
      <c r="BS33" s="181"/>
      <c r="BT33" s="182" t="s">
        <v>186</v>
      </c>
      <c r="BU33" s="172">
        <f>IF(H&lt;=1000,2,IF(H&lt;=2200,4,IF(H&gt;2200,6,"")))</f>
        <v>6</v>
      </c>
      <c r="BV33" s="173">
        <f t="shared" si="9"/>
        <v>6</v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10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5"/>
        <v/>
      </c>
      <c r="AQ34" s="221"/>
      <c r="AR34" s="175"/>
      <c r="AS34" s="176"/>
      <c r="AT34" s="212"/>
      <c r="AU34" s="178" t="str">
        <f t="shared" si="6"/>
        <v/>
      </c>
      <c r="AV34" s="179" t="str">
        <f t="shared" si="7"/>
        <v/>
      </c>
      <c r="AW34" s="4"/>
      <c r="AX34" s="199" t="str">
        <f t="shared" si="11"/>
        <v/>
      </c>
      <c r="AY34" s="200"/>
      <c r="AZ34" s="201"/>
      <c r="BA34" s="168"/>
      <c r="BB34" s="169"/>
      <c r="BC34" s="181"/>
      <c r="BD34" s="182" t="str">
        <f t="shared" si="12"/>
        <v/>
      </c>
      <c r="BE34" s="172"/>
      <c r="BF34" s="173" t="str">
        <f t="shared" si="8"/>
        <v/>
      </c>
      <c r="BG34" s="213"/>
      <c r="BH34" s="185"/>
      <c r="BI34" s="186"/>
      <c r="BJ34" s="187"/>
      <c r="BK34" s="188"/>
      <c r="BL34" s="189"/>
      <c r="BM34" s="4"/>
      <c r="BN34" s="199" t="s">
        <v>197</v>
      </c>
      <c r="BO34" s="200"/>
      <c r="BP34" s="201"/>
      <c r="BQ34" s="168" t="s">
        <v>123</v>
      </c>
      <c r="BR34" s="169"/>
      <c r="BS34" s="181"/>
      <c r="BT34" s="182" t="s">
        <v>184</v>
      </c>
      <c r="BU34" s="172">
        <f>(16*((WS.1/2)-68))/1000</f>
        <v>29.96</v>
      </c>
      <c r="BV34" s="173">
        <f t="shared" si="9"/>
        <v>29.96</v>
      </c>
      <c r="BW34" s="213" t="s">
        <v>122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 t="s">
        <v>202</v>
      </c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10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03"/>
      <c r="AR35" s="175"/>
      <c r="AS35" s="176"/>
      <c r="AT35" s="177"/>
      <c r="AU35" s="178"/>
      <c r="AV35" s="179"/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197</v>
      </c>
      <c r="BO35" s="200"/>
      <c r="BP35" s="201"/>
      <c r="BQ35" s="168" t="s">
        <v>124</v>
      </c>
      <c r="BR35" s="169"/>
      <c r="BS35" s="181"/>
      <c r="BT35" s="182" t="s">
        <v>184</v>
      </c>
      <c r="BU35" s="172">
        <f>HS.1*2/1000</f>
        <v>5.44</v>
      </c>
      <c r="BV35" s="173">
        <f t="shared" si="9"/>
        <v>5.44</v>
      </c>
      <c r="BW35" s="213" t="s">
        <v>122</v>
      </c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10"/>
        <v/>
      </c>
      <c r="AG36" s="4"/>
      <c r="AH36" s="199"/>
      <c r="AI36" s="200"/>
      <c r="AJ36" s="204"/>
      <c r="AK36" s="168"/>
      <c r="AL36" s="169"/>
      <c r="AM36" s="202"/>
      <c r="AN36" s="208"/>
      <c r="AO36" s="183"/>
      <c r="AP36" s="173"/>
      <c r="AQ36" s="203"/>
      <c r="AR36" s="175"/>
      <c r="AS36" s="176"/>
      <c r="AT36" s="177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 t="s">
        <v>197</v>
      </c>
      <c r="BO36" s="200"/>
      <c r="BP36" s="201"/>
      <c r="BQ36" s="168" t="s">
        <v>125</v>
      </c>
      <c r="BR36" s="169"/>
      <c r="BS36" s="181"/>
      <c r="BT36" s="182" t="s">
        <v>184</v>
      </c>
      <c r="BU36" s="172">
        <f>HS.1*4/1000</f>
        <v>10.88</v>
      </c>
      <c r="BV36" s="173">
        <f t="shared" si="9"/>
        <v>10.88</v>
      </c>
      <c r="BW36" s="213" t="s">
        <v>122</v>
      </c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10"/>
        <v/>
      </c>
      <c r="AG37" s="4"/>
      <c r="AH37" s="199"/>
      <c r="AI37" s="200"/>
      <c r="AJ37" s="204"/>
      <c r="AK37" s="168"/>
      <c r="AL37" s="169"/>
      <c r="AM37" s="202"/>
      <c r="AN37" s="208"/>
      <c r="AO37" s="172"/>
      <c r="AP37" s="173"/>
      <c r="AQ37" s="203"/>
      <c r="AR37" s="175"/>
      <c r="AS37" s="176"/>
      <c r="AT37" s="177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197</v>
      </c>
      <c r="BO37" s="200"/>
      <c r="BP37" s="201"/>
      <c r="BQ37" s="168" t="s">
        <v>126</v>
      </c>
      <c r="BR37" s="169"/>
      <c r="BS37" s="181"/>
      <c r="BT37" s="182" t="s">
        <v>184</v>
      </c>
      <c r="BU37" s="172">
        <f>((HS.1+10)*2)/1000</f>
        <v>5.46</v>
      </c>
      <c r="BV37" s="173">
        <f t="shared" si="9"/>
        <v>5.46</v>
      </c>
      <c r="BW37" s="213" t="s">
        <v>122</v>
      </c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10"/>
        <v/>
      </c>
      <c r="AG38" s="4"/>
      <c r="AH38" s="199"/>
      <c r="AI38" s="200"/>
      <c r="AJ38" s="204"/>
      <c r="AK38" s="168"/>
      <c r="AL38" s="169"/>
      <c r="AM38" s="202"/>
      <c r="AN38" s="208"/>
      <c r="AO38" s="172"/>
      <c r="AP38" s="173"/>
      <c r="AQ38" s="210"/>
      <c r="AR38" s="175"/>
      <c r="AS38" s="176"/>
      <c r="AT38" s="177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180</v>
      </c>
      <c r="BO38" s="200"/>
      <c r="BP38" s="201"/>
      <c r="BQ38" s="168" t="s">
        <v>127</v>
      </c>
      <c r="BR38" s="169"/>
      <c r="BS38" s="181"/>
      <c r="BT38" s="182" t="s">
        <v>185</v>
      </c>
      <c r="BU38" s="172">
        <v>4</v>
      </c>
      <c r="BV38" s="173">
        <f t="shared" si="9"/>
        <v>4</v>
      </c>
      <c r="BW38" s="213"/>
      <c r="BX38" s="185" t="s">
        <v>128</v>
      </c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10"/>
        <v/>
      </c>
      <c r="AG39" s="4"/>
      <c r="AH39" s="199"/>
      <c r="AI39" s="200"/>
      <c r="AJ39" s="204"/>
      <c r="AK39" s="168"/>
      <c r="AL39" s="169"/>
      <c r="AM39" s="202"/>
      <c r="AN39" s="171"/>
      <c r="AO39" s="172"/>
      <c r="AP39" s="173"/>
      <c r="AQ39" s="210"/>
      <c r="AR39" s="175"/>
      <c r="AS39" s="176"/>
      <c r="AT39" s="212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 t="s">
        <v>181</v>
      </c>
      <c r="BO39" s="200"/>
      <c r="BP39" s="201"/>
      <c r="BQ39" s="168" t="s">
        <v>129</v>
      </c>
      <c r="BR39" s="169"/>
      <c r="BS39" s="181"/>
      <c r="BT39" s="182" t="s">
        <v>185</v>
      </c>
      <c r="BU39" s="172">
        <v>16</v>
      </c>
      <c r="BV39" s="173">
        <f t="shared" si="9"/>
        <v>16</v>
      </c>
      <c r="BW39" s="213"/>
      <c r="BX39" s="185" t="s">
        <v>191</v>
      </c>
      <c r="BY39" s="186"/>
      <c r="BZ39" s="187"/>
      <c r="CA39" s="188"/>
      <c r="CB39" s="189" t="s">
        <v>113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10"/>
        <v/>
      </c>
      <c r="AG40" s="4"/>
      <c r="AH40" s="199"/>
      <c r="AI40" s="200"/>
      <c r="AJ40" s="204"/>
      <c r="AK40" s="168"/>
      <c r="AL40" s="169"/>
      <c r="AM40" s="202"/>
      <c r="AN40" s="171"/>
      <c r="AO40" s="172"/>
      <c r="AP40" s="173"/>
      <c r="AQ40" s="210"/>
      <c r="AR40" s="175"/>
      <c r="AS40" s="176"/>
      <c r="AT40" s="212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 t="s">
        <v>177</v>
      </c>
      <c r="BO40" s="200"/>
      <c r="BP40" s="201"/>
      <c r="BQ40" s="168" t="s">
        <v>119</v>
      </c>
      <c r="BR40" s="169"/>
      <c r="BS40" s="181"/>
      <c r="BT40" s="182" t="s">
        <v>186</v>
      </c>
      <c r="BU40" s="183">
        <v>12</v>
      </c>
      <c r="BV40" s="173">
        <f t="shared" si="9"/>
        <v>12</v>
      </c>
      <c r="BW40" s="184"/>
      <c r="BX40" s="185"/>
      <c r="BY40" s="186"/>
      <c r="BZ40" s="187"/>
      <c r="CA40" s="188"/>
      <c r="CB40" s="189" t="s">
        <v>113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130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10"/>
        <v/>
      </c>
      <c r="AG41" s="4"/>
      <c r="AH41" s="214"/>
      <c r="AI41" s="215"/>
      <c r="AJ41" s="217"/>
      <c r="AK41" s="168"/>
      <c r="AL41" s="169"/>
      <c r="AM41" s="202"/>
      <c r="AN41" s="171"/>
      <c r="AO41" s="172"/>
      <c r="AP41" s="173"/>
      <c r="AQ41" s="210"/>
      <c r="AR41" s="175"/>
      <c r="AS41" s="176"/>
      <c r="AT41" s="212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 t="s">
        <v>198</v>
      </c>
      <c r="BO41" s="200"/>
      <c r="BP41" s="201"/>
      <c r="BQ41" s="168" t="s">
        <v>200</v>
      </c>
      <c r="BR41" s="169"/>
      <c r="BS41" s="181"/>
      <c r="BT41" s="182" t="s">
        <v>184</v>
      </c>
      <c r="BU41" s="183">
        <f>((2*WS.1)+(8*HS.1)-328)/1000</f>
        <v>29.193999999999999</v>
      </c>
      <c r="BV41" s="173">
        <f t="shared" si="9"/>
        <v>29.193999999999999</v>
      </c>
      <c r="BW41" s="184" t="s">
        <v>122</v>
      </c>
      <c r="BX41" s="185"/>
      <c r="BY41" s="186"/>
      <c r="BZ41" s="187"/>
      <c r="CA41" s="188"/>
      <c r="CB41" s="189" t="s">
        <v>113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10"/>
        <v/>
      </c>
      <c r="AG42" s="4"/>
      <c r="AH42" s="214"/>
      <c r="AI42" s="215"/>
      <c r="AJ42" s="217"/>
      <c r="AK42" s="218"/>
      <c r="AL42" s="169"/>
      <c r="AM42" s="219"/>
      <c r="AN42" s="171"/>
      <c r="AO42" s="220"/>
      <c r="AP42" s="222"/>
      <c r="AQ42" s="221"/>
      <c r="AR42" s="175"/>
      <c r="AS42" s="176"/>
      <c r="AT42" s="212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 t="s">
        <v>199</v>
      </c>
      <c r="BO42" s="200"/>
      <c r="BP42" s="201"/>
      <c r="BQ42" s="168" t="s">
        <v>131</v>
      </c>
      <c r="BR42" s="169"/>
      <c r="BS42" s="181"/>
      <c r="BT42" s="182" t="s">
        <v>201</v>
      </c>
      <c r="BU42" s="183">
        <v>4</v>
      </c>
      <c r="BV42" s="173">
        <f t="shared" si="9"/>
        <v>4</v>
      </c>
      <c r="BW42" s="184"/>
      <c r="BX42" s="185"/>
      <c r="BY42" s="186"/>
      <c r="BZ42" s="187"/>
      <c r="CA42" s="188"/>
      <c r="CB42" s="189" t="s">
        <v>113</v>
      </c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132</v>
      </c>
      <c r="C43" s="241"/>
      <c r="D43" s="241"/>
      <c r="E43" s="241"/>
      <c r="F43" s="242"/>
      <c r="G43" s="243"/>
      <c r="H43" s="244"/>
      <c r="I43" s="234"/>
      <c r="J43" s="245" t="s">
        <v>133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10"/>
        <v/>
      </c>
      <c r="AG43" s="4"/>
      <c r="AH43" s="199"/>
      <c r="AI43" s="200"/>
      <c r="AJ43" s="204"/>
      <c r="AK43" s="168"/>
      <c r="AL43" s="169"/>
      <c r="AM43" s="170"/>
      <c r="AN43" s="171"/>
      <c r="AO43" s="172"/>
      <c r="AP43" s="173"/>
      <c r="AQ43" s="221"/>
      <c r="AR43" s="175"/>
      <c r="AS43" s="176"/>
      <c r="AT43" s="177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 t="str">
        <f t="shared" ref="BN43:BN44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43:BT44" si="14">IF(BQ43&gt;"",VLOOKUP(BQ43&amp;$M$10,PART_MASTER,3,FALSE),"")</f>
        <v/>
      </c>
      <c r="BU43" s="183"/>
      <c r="BV43" s="173" t="str">
        <f t="shared" si="9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134</v>
      </c>
      <c r="C44" s="327" t="s">
        <v>135</v>
      </c>
      <c r="D44" s="328"/>
      <c r="E44" s="329"/>
      <c r="F44" s="327" t="s">
        <v>136</v>
      </c>
      <c r="G44" s="328"/>
      <c r="H44" s="329"/>
      <c r="I44" s="253"/>
      <c r="J44" s="254" t="s">
        <v>134</v>
      </c>
      <c r="K44" s="327" t="s">
        <v>135</v>
      </c>
      <c r="L44" s="328"/>
      <c r="M44" s="328"/>
      <c r="N44" s="329"/>
      <c r="O44" s="254" t="s">
        <v>137</v>
      </c>
      <c r="P44" s="255" t="s">
        <v>134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10"/>
        <v/>
      </c>
      <c r="AG44" s="4"/>
      <c r="AH44" s="199"/>
      <c r="AI44" s="200"/>
      <c r="AJ44" s="204"/>
      <c r="AK44" s="168"/>
      <c r="AL44" s="169"/>
      <c r="AM44" s="223"/>
      <c r="AN44" s="208"/>
      <c r="AO44" s="172"/>
      <c r="AP44" s="173"/>
      <c r="AQ44" s="221"/>
      <c r="AR44" s="175"/>
      <c r="AS44" s="176"/>
      <c r="AT44" s="212"/>
      <c r="AU44" s="178"/>
      <c r="AV44" s="179"/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9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138</v>
      </c>
      <c r="D45" s="258"/>
      <c r="E45" s="258"/>
      <c r="F45" s="259"/>
      <c r="G45" s="260"/>
      <c r="H45" s="261"/>
      <c r="I45" s="262"/>
      <c r="J45" s="263">
        <v>1</v>
      </c>
      <c r="K45" s="264" t="s">
        <v>139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10"/>
        <v/>
      </c>
      <c r="AG45" s="4"/>
      <c r="AH45" s="199"/>
      <c r="AI45" s="200"/>
      <c r="AJ45" s="204"/>
      <c r="AK45" s="168"/>
      <c r="AL45" s="169"/>
      <c r="AM45" s="170"/>
      <c r="AN45" s="171"/>
      <c r="AO45" s="172"/>
      <c r="AP45" s="173"/>
      <c r="AQ45" s="221"/>
      <c r="AR45" s="175"/>
      <c r="AS45" s="176"/>
      <c r="AT45" s="212"/>
      <c r="AU45" s="178"/>
      <c r="AV45" s="179"/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140</v>
      </c>
      <c r="D46" s="260"/>
      <c r="E46" s="260"/>
      <c r="F46" s="264"/>
      <c r="G46" s="260"/>
      <c r="H46" s="261"/>
      <c r="I46" s="262"/>
      <c r="J46" s="263">
        <v>2</v>
      </c>
      <c r="K46" s="264" t="s">
        <v>141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10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5"/>
        <v/>
      </c>
      <c r="AQ46" s="221"/>
      <c r="AR46" s="175"/>
      <c r="AS46" s="176"/>
      <c r="AT46" s="212"/>
      <c r="AU46" s="178" t="str">
        <f t="shared" ref="AU46:AU47" si="15">IF(AK46&gt;"",VLOOKUP(AK46,MATERIAL_WEIGHT,2,FALSE),"")</f>
        <v/>
      </c>
      <c r="AV46" s="179" t="str">
        <f t="shared" si="7"/>
        <v/>
      </c>
      <c r="AW46" s="4"/>
      <c r="AX46" s="199" t="str">
        <f t="shared" si="11"/>
        <v/>
      </c>
      <c r="AY46" s="200"/>
      <c r="AZ46" s="201"/>
      <c r="BA46" s="168"/>
      <c r="BB46" s="169"/>
      <c r="BC46" s="181"/>
      <c r="BD46" s="268" t="str">
        <f t="shared" si="12"/>
        <v/>
      </c>
      <c r="BE46" s="183"/>
      <c r="BF46" s="173" t="str">
        <f t="shared" si="8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142</v>
      </c>
      <c r="D47" s="260"/>
      <c r="E47" s="260"/>
      <c r="F47" s="264"/>
      <c r="G47" s="260"/>
      <c r="H47" s="261"/>
      <c r="I47" s="269"/>
      <c r="J47" s="263">
        <v>3</v>
      </c>
      <c r="K47" s="264" t="s">
        <v>143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10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5"/>
        <v/>
      </c>
      <c r="AQ47" s="221"/>
      <c r="AR47" s="175"/>
      <c r="AS47" s="176"/>
      <c r="AT47" s="212"/>
      <c r="AU47" s="178" t="str">
        <f t="shared" si="15"/>
        <v/>
      </c>
      <c r="AV47" s="179" t="str">
        <f t="shared" si="7"/>
        <v/>
      </c>
      <c r="AW47" s="4"/>
      <c r="AX47" s="199" t="str">
        <f t="shared" si="11"/>
        <v/>
      </c>
      <c r="AY47" s="200"/>
      <c r="AZ47" s="201"/>
      <c r="BA47" s="168"/>
      <c r="BB47" s="169"/>
      <c r="BC47" s="181"/>
      <c r="BD47" s="268" t="str">
        <f t="shared" si="12"/>
        <v/>
      </c>
      <c r="BE47" s="183"/>
      <c r="BF47" s="173" t="str">
        <f t="shared" si="8"/>
        <v/>
      </c>
      <c r="BG47" s="184"/>
      <c r="BH47" s="251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144</v>
      </c>
      <c r="D48" s="260"/>
      <c r="E48" s="260"/>
      <c r="F48" s="264"/>
      <c r="G48" s="260"/>
      <c r="H48" s="261"/>
      <c r="I48" s="269"/>
      <c r="J48" s="263">
        <v>4</v>
      </c>
      <c r="K48" s="264" t="s">
        <v>145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146</v>
      </c>
      <c r="AD48" s="274"/>
      <c r="AE48" s="275" t="s">
        <v>147</v>
      </c>
      <c r="AF48" s="276">
        <f>SUM(AF22:AF47)</f>
        <v>10.463000000000001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146</v>
      </c>
      <c r="AT48" s="274"/>
      <c r="AU48" s="275" t="s">
        <v>147</v>
      </c>
      <c r="AV48" s="276">
        <f>SUM(AV22:AV47)</f>
        <v>13.296294</v>
      </c>
      <c r="AW48" s="4"/>
      <c r="AX48" s="199" t="str">
        <f t="shared" si="11"/>
        <v/>
      </c>
      <c r="AY48" s="200"/>
      <c r="AZ48" s="201"/>
      <c r="BA48" s="168"/>
      <c r="BB48" s="169"/>
      <c r="BC48" s="181"/>
      <c r="BD48" s="182" t="str">
        <f t="shared" si="12"/>
        <v/>
      </c>
      <c r="BE48" s="183"/>
      <c r="BF48" s="173" t="str">
        <f t="shared" si="8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148</v>
      </c>
      <c r="D49" s="260"/>
      <c r="E49" s="260"/>
      <c r="F49" s="264"/>
      <c r="G49" s="260"/>
      <c r="H49" s="261"/>
      <c r="I49" s="269"/>
      <c r="J49" s="263">
        <v>5</v>
      </c>
      <c r="K49" s="264" t="s">
        <v>149</v>
      </c>
      <c r="L49" s="260"/>
      <c r="M49" s="260"/>
      <c r="N49" s="265"/>
      <c r="O49" s="266"/>
      <c r="P49" s="267"/>
      <c r="Q49" s="4"/>
      <c r="R49" s="277" t="s">
        <v>150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151</v>
      </c>
      <c r="AE49" s="281" t="s">
        <v>152</v>
      </c>
      <c r="AF49" s="282">
        <f>AF48*0.986</f>
        <v>10.316518</v>
      </c>
      <c r="AG49" s="4"/>
      <c r="AH49" s="277" t="s">
        <v>150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151</v>
      </c>
      <c r="AU49" s="281" t="s">
        <v>152</v>
      </c>
      <c r="AV49" s="282">
        <f>AV48*0.986</f>
        <v>13.110145884</v>
      </c>
      <c r="AW49" s="4"/>
      <c r="AX49" s="199" t="str">
        <f t="shared" si="11"/>
        <v/>
      </c>
      <c r="AY49" s="200"/>
      <c r="AZ49" s="201"/>
      <c r="BA49" s="168"/>
      <c r="BB49" s="169"/>
      <c r="BC49" s="181"/>
      <c r="BD49" s="182" t="str">
        <f t="shared" si="12"/>
        <v/>
      </c>
      <c r="BE49" s="183"/>
      <c r="BF49" s="173" t="str">
        <f t="shared" si="8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153</v>
      </c>
      <c r="D50" s="260"/>
      <c r="E50" s="260"/>
      <c r="F50" s="264"/>
      <c r="G50" s="260"/>
      <c r="H50" s="261"/>
      <c r="I50" s="269"/>
      <c r="J50" s="263">
        <v>6</v>
      </c>
      <c r="K50" s="264" t="s">
        <v>154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155</v>
      </c>
      <c r="AF50" s="282">
        <f>AF48*0.974*0.986</f>
        <v>10.048288532000001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155</v>
      </c>
      <c r="AV50" s="282">
        <f>AV48*0.974*0.986</f>
        <v>12.769282091015999</v>
      </c>
      <c r="AW50" s="4"/>
      <c r="AX50" s="199" t="str">
        <f t="shared" si="11"/>
        <v/>
      </c>
      <c r="AY50" s="200"/>
      <c r="AZ50" s="201"/>
      <c r="BA50" s="168"/>
      <c r="BB50" s="169"/>
      <c r="BC50" s="181"/>
      <c r="BD50" s="182" t="str">
        <f t="shared" si="12"/>
        <v/>
      </c>
      <c r="BE50" s="183"/>
      <c r="BF50" s="173" t="str">
        <f t="shared" si="8"/>
        <v/>
      </c>
      <c r="BG50" s="184"/>
      <c r="BH50" s="251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156</v>
      </c>
      <c r="D51" s="260"/>
      <c r="E51" s="260"/>
      <c r="F51" s="264"/>
      <c r="G51" s="260"/>
      <c r="H51" s="261"/>
      <c r="I51" s="269"/>
      <c r="J51" s="263">
        <v>7</v>
      </c>
      <c r="K51" s="264" t="s">
        <v>157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1"/>
        <v/>
      </c>
      <c r="AY51" s="200"/>
      <c r="AZ51" s="201"/>
      <c r="BA51" s="168"/>
      <c r="BB51" s="169"/>
      <c r="BC51" s="181"/>
      <c r="BD51" s="182" t="str">
        <f t="shared" si="12"/>
        <v/>
      </c>
      <c r="BE51" s="172"/>
      <c r="BF51" s="173" t="str">
        <f t="shared" si="8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158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159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1"/>
        <v/>
      </c>
      <c r="AY52" s="200"/>
      <c r="AZ52" s="201"/>
      <c r="BA52" s="289"/>
      <c r="BB52" s="169"/>
      <c r="BC52" s="181"/>
      <c r="BD52" s="182" t="str">
        <f t="shared" si="12"/>
        <v/>
      </c>
      <c r="BE52" s="183"/>
      <c r="BF52" s="173" t="str">
        <f t="shared" si="8"/>
        <v/>
      </c>
      <c r="BG52" s="213"/>
      <c r="BH52" s="251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90" t="s">
        <v>160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1"/>
        <v/>
      </c>
      <c r="AY53" s="200"/>
      <c r="AZ53" s="201"/>
      <c r="BA53" s="168"/>
      <c r="BB53" s="169"/>
      <c r="BC53" s="181"/>
      <c r="BD53" s="182" t="str">
        <f t="shared" si="12"/>
        <v/>
      </c>
      <c r="BE53" s="172"/>
      <c r="BF53" s="173" t="str">
        <f t="shared" si="8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161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1"/>
        <v/>
      </c>
      <c r="AY54" s="200"/>
      <c r="AZ54" s="201"/>
      <c r="BA54" s="289"/>
      <c r="BB54" s="169"/>
      <c r="BC54" s="181"/>
      <c r="BD54" s="182" t="str">
        <f t="shared" si="12"/>
        <v/>
      </c>
      <c r="BE54" s="172"/>
      <c r="BF54" s="173" t="str">
        <f t="shared" si="8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162</v>
      </c>
      <c r="C55" s="269"/>
      <c r="D55" s="269"/>
      <c r="E55" s="269"/>
      <c r="F55" s="269"/>
      <c r="G55" s="269"/>
      <c r="H55" s="269"/>
      <c r="I55" s="269"/>
      <c r="J55" s="302" t="s">
        <v>163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1"/>
        <v/>
      </c>
      <c r="AY55" s="200"/>
      <c r="AZ55" s="201"/>
      <c r="BA55" s="168"/>
      <c r="BB55" s="169"/>
      <c r="BC55" s="181"/>
      <c r="BD55" s="182" t="str">
        <f t="shared" si="12"/>
        <v/>
      </c>
      <c r="BE55" s="172"/>
      <c r="BF55" s="173" t="str">
        <f t="shared" si="8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164</v>
      </c>
      <c r="K56" s="307"/>
      <c r="L56" s="307"/>
      <c r="M56" s="307"/>
      <c r="N56" s="308"/>
      <c r="O56" s="309" t="s">
        <v>165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1"/>
        <v/>
      </c>
      <c r="AY56" s="200"/>
      <c r="AZ56" s="201"/>
      <c r="BA56" s="168"/>
      <c r="BB56" s="169"/>
      <c r="BC56" s="181"/>
      <c r="BD56" s="182" t="str">
        <f t="shared" si="12"/>
        <v/>
      </c>
      <c r="BE56" s="172"/>
      <c r="BF56" s="173" t="str">
        <f t="shared" si="8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1"/>
        <v/>
      </c>
      <c r="AY57" s="200"/>
      <c r="AZ57" s="201"/>
      <c r="BA57" s="168"/>
      <c r="BB57" s="169"/>
      <c r="BC57" s="181"/>
      <c r="BD57" s="182" t="str">
        <f t="shared" si="12"/>
        <v/>
      </c>
      <c r="BE57" s="172"/>
      <c r="BF57" s="173" t="str">
        <f t="shared" si="8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1"/>
        <v/>
      </c>
      <c r="AY58" s="200"/>
      <c r="AZ58" s="201"/>
      <c r="BA58" s="289"/>
      <c r="BB58" s="169"/>
      <c r="BC58" s="181"/>
      <c r="BD58" s="182" t="str">
        <f t="shared" si="12"/>
        <v/>
      </c>
      <c r="BE58" s="172"/>
      <c r="BF58" s="173" t="str">
        <f t="shared" si="8"/>
        <v/>
      </c>
      <c r="BG58" s="184"/>
      <c r="BH58" s="251"/>
      <c r="BI58" s="186"/>
      <c r="BJ58" s="187"/>
      <c r="BK58" s="206"/>
      <c r="BL58" s="314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1"/>
        <v/>
      </c>
      <c r="AY59" s="200"/>
      <c r="AZ59" s="201"/>
      <c r="BA59" s="168"/>
      <c r="BB59" s="169"/>
      <c r="BC59" s="181"/>
      <c r="BD59" s="182" t="str">
        <f t="shared" si="12"/>
        <v/>
      </c>
      <c r="BE59" s="172"/>
      <c r="BF59" s="173" t="str">
        <f t="shared" si="8"/>
        <v/>
      </c>
      <c r="BG59" s="184"/>
      <c r="BH59" s="251"/>
      <c r="BI59" s="186"/>
      <c r="BJ59" s="187"/>
      <c r="BK59" s="206"/>
      <c r="BL59" s="314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166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1"/>
        <v/>
      </c>
      <c r="AY60" s="200"/>
      <c r="AZ60" s="201"/>
      <c r="BA60" s="168"/>
      <c r="BB60" s="169"/>
      <c r="BC60" s="181"/>
      <c r="BD60" s="182" t="str">
        <f t="shared" si="12"/>
        <v/>
      </c>
      <c r="BE60" s="172"/>
      <c r="BF60" s="173" t="str">
        <f t="shared" si="8"/>
        <v/>
      </c>
      <c r="BG60" s="184"/>
      <c r="BH60" s="251"/>
      <c r="BI60" s="186"/>
      <c r="BJ60" s="187"/>
      <c r="BK60" s="206"/>
      <c r="BL60" s="314"/>
      <c r="BM60" s="4"/>
      <c r="BN60" s="214" t="str">
        <f t="shared" ref="BN60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7">IF(BQ60&gt;"",VLOOKUP(BQ60&amp;$M$10,PART_MASTER,3,FALSE),"")</f>
        <v/>
      </c>
      <c r="BU60" s="172"/>
      <c r="BV60" s="173" t="str">
        <f t="shared" ref="BV60" si="18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167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167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167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167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167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2024-07-30T07:26:11Z</dcterms:created>
  <dcterms:modified xsi:type="dcterms:W3CDTF">2024-08-21T03:07:28Z</dcterms:modified>
</cp:coreProperties>
</file>