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2EF160FB-2C65-450F-9370-C5B405B677C5}" xr6:coauthVersionLast="47" xr6:coauthVersionMax="47" xr10:uidLastSave="{00000000-0000-0000-0000-000000000000}"/>
  <bookViews>
    <workbookView xWindow="-108" yWindow="-108" windowWidth="23256" windowHeight="12456" xr2:uid="{FBBA2F25-D138-43EF-A5BC-F27C4B4EB9D2}"/>
  </bookViews>
  <sheets>
    <sheet name="DOOR-EL N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'DOOR-EL NA'!$P$18</definedName>
    <definedName name="BD">"BD"</definedName>
    <definedName name="C." localSheetId="0">'DOOR-EL NA'!$P$17</definedName>
    <definedName name="F." localSheetId="0">'DOOR-EL NA'!$P$16</definedName>
    <definedName name="GCS" localSheetId="0">'DOOR-EL NA'!$O$12</definedName>
    <definedName name="GTH" localSheetId="0">'DOOR-EL NA'!$O$11</definedName>
    <definedName name="H" localSheetId="0">'DOOR-EL NA'!$E$12</definedName>
    <definedName name="h.1" localSheetId="0">'DOOR-EL NA'!$C$14</definedName>
    <definedName name="h.10" localSheetId="0">'DOOR-EL NA'!$E$18</definedName>
    <definedName name="h.2" localSheetId="0">'DOOR-EL NA'!$C$15</definedName>
    <definedName name="h.3" localSheetId="0">'DOOR-EL NA'!$C$16</definedName>
    <definedName name="h.4" localSheetId="0">'DOOR-EL NA'!$C$17</definedName>
    <definedName name="h.5" localSheetId="0">'DOOR-EL NA'!$C$18</definedName>
    <definedName name="h.6" localSheetId="0">'DOOR-EL NA'!$E$14</definedName>
    <definedName name="h.7" localSheetId="0">'DOOR-EL NA'!$E$15</definedName>
    <definedName name="h.8" localSheetId="0">'DOOR-EL NA'!$E$16</definedName>
    <definedName name="h.9" localSheetId="0">'DOOR-EL NA'!$E$17</definedName>
    <definedName name="HS" localSheetId="0">'DOOR-EL NA'!$H$12</definedName>
    <definedName name="HS.1" localSheetId="0">'DOOR-EL NA'!$L$14</definedName>
    <definedName name="HS.2" localSheetId="0">'DOOR-EL NA'!$L$15</definedName>
    <definedName name="HS.3" localSheetId="0">'DOOR-EL NA'!$L$16</definedName>
    <definedName name="HS.4" localSheetId="0">'DOOR-EL NA'!$L$17</definedName>
    <definedName name="HS.5" localSheetId="0">'DOOR-EL NA'!$L$18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'DOOR-EL NA'!$1:$61</definedName>
    <definedName name="Q" localSheetId="0">'DOOR-EL NA'!$I$11</definedName>
    <definedName name="R." localSheetId="0">'DOOR-EL NA'!$C$62</definedName>
    <definedName name="st" hidden="1">[6]Gra_Ord_In_2000!$BA$12:$BA$1655</definedName>
    <definedName name="W" localSheetId="0">'DOOR-EL NA'!$E$11</definedName>
    <definedName name="w.1" localSheetId="0">'DOOR-EL NA'!$H$14</definedName>
    <definedName name="w.10" localSheetId="0">'DOOR-EL NA'!$J$18</definedName>
    <definedName name="w.2" localSheetId="0">'DOOR-EL NA'!$H$15</definedName>
    <definedName name="w.3" localSheetId="0">'DOOR-EL NA'!$H$16</definedName>
    <definedName name="w.4" localSheetId="0">'DOOR-EL NA'!$H$17</definedName>
    <definedName name="w.5" localSheetId="0">'DOOR-EL NA'!$H$18</definedName>
    <definedName name="w.6" localSheetId="0">'DOOR-EL NA'!$J$14</definedName>
    <definedName name="w.7" localSheetId="0">'DOOR-EL NA'!$J$15</definedName>
    <definedName name="w.8" localSheetId="0">'DOOR-EL NA'!$J$16</definedName>
    <definedName name="w.9" localSheetId="0">'DOOR-EL NA'!$J$17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'DOOR-EL NA'!$L$12</definedName>
    <definedName name="WS.1" localSheetId="0">'DOOR-EL NA'!$N$14</definedName>
    <definedName name="WS.2" localSheetId="0">'DOOR-EL NA'!$N$15</definedName>
    <definedName name="WS.3" localSheetId="0">'DOOR-EL NA'!$N$16</definedName>
    <definedName name="WS.4" localSheetId="0">'DOOR-EL NA'!$N$17</definedName>
    <definedName name="WS.5" localSheetId="0">'DOOR-EL NA'!$N$18</definedName>
    <definedName name="Z_8BD11290_77B3_4D27_9040_BB9D2A7264B2_.wvu.PrintArea" localSheetId="0" hidden="1">'DOOR-EL NA'!$1:$61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3" i="1" l="1"/>
  <c r="BU26" i="1"/>
  <c r="BE31" i="1" l="1"/>
  <c r="BE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V49" i="1"/>
  <c r="BT49" i="1"/>
  <c r="BN49" i="1"/>
  <c r="BF49" i="1"/>
  <c r="BD49" i="1"/>
  <c r="AX49" i="1"/>
  <c r="BV48" i="1"/>
  <c r="BT48" i="1"/>
  <c r="BN48" i="1"/>
  <c r="BF48" i="1"/>
  <c r="BD48" i="1"/>
  <c r="AX48" i="1"/>
  <c r="BV47" i="1"/>
  <c r="BT47" i="1"/>
  <c r="BN47" i="1"/>
  <c r="BF47" i="1"/>
  <c r="BD47" i="1"/>
  <c r="AX47" i="1"/>
  <c r="AV47" i="1"/>
  <c r="AU47" i="1"/>
  <c r="AP47" i="1"/>
  <c r="AL47" i="1"/>
  <c r="AF47" i="1"/>
  <c r="AE47" i="1"/>
  <c r="Z47" i="1"/>
  <c r="V47" i="1"/>
  <c r="BV46" i="1"/>
  <c r="BT46" i="1"/>
  <c r="BN46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BV43" i="1"/>
  <c r="BT43" i="1"/>
  <c r="BN43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AV36" i="1"/>
  <c r="AU36" i="1"/>
  <c r="AP36" i="1"/>
  <c r="AL36" i="1"/>
  <c r="AF36" i="1"/>
  <c r="AE36" i="1"/>
  <c r="Z36" i="1"/>
  <c r="V36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F33" i="1"/>
  <c r="BD33" i="1"/>
  <c r="AX33" i="1"/>
  <c r="AV33" i="1"/>
  <c r="AU33" i="1"/>
  <c r="AP33" i="1"/>
  <c r="AL33" i="1"/>
  <c r="AF33" i="1"/>
  <c r="AE33" i="1"/>
  <c r="Z33" i="1"/>
  <c r="V33" i="1"/>
  <c r="AV32" i="1"/>
  <c r="AU32" i="1"/>
  <c r="AP32" i="1"/>
  <c r="AL32" i="1"/>
  <c r="AF32" i="1"/>
  <c r="AE32" i="1"/>
  <c r="Z32" i="1"/>
  <c r="V32" i="1"/>
  <c r="BF31" i="1"/>
  <c r="AV31" i="1"/>
  <c r="AU31" i="1"/>
  <c r="AP31" i="1"/>
  <c r="AL31" i="1"/>
  <c r="AF31" i="1"/>
  <c r="AE31" i="1"/>
  <c r="Z31" i="1"/>
  <c r="V31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F28" i="1"/>
  <c r="AU28" i="1"/>
  <c r="AP28" i="1"/>
  <c r="AL28" i="1"/>
  <c r="AF28" i="1"/>
  <c r="AE28" i="1"/>
  <c r="Z28" i="1"/>
  <c r="V28" i="1"/>
  <c r="BF27" i="1"/>
  <c r="AU27" i="1"/>
  <c r="AP27" i="1"/>
  <c r="AL27" i="1"/>
  <c r="AF27" i="1"/>
  <c r="AE27" i="1"/>
  <c r="Z27" i="1"/>
  <c r="V27" i="1"/>
  <c r="BV26" i="1"/>
  <c r="BF26" i="1"/>
  <c r="AU26" i="1"/>
  <c r="AP26" i="1"/>
  <c r="AL26" i="1"/>
  <c r="AF26" i="1"/>
  <c r="AE26" i="1"/>
  <c r="Z26" i="1"/>
  <c r="V26" i="1"/>
  <c r="BV25" i="1"/>
  <c r="BF25" i="1"/>
  <c r="AU25" i="1"/>
  <c r="AP25" i="1"/>
  <c r="AL25" i="1"/>
  <c r="AF25" i="1"/>
  <c r="AE25" i="1"/>
  <c r="Z25" i="1"/>
  <c r="V25" i="1"/>
  <c r="BV24" i="1"/>
  <c r="BF24" i="1"/>
  <c r="AU24" i="1"/>
  <c r="AV24" i="1" s="1"/>
  <c r="AP24" i="1"/>
  <c r="AL24" i="1"/>
  <c r="AE24" i="1"/>
  <c r="AF24" i="1" s="1"/>
  <c r="AB24" i="1"/>
  <c r="Z24" i="1"/>
  <c r="X24" i="1"/>
  <c r="V24" i="1"/>
  <c r="BF23" i="1"/>
  <c r="AU23" i="1"/>
  <c r="AP23" i="1"/>
  <c r="AL23" i="1"/>
  <c r="AE23" i="1"/>
  <c r="AF23" i="1" s="1"/>
  <c r="Z23" i="1"/>
  <c r="X23" i="1"/>
  <c r="V23" i="1"/>
  <c r="BV22" i="1"/>
  <c r="BF22" i="1"/>
  <c r="AU22" i="1"/>
  <c r="AP22" i="1"/>
  <c r="AL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AN25" i="1" s="1"/>
  <c r="L14" i="1"/>
  <c r="BV28" i="1" s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D11" i="1"/>
  <c r="AA11" i="1"/>
  <c r="Y11" i="1"/>
  <c r="U11" i="1"/>
  <c r="N11" i="1"/>
  <c r="AT11" i="1" s="1"/>
  <c r="CA10" i="1"/>
  <c r="BQ10" i="1"/>
  <c r="BK10" i="1"/>
  <c r="BA10" i="1"/>
  <c r="AU10" i="1"/>
  <c r="AK10" i="1"/>
  <c r="AE10" i="1"/>
  <c r="M10" i="1"/>
  <c r="K10" i="1"/>
  <c r="AQ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CA4" i="1" s="1"/>
  <c r="BQ3" i="1"/>
  <c r="BA3" i="1"/>
  <c r="AK3" i="1"/>
  <c r="E3" i="1"/>
  <c r="U3" i="1" s="1"/>
  <c r="AF2" i="1"/>
  <c r="AV2" i="1" s="1"/>
  <c r="BL2" i="1" s="1"/>
  <c r="CB2" i="1" s="1"/>
  <c r="AU4" i="1" l="1"/>
  <c r="AE4" i="1"/>
  <c r="AV25" i="1"/>
  <c r="AF48" i="1"/>
  <c r="BG10" i="1"/>
  <c r="BX14" i="1"/>
  <c r="BH14" i="1"/>
  <c r="AA10" i="1"/>
  <c r="BJ12" i="1"/>
  <c r="BJ14" i="1"/>
  <c r="BL18" i="1"/>
  <c r="BK4" i="1"/>
  <c r="BW10" i="1"/>
  <c r="BJ11" i="1"/>
  <c r="AR14" i="1"/>
  <c r="AV18" i="1"/>
  <c r="BZ14" i="1"/>
  <c r="BV23" i="1"/>
  <c r="AT14" i="1"/>
  <c r="AN22" i="1"/>
  <c r="AV22" i="1" s="1"/>
  <c r="AN23" i="1"/>
  <c r="AV23" i="1" s="1"/>
  <c r="AB14" i="1"/>
  <c r="AD14" i="1"/>
  <c r="AN27" i="1"/>
  <c r="AV27" i="1" s="1"/>
  <c r="AN26" i="1"/>
  <c r="AV26" i="1" s="1"/>
  <c r="AN28" i="1"/>
  <c r="AV28" i="1" s="1"/>
  <c r="BV27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10BDBD4-5BD6-468D-9705-982BDF3B175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7019CCAC-CF42-4A9D-84CB-EC493C1760C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FB10919-1C27-4901-9BFA-DD8A69B0B479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<sst xmlns="http://schemas.openxmlformats.org/spreadsheetml/2006/main" count="499" uniqueCount="181">
  <si>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</si>
  <si>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</si>
  <si>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</si>
  <si>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</si>
  <si>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</si>
  <si>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</si>
  <si>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</si>
  <si>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</si>
  <si>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</si>
  <si>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</si>
  <si>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</si>
  <si>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</si>
  <si>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</si>
  <si>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</si>
  <si>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</si>
  <si>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DOOR-EL NA</t>
  </si>
  <si>
    <t>Delivery Date</t>
  </si>
  <si>
    <t>Elevation Code</t>
  </si>
  <si>
    <t>53PL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</si>
  <si>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</si>
  <si>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</si>
  <si>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</si>
  <si>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W8D-21002</t>
  </si>
  <si>
    <t>Unit Code</t>
  </si>
  <si>
    <r>
      <t xml:space="preserve">H </t>
    </r>
    <r>
      <rPr>
        <sz val="10"/>
        <rFont val="Arial"/>
        <family val="2"/>
      </rPr>
      <t>item</t>
    </r>
  </si>
  <si>
    <t>W8D-20006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</si>
  <si>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</si>
  <si>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</si>
  <si>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</si>
  <si>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</si>
  <si>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</si>
  <si>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</si>
  <si>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</si>
  <si>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</si>
  <si>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</si>
  <si>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</si>
  <si>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</si>
  <si>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</si>
  <si>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</si>
  <si>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</si>
  <si>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</si>
  <si>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</si>
  <si>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</si>
  <si>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</si>
  <si>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</si>
  <si>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</si>
  <si>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</si>
  <si>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</si>
  <si>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</si>
  <si>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</si>
  <si>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</si>
  <si>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</si>
  <si>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</si>
  <si>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</si>
  <si>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</si>
  <si>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</si>
  <si>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</si>
  <si>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</si>
  <si>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</si>
  <si>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</si>
  <si>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</si>
  <si>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</si>
  <si>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</si>
  <si>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</si>
  <si>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</si>
  <si>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</si>
  <si>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</si>
  <si>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</si>
  <si>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</si>
  <si>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</si>
  <si>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</si>
  <si>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</si>
  <si>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</si>
  <si>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</si>
  <si>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</si>
  <si>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</si>
  <si>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</si>
  <si>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</si>
  <si>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</si>
  <si>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</si>
  <si>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</si>
  <si>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</si>
  <si>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STRIP</t>
  </si>
  <si>
    <t>YS1N</t>
  </si>
  <si>
    <t>9K-91388</t>
  </si>
  <si>
    <t>9K-11369</t>
  </si>
  <si>
    <t>FOR HINGE</t>
  </si>
  <si>
    <t>JAMB(L)</t>
  </si>
  <si>
    <t>9K-87021</t>
  </si>
  <si>
    <t>MS-4010</t>
  </si>
  <si>
    <t>FOR BACKPLATE</t>
  </si>
  <si>
    <t>9K-20889</t>
  </si>
  <si>
    <t>JAMB(R)</t>
  </si>
  <si>
    <t>9K-13470</t>
  </si>
  <si>
    <t>9K-30298</t>
  </si>
  <si>
    <t>FOR CORNER CAP</t>
  </si>
  <si>
    <t>BOTTOM ATTACHMENT</t>
  </si>
  <si>
    <t>9K-87023</t>
  </si>
  <si>
    <t>EF-4010D7</t>
  </si>
  <si>
    <t>WR-3120</t>
  </si>
  <si>
    <t>TOP ATTACHMENT</t>
  </si>
  <si>
    <t>9K-87024</t>
  </si>
  <si>
    <t>9K-20879</t>
  </si>
  <si>
    <t>FOR JAMB</t>
  </si>
  <si>
    <t>WF-3120</t>
  </si>
  <si>
    <t>RIGHT ATTACHMENT</t>
  </si>
  <si>
    <t>2K-22464</t>
  </si>
  <si>
    <t>M</t>
  </si>
  <si>
    <t>LEFT ATTACHMENT</t>
  </si>
  <si>
    <t>9K-11382</t>
  </si>
  <si>
    <t>9K-11386</t>
  </si>
  <si>
    <t>FOR LOCK RECEIVER</t>
  </si>
  <si>
    <t>9K-30296</t>
  </si>
  <si>
    <t>9K-11402</t>
  </si>
  <si>
    <t>S</t>
  </si>
  <si>
    <t>BM-4025G</t>
  </si>
  <si>
    <t>FOR JOINT FRAME</t>
  </si>
  <si>
    <t>9K-11384</t>
  </si>
  <si>
    <t>FOR LOCK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</si>
  <si>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</si>
  <si>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</si>
  <si>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</si>
  <si>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</si>
  <si>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</si>
  <si>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</si>
  <si>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</si>
  <si>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</si>
  <si>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</si>
  <si>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</si>
  <si>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</si>
  <si>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</si>
  <si>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</si>
  <si>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</si>
  <si>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</si>
  <si>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</si>
  <si>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</si>
  <si>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</si>
  <si>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</si>
  <si>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</si>
  <si>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</si>
  <si>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</si>
  <si>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</si>
  <si>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</si>
  <si>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</si>
  <si>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</si>
  <si>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</si>
  <si>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</si>
  <si>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WWG_AXIS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</si>
  <si>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</si>
  <si>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</si>
  <si>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</si>
  <si>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</si>
  <si>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</si>
  <si>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</si>
  <si>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</si>
  <si>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</si>
  <si>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</si>
  <si>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</si>
  <si>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WWG</t>
  </si>
  <si>
    <t>colour</t>
  </si>
  <si>
    <t>length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</si>
  <si>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</si>
  <si>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</si>
  <si>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</si>
  <si>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</si>
  <si>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</si>
  <si>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</si>
  <si>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</si>
  <si>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</si>
  <si>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</si>
  <si>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</si>
  <si>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HINGE, LOCK RECEIVER</t>
  </si>
  <si>
    <t>FOR JAMB, HEAD</t>
  </si>
  <si>
    <t>WOODEN PANEL</t>
  </si>
  <si>
    <t>MOHAIR</t>
  </si>
  <si>
    <t>CORNER CAP</t>
  </si>
  <si>
    <t>LOCKSET</t>
  </si>
  <si>
    <t>LABEL</t>
  </si>
  <si>
    <t>9K-40024</t>
  </si>
  <si>
    <t>PW, PH</t>
  </si>
  <si>
    <t>FOR TOP, BOTTOM, HINGE,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</si>
</sst>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42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  <xf numFmtId="0" fontId="1" fillId="0" borderId="50" xfId="1" applyFont="1" applyBorder="1" applyProtection="1">
      <protection hidden="1"/>
    </xf>
  </cellXfs>
  <cellStyles count="6">
    <cellStyle name="Currency_FORM New Break Down 2" xfId="3" xr:uid="{4585193D-6B2E-413E-B87D-D05C7090FBB1}"/>
    <cellStyle name="Normal" xfId="0" builtinId="0"/>
    <cellStyle name="Normal 10" xfId="2" xr:uid="{14BCC564-9A8E-4C6B-B9BD-EE94E42A8DF3}"/>
    <cellStyle name="Normal 2" xfId="1" xr:uid="{46E65B25-9191-41B1-9F7B-C183AEE784F0}"/>
    <cellStyle name="Normal 5" xfId="4" xr:uid="{254D0E31-4376-4AAB-90A7-7BBA59B2EB58}"/>
    <cellStyle name="Normal_COBA 2" xfId="5" xr:uid="{16CCC0CA-426C-4DCB-B221-E1C938CB69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3DF4851-71CD-4E7B-AF45-18D8F2D37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C5765D20-CAE5-41E6-9696-DBFAF7D0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6155B9BD-64BA-4FC7-9F6C-F0B691A22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960FD431-412C-41A0-9EC9-EDECFA870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0DAB325-096A-4070-8D06-A0265B29D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3CF60D9-9E19-4DCB-A194-831B00D2E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195936F-4C9D-4A41-A1DA-25709764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10</xdr:col>
      <xdr:colOff>387668</xdr:colOff>
      <xdr:row>39</xdr:row>
      <xdr:rowOff>107780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A199234-1692-48C8-8020-081360DB5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1"/>
          <a:ext cx="1926908" cy="33386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E903-BE8A-43BC-B548-3E1ED4035BDD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27" sqref="R27"/>
    </sheetView>
  </sheetViews>
  <sheetFormatPr defaultColWidth="9.109375" defaultRowHeight="13.8" x14ac:dyDescent="0.25"/>
  <cols>
    <col min="1" max="1" width="4.33203125" style="4" customWidth="1"/>
    <col min="2" max="2" width="5.6640625" style="278" customWidth="1"/>
    <col min="3" max="3" width="8.33203125" style="278" customWidth="1"/>
    <col min="4" max="4" width="5.6640625" style="278" customWidth="1"/>
    <col min="5" max="5" width="10.6640625" style="278" customWidth="1"/>
    <col min="6" max="6" width="1.44140625" style="278" customWidth="1"/>
    <col min="7" max="7" width="4.44140625" style="278" customWidth="1"/>
    <col min="8" max="8" width="9.33203125" style="278" customWidth="1"/>
    <col min="9" max="9" width="5.6640625" style="278" customWidth="1"/>
    <col min="10" max="10" width="7.44140625" style="278" customWidth="1"/>
    <col min="11" max="11" width="6.33203125" style="278" customWidth="1"/>
    <col min="12" max="12" width="8.44140625" style="278" customWidth="1"/>
    <col min="13" max="13" width="7.88671875" style="278" customWidth="1"/>
    <col min="14" max="14" width="7.44140625" style="278" customWidth="1"/>
    <col min="15" max="15" width="8.6640625" style="278" customWidth="1"/>
    <col min="16" max="16" width="9.6640625" style="278" customWidth="1"/>
    <col min="17" max="17" width="4.33203125" style="278" customWidth="1"/>
    <col min="18" max="18" width="5.6640625" style="278" customWidth="1"/>
    <col min="19" max="19" width="7.44140625" style="278" customWidth="1"/>
    <col min="20" max="20" width="5.6640625" style="278" customWidth="1"/>
    <col min="21" max="21" width="10.6640625" style="278" customWidth="1"/>
    <col min="22" max="22" width="1.44140625" style="278" customWidth="1"/>
    <col min="23" max="23" width="4.44140625" style="278" customWidth="1"/>
    <col min="24" max="24" width="9.33203125" style="278" customWidth="1"/>
    <col min="25" max="25" width="5.6640625" style="278" customWidth="1"/>
    <col min="26" max="26" width="7.44140625" style="278" customWidth="1"/>
    <col min="27" max="27" width="6.33203125" style="278" customWidth="1"/>
    <col min="28" max="28" width="7.44140625" style="278" customWidth="1"/>
    <col min="29" max="29" width="7.33203125" style="278" customWidth="1"/>
    <col min="30" max="30" width="7.44140625" style="278" customWidth="1"/>
    <col min="31" max="31" width="8.6640625" style="278" customWidth="1"/>
    <col min="32" max="32" width="9.6640625" style="278" customWidth="1"/>
    <col min="33" max="33" width="4.33203125" style="278" customWidth="1"/>
    <col min="34" max="34" width="5.6640625" style="278" customWidth="1"/>
    <col min="35" max="35" width="7.44140625" style="278" customWidth="1"/>
    <col min="36" max="36" width="5.6640625" style="278" customWidth="1"/>
    <col min="37" max="37" width="10.6640625" style="278" customWidth="1"/>
    <col min="38" max="38" width="1.44140625" style="278" customWidth="1"/>
    <col min="39" max="39" width="4.44140625" style="278" customWidth="1"/>
    <col min="40" max="40" width="9.33203125" style="278" customWidth="1"/>
    <col min="41" max="41" width="5.6640625" style="278" customWidth="1"/>
    <col min="42" max="42" width="7.44140625" style="278" customWidth="1"/>
    <col min="43" max="43" width="6.33203125" style="278" customWidth="1"/>
    <col min="44" max="45" width="7.109375" style="278" customWidth="1"/>
    <col min="46" max="46" width="7.44140625" style="278" customWidth="1"/>
    <col min="47" max="47" width="8.6640625" style="278" customWidth="1"/>
    <col min="48" max="48" width="9.6640625" style="278" customWidth="1"/>
    <col min="49" max="49" width="4.33203125" style="278" customWidth="1"/>
    <col min="50" max="50" width="5.6640625" style="278" customWidth="1"/>
    <col min="51" max="51" width="7.44140625" style="278" customWidth="1"/>
    <col min="52" max="52" width="5.6640625" style="278" customWidth="1"/>
    <col min="53" max="53" width="10.6640625" style="278" customWidth="1"/>
    <col min="54" max="54" width="1.44140625" style="278" customWidth="1"/>
    <col min="55" max="55" width="4.44140625" style="278" customWidth="1"/>
    <col min="56" max="56" width="9.33203125" style="278" customWidth="1"/>
    <col min="57" max="57" width="5.6640625" style="278" customWidth="1"/>
    <col min="58" max="58" width="7.44140625" style="278" customWidth="1"/>
    <col min="59" max="59" width="6.33203125" style="278" customWidth="1"/>
    <col min="60" max="60" width="7.44140625" style="278" customWidth="1"/>
    <col min="61" max="61" width="7.33203125" style="278" customWidth="1"/>
    <col min="62" max="62" width="7.44140625" style="278" customWidth="1"/>
    <col min="63" max="63" width="8.6640625" style="278" customWidth="1"/>
    <col min="64" max="64" width="9.6640625" style="278" customWidth="1"/>
    <col min="65" max="65" width="4.33203125" style="278" customWidth="1"/>
    <col min="66" max="66" width="5.6640625" style="278" customWidth="1"/>
    <col min="67" max="67" width="7.44140625" style="278" customWidth="1"/>
    <col min="68" max="68" width="5.6640625" style="278" customWidth="1"/>
    <col min="69" max="69" width="10.6640625" style="278" customWidth="1"/>
    <col min="70" max="70" width="1.44140625" style="278" customWidth="1"/>
    <col min="71" max="71" width="4.44140625" style="278" customWidth="1"/>
    <col min="72" max="72" width="9.33203125" style="278" customWidth="1"/>
    <col min="73" max="73" width="5.6640625" style="278" customWidth="1"/>
    <col min="74" max="74" width="7.44140625" style="278" customWidth="1"/>
    <col min="75" max="75" width="6.33203125" style="278" customWidth="1"/>
    <col min="76" max="76" width="7.44140625" style="278" customWidth="1"/>
    <col min="77" max="77" width="7.33203125" style="278" customWidth="1"/>
    <col min="78" max="78" width="7.44140625" style="278" customWidth="1"/>
    <col min="79" max="79" width="8.6640625" style="278" customWidth="1"/>
    <col min="80" max="80" width="9.6640625" style="278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45525.547457523149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45525.547457523149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45525.547457523149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45525.547457523149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45525.547457523149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DOOR-EL NA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DOOR-EL NA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DOOR-EL NA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DOOR-EL NA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7">
        <f>W</f>
        <v>1000</v>
      </c>
      <c r="L9" s="329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53PL</v>
      </c>
      <c r="V9" s="37"/>
      <c r="W9" s="56"/>
      <c r="X9" s="63"/>
      <c r="Y9" s="63"/>
      <c r="Z9" s="64" t="s">
        <v>21</v>
      </c>
      <c r="AA9" s="327">
        <f>$K$9</f>
        <v>1000</v>
      </c>
      <c r="AB9" s="329"/>
      <c r="AC9" s="66"/>
      <c r="AD9" s="62"/>
      <c r="AE9" s="60" t="str">
        <f>IF($O$9&gt;0,$O$9,"")</f>
        <v>W8D-21002</v>
      </c>
      <c r="AF9" s="61"/>
      <c r="AG9" s="3"/>
      <c r="AH9" s="54" t="s">
        <v>20</v>
      </c>
      <c r="AI9" s="37"/>
      <c r="AJ9" s="38"/>
      <c r="AK9" s="55" t="str">
        <f>IF($E$9&gt;0,$E$9,"")</f>
        <v>53PL</v>
      </c>
      <c r="AL9" s="37"/>
      <c r="AM9" s="56"/>
      <c r="AN9" s="63"/>
      <c r="AO9" s="63"/>
      <c r="AP9" s="64" t="s">
        <v>21</v>
      </c>
      <c r="AQ9" s="327">
        <f>$K$9</f>
        <v>1000</v>
      </c>
      <c r="AR9" s="329"/>
      <c r="AS9" s="66"/>
      <c r="AT9" s="62"/>
      <c r="AU9" s="60" t="str">
        <f>IF($O$9&gt;0,$O$9,"")</f>
        <v>W8D-21002</v>
      </c>
      <c r="AV9" s="61"/>
      <c r="AW9" s="3"/>
      <c r="AX9" s="54" t="s">
        <v>20</v>
      </c>
      <c r="AY9" s="37"/>
      <c r="AZ9" s="38"/>
      <c r="BA9" s="55" t="str">
        <f>IF(E9&gt;0,E9,"")</f>
        <v>53PL</v>
      </c>
      <c r="BB9" s="37"/>
      <c r="BC9" s="56"/>
      <c r="BD9" s="63"/>
      <c r="BE9" s="63"/>
      <c r="BF9" s="64" t="s">
        <v>21</v>
      </c>
      <c r="BG9" s="327">
        <f>$K$9</f>
        <v>1000</v>
      </c>
      <c r="BH9" s="329"/>
      <c r="BI9" s="66"/>
      <c r="BJ9" s="62"/>
      <c r="BK9" s="60" t="str">
        <f>IF($O$9&gt;0,$O$9,"")</f>
        <v>W8D-21002</v>
      </c>
      <c r="BL9" s="61"/>
      <c r="BM9" s="3"/>
      <c r="BN9" s="54" t="s">
        <v>20</v>
      </c>
      <c r="BO9" s="37"/>
      <c r="BP9" s="38"/>
      <c r="BQ9" s="55" t="str">
        <f>IF(U9&gt;0,U9,"")</f>
        <v>53PL</v>
      </c>
      <c r="BR9" s="37"/>
      <c r="BS9" s="56"/>
      <c r="BT9" s="63"/>
      <c r="BU9" s="63"/>
      <c r="BV9" s="64" t="s">
        <v>21</v>
      </c>
      <c r="BW9" s="327">
        <f>$K$9</f>
        <v>1000</v>
      </c>
      <c r="BX9" s="329"/>
      <c r="BY9" s="66"/>
      <c r="BZ9" s="62"/>
      <c r="CA9" s="60" t="str">
        <f>IF($O$9&gt;0,$O$9,"")</f>
        <v>W8D-21002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7">
        <f>H</f>
        <v>2800</v>
      </c>
      <c r="L10" s="328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7">
        <f>$K$10</f>
        <v>2800</v>
      </c>
      <c r="AB10" s="329"/>
      <c r="AC10" s="66"/>
      <c r="AD10" s="62"/>
      <c r="AE10" s="60" t="str">
        <f>IF($O$10&gt;0,$O$10,"")</f>
        <v>W8D-20006</v>
      </c>
      <c r="AF10" s="61"/>
      <c r="AG10" s="3"/>
      <c r="AH10" s="54" t="s">
        <v>23</v>
      </c>
      <c r="AI10" s="37"/>
      <c r="AJ10" s="38"/>
      <c r="AK10" s="55" t="str">
        <f>IF($BQ$32="9K-11383","53PL-I/HB","53PL-I/NB")</f>
        <v>53PL-I/NB</v>
      </c>
      <c r="AL10" s="37"/>
      <c r="AM10" s="56"/>
      <c r="AN10" s="63"/>
      <c r="AO10" s="63"/>
      <c r="AP10" s="67" t="s">
        <v>24</v>
      </c>
      <c r="AQ10" s="327">
        <f>$K$10</f>
        <v>2800</v>
      </c>
      <c r="AR10" s="329"/>
      <c r="AS10" s="66"/>
      <c r="AT10" s="62"/>
      <c r="AU10" s="60" t="str">
        <f>IF($O$10&gt;0,$O$10,"")</f>
        <v>W8D-20006</v>
      </c>
      <c r="AV10" s="61"/>
      <c r="AW10" s="3"/>
      <c r="AX10" s="54" t="s">
        <v>23</v>
      </c>
      <c r="AY10" s="37"/>
      <c r="AZ10" s="38"/>
      <c r="BA10" s="55" t="str">
        <f>IF($U$10&gt;0,$U$10,"")</f>
        <v>53PL</v>
      </c>
      <c r="BB10" s="37"/>
      <c r="BC10" s="56"/>
      <c r="BD10" s="63"/>
      <c r="BE10" s="63"/>
      <c r="BF10" s="67" t="s">
        <v>24</v>
      </c>
      <c r="BG10" s="327">
        <f>$K$10</f>
        <v>2800</v>
      </c>
      <c r="BH10" s="329"/>
      <c r="BI10" s="66"/>
      <c r="BJ10" s="62"/>
      <c r="BK10" s="60" t="str">
        <f>IF($O$10&gt;0,$O$10,"")</f>
        <v>W8D-20006</v>
      </c>
      <c r="BL10" s="61"/>
      <c r="BM10" s="3"/>
      <c r="BN10" s="54" t="s">
        <v>23</v>
      </c>
      <c r="BO10" s="37"/>
      <c r="BP10" s="38"/>
      <c r="BQ10" s="55" t="str">
        <f>IF($AK$10&gt;0,$AK$10,"")</f>
        <v>53PL-I/NB</v>
      </c>
      <c r="BR10" s="37"/>
      <c r="BS10" s="56"/>
      <c r="BT10" s="63"/>
      <c r="BU10" s="63"/>
      <c r="BV10" s="67" t="s">
        <v>24</v>
      </c>
      <c r="BW10" s="327">
        <f>$K$10</f>
        <v>2800</v>
      </c>
      <c r="BX10" s="329"/>
      <c r="BY10" s="66"/>
      <c r="BZ10" s="62"/>
      <c r="CA10" s="60" t="str">
        <f>IF($O$10&gt;0,$O$10,"")</f>
        <v>W8D-20006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1000</v>
      </c>
      <c r="F11" s="25"/>
      <c r="G11" s="73"/>
      <c r="H11" s="330" t="s">
        <v>27</v>
      </c>
      <c r="I11" s="330">
        <v>1</v>
      </c>
      <c r="J11" s="330" t="s">
        <v>28</v>
      </c>
      <c r="K11" s="332" t="s">
        <v>29</v>
      </c>
      <c r="L11" s="333"/>
      <c r="M11" s="336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1000</v>
      </c>
      <c r="V11" s="25"/>
      <c r="W11" s="73"/>
      <c r="X11" s="330" t="s">
        <v>27</v>
      </c>
      <c r="Y11" s="330">
        <f>IF($I$11&gt;0,$I$11,"")</f>
        <v>1</v>
      </c>
      <c r="Z11" s="330" t="s">
        <v>28</v>
      </c>
      <c r="AA11" s="332" t="str">
        <f>IF($K$11&gt;0,$K$11,"")</f>
        <v>TT01</v>
      </c>
      <c r="AB11" s="333"/>
      <c r="AC11" s="336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1000</v>
      </c>
      <c r="AL11" s="25"/>
      <c r="AM11" s="73"/>
      <c r="AN11" s="330" t="s">
        <v>27</v>
      </c>
      <c r="AO11" s="330">
        <f>IF($I$11&gt;0,$I$11,"")</f>
        <v>1</v>
      </c>
      <c r="AP11" s="330" t="s">
        <v>28</v>
      </c>
      <c r="AQ11" s="332" t="str">
        <f>IF($K$11&gt;0,$K$11,"")</f>
        <v>TT01</v>
      </c>
      <c r="AR11" s="333"/>
      <c r="AS11" s="336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1000</v>
      </c>
      <c r="BB11" s="25"/>
      <c r="BC11" s="73"/>
      <c r="BD11" s="330" t="s">
        <v>27</v>
      </c>
      <c r="BE11" s="330">
        <f>IF($I$11&gt;0,$I$11,"")</f>
        <v>1</v>
      </c>
      <c r="BF11" s="330" t="s">
        <v>28</v>
      </c>
      <c r="BG11" s="332" t="str">
        <f>IF($K$11&gt;0,$K$11,"")</f>
        <v>TT01</v>
      </c>
      <c r="BH11" s="333"/>
      <c r="BI11" s="336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1000</v>
      </c>
      <c r="BR11" s="25"/>
      <c r="BS11" s="73"/>
      <c r="BT11" s="330" t="s">
        <v>27</v>
      </c>
      <c r="BU11" s="330">
        <f>IF($I$11&gt;0,$I$11,"")</f>
        <v>1</v>
      </c>
      <c r="BV11" s="330" t="s">
        <v>28</v>
      </c>
      <c r="BW11" s="332" t="str">
        <f>IF($K$11&gt;0,$K$11,"")</f>
        <v>TT01</v>
      </c>
      <c r="BX11" s="333"/>
      <c r="BY11" s="336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31"/>
      <c r="I12" s="331"/>
      <c r="J12" s="331"/>
      <c r="K12" s="334"/>
      <c r="L12" s="335"/>
      <c r="M12" s="337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31"/>
      <c r="Y12" s="331"/>
      <c r="Z12" s="331"/>
      <c r="AA12" s="334"/>
      <c r="AB12" s="335"/>
      <c r="AC12" s="337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31"/>
      <c r="AO12" s="331"/>
      <c r="AP12" s="331"/>
      <c r="AQ12" s="334"/>
      <c r="AR12" s="335"/>
      <c r="AS12" s="337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31"/>
      <c r="BE12" s="331"/>
      <c r="BF12" s="331"/>
      <c r="BG12" s="334"/>
      <c r="BH12" s="335"/>
      <c r="BI12" s="337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31"/>
      <c r="BU12" s="331"/>
      <c r="BV12" s="331"/>
      <c r="BW12" s="334"/>
      <c r="BX12" s="335"/>
      <c r="BY12" s="337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W-70</f>
        <v>930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930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930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930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930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6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6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0.54180300000000003</v>
      </c>
      <c r="AG22" s="4"/>
      <c r="AH22" s="199" t="s">
        <v>82</v>
      </c>
      <c r="AI22" s="200"/>
      <c r="AJ22" s="204" t="s">
        <v>83</v>
      </c>
      <c r="AK22" s="168" t="s">
        <v>84</v>
      </c>
      <c r="AL22" s="169" t="str">
        <f t="shared" ref="AL22:AL47" si="3">IF(AK22&gt;"","-","")</f>
        <v>-</v>
      </c>
      <c r="AM22" s="202">
        <v>0</v>
      </c>
      <c r="AN22" s="171">
        <f>HS.1-12</f>
        <v>2753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7.5999999999999998E-2</v>
      </c>
      <c r="AV22" s="179">
        <f t="shared" ref="AV22:AV47" si="6">IF(AK22&gt;"",(AU22*AN22*AP22)/1000,"")</f>
        <v>0.209228</v>
      </c>
      <c r="AW22" s="4"/>
      <c r="AX22" s="199" t="s">
        <v>161</v>
      </c>
      <c r="AY22" s="200"/>
      <c r="AZ22" s="201"/>
      <c r="BA22" s="205" t="s">
        <v>85</v>
      </c>
      <c r="BB22" s="169"/>
      <c r="BC22" s="181"/>
      <c r="BD22" s="182" t="s">
        <v>168</v>
      </c>
      <c r="BE22" s="172">
        <v>3</v>
      </c>
      <c r="BF22" s="173">
        <f t="shared" ref="BF22:BF60" si="7">IF(BE22="","",Q*BE22)</f>
        <v>3</v>
      </c>
      <c r="BG22" s="184"/>
      <c r="BH22" s="185" t="s">
        <v>86</v>
      </c>
      <c r="BI22" s="186"/>
      <c r="BJ22" s="187"/>
      <c r="BK22" s="206"/>
      <c r="BL22" s="189"/>
      <c r="BM22" s="4"/>
      <c r="BN22" s="341" t="s">
        <v>173</v>
      </c>
      <c r="BO22" s="200"/>
      <c r="BP22" s="201"/>
      <c r="BQ22" s="205" t="s">
        <v>178</v>
      </c>
      <c r="BR22" s="169"/>
      <c r="BS22" s="181"/>
      <c r="BT22" s="182" t="s">
        <v>170</v>
      </c>
      <c r="BU22" s="172">
        <v>1</v>
      </c>
      <c r="BV22" s="173">
        <f t="shared" ref="BV22:BV59" si="8">IF(BU22="","",Q*BU22)</f>
        <v>1</v>
      </c>
      <c r="BW22" s="184"/>
      <c r="BX22" s="185" t="s">
        <v>179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88</v>
      </c>
      <c r="V23" s="169" t="str">
        <f t="shared" si="0"/>
        <v>-</v>
      </c>
      <c r="W23" s="202">
        <v>4</v>
      </c>
      <c r="X23" s="208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82</v>
      </c>
      <c r="AI23" s="200"/>
      <c r="AJ23" s="204" t="s">
        <v>83</v>
      </c>
      <c r="AK23" s="168" t="s">
        <v>84</v>
      </c>
      <c r="AL23" s="169" t="str">
        <f t="shared" si="3"/>
        <v>-</v>
      </c>
      <c r="AM23" s="202">
        <v>0</v>
      </c>
      <c r="AN23" s="208">
        <f>WS.1-225</f>
        <v>705</v>
      </c>
      <c r="AO23" s="183">
        <v>2</v>
      </c>
      <c r="AP23" s="173">
        <f t="shared" si="4"/>
        <v>2</v>
      </c>
      <c r="AQ23" s="203"/>
      <c r="AR23" s="175"/>
      <c r="AS23" s="176"/>
      <c r="AT23" s="177"/>
      <c r="AU23" s="178">
        <f t="shared" si="5"/>
        <v>7.5999999999999998E-2</v>
      </c>
      <c r="AV23" s="179">
        <f t="shared" si="6"/>
        <v>0.10715999999999999</v>
      </c>
      <c r="AW23" s="4"/>
      <c r="AX23" s="199" t="s">
        <v>162</v>
      </c>
      <c r="AY23" s="200"/>
      <c r="AZ23" s="201"/>
      <c r="BA23" s="168" t="s">
        <v>115</v>
      </c>
      <c r="BB23" s="169"/>
      <c r="BC23" s="181"/>
      <c r="BD23" s="182" t="s">
        <v>168</v>
      </c>
      <c r="BE23" s="172">
        <v>4</v>
      </c>
      <c r="BF23" s="173">
        <f t="shared" si="7"/>
        <v>4</v>
      </c>
      <c r="BG23" s="184"/>
      <c r="BH23" s="185" t="s">
        <v>116</v>
      </c>
      <c r="BI23" s="186"/>
      <c r="BJ23" s="187"/>
      <c r="BK23" s="206"/>
      <c r="BL23" s="189" t="s">
        <v>114</v>
      </c>
      <c r="BM23" s="4"/>
      <c r="BN23" s="341" t="s">
        <v>174</v>
      </c>
      <c r="BO23" s="200"/>
      <c r="BP23" s="201"/>
      <c r="BQ23" s="168" t="s">
        <v>91</v>
      </c>
      <c r="BR23" s="169"/>
      <c r="BS23" s="181"/>
      <c r="BT23" s="182" t="s">
        <v>169</v>
      </c>
      <c r="BU23" s="172">
        <f>(WS.1-12)/1000</f>
        <v>0.91800000000000004</v>
      </c>
      <c r="BV23" s="173">
        <f t="shared" si="8"/>
        <v>0.91800000000000004</v>
      </c>
      <c r="BW23" s="184" t="s">
        <v>107</v>
      </c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92</v>
      </c>
      <c r="S24" s="200"/>
      <c r="T24" s="201"/>
      <c r="U24" s="168" t="s">
        <v>88</v>
      </c>
      <c r="V24" s="169" t="str">
        <f t="shared" si="0"/>
        <v>-</v>
      </c>
      <c r="W24" s="202">
        <v>2</v>
      </c>
      <c r="X24" s="208">
        <f>H</f>
        <v>2800</v>
      </c>
      <c r="Y24" s="172">
        <v>1</v>
      </c>
      <c r="Z24" s="173">
        <f t="shared" si="1"/>
        <v>1</v>
      </c>
      <c r="AA24" s="203"/>
      <c r="AB24" s="175" t="str">
        <f>CONCATENATE("a= ",C.)</f>
        <v xml:space="preserve">a= </v>
      </c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82</v>
      </c>
      <c r="AI24" s="200"/>
      <c r="AJ24" s="204" t="s">
        <v>83</v>
      </c>
      <c r="AK24" s="168" t="s">
        <v>84</v>
      </c>
      <c r="AL24" s="169" t="str">
        <f t="shared" si="3"/>
        <v>-</v>
      </c>
      <c r="AM24" s="202">
        <v>0</v>
      </c>
      <c r="AN24" s="208">
        <v>201</v>
      </c>
      <c r="AO24" s="172">
        <v>2</v>
      </c>
      <c r="AP24" s="173">
        <f t="shared" si="4"/>
        <v>2</v>
      </c>
      <c r="AQ24" s="203"/>
      <c r="AR24" s="175"/>
      <c r="AS24" s="176"/>
      <c r="AT24" s="177"/>
      <c r="AU24" s="178">
        <f t="shared" si="5"/>
        <v>7.5999999999999998E-2</v>
      </c>
      <c r="AV24" s="179">
        <f t="shared" si="6"/>
        <v>3.0551999999999999E-2</v>
      </c>
      <c r="AW24" s="4"/>
      <c r="AX24" s="199" t="s">
        <v>162</v>
      </c>
      <c r="AY24" s="200"/>
      <c r="AZ24" s="201"/>
      <c r="BA24" s="168" t="s">
        <v>89</v>
      </c>
      <c r="BB24" s="169"/>
      <c r="BC24" s="181"/>
      <c r="BD24" s="182" t="s">
        <v>168</v>
      </c>
      <c r="BE24" s="172">
        <v>8</v>
      </c>
      <c r="BF24" s="173">
        <f t="shared" si="7"/>
        <v>8</v>
      </c>
      <c r="BG24" s="184"/>
      <c r="BH24" s="185" t="s">
        <v>90</v>
      </c>
      <c r="BI24" s="186"/>
      <c r="BJ24" s="187"/>
      <c r="BK24" s="188"/>
      <c r="BL24" s="189"/>
      <c r="BM24" s="4"/>
      <c r="BN24" s="341" t="s">
        <v>175</v>
      </c>
      <c r="BO24" s="200"/>
      <c r="BP24" s="201"/>
      <c r="BQ24" s="168" t="s">
        <v>94</v>
      </c>
      <c r="BR24" s="169"/>
      <c r="BS24" s="181"/>
      <c r="BT24" s="182" t="s">
        <v>170</v>
      </c>
      <c r="BU24" s="172">
        <v>2</v>
      </c>
      <c r="BV24" s="173">
        <f t="shared" si="8"/>
        <v>2</v>
      </c>
      <c r="BW24" s="184"/>
      <c r="BX24" s="185" t="s">
        <v>95</v>
      </c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/>
      <c r="S25" s="200"/>
      <c r="T25" s="201"/>
      <c r="U25" s="168"/>
      <c r="V25" s="169" t="str">
        <f t="shared" si="0"/>
        <v/>
      </c>
      <c r="W25" s="202"/>
      <c r="X25" s="208"/>
      <c r="Y25" s="172"/>
      <c r="Z25" s="173" t="str">
        <f t="shared" si="1"/>
        <v/>
      </c>
      <c r="AA25" s="210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199" t="s">
        <v>96</v>
      </c>
      <c r="AI25" s="200"/>
      <c r="AJ25" s="204" t="s">
        <v>83</v>
      </c>
      <c r="AK25" s="168" t="s">
        <v>97</v>
      </c>
      <c r="AL25" s="169" t="str">
        <f t="shared" si="3"/>
        <v>-</v>
      </c>
      <c r="AM25" s="202">
        <v>1</v>
      </c>
      <c r="AN25" s="208">
        <f>WS.1-12</f>
        <v>918</v>
      </c>
      <c r="AO25" s="172">
        <v>1</v>
      </c>
      <c r="AP25" s="173">
        <f t="shared" si="4"/>
        <v>1</v>
      </c>
      <c r="AQ25" s="210"/>
      <c r="AR25" s="175"/>
      <c r="AS25" s="176"/>
      <c r="AT25" s="177"/>
      <c r="AU25" s="178">
        <f t="shared" si="5"/>
        <v>0.187</v>
      </c>
      <c r="AV25" s="179">
        <f t="shared" si="6"/>
        <v>0.17166599999999999</v>
      </c>
      <c r="AW25" s="4"/>
      <c r="AX25" s="199" t="s">
        <v>163</v>
      </c>
      <c r="AY25" s="200"/>
      <c r="AZ25" s="201"/>
      <c r="BA25" s="168" t="s">
        <v>93</v>
      </c>
      <c r="BB25" s="169"/>
      <c r="BC25" s="181"/>
      <c r="BD25" s="182" t="s">
        <v>168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341" t="s">
        <v>162</v>
      </c>
      <c r="BO25" s="200"/>
      <c r="BP25" s="201"/>
      <c r="BQ25" s="168" t="s">
        <v>99</v>
      </c>
      <c r="BR25" s="169"/>
      <c r="BS25" s="181"/>
      <c r="BT25" s="182" t="s">
        <v>170</v>
      </c>
      <c r="BU25" s="172">
        <v>4</v>
      </c>
      <c r="BV25" s="173">
        <f t="shared" si="8"/>
        <v>4</v>
      </c>
      <c r="BW25" s="184"/>
      <c r="BX25" s="185" t="s">
        <v>95</v>
      </c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 t="s">
        <v>100</v>
      </c>
      <c r="AI26" s="200"/>
      <c r="AJ26" s="204" t="s">
        <v>83</v>
      </c>
      <c r="AK26" s="168" t="s">
        <v>101</v>
      </c>
      <c r="AL26" s="169" t="str">
        <f t="shared" si="3"/>
        <v>-</v>
      </c>
      <c r="AM26" s="202">
        <v>1</v>
      </c>
      <c r="AN26" s="171">
        <f>WS.1-8</f>
        <v>922</v>
      </c>
      <c r="AO26" s="172">
        <v>1</v>
      </c>
      <c r="AP26" s="173">
        <f t="shared" si="4"/>
        <v>1</v>
      </c>
      <c r="AQ26" s="210"/>
      <c r="AR26" s="175"/>
      <c r="AS26" s="176"/>
      <c r="AT26" s="212"/>
      <c r="AU26" s="178">
        <f t="shared" si="5"/>
        <v>0.20799999999999999</v>
      </c>
      <c r="AV26" s="179">
        <f t="shared" si="6"/>
        <v>0.19177599999999997</v>
      </c>
      <c r="AW26" s="4"/>
      <c r="AX26" s="199" t="s">
        <v>162</v>
      </c>
      <c r="AY26" s="200"/>
      <c r="AZ26" s="201"/>
      <c r="BA26" s="168" t="s">
        <v>98</v>
      </c>
      <c r="BB26" s="169"/>
      <c r="BC26" s="181"/>
      <c r="BD26" s="182" t="s">
        <v>168</v>
      </c>
      <c r="BE26" s="172">
        <v>18</v>
      </c>
      <c r="BF26" s="173">
        <f t="shared" si="7"/>
        <v>18</v>
      </c>
      <c r="BG26" s="184"/>
      <c r="BH26" s="185" t="s">
        <v>171</v>
      </c>
      <c r="BI26" s="186"/>
      <c r="BJ26" s="187"/>
      <c r="BK26" s="188"/>
      <c r="BL26" s="189"/>
      <c r="BM26" s="4"/>
      <c r="BN26" s="341" t="s">
        <v>162</v>
      </c>
      <c r="BO26" s="200"/>
      <c r="BP26" s="201"/>
      <c r="BQ26" s="168" t="s">
        <v>104</v>
      </c>
      <c r="BR26" s="169"/>
      <c r="BS26" s="181"/>
      <c r="BT26" s="182" t="s">
        <v>170</v>
      </c>
      <c r="BU26" s="172">
        <f>IF(HS.1=2365,8,IF(HS.1=2565,8,IF(HS.1=2765,10,0)))+6</f>
        <v>16</v>
      </c>
      <c r="BV26" s="173">
        <f t="shared" si="8"/>
        <v>16</v>
      </c>
      <c r="BW26" s="184"/>
      <c r="BX26" s="185" t="s">
        <v>180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 t="s">
        <v>105</v>
      </c>
      <c r="AI27" s="200"/>
      <c r="AJ27" s="204" t="s">
        <v>83</v>
      </c>
      <c r="AK27" s="168" t="s">
        <v>101</v>
      </c>
      <c r="AL27" s="169" t="str">
        <f t="shared" si="3"/>
        <v>-</v>
      </c>
      <c r="AM27" s="202">
        <v>5</v>
      </c>
      <c r="AN27" s="171">
        <f>HS.1-12</f>
        <v>2753</v>
      </c>
      <c r="AO27" s="172">
        <v>1</v>
      </c>
      <c r="AP27" s="173">
        <f t="shared" si="4"/>
        <v>1</v>
      </c>
      <c r="AQ27" s="210"/>
      <c r="AR27" s="175"/>
      <c r="AS27" s="176"/>
      <c r="AT27" s="212"/>
      <c r="AU27" s="178">
        <f t="shared" si="5"/>
        <v>0.20799999999999999</v>
      </c>
      <c r="AV27" s="179">
        <f t="shared" si="6"/>
        <v>0.57262400000000002</v>
      </c>
      <c r="AW27" s="4"/>
      <c r="AX27" s="199" t="s">
        <v>164</v>
      </c>
      <c r="AY27" s="200"/>
      <c r="AZ27" s="201"/>
      <c r="BA27" s="168" t="s">
        <v>102</v>
      </c>
      <c r="BB27" s="169"/>
      <c r="BC27" s="181"/>
      <c r="BD27" s="182" t="s">
        <v>169</v>
      </c>
      <c r="BE27" s="172">
        <v>1</v>
      </c>
      <c r="BF27" s="173">
        <f t="shared" si="7"/>
        <v>1</v>
      </c>
      <c r="BG27" s="213"/>
      <c r="BH27" s="185" t="s">
        <v>103</v>
      </c>
      <c r="BI27" s="186"/>
      <c r="BJ27" s="187"/>
      <c r="BK27" s="188"/>
      <c r="BL27" s="189"/>
      <c r="BM27" s="4"/>
      <c r="BN27" s="341" t="s">
        <v>176</v>
      </c>
      <c r="BO27" s="200"/>
      <c r="BP27" s="201"/>
      <c r="BQ27" s="168" t="s">
        <v>117</v>
      </c>
      <c r="BR27" s="169"/>
      <c r="BS27" s="181"/>
      <c r="BT27" s="182" t="s">
        <v>170</v>
      </c>
      <c r="BU27" s="172">
        <v>1</v>
      </c>
      <c r="BV27" s="173">
        <f t="shared" si="8"/>
        <v>1</v>
      </c>
      <c r="BW27" s="213"/>
      <c r="BX27" s="185" t="s">
        <v>118</v>
      </c>
      <c r="BY27" s="186"/>
      <c r="BZ27" s="187"/>
      <c r="CA27" s="188"/>
      <c r="CB27" s="189" t="s">
        <v>114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108</v>
      </c>
      <c r="AI28" s="215"/>
      <c r="AJ28" s="217" t="s">
        <v>83</v>
      </c>
      <c r="AK28" s="168" t="s">
        <v>101</v>
      </c>
      <c r="AL28" s="169" t="str">
        <f t="shared" si="3"/>
        <v>-</v>
      </c>
      <c r="AM28" s="202">
        <v>7</v>
      </c>
      <c r="AN28" s="171">
        <f>HS.1-12</f>
        <v>2753</v>
      </c>
      <c r="AO28" s="172">
        <v>1</v>
      </c>
      <c r="AP28" s="173">
        <f t="shared" si="4"/>
        <v>1</v>
      </c>
      <c r="AQ28" s="21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165</v>
      </c>
      <c r="AY28" s="200"/>
      <c r="AZ28" s="201"/>
      <c r="BA28" s="168" t="s">
        <v>106</v>
      </c>
      <c r="BB28" s="169"/>
      <c r="BC28" s="181"/>
      <c r="BD28" s="182" t="s">
        <v>169</v>
      </c>
      <c r="BE28" s="172">
        <f>((W-61)+((H-38)*2))/1000</f>
        <v>6.4630000000000001</v>
      </c>
      <c r="BF28" s="173">
        <f t="shared" si="7"/>
        <v>6.4630000000000001</v>
      </c>
      <c r="BG28" s="184" t="s">
        <v>107</v>
      </c>
      <c r="BH28" s="185"/>
      <c r="BI28" s="186"/>
      <c r="BJ28" s="187"/>
      <c r="BK28" s="188"/>
      <c r="BL28" s="189"/>
      <c r="BM28" s="4"/>
      <c r="BN28" s="341" t="s">
        <v>177</v>
      </c>
      <c r="BO28" s="200"/>
      <c r="BP28" s="201"/>
      <c r="BQ28" s="168" t="s">
        <v>112</v>
      </c>
      <c r="BR28" s="169"/>
      <c r="BS28" s="181"/>
      <c r="BT28" s="182" t="s">
        <v>168</v>
      </c>
      <c r="BU28" s="172">
        <v>1</v>
      </c>
      <c r="BV28" s="173">
        <f t="shared" si="8"/>
        <v>1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166</v>
      </c>
      <c r="AY29" s="200"/>
      <c r="AZ29" s="201"/>
      <c r="BA29" s="168" t="s">
        <v>109</v>
      </c>
      <c r="BB29" s="169"/>
      <c r="BC29" s="181"/>
      <c r="BD29" s="182" t="s">
        <v>168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341" t="s">
        <v>162</v>
      </c>
      <c r="BO29" s="200"/>
      <c r="BP29" s="201"/>
      <c r="BQ29" s="168" t="s">
        <v>113</v>
      </c>
      <c r="BR29" s="169"/>
      <c r="BS29" s="181"/>
      <c r="BT29" s="182" t="s">
        <v>168</v>
      </c>
      <c r="BU29" s="172">
        <v>15</v>
      </c>
      <c r="BV29" s="173">
        <f t="shared" si="8"/>
        <v>15</v>
      </c>
      <c r="BW29" s="184"/>
      <c r="BX29" s="185" t="s">
        <v>86</v>
      </c>
      <c r="BY29" s="186"/>
      <c r="BZ29" s="187"/>
      <c r="CA29" s="188"/>
      <c r="CB29" s="189" t="s">
        <v>114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161</v>
      </c>
      <c r="AY30" s="200"/>
      <c r="AZ30" s="201"/>
      <c r="BA30" s="168" t="s">
        <v>110</v>
      </c>
      <c r="BB30" s="169"/>
      <c r="BC30" s="181"/>
      <c r="BD30" s="182" t="s">
        <v>168</v>
      </c>
      <c r="BE30" s="172">
        <v>1</v>
      </c>
      <c r="BF30" s="173">
        <f t="shared" si="7"/>
        <v>1</v>
      </c>
      <c r="BG30" s="184"/>
      <c r="BH30" s="185" t="s">
        <v>111</v>
      </c>
      <c r="BI30" s="186"/>
      <c r="BJ30" s="187"/>
      <c r="BK30" s="188"/>
      <c r="BL30" s="189"/>
      <c r="BM30" s="4"/>
      <c r="BN30" s="199"/>
      <c r="BO30" s="200"/>
      <c r="BP30" s="201"/>
      <c r="BQ30" s="168"/>
      <c r="BR30" s="169"/>
      <c r="BS30" s="181"/>
      <c r="BT30" s="182"/>
      <c r="BU30" s="172"/>
      <c r="BV30" s="173"/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167</v>
      </c>
      <c r="AY31" s="200"/>
      <c r="AZ31" s="201"/>
      <c r="BA31" s="168" t="s">
        <v>119</v>
      </c>
      <c r="BB31" s="169"/>
      <c r="BC31" s="181"/>
      <c r="BD31" s="182" t="s">
        <v>170</v>
      </c>
      <c r="BE31" s="172">
        <f>IF(H=2400,18,IF(H=2600,19,IF(H=2800,21,0)))+3</f>
        <v>24</v>
      </c>
      <c r="BF31" s="173">
        <f t="shared" si="7"/>
        <v>24</v>
      </c>
      <c r="BG31" s="184"/>
      <c r="BH31" s="185" t="s">
        <v>172</v>
      </c>
      <c r="BI31" s="186"/>
      <c r="BJ31" s="187"/>
      <c r="BK31" s="188"/>
      <c r="BL31" s="189" t="s">
        <v>114</v>
      </c>
      <c r="BM31" s="4"/>
      <c r="BN31" s="199"/>
      <c r="BO31" s="200"/>
      <c r="BP31" s="201"/>
      <c r="BQ31" s="168"/>
      <c r="BR31" s="169"/>
      <c r="BS31" s="181"/>
      <c r="BT31" s="182"/>
      <c r="BU31" s="172"/>
      <c r="BV31" s="173"/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/>
      <c r="AY32" s="200"/>
      <c r="AZ32" s="201"/>
      <c r="BA32" s="168"/>
      <c r="BB32" s="169"/>
      <c r="BC32" s="181"/>
      <c r="BD32" s="182"/>
      <c r="BE32" s="172"/>
      <c r="BF32" s="173"/>
      <c r="BG32" s="184"/>
      <c r="BH32" s="185"/>
      <c r="BI32" s="186"/>
      <c r="BJ32" s="187"/>
      <c r="BK32" s="188"/>
      <c r="BL32" s="189"/>
      <c r="BM32" s="4"/>
      <c r="BN32" s="199"/>
      <c r="BO32" s="200"/>
      <c r="BP32" s="201"/>
      <c r="BQ32" s="168"/>
      <c r="BR32" s="169"/>
      <c r="BS32" s="181"/>
      <c r="BT32" s="182"/>
      <c r="BU32" s="172"/>
      <c r="BV32" s="173"/>
      <c r="BW32" s="184"/>
      <c r="BX32" s="185"/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 t="str">
        <f t="shared" ref="AX22:AX60" si="10">IF(BA33&gt;"",VLOOKUP(BA33,PART_NAMA,3,FALSE),"")</f>
        <v/>
      </c>
      <c r="AY33" s="200"/>
      <c r="AZ33" s="201"/>
      <c r="BA33" s="168"/>
      <c r="BB33" s="169"/>
      <c r="BC33" s="181"/>
      <c r="BD33" s="182" t="str">
        <f t="shared" ref="BD22:BD60" si="11">IF(BA33&gt;"",VLOOKUP(BA33&amp;$M$10,PART_MASTER,3,FALSE),"")</f>
        <v/>
      </c>
      <c r="BE33" s="172"/>
      <c r="BF33" s="173" t="str">
        <f t="shared" si="7"/>
        <v/>
      </c>
      <c r="BG33" s="213"/>
      <c r="BH33" s="185"/>
      <c r="BI33" s="186"/>
      <c r="BJ33" s="187"/>
      <c r="BK33" s="188"/>
      <c r="BL33" s="189"/>
      <c r="BM33" s="4"/>
      <c r="BN33" s="199"/>
      <c r="BO33" s="200"/>
      <c r="BP33" s="201"/>
      <c r="BQ33" s="205"/>
      <c r="BR33" s="169"/>
      <c r="BS33" s="181"/>
      <c r="BT33" s="182"/>
      <c r="BU33" s="172"/>
      <c r="BV33" s="173"/>
      <c r="BW33" s="184"/>
      <c r="BX33" s="185"/>
      <c r="BY33" s="186"/>
      <c r="BZ33" s="187"/>
      <c r="CA33" s="206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si="10"/>
        <v/>
      </c>
      <c r="AY34" s="200"/>
      <c r="AZ34" s="201"/>
      <c r="BA34" s="168"/>
      <c r="BB34" s="169"/>
      <c r="BC34" s="181"/>
      <c r="BD34" s="182" t="str">
        <f t="shared" si="11"/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/>
      <c r="BO34" s="200"/>
      <c r="BP34" s="201"/>
      <c r="BQ34" s="168"/>
      <c r="BR34" s="169"/>
      <c r="BS34" s="181"/>
      <c r="BT34" s="182"/>
      <c r="BU34" s="172"/>
      <c r="BV34" s="173"/>
      <c r="BW34" s="184"/>
      <c r="BX34" s="185"/>
      <c r="BY34" s="186"/>
      <c r="BZ34" s="187"/>
      <c r="CA34" s="206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/>
      <c r="AY35" s="200"/>
      <c r="AZ35" s="201"/>
      <c r="BA35" s="205"/>
      <c r="BB35" s="169"/>
      <c r="BC35" s="181"/>
      <c r="BD35" s="182"/>
      <c r="BE35" s="172"/>
      <c r="BF35" s="173"/>
      <c r="BG35" s="184"/>
      <c r="BH35" s="185"/>
      <c r="BI35" s="186"/>
      <c r="BJ35" s="187"/>
      <c r="BK35" s="206"/>
      <c r="BL35" s="189"/>
      <c r="BM35" s="4"/>
      <c r="BN35" s="199"/>
      <c r="BO35" s="200"/>
      <c r="BP35" s="201"/>
      <c r="BQ35" s="168"/>
      <c r="BR35" s="169"/>
      <c r="BS35" s="181"/>
      <c r="BT35" s="182"/>
      <c r="BU35" s="172"/>
      <c r="BV35" s="173"/>
      <c r="BW35" s="184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/>
      <c r="BO36" s="200"/>
      <c r="BP36" s="201"/>
      <c r="BQ36" s="168"/>
      <c r="BR36" s="169"/>
      <c r="BS36" s="181"/>
      <c r="BT36" s="182"/>
      <c r="BU36" s="172"/>
      <c r="BV36" s="173"/>
      <c r="BW36" s="184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/>
      <c r="BO37" s="200"/>
      <c r="BP37" s="201"/>
      <c r="BQ37" s="168"/>
      <c r="BR37" s="169"/>
      <c r="BS37" s="181"/>
      <c r="BT37" s="182"/>
      <c r="BU37" s="172"/>
      <c r="BV37" s="173"/>
      <c r="BW37" s="184"/>
      <c r="BX37" s="185"/>
      <c r="BY37" s="186"/>
      <c r="BZ37" s="187"/>
      <c r="CA37" s="188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2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2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213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120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2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2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121</v>
      </c>
      <c r="C43" s="241"/>
      <c r="D43" s="241"/>
      <c r="E43" s="241"/>
      <c r="F43" s="242"/>
      <c r="G43" s="243"/>
      <c r="H43" s="244"/>
      <c r="I43" s="234"/>
      <c r="J43" s="245" t="s">
        <v>122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2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 t="str">
        <f t="shared" ref="BN22:BN60" si="13">IF(BQ43&gt;"",VLOOKUP(BQ43,PART_NAMA,3,FALSE),"")</f>
        <v/>
      </c>
      <c r="BO43" s="200"/>
      <c r="BP43" s="201"/>
      <c r="BQ43" s="168"/>
      <c r="BR43" s="169"/>
      <c r="BS43" s="181"/>
      <c r="BT43" s="182" t="str">
        <f t="shared" ref="BT23:BT58" si="14">IF(BQ43&gt;"",VLOOKUP(BQ43&amp;$M$10,PART_MASTER,3,FALSE),"")</f>
        <v/>
      </c>
      <c r="BU43" s="183"/>
      <c r="BV43" s="173" t="str">
        <f t="shared" si="8"/>
        <v/>
      </c>
      <c r="BW43" s="184"/>
      <c r="BX43" s="251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123</v>
      </c>
      <c r="C44" s="338" t="s">
        <v>124</v>
      </c>
      <c r="D44" s="339"/>
      <c r="E44" s="340"/>
      <c r="F44" s="338" t="s">
        <v>125</v>
      </c>
      <c r="G44" s="339"/>
      <c r="H44" s="340"/>
      <c r="I44" s="253"/>
      <c r="J44" s="254" t="s">
        <v>123</v>
      </c>
      <c r="K44" s="338" t="s">
        <v>124</v>
      </c>
      <c r="L44" s="339"/>
      <c r="M44" s="339"/>
      <c r="N44" s="340"/>
      <c r="O44" s="254" t="s">
        <v>126</v>
      </c>
      <c r="P44" s="255" t="s">
        <v>123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2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 t="str">
        <f t="shared" si="13"/>
        <v/>
      </c>
      <c r="BO44" s="200"/>
      <c r="BP44" s="201"/>
      <c r="BQ44" s="168"/>
      <c r="BR44" s="169"/>
      <c r="BS44" s="181"/>
      <c r="BT44" s="182" t="str">
        <f t="shared" si="14"/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127</v>
      </c>
      <c r="D45" s="258"/>
      <c r="E45" s="258"/>
      <c r="F45" s="259"/>
      <c r="G45" s="260"/>
      <c r="H45" s="261"/>
      <c r="I45" s="262"/>
      <c r="J45" s="263">
        <v>1</v>
      </c>
      <c r="K45" s="264" t="s">
        <v>128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2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 t="str">
        <f t="shared" si="13"/>
        <v/>
      </c>
      <c r="BO45" s="200"/>
      <c r="BP45" s="201"/>
      <c r="BQ45" s="168"/>
      <c r="BR45" s="169"/>
      <c r="BS45" s="181"/>
      <c r="BT45" s="182" t="str">
        <f t="shared" si="14"/>
        <v/>
      </c>
      <c r="BU45" s="183"/>
      <c r="BV45" s="173" t="str">
        <f t="shared" si="8"/>
        <v/>
      </c>
      <c r="BW45" s="184"/>
      <c r="BX45" s="251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129</v>
      </c>
      <c r="D46" s="260"/>
      <c r="E46" s="260"/>
      <c r="F46" s="264"/>
      <c r="G46" s="260"/>
      <c r="H46" s="261"/>
      <c r="I46" s="262"/>
      <c r="J46" s="263">
        <v>2</v>
      </c>
      <c r="K46" s="264" t="s">
        <v>130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2"/>
        <v/>
      </c>
      <c r="AV46" s="179" t="str">
        <f t="shared" si="6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8" t="str">
        <f t="shared" si="11"/>
        <v/>
      </c>
      <c r="BE46" s="183"/>
      <c r="BF46" s="173" t="str">
        <f t="shared" si="7"/>
        <v/>
      </c>
      <c r="BG46" s="184"/>
      <c r="BH46" s="251"/>
      <c r="BI46" s="186"/>
      <c r="BJ46" s="187"/>
      <c r="BK46" s="188"/>
      <c r="BL46" s="189"/>
      <c r="BM46" s="4"/>
      <c r="BN46" s="199" t="str">
        <f t="shared" si="13"/>
        <v/>
      </c>
      <c r="BO46" s="200"/>
      <c r="BP46" s="201"/>
      <c r="BQ46" s="168"/>
      <c r="BR46" s="169"/>
      <c r="BS46" s="181"/>
      <c r="BT46" s="182" t="str">
        <f t="shared" si="14"/>
        <v/>
      </c>
      <c r="BU46" s="183"/>
      <c r="BV46" s="173" t="str">
        <f t="shared" si="8"/>
        <v/>
      </c>
      <c r="BW46" s="184"/>
      <c r="BX46" s="251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131</v>
      </c>
      <c r="D47" s="260"/>
      <c r="E47" s="260"/>
      <c r="F47" s="264"/>
      <c r="G47" s="260"/>
      <c r="H47" s="261"/>
      <c r="I47" s="269"/>
      <c r="J47" s="263">
        <v>3</v>
      </c>
      <c r="K47" s="264" t="s">
        <v>132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2"/>
        <v/>
      </c>
      <c r="AV47" s="179" t="str">
        <f t="shared" si="6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8" t="str">
        <f t="shared" si="11"/>
        <v/>
      </c>
      <c r="BE47" s="183"/>
      <c r="BF47" s="173" t="str">
        <f t="shared" si="7"/>
        <v/>
      </c>
      <c r="BG47" s="184"/>
      <c r="BH47" s="251"/>
      <c r="BI47" s="186"/>
      <c r="BJ47" s="187"/>
      <c r="BK47" s="188"/>
      <c r="BL47" s="189"/>
      <c r="BM47" s="4"/>
      <c r="BN47" s="199" t="str">
        <f t="shared" si="13"/>
        <v/>
      </c>
      <c r="BO47" s="200"/>
      <c r="BP47" s="201"/>
      <c r="BQ47" s="168"/>
      <c r="BR47" s="169"/>
      <c r="BS47" s="181"/>
      <c r="BT47" s="268" t="str">
        <f t="shared" si="14"/>
        <v/>
      </c>
      <c r="BU47" s="183"/>
      <c r="BV47" s="173" t="str">
        <f t="shared" si="8"/>
        <v/>
      </c>
      <c r="BW47" s="184"/>
      <c r="BX47" s="251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133</v>
      </c>
      <c r="D48" s="260"/>
      <c r="E48" s="260"/>
      <c r="F48" s="264"/>
      <c r="G48" s="260"/>
      <c r="H48" s="261"/>
      <c r="I48" s="269"/>
      <c r="J48" s="263">
        <v>4</v>
      </c>
      <c r="K48" s="264" t="s">
        <v>134</v>
      </c>
      <c r="L48" s="260"/>
      <c r="M48" s="260"/>
      <c r="N48" s="265"/>
      <c r="O48" s="266"/>
      <c r="P48" s="267"/>
      <c r="Q48" s="4"/>
      <c r="R48" s="270" t="s">
        <v>76</v>
      </c>
      <c r="S48" s="271"/>
      <c r="T48" s="271"/>
      <c r="U48" s="271"/>
      <c r="V48" s="271"/>
      <c r="W48" s="272"/>
      <c r="X48" s="272"/>
      <c r="Y48" s="272"/>
      <c r="Z48" s="272"/>
      <c r="AA48" s="272"/>
      <c r="AB48" s="272"/>
      <c r="AC48" s="273" t="s">
        <v>135</v>
      </c>
      <c r="AD48" s="274"/>
      <c r="AE48" s="275" t="s">
        <v>136</v>
      </c>
      <c r="AF48" s="276">
        <f>SUM(AF22:AF47)</f>
        <v>3.8794029999999999</v>
      </c>
      <c r="AG48" s="4"/>
      <c r="AH48" s="270" t="s">
        <v>76</v>
      </c>
      <c r="AI48" s="271"/>
      <c r="AJ48" s="271"/>
      <c r="AK48" s="271"/>
      <c r="AL48" s="271"/>
      <c r="AM48" s="272"/>
      <c r="AN48" s="272"/>
      <c r="AO48" s="272"/>
      <c r="AP48" s="272"/>
      <c r="AQ48" s="272"/>
      <c r="AR48" s="272"/>
      <c r="AS48" s="273" t="s">
        <v>135</v>
      </c>
      <c r="AT48" s="274"/>
      <c r="AU48" s="275" t="s">
        <v>136</v>
      </c>
      <c r="AV48" s="276">
        <f>SUM(AV22:AV47)</f>
        <v>1.8556299999999999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 t="str">
        <f t="shared" si="13"/>
        <v/>
      </c>
      <c r="BO48" s="200"/>
      <c r="BP48" s="201"/>
      <c r="BQ48" s="168"/>
      <c r="BR48" s="169"/>
      <c r="BS48" s="181"/>
      <c r="BT48" s="268" t="str">
        <f t="shared" si="14"/>
        <v/>
      </c>
      <c r="BU48" s="183"/>
      <c r="BV48" s="173" t="str">
        <f t="shared" si="8"/>
        <v/>
      </c>
      <c r="BW48" s="184"/>
      <c r="BX48" s="251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137</v>
      </c>
      <c r="D49" s="260"/>
      <c r="E49" s="260"/>
      <c r="F49" s="264"/>
      <c r="G49" s="260"/>
      <c r="H49" s="261"/>
      <c r="I49" s="269"/>
      <c r="J49" s="263">
        <v>5</v>
      </c>
      <c r="K49" s="264" t="s">
        <v>138</v>
      </c>
      <c r="L49" s="260"/>
      <c r="M49" s="260"/>
      <c r="N49" s="265"/>
      <c r="O49" s="266"/>
      <c r="P49" s="267"/>
      <c r="Q49" s="4"/>
      <c r="R49" s="277" t="s">
        <v>139</v>
      </c>
      <c r="S49" s="4"/>
      <c r="T49" s="4"/>
      <c r="U49" s="4"/>
      <c r="V49" s="4"/>
      <c r="W49" s="4"/>
      <c r="X49" s="4"/>
      <c r="Y49" s="4"/>
      <c r="AB49" s="4"/>
      <c r="AC49" s="279"/>
      <c r="AD49" s="280" t="s">
        <v>140</v>
      </c>
      <c r="AE49" s="281" t="s">
        <v>141</v>
      </c>
      <c r="AF49" s="282">
        <f>AF48*0.986</f>
        <v>3.8250913579999999</v>
      </c>
      <c r="AG49" s="4"/>
      <c r="AH49" s="277" t="s">
        <v>139</v>
      </c>
      <c r="AI49" s="4"/>
      <c r="AJ49" s="4"/>
      <c r="AK49" s="4"/>
      <c r="AL49" s="4"/>
      <c r="AM49" s="4"/>
      <c r="AN49" s="4"/>
      <c r="AO49" s="4"/>
      <c r="AR49" s="4"/>
      <c r="AS49" s="279"/>
      <c r="AT49" s="280" t="s">
        <v>140</v>
      </c>
      <c r="AU49" s="281" t="s">
        <v>141</v>
      </c>
      <c r="AV49" s="282">
        <f>AV48*0.986</f>
        <v>1.8296511799999999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 t="str">
        <f t="shared" si="13"/>
        <v/>
      </c>
      <c r="BO49" s="200"/>
      <c r="BP49" s="201"/>
      <c r="BQ49" s="168"/>
      <c r="BR49" s="169"/>
      <c r="BS49" s="181"/>
      <c r="BT49" s="182" t="str">
        <f t="shared" si="14"/>
        <v/>
      </c>
      <c r="BU49" s="183"/>
      <c r="BV49" s="173" t="str">
        <f t="shared" si="8"/>
        <v/>
      </c>
      <c r="BW49" s="184"/>
      <c r="BX49" s="251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142</v>
      </c>
      <c r="D50" s="260"/>
      <c r="E50" s="260"/>
      <c r="F50" s="264"/>
      <c r="G50" s="260"/>
      <c r="H50" s="261"/>
      <c r="I50" s="269"/>
      <c r="J50" s="263">
        <v>6</v>
      </c>
      <c r="K50" s="264" t="s">
        <v>143</v>
      </c>
      <c r="L50" s="260"/>
      <c r="M50" s="260"/>
      <c r="N50" s="265"/>
      <c r="O50" s="266"/>
      <c r="P50" s="267"/>
      <c r="Q50" s="4"/>
      <c r="R50" s="283"/>
      <c r="S50" s="4"/>
      <c r="T50" s="4"/>
      <c r="U50" s="4"/>
      <c r="V50" s="4"/>
      <c r="W50" s="4"/>
      <c r="X50" s="4"/>
      <c r="Y50" s="4"/>
      <c r="AB50" s="4"/>
      <c r="AC50" s="279"/>
      <c r="AD50" s="284"/>
      <c r="AE50" s="281" t="s">
        <v>144</v>
      </c>
      <c r="AF50" s="282">
        <f>AF48*0.974*0.986</f>
        <v>3.7256389826919998</v>
      </c>
      <c r="AG50" s="4"/>
      <c r="AH50" s="283"/>
      <c r="AI50" s="4"/>
      <c r="AJ50" s="4"/>
      <c r="AK50" s="4"/>
      <c r="AL50" s="4"/>
      <c r="AM50" s="4"/>
      <c r="AN50" s="4"/>
      <c r="AO50" s="4"/>
      <c r="AR50" s="4"/>
      <c r="AS50" s="279"/>
      <c r="AT50" s="284"/>
      <c r="AU50" s="281" t="s">
        <v>144</v>
      </c>
      <c r="AV50" s="282">
        <f>AV48*0.974*0.986</f>
        <v>1.7820802493199996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3"/>
        <v/>
      </c>
      <c r="BO50" s="200"/>
      <c r="BP50" s="201"/>
      <c r="BQ50" s="168"/>
      <c r="BR50" s="169"/>
      <c r="BS50" s="181"/>
      <c r="BT50" s="182" t="str">
        <f t="shared" si="14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145</v>
      </c>
      <c r="D51" s="260"/>
      <c r="E51" s="260"/>
      <c r="F51" s="264"/>
      <c r="G51" s="260"/>
      <c r="H51" s="261"/>
      <c r="I51" s="269"/>
      <c r="J51" s="263">
        <v>7</v>
      </c>
      <c r="K51" s="264" t="s">
        <v>146</v>
      </c>
      <c r="L51" s="260"/>
      <c r="M51" s="260"/>
      <c r="N51" s="265"/>
      <c r="O51" s="266"/>
      <c r="P51" s="267"/>
      <c r="Q51" s="4"/>
      <c r="R51" s="285" t="s">
        <v>147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6"/>
      <c r="AG51" s="4"/>
      <c r="AH51" s="283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6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3"/>
        <v/>
      </c>
      <c r="BO51" s="200"/>
      <c r="BP51" s="201"/>
      <c r="BQ51" s="168"/>
      <c r="BR51" s="169"/>
      <c r="BS51" s="181"/>
      <c r="BT51" s="182" t="str">
        <f t="shared" si="14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7" t="s">
        <v>148</v>
      </c>
      <c r="C52" s="288"/>
      <c r="D52" s="289"/>
      <c r="E52" s="289"/>
      <c r="F52" s="289"/>
      <c r="G52" s="289"/>
      <c r="H52" s="289"/>
      <c r="I52" s="269"/>
      <c r="J52" s="263">
        <v>8</v>
      </c>
      <c r="K52" s="264" t="s">
        <v>149</v>
      </c>
      <c r="L52" s="260"/>
      <c r="M52" s="260"/>
      <c r="N52" s="265"/>
      <c r="O52" s="266"/>
      <c r="P52" s="267"/>
      <c r="Q52" s="4"/>
      <c r="R52" s="283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6"/>
      <c r="AG52" s="4"/>
      <c r="AH52" s="283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6"/>
      <c r="AW52" s="4"/>
      <c r="AX52" s="199" t="str">
        <f t="shared" si="10"/>
        <v/>
      </c>
      <c r="AY52" s="200"/>
      <c r="AZ52" s="201"/>
      <c r="BA52" s="290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3"/>
        <v/>
      </c>
      <c r="BO52" s="200"/>
      <c r="BP52" s="201"/>
      <c r="BQ52" s="290"/>
      <c r="BR52" s="169"/>
      <c r="BS52" s="181"/>
      <c r="BT52" s="182" t="str">
        <f t="shared" si="14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91" t="s">
        <v>150</v>
      </c>
      <c r="C53" s="269"/>
      <c r="D53" s="269"/>
      <c r="E53" s="269"/>
      <c r="F53" s="269"/>
      <c r="G53" s="269"/>
      <c r="H53" s="269"/>
      <c r="I53" s="269"/>
      <c r="J53" s="292"/>
      <c r="K53" s="293"/>
      <c r="L53" s="293"/>
      <c r="M53" s="293"/>
      <c r="N53" s="294"/>
      <c r="O53" s="295"/>
      <c r="P53" s="296"/>
      <c r="Q53" s="4"/>
      <c r="R53" s="283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6"/>
      <c r="AG53" s="4"/>
      <c r="AH53" s="283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6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3"/>
        <v/>
      </c>
      <c r="BO53" s="200"/>
      <c r="BP53" s="201"/>
      <c r="BQ53" s="168"/>
      <c r="BR53" s="169"/>
      <c r="BS53" s="181"/>
      <c r="BT53" s="182" t="str">
        <f t="shared" si="14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7" t="s">
        <v>151</v>
      </c>
      <c r="C54" s="269"/>
      <c r="D54" s="269"/>
      <c r="E54" s="269"/>
      <c r="F54" s="269"/>
      <c r="G54" s="269"/>
      <c r="H54" s="269"/>
      <c r="I54" s="269"/>
      <c r="J54" s="298"/>
      <c r="K54" s="299"/>
      <c r="L54" s="299"/>
      <c r="M54" s="299"/>
      <c r="N54" s="300"/>
      <c r="O54" s="301"/>
      <c r="P54" s="302"/>
      <c r="Q54" s="4"/>
      <c r="R54" s="283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6"/>
      <c r="AG54" s="4"/>
      <c r="AH54" s="283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6"/>
      <c r="AW54" s="4"/>
      <c r="AX54" s="199" t="str">
        <f t="shared" si="10"/>
        <v/>
      </c>
      <c r="AY54" s="200"/>
      <c r="AZ54" s="201"/>
      <c r="BA54" s="290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3"/>
        <v/>
      </c>
      <c r="BO54" s="200"/>
      <c r="BP54" s="201"/>
      <c r="BQ54" s="290"/>
      <c r="BR54" s="169"/>
      <c r="BS54" s="181"/>
      <c r="BT54" s="182" t="str">
        <f t="shared" si="14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7" t="s">
        <v>152</v>
      </c>
      <c r="C55" s="269"/>
      <c r="D55" s="269"/>
      <c r="E55" s="269"/>
      <c r="F55" s="269"/>
      <c r="G55" s="269"/>
      <c r="H55" s="269"/>
      <c r="I55" s="269"/>
      <c r="J55" s="303" t="s">
        <v>153</v>
      </c>
      <c r="K55" s="295"/>
      <c r="L55" s="289"/>
      <c r="M55" s="289"/>
      <c r="N55" s="304"/>
      <c r="O55" s="260"/>
      <c r="P55" s="305"/>
      <c r="Q55" s="4"/>
      <c r="R55" s="283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6"/>
      <c r="AG55" s="4"/>
      <c r="AH55" s="283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6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3"/>
        <v/>
      </c>
      <c r="BO55" s="200"/>
      <c r="BP55" s="201"/>
      <c r="BQ55" s="168"/>
      <c r="BR55" s="169"/>
      <c r="BS55" s="181"/>
      <c r="BT55" s="182" t="str">
        <f t="shared" si="14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6"/>
      <c r="C56" s="269"/>
      <c r="D56" s="269"/>
      <c r="E56" s="269"/>
      <c r="F56" s="269"/>
      <c r="G56" s="269"/>
      <c r="H56" s="269"/>
      <c r="I56" s="269"/>
      <c r="J56" s="307" t="s">
        <v>154</v>
      </c>
      <c r="K56" s="308"/>
      <c r="L56" s="308"/>
      <c r="M56" s="308"/>
      <c r="N56" s="309"/>
      <c r="O56" s="310" t="s">
        <v>155</v>
      </c>
      <c r="P56" s="311"/>
      <c r="Q56" s="4"/>
      <c r="R56" s="283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6"/>
      <c r="AG56" s="4"/>
      <c r="AH56" s="283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6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3"/>
        <v/>
      </c>
      <c r="BO56" s="200"/>
      <c r="BP56" s="201"/>
      <c r="BQ56" s="168"/>
      <c r="BR56" s="169"/>
      <c r="BS56" s="181"/>
      <c r="BT56" s="182" t="str">
        <f t="shared" si="14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2"/>
      <c r="C57" s="313"/>
      <c r="D57" s="313"/>
      <c r="E57" s="313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314"/>
      <c r="Q57" s="4"/>
      <c r="R57" s="283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6"/>
      <c r="AG57" s="4"/>
      <c r="AH57" s="283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6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3"/>
        <v/>
      </c>
      <c r="BO57" s="200"/>
      <c r="BP57" s="201"/>
      <c r="BQ57" s="168"/>
      <c r="BR57" s="169"/>
      <c r="BS57" s="181"/>
      <c r="BT57" s="182" t="str">
        <f t="shared" si="14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2"/>
      <c r="C58" s="313"/>
      <c r="D58" s="313"/>
      <c r="E58" s="313"/>
      <c r="F58" s="269"/>
      <c r="G58" s="269"/>
      <c r="H58" s="269"/>
      <c r="I58" s="269"/>
      <c r="J58" s="269"/>
      <c r="K58" s="269"/>
      <c r="L58" s="269"/>
      <c r="M58" s="269"/>
      <c r="N58" s="269"/>
      <c r="O58" s="269"/>
      <c r="P58" s="314"/>
      <c r="Q58" s="4"/>
      <c r="R58" s="283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6"/>
      <c r="AG58" s="4"/>
      <c r="AH58" s="283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6"/>
      <c r="AW58" s="4"/>
      <c r="AX58" s="214" t="str">
        <f t="shared" si="10"/>
        <v/>
      </c>
      <c r="AY58" s="200"/>
      <c r="AZ58" s="201"/>
      <c r="BA58" s="290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5"/>
      <c r="BM58" s="4"/>
      <c r="BN58" s="214" t="str">
        <f t="shared" si="13"/>
        <v/>
      </c>
      <c r="BO58" s="200"/>
      <c r="BP58" s="201"/>
      <c r="BQ58" s="290"/>
      <c r="BR58" s="169"/>
      <c r="BS58" s="181"/>
      <c r="BT58" s="182" t="str">
        <f t="shared" si="14"/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5"/>
      <c r="CG58" s="3"/>
    </row>
    <row r="59" spans="2:120" ht="15" customHeight="1" x14ac:dyDescent="0.25">
      <c r="B59" s="312"/>
      <c r="C59" s="313"/>
      <c r="D59" s="313"/>
      <c r="E59" s="313"/>
      <c r="F59" s="313"/>
      <c r="G59" s="313"/>
      <c r="H59" s="313"/>
      <c r="I59" s="269"/>
      <c r="J59" s="269"/>
      <c r="K59" s="269"/>
      <c r="L59" s="316"/>
      <c r="M59" s="316"/>
      <c r="N59" s="316"/>
      <c r="O59" s="316"/>
      <c r="P59" s="314"/>
      <c r="Q59" s="4"/>
      <c r="R59" s="283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6"/>
      <c r="AG59" s="4"/>
      <c r="AH59" s="283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6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5"/>
      <c r="BM59" s="4"/>
      <c r="BN59" s="214" t="str">
        <f t="shared" si="13"/>
        <v/>
      </c>
      <c r="BO59" s="200"/>
      <c r="BP59" s="201"/>
      <c r="BQ59" s="168"/>
      <c r="BR59" s="169"/>
      <c r="BS59" s="181"/>
      <c r="BT59" s="182" t="str">
        <f t="shared" ref="BT59:BT60" si="15">IF(BQ59&gt;"",VLOOKUP(BQ59&amp;$M$10,PART_MASTER,3,FALSE),"")</f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5"/>
    </row>
    <row r="60" spans="2:120" ht="15" customHeight="1" thickBot="1" x14ac:dyDescent="0.3">
      <c r="B60" s="317"/>
      <c r="C60" s="318"/>
      <c r="D60" s="318"/>
      <c r="E60" s="318"/>
      <c r="F60" s="318"/>
      <c r="G60" s="318"/>
      <c r="H60" s="318"/>
      <c r="I60" s="318"/>
      <c r="J60" s="318"/>
      <c r="K60" s="318"/>
      <c r="L60" s="318" t="s">
        <v>156</v>
      </c>
      <c r="M60" s="318"/>
      <c r="N60" s="318"/>
      <c r="O60" s="318"/>
      <c r="P60" s="319"/>
      <c r="Q60" s="4"/>
      <c r="R60" s="320"/>
      <c r="S60" s="321"/>
      <c r="T60" s="321"/>
      <c r="U60" s="321"/>
      <c r="V60" s="321"/>
      <c r="W60" s="321"/>
      <c r="X60" s="321"/>
      <c r="Y60" s="321"/>
      <c r="Z60" s="321"/>
      <c r="AA60" s="321"/>
      <c r="AB60" s="321"/>
      <c r="AC60" s="321"/>
      <c r="AD60" s="321"/>
      <c r="AE60" s="321"/>
      <c r="AF60" s="322"/>
      <c r="AG60" s="4"/>
      <c r="AH60" s="320"/>
      <c r="AI60" s="321"/>
      <c r="AJ60" s="321"/>
      <c r="AK60" s="321"/>
      <c r="AL60" s="321"/>
      <c r="AM60" s="321"/>
      <c r="AN60" s="321"/>
      <c r="AO60" s="321"/>
      <c r="AP60" s="321"/>
      <c r="AQ60" s="321"/>
      <c r="AR60" s="321"/>
      <c r="AS60" s="321"/>
      <c r="AT60" s="321"/>
      <c r="AU60" s="321"/>
      <c r="AV60" s="322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5"/>
      <c r="BM60" s="4"/>
      <c r="BN60" s="214" t="str">
        <f t="shared" si="13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5"/>
      <c r="CG60" s="3"/>
    </row>
    <row r="61" spans="2:120" ht="15" customHeight="1" x14ac:dyDescent="0.3">
      <c r="P61" s="323" t="s">
        <v>157</v>
      </c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3" t="s">
        <v>157</v>
      </c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3" t="s">
        <v>157</v>
      </c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3" t="s">
        <v>157</v>
      </c>
      <c r="BN61" s="324"/>
      <c r="BO61" s="324"/>
      <c r="BP61" s="324"/>
      <c r="BQ61" s="324"/>
      <c r="BR61" s="324"/>
      <c r="BS61" s="324"/>
      <c r="BT61" s="324"/>
      <c r="BU61" s="324"/>
      <c r="BV61" s="324"/>
      <c r="BW61" s="324"/>
      <c r="BX61" s="324"/>
      <c r="BY61" s="324"/>
      <c r="BZ61" s="324"/>
      <c r="CA61" s="324"/>
      <c r="CB61" s="323" t="s">
        <v>157</v>
      </c>
    </row>
    <row r="62" spans="2:120" x14ac:dyDescent="0.25">
      <c r="BT62" s="278" t="s">
        <v>158</v>
      </c>
    </row>
    <row r="63" spans="2:120" x14ac:dyDescent="0.25">
      <c r="BT63" s="325"/>
    </row>
    <row r="64" spans="2:120" x14ac:dyDescent="0.25">
      <c r="BT64" s="325" t="s">
        <v>158</v>
      </c>
    </row>
    <row r="65" spans="72:72" x14ac:dyDescent="0.25">
      <c r="BT65" s="325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DOOR-EL NA</vt:lpstr>
      <vt:lpstr>'DOOR-EL NA'!A.</vt:lpstr>
      <vt:lpstr>'DOOR-EL NA'!C.</vt:lpstr>
      <vt:lpstr>'DOOR-EL NA'!F.</vt:lpstr>
      <vt:lpstr>'DOOR-EL NA'!GCS</vt:lpstr>
      <vt:lpstr>'DOOR-EL NA'!GTH</vt:lpstr>
      <vt:lpstr>'DOOR-EL NA'!H</vt:lpstr>
      <vt:lpstr>'DOOR-EL NA'!h.1</vt:lpstr>
      <vt:lpstr>'DOOR-EL NA'!h.10</vt:lpstr>
      <vt:lpstr>'DOOR-EL NA'!h.2</vt:lpstr>
      <vt:lpstr>'DOOR-EL NA'!h.3</vt:lpstr>
      <vt:lpstr>'DOOR-EL NA'!h.4</vt:lpstr>
      <vt:lpstr>'DOOR-EL NA'!h.5</vt:lpstr>
      <vt:lpstr>'DOOR-EL NA'!h.6</vt:lpstr>
      <vt:lpstr>'DOOR-EL NA'!h.7</vt:lpstr>
      <vt:lpstr>'DOOR-EL NA'!h.8</vt:lpstr>
      <vt:lpstr>'DOOR-EL NA'!h.9</vt:lpstr>
      <vt:lpstr>'DOOR-EL NA'!HS</vt:lpstr>
      <vt:lpstr>'DOOR-EL NA'!HS.1</vt:lpstr>
      <vt:lpstr>'DOOR-EL NA'!HS.2</vt:lpstr>
      <vt:lpstr>'DOOR-EL NA'!HS.3</vt:lpstr>
      <vt:lpstr>'DOOR-EL NA'!HS.4</vt:lpstr>
      <vt:lpstr>'DOOR-EL NA'!HS.5</vt:lpstr>
      <vt:lpstr>'DOOR-EL NA'!Print_Area</vt:lpstr>
      <vt:lpstr>'DOOR-EL NA'!Q</vt:lpstr>
      <vt:lpstr>'DOOR-EL NA'!R.</vt:lpstr>
      <vt:lpstr>'DOOR-EL NA'!W</vt:lpstr>
      <vt:lpstr>'DOOR-EL NA'!w.1</vt:lpstr>
      <vt:lpstr>'DOOR-EL NA'!w.10</vt:lpstr>
      <vt:lpstr>'DOOR-EL NA'!w.2</vt:lpstr>
      <vt:lpstr>'DOOR-EL NA'!w.3</vt:lpstr>
      <vt:lpstr>'DOOR-EL NA'!w.4</vt:lpstr>
      <vt:lpstr>'DOOR-EL NA'!w.5</vt:lpstr>
      <vt:lpstr>'DOOR-EL NA'!w.6</vt:lpstr>
      <vt:lpstr>'DOOR-EL NA'!w.7</vt:lpstr>
      <vt:lpstr>'DOOR-EL NA'!w.8</vt:lpstr>
      <vt:lpstr>'DOOR-EL NA'!w.9</vt:lpstr>
      <vt:lpstr>'DOOR-EL NA'!WS</vt:lpstr>
      <vt:lpstr>'DOOR-EL NA'!WS.1</vt:lpstr>
      <vt:lpstr>'DOOR-EL NA'!WS.2</vt:lpstr>
      <vt:lpstr>'DOOR-EL NA'!WS.3</vt:lpstr>
      <vt:lpstr>'DOOR-EL NA'!WS.4</vt:lpstr>
      <vt:lpstr>'DOOR-EL NA'!WS.5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2024-07-30T07:44:08Z</dcterms:created>
  <dcterms:modified xsi:type="dcterms:W3CDTF">2024-08-21T06:08:23Z</dcterms:modified>
</cp:coreProperties>
</file>