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B512D896-6E4E-4C6E-87ED-DCE6DA8CEA07}" xr6:coauthVersionLast="47" xr6:coauthVersionMax="47" xr10:uidLastSave="{00000000-0000-0000-0000-000000000000}"/>
  <bookViews>
    <workbookView xWindow="-108" yWindow="-108" windowWidth="23256" windowHeight="12456" xr2:uid="{0145C0EC-DD54-4AEE-8FFC-94A1F06B9A5F}"/>
  </bookViews>
  <sheets>
    <sheet name="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'DB-DOOR-EL'!$P$18</definedName>
    <definedName name="BD">"BD"</definedName>
    <definedName name="C." localSheetId="0">'DB-DOOR-EL'!$P$17</definedName>
    <definedName name="F." localSheetId="0">'DB-DOOR-EL'!$P$16</definedName>
    <definedName name="GCS" localSheetId="0">'DB-DOOR-EL'!$O$12</definedName>
    <definedName name="GTH" localSheetId="0">'DB-DOOR-EL'!$O$11</definedName>
    <definedName name="H" localSheetId="0">'DB-DOOR-EL'!$E$12</definedName>
    <definedName name="h.1" localSheetId="0">'DB-DOOR-EL'!$C$14</definedName>
    <definedName name="h.10" localSheetId="0">'DB-DOOR-EL'!$E$18</definedName>
    <definedName name="h.2" localSheetId="0">'DB-DOOR-EL'!$C$15</definedName>
    <definedName name="h.3" localSheetId="0">'DB-DOOR-EL'!$C$16</definedName>
    <definedName name="h.4" localSheetId="0">'DB-DOOR-EL'!$C$17</definedName>
    <definedName name="h.5" localSheetId="0">'DB-DOOR-EL'!$C$18</definedName>
    <definedName name="h.6" localSheetId="0">'DB-DOOR-EL'!$E$14</definedName>
    <definedName name="h.7" localSheetId="0">'DB-DOOR-EL'!$E$15</definedName>
    <definedName name="h.8" localSheetId="0">'DB-DOOR-EL'!$E$16</definedName>
    <definedName name="h.9" localSheetId="0">'DB-DOOR-EL'!$E$17</definedName>
    <definedName name="HS" localSheetId="0">'DB-DOOR-EL'!$H$12</definedName>
    <definedName name="HS.1" localSheetId="0">'DB-DOOR-EL'!$L$14</definedName>
    <definedName name="HS.2" localSheetId="0">'DB-DOOR-EL'!$L$15</definedName>
    <definedName name="HS.3" localSheetId="0">'DB-DOOR-EL'!$L$16</definedName>
    <definedName name="HS.4" localSheetId="0">'DB-DOOR-EL'!$L$17</definedName>
    <definedName name="HS.5" localSheetId="0">'DB-DOOR-EL'!$L$18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'DB-DOOR-EL'!$1:$61</definedName>
    <definedName name="Q" localSheetId="0">'DB-DOOR-EL'!$I$11</definedName>
    <definedName name="R." localSheetId="0">'DB-DOOR-EL'!$C$62</definedName>
    <definedName name="st" hidden="1">[6]Gra_Ord_In_2000!$BA$12:$BA$1655</definedName>
    <definedName name="W" localSheetId="0">'DB-DOOR-EL'!$E$11</definedName>
    <definedName name="w.1" localSheetId="0">'DB-DOOR-EL'!$H$14</definedName>
    <definedName name="w.10" localSheetId="0">'DB-DOOR-EL'!$J$18</definedName>
    <definedName name="w.2" localSheetId="0">'DB-DOOR-EL'!$H$15</definedName>
    <definedName name="w.3" localSheetId="0">'DB-DOOR-EL'!$H$16</definedName>
    <definedName name="w.4" localSheetId="0">'DB-DOOR-EL'!$H$17</definedName>
    <definedName name="w.5" localSheetId="0">'DB-DOOR-EL'!$H$18</definedName>
    <definedName name="w.6" localSheetId="0">'DB-DOOR-EL'!$J$14</definedName>
    <definedName name="w.7" localSheetId="0">'DB-DOOR-EL'!$J$15</definedName>
    <definedName name="w.8" localSheetId="0">'DB-DOOR-EL'!$J$16</definedName>
    <definedName name="w.9" localSheetId="0">'DB-DOOR-EL'!$J$17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'DB-DOOR-EL'!$L$12</definedName>
    <definedName name="WS.1" localSheetId="0">'DB-DOOR-EL'!$N$14</definedName>
    <definedName name="WS.2" localSheetId="0">'DB-DOOR-EL'!$N$15</definedName>
    <definedName name="WS.3" localSheetId="0">'DB-DOOR-EL'!$N$16</definedName>
    <definedName name="WS.4" localSheetId="0">'DB-DOOR-EL'!$N$17</definedName>
    <definedName name="WS.5" localSheetId="0">'DB-DOOR-EL'!$N$18</definedName>
    <definedName name="Z_8BD11290_77B3_4D27_9040_BB9D2A7264B2_.wvu.PrintArea" localSheetId="0" hidden="1">'DB-DOOR-EL'!$1:$61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9" i="1" l="1"/>
  <c r="BV60" i="1"/>
  <c r="BT60" i="1"/>
  <c r="BN60" i="1"/>
  <c r="BU27" i="1"/>
  <c r="BV27" i="1" s="1"/>
  <c r="BU34" i="1"/>
  <c r="BV34" i="1" s="1"/>
  <c r="BQ33" i="1"/>
  <c r="BU24" i="1"/>
  <c r="BE27" i="1"/>
  <c r="BF27" i="1" s="1"/>
  <c r="AU35" i="1"/>
  <c r="AV35" i="1" s="1"/>
  <c r="AP35" i="1"/>
  <c r="AN35" i="1"/>
  <c r="AL35" i="1"/>
  <c r="AU34" i="1"/>
  <c r="AV34" i="1" s="1"/>
  <c r="AP34" i="1"/>
  <c r="AN34" i="1"/>
  <c r="AL34" i="1"/>
  <c r="AU33" i="1"/>
  <c r="AV33" i="1" s="1"/>
  <c r="AP33" i="1"/>
  <c r="AN33" i="1"/>
  <c r="AL33" i="1"/>
  <c r="AV32" i="1"/>
  <c r="AU32" i="1"/>
  <c r="AP32" i="1"/>
  <c r="AL32" i="1"/>
  <c r="AU31" i="1"/>
  <c r="AP31" i="1"/>
  <c r="AN31" i="1"/>
  <c r="AV31" i="1" s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P27" i="1"/>
  <c r="AV27" i="1" s="1"/>
  <c r="AN27" i="1"/>
  <c r="AL27" i="1"/>
  <c r="AU26" i="1"/>
  <c r="AV26" i="1" s="1"/>
  <c r="AP26" i="1"/>
  <c r="AN26" i="1"/>
  <c r="AL26" i="1"/>
  <c r="AV25" i="1"/>
  <c r="AU25" i="1"/>
  <c r="AP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AL44" i="1"/>
  <c r="AP44" i="1"/>
  <c r="AU44" i="1"/>
  <c r="AV44" i="1"/>
  <c r="AL45" i="1"/>
  <c r="AP45" i="1"/>
  <c r="AU45" i="1"/>
  <c r="AV45" i="1"/>
  <c r="AL46" i="1"/>
  <c r="AP46" i="1"/>
  <c r="AU46" i="1"/>
  <c r="AV46" i="1"/>
  <c r="AL47" i="1"/>
  <c r="AP47" i="1"/>
  <c r="AU47" i="1"/>
  <c r="AV47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F47" i="1"/>
  <c r="AE47" i="1"/>
  <c r="Z47" i="1"/>
  <c r="V47" i="1"/>
  <c r="BF46" i="1"/>
  <c r="BD46" i="1"/>
  <c r="AX46" i="1"/>
  <c r="AF46" i="1"/>
  <c r="AE46" i="1"/>
  <c r="Z46" i="1"/>
  <c r="V46" i="1"/>
  <c r="BF45" i="1"/>
  <c r="BD45" i="1"/>
  <c r="AX45" i="1"/>
  <c r="AF45" i="1"/>
  <c r="AE45" i="1"/>
  <c r="Z45" i="1"/>
  <c r="V45" i="1"/>
  <c r="BV44" i="1"/>
  <c r="BT44" i="1"/>
  <c r="BN44" i="1"/>
  <c r="BF44" i="1"/>
  <c r="BD44" i="1"/>
  <c r="AX44" i="1"/>
  <c r="AF44" i="1"/>
  <c r="AE44" i="1"/>
  <c r="Z44" i="1"/>
  <c r="V44" i="1"/>
  <c r="BF43" i="1"/>
  <c r="BD43" i="1"/>
  <c r="AX43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AF34" i="1"/>
  <c r="AE34" i="1"/>
  <c r="Z34" i="1"/>
  <c r="V34" i="1"/>
  <c r="BV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Z14" i="1"/>
  <c r="X14" i="1"/>
  <c r="U14" i="1"/>
  <c r="S14" i="1"/>
  <c r="N14" i="1"/>
  <c r="BV24" i="1" s="1"/>
  <c r="L14" i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AK3" i="1"/>
  <c r="E3" i="1"/>
  <c r="BA3" i="1" s="1"/>
  <c r="AF2" i="1"/>
  <c r="AV2" i="1" s="1"/>
  <c r="BL2" i="1" s="1"/>
  <c r="CB2" i="1" s="1"/>
  <c r="AF48" i="1" l="1"/>
  <c r="BH14" i="1"/>
  <c r="BK4" i="1"/>
  <c r="BG9" i="1"/>
  <c r="AR14" i="1"/>
  <c r="AD12" i="1"/>
  <c r="BV29" i="1"/>
  <c r="BV30" i="1"/>
  <c r="BJ12" i="1"/>
  <c r="AE4" i="1"/>
  <c r="AA9" i="1"/>
  <c r="AB14" i="1"/>
  <c r="BV31" i="1"/>
  <c r="U3" i="1"/>
  <c r="CA4" i="1"/>
  <c r="BW9" i="1"/>
  <c r="AT11" i="1"/>
  <c r="AD14" i="1"/>
  <c r="BV37" i="1"/>
  <c r="BX14" i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DDEFEFF9-D2B3-44C5-886A-65283C51C79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29CF4EE-4523-4A70-999F-51A5702D2B3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10E1525-65A3-4836-B7E9-067DDB416C3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<sst xmlns="http://schemas.openxmlformats.org/spreadsheetml/2006/main" count="538" uniqueCount="197">
  <si>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</si>
  <si>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</si>
  <si>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</si>
  <si>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</si>
  <si>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</si>
  <si>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</si>
  <si>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</si>
  <si>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</si>
  <si>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</si>
  <si>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</si>
  <si>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</si>
  <si>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</si>
  <si>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</si>
  <si>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</si>
  <si>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</si>
  <si>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DB-DOOR-EL NA</t>
  </si>
  <si>
    <t>Delivery Date</t>
  </si>
  <si>
    <t>Elevation Code</t>
  </si>
  <si>
    <t>53DPL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</si>
  <si>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</si>
  <si>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</si>
  <si>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</si>
  <si>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W8D-21004</t>
  </si>
  <si>
    <t>Unit Code</t>
  </si>
  <si>
    <r>
      <t xml:space="preserve">H </t>
    </r>
    <r>
      <rPr>
        <sz val="10"/>
        <rFont val="Arial"/>
        <family val="2"/>
      </rPr>
      <t>item</t>
    </r>
  </si>
  <si>
    <t>W8D-20014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</si>
  <si>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</si>
  <si>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</si>
  <si>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</si>
  <si>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</si>
  <si>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</si>
  <si>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</si>
  <si>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</si>
  <si>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</si>
  <si>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</si>
  <si>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</si>
  <si>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</si>
  <si>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</si>
  <si>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</si>
  <si>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</si>
  <si>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</si>
  <si>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</si>
  <si>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</si>
  <si>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</si>
  <si>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</si>
  <si>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</si>
  <si>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</si>
  <si>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</si>
  <si>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</si>
  <si>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</si>
  <si>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</si>
  <si>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</si>
  <si>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</si>
  <si>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</si>
  <si>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</si>
  <si>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</si>
  <si>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</si>
  <si>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</si>
  <si>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</si>
  <si>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</si>
  <si>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</si>
  <si>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</si>
  <si>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</si>
  <si>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</si>
  <si>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</si>
  <si>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</si>
  <si>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</si>
  <si>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</si>
  <si>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</si>
  <si>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</si>
  <si>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</si>
  <si>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</si>
  <si>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</si>
  <si>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</si>
  <si>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</si>
  <si>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</si>
  <si>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</si>
  <si>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</si>
  <si>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</si>
  <si>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</si>
  <si>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</si>
  <si>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</si>
  <si>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</si>
  <si>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</si>
  <si>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</si>
  <si>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</si>
  <si>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</si>
  <si>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</si>
  <si>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MS-4010</t>
  </si>
  <si>
    <t>JAMB(R)</t>
  </si>
  <si>
    <t>9K-13470</t>
  </si>
  <si>
    <t>9K-20889</t>
  </si>
  <si>
    <t>9K-87023</t>
  </si>
  <si>
    <t>EF-4010D7</t>
  </si>
  <si>
    <t>9K-30298</t>
  </si>
  <si>
    <t>9K-87024</t>
  </si>
  <si>
    <t>9K-20879</t>
  </si>
  <si>
    <t>FOR JAMB</t>
  </si>
  <si>
    <t>WR-3120</t>
  </si>
  <si>
    <t>2K-22464</t>
  </si>
  <si>
    <t>M</t>
  </si>
  <si>
    <t>9K-87025</t>
  </si>
  <si>
    <t>4K-13677</t>
  </si>
  <si>
    <t>WF-3120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</si>
  <si>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</si>
  <si>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</si>
  <si>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</si>
  <si>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</si>
  <si>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</si>
  <si>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</si>
  <si>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</si>
  <si>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</si>
  <si>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</si>
  <si>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</si>
  <si>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</si>
  <si>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</si>
  <si>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</si>
  <si>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</si>
  <si>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</si>
  <si>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</si>
  <si>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</si>
  <si>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</si>
  <si>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</si>
  <si>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</si>
  <si>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</si>
  <si>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</si>
  <si>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</si>
  <si>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</si>
  <si>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</si>
  <si>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</si>
  <si>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</si>
  <si>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</si>
  <si>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</si>
  <si>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</si>
  <si>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</si>
  <si>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</si>
  <si>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</si>
  <si>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</si>
  <si>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</si>
  <si>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</si>
  <si>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</si>
  <si>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</si>
  <si>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</si>
  <si>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</si>
  <si>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</si>
  <si>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</si>
  <si>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</si>
  <si>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</si>
  <si>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</si>
  <si>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</si>
  <si>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</si>
  <si>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</si>
  <si>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</si>
  <si>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</si>
  <si>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</si>
  <si>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MEETING ATTACHMENT (R)</t>
  </si>
  <si>
    <t>STRIPS (L)</t>
  </si>
  <si>
    <t>STRIP (L)</t>
  </si>
  <si>
    <t>BOTTOM ATTACHMENT (L)</t>
  </si>
  <si>
    <t>TOP ATTACHMENT (L)</t>
  </si>
  <si>
    <t>MEETING ATTACHMENT (L)</t>
  </si>
  <si>
    <t>LEFT ATTACHMENT (L)</t>
  </si>
  <si>
    <t>STRIP (R)</t>
  </si>
  <si>
    <t>BOTTOM ATTACHMENT (R)</t>
  </si>
  <si>
    <t>TOP ATTACHMENT (R)</t>
  </si>
  <si>
    <t>RIGHT ATTACHMENT (R)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</si>
  <si>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</si>
  <si>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</si>
  <si>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</si>
  <si>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</si>
  <si>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</si>
  <si>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</si>
  <si>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</si>
  <si>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</si>
  <si>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</si>
  <si>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</si>
  <si>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</si>
  <si>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</si>
  <si>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</si>
  <si>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</si>
  <si>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</si>
  <si>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</si>
  <si>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</si>
  <si>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</si>
  <si>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</si>
  <si>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</si>
  <si>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</si>
  <si>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9K-40024</t>
  </si>
  <si>
    <t>9K-40028</t>
  </si>
  <si>
    <t>4K-14311 L=249</t>
  </si>
  <si>
    <t>DG</t>
  </si>
  <si>
    <t>FOR LOCKSET SIDE (R)</t>
  </si>
  <si>
    <t>FOR FLUSHBOLT SIDE (L)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</si>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</sst>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F4C371D7-45D1-46E6-90A7-864B48A80508}"/>
    <cellStyle name="Normal" xfId="0" builtinId="0"/>
    <cellStyle name="Normal 10" xfId="2" xr:uid="{65414F40-9982-4682-A5F8-E21A46E89313}"/>
    <cellStyle name="Normal 2" xfId="1" xr:uid="{F2786471-5CAB-4B9F-B1B8-C36AE9BC99C9}"/>
    <cellStyle name="Normal 5" xfId="4" xr:uid="{B15B2253-200C-46B0-8646-E1D8CFD00912}"/>
    <cellStyle name="Normal_COBA 2" xfId="5" xr:uid="{9D4BE20D-B8FE-4ADF-B6B5-07D3BD2D3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DDD82A1-D867-4407-92D8-261309D78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AB4757EC-EA45-4E0E-9DE8-505B2C040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FCC13D6-788F-4567-AD39-C8F55E7B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1D97A46-9F60-4594-ADBB-60A28C9A3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8088366-8B72-480D-8D9A-4F476F363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50A5765-E2E7-430E-BE25-722178CC7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DF73E98-0580-493A-9E92-1295F7810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415800</xdr:colOff>
      <xdr:row>37</xdr:row>
      <xdr:rowOff>170497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BE0D315-24E0-49B9-AAE7-49D01E301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955040" cy="30203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A4B9-1CA4-4E70-BDD9-9EAB9E9D031A}">
  <sheetPr>
    <tabColor indexed="14"/>
    <pageSetUpPr fitToPage="1"/>
  </sheetPr>
  <dimension ref="B1:DP61"/>
  <sheetViews>
    <sheetView showGridLines="0" tabSelected="1" topLeftCell="A7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45526.497038657406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45526.497038657406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45526.497038657406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45526.497038657406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45526.497038657406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DB-DOOR-EL NA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DB-DOOR-EL NA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DB-DOOR-EL NA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DB-DOOR-EL NA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4">
        <f>W</f>
        <v>1934</v>
      </c>
      <c r="L9" s="32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</v>
      </c>
      <c r="V9" s="37"/>
      <c r="W9" s="56"/>
      <c r="X9" s="63"/>
      <c r="Y9" s="63"/>
      <c r="Z9" s="64" t="s">
        <v>21</v>
      </c>
      <c r="AA9" s="324">
        <f>$K$9</f>
        <v>1934</v>
      </c>
      <c r="AB9" s="326"/>
      <c r="AC9" s="66"/>
      <c r="AD9" s="62"/>
      <c r="AE9" s="60" t="str">
        <f>IF($O$9&gt;0,$O$9,"")</f>
        <v>W8D-21004</v>
      </c>
      <c r="AF9" s="61"/>
      <c r="AG9" s="3"/>
      <c r="AH9" s="54" t="s">
        <v>20</v>
      </c>
      <c r="AI9" s="37"/>
      <c r="AJ9" s="38"/>
      <c r="AK9" s="55" t="str">
        <f>IF($E$9&gt;0,$E$9,"")</f>
        <v>53DPL</v>
      </c>
      <c r="AL9" s="37"/>
      <c r="AM9" s="56"/>
      <c r="AN9" s="63"/>
      <c r="AO9" s="63"/>
      <c r="AP9" s="64" t="s">
        <v>21</v>
      </c>
      <c r="AQ9" s="324">
        <f>$K$9</f>
        <v>1934</v>
      </c>
      <c r="AR9" s="326"/>
      <c r="AS9" s="66"/>
      <c r="AT9" s="62"/>
      <c r="AU9" s="60" t="str">
        <f>IF($O$9&gt;0,$O$9,"")</f>
        <v>W8D-21004</v>
      </c>
      <c r="AV9" s="61"/>
      <c r="AW9" s="3"/>
      <c r="AX9" s="54" t="s">
        <v>20</v>
      </c>
      <c r="AY9" s="37"/>
      <c r="AZ9" s="38"/>
      <c r="BA9" s="55" t="str">
        <f>IF(E9&gt;0,E9,"")</f>
        <v>53DPL</v>
      </c>
      <c r="BB9" s="37"/>
      <c r="BC9" s="56"/>
      <c r="BD9" s="63"/>
      <c r="BE9" s="63"/>
      <c r="BF9" s="64" t="s">
        <v>21</v>
      </c>
      <c r="BG9" s="324">
        <f>$K$9</f>
        <v>1934</v>
      </c>
      <c r="BH9" s="326"/>
      <c r="BI9" s="66"/>
      <c r="BJ9" s="62"/>
      <c r="BK9" s="60" t="str">
        <f>IF($O$9&gt;0,$O$9,"")</f>
        <v>W8D-21004</v>
      </c>
      <c r="BL9" s="61"/>
      <c r="BM9" s="3"/>
      <c r="BN9" s="54" t="s">
        <v>20</v>
      </c>
      <c r="BO9" s="37"/>
      <c r="BP9" s="38"/>
      <c r="BQ9" s="55" t="str">
        <f>IF(U9&gt;0,U9,"")</f>
        <v>53DPL</v>
      </c>
      <c r="BR9" s="37"/>
      <c r="BS9" s="56"/>
      <c r="BT9" s="63"/>
      <c r="BU9" s="63"/>
      <c r="BV9" s="64" t="s">
        <v>21</v>
      </c>
      <c r="BW9" s="324">
        <f>$K$9</f>
        <v>1934</v>
      </c>
      <c r="BX9" s="326"/>
      <c r="BY9" s="66"/>
      <c r="BZ9" s="62"/>
      <c r="CA9" s="60" t="str">
        <f>IF($O$9&gt;0,$O$9,"")</f>
        <v>W8D-21004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4">
        <f>H</f>
        <v>2800</v>
      </c>
      <c r="L10" s="325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4">
        <f>$K$10</f>
        <v>2800</v>
      </c>
      <c r="AB10" s="326"/>
      <c r="AC10" s="66"/>
      <c r="AD10" s="62"/>
      <c r="AE10" s="60" t="str">
        <f>IF($O$10&gt;0,$O$10,"")</f>
        <v>W8D-20014</v>
      </c>
      <c r="AF10" s="61"/>
      <c r="AG10" s="3"/>
      <c r="AH10" s="54" t="s">
        <v>23</v>
      </c>
      <c r="AI10" s="37"/>
      <c r="AJ10" s="38"/>
      <c r="AK10" s="55" t="str">
        <f>IF($BQ$43="9K-11383","53DPL-I/HB","53DPL-I/NB")</f>
        <v>53DPL-I/NB</v>
      </c>
      <c r="AL10" s="37"/>
      <c r="AM10" s="56"/>
      <c r="AN10" s="63"/>
      <c r="AO10" s="63"/>
      <c r="AP10" s="67" t="s">
        <v>24</v>
      </c>
      <c r="AQ10" s="324">
        <f>$K$10</f>
        <v>2800</v>
      </c>
      <c r="AR10" s="326"/>
      <c r="AS10" s="66"/>
      <c r="AT10" s="62"/>
      <c r="AU10" s="60" t="str">
        <f>IF($O$10&gt;0,$O$10,"")</f>
        <v>W8D-20014</v>
      </c>
      <c r="AV10" s="61"/>
      <c r="AW10" s="3"/>
      <c r="AX10" s="54" t="s">
        <v>23</v>
      </c>
      <c r="AY10" s="37"/>
      <c r="AZ10" s="38"/>
      <c r="BA10" s="55" t="str">
        <f>IF($U$10&gt;0,$U$10,"")</f>
        <v>53DPL</v>
      </c>
      <c r="BB10" s="37"/>
      <c r="BC10" s="56"/>
      <c r="BD10" s="63"/>
      <c r="BE10" s="63"/>
      <c r="BF10" s="67" t="s">
        <v>24</v>
      </c>
      <c r="BG10" s="324">
        <f>$K$10</f>
        <v>2800</v>
      </c>
      <c r="BH10" s="326"/>
      <c r="BI10" s="66"/>
      <c r="BJ10" s="62"/>
      <c r="BK10" s="60" t="str">
        <f>IF($O$10&gt;0,$O$10,"")</f>
        <v>W8D-20014</v>
      </c>
      <c r="BL10" s="61"/>
      <c r="BM10" s="3"/>
      <c r="BN10" s="54" t="s">
        <v>23</v>
      </c>
      <c r="BO10" s="37"/>
      <c r="BP10" s="38"/>
      <c r="BQ10" s="55" t="str">
        <f>IF($AK$10&gt;0,$AK$10,"")</f>
        <v>53DPL-I/NB</v>
      </c>
      <c r="BR10" s="37"/>
      <c r="BS10" s="56"/>
      <c r="BT10" s="63"/>
      <c r="BU10" s="63"/>
      <c r="BV10" s="67" t="s">
        <v>24</v>
      </c>
      <c r="BW10" s="324">
        <f>$K$10</f>
        <v>2800</v>
      </c>
      <c r="BX10" s="326"/>
      <c r="BY10" s="66"/>
      <c r="BZ10" s="62"/>
      <c r="CA10" s="60" t="str">
        <f>IF($O$10&gt;0,$O$10,"")</f>
        <v>W8D-20014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27" t="s">
        <v>27</v>
      </c>
      <c r="I11" s="327">
        <v>1</v>
      </c>
      <c r="J11" s="327" t="s">
        <v>28</v>
      </c>
      <c r="K11" s="329" t="s">
        <v>29</v>
      </c>
      <c r="L11" s="330"/>
      <c r="M11" s="333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27" t="s">
        <v>27</v>
      </c>
      <c r="Y11" s="327">
        <f>IF($I$11&gt;0,$I$11,"")</f>
        <v>1</v>
      </c>
      <c r="Z11" s="327" t="s">
        <v>28</v>
      </c>
      <c r="AA11" s="329" t="str">
        <f>IF($K$11&gt;0,$K$11,"")</f>
        <v>TT01</v>
      </c>
      <c r="AB11" s="330"/>
      <c r="AC11" s="333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27" t="s">
        <v>27</v>
      </c>
      <c r="AO11" s="327">
        <f>IF($I$11&gt;0,$I$11,"")</f>
        <v>1</v>
      </c>
      <c r="AP11" s="327" t="s">
        <v>28</v>
      </c>
      <c r="AQ11" s="329" t="str">
        <f>IF($K$11&gt;0,$K$11,"")</f>
        <v>TT01</v>
      </c>
      <c r="AR11" s="330"/>
      <c r="AS11" s="333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27" t="s">
        <v>27</v>
      </c>
      <c r="BE11" s="327">
        <f>IF($I$11&gt;0,$I$11,"")</f>
        <v>1</v>
      </c>
      <c r="BF11" s="327" t="s">
        <v>28</v>
      </c>
      <c r="BG11" s="329" t="str">
        <f>IF($K$11&gt;0,$K$11,"")</f>
        <v>TT01</v>
      </c>
      <c r="BH11" s="330"/>
      <c r="BI11" s="333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27" t="s">
        <v>27</v>
      </c>
      <c r="BU11" s="327">
        <f>IF($I$11&gt;0,$I$11,"")</f>
        <v>1</v>
      </c>
      <c r="BV11" s="327" t="s">
        <v>28</v>
      </c>
      <c r="BW11" s="329" t="str">
        <f>IF($K$11&gt;0,$K$11,"")</f>
        <v>TT01</v>
      </c>
      <c r="BX11" s="330"/>
      <c r="BY11" s="333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28"/>
      <c r="I12" s="328"/>
      <c r="J12" s="328"/>
      <c r="K12" s="331"/>
      <c r="L12" s="332"/>
      <c r="M12" s="334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28"/>
      <c r="Y12" s="328"/>
      <c r="Z12" s="328"/>
      <c r="AA12" s="331"/>
      <c r="AB12" s="332"/>
      <c r="AC12" s="334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28"/>
      <c r="AO12" s="328"/>
      <c r="AP12" s="328"/>
      <c r="AQ12" s="331"/>
      <c r="AR12" s="332"/>
      <c r="AS12" s="334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28"/>
      <c r="BE12" s="328"/>
      <c r="BF12" s="328"/>
      <c r="BG12" s="331"/>
      <c r="BH12" s="332"/>
      <c r="BI12" s="334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28"/>
      <c r="BU12" s="328"/>
      <c r="BV12" s="328"/>
      <c r="BW12" s="331"/>
      <c r="BX12" s="332"/>
      <c r="BY12" s="334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153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153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3" t="s">
        <v>74</v>
      </c>
      <c r="BB20" s="153"/>
      <c r="BC20" s="156" t="s">
        <v>154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3" t="s">
        <v>74</v>
      </c>
      <c r="BR20" s="153"/>
      <c r="BS20" s="156" t="s">
        <v>154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3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199" t="s">
        <v>155</v>
      </c>
      <c r="AI22" s="200"/>
      <c r="AJ22" s="204" t="s">
        <v>82</v>
      </c>
      <c r="AK22" s="168" t="s">
        <v>101</v>
      </c>
      <c r="AL22" s="169" t="str">
        <f t="shared" ref="AL22:AL35" si="3">IF(AK22&gt;"","-","")</f>
        <v>-</v>
      </c>
      <c r="AM22" s="170">
        <v>4</v>
      </c>
      <c r="AN22" s="171">
        <f>HS.1</f>
        <v>2765</v>
      </c>
      <c r="AO22" s="172">
        <v>1</v>
      </c>
      <c r="AP22" s="173">
        <f t="shared" ref="AP22:AP35" si="4">IF(AO22&lt;0.1,"",Q*AO22)</f>
        <v>1</v>
      </c>
      <c r="AQ22" s="220"/>
      <c r="AR22" s="175"/>
      <c r="AS22" s="176"/>
      <c r="AT22" s="177"/>
      <c r="AU22" s="178">
        <f t="shared" ref="AU22:AU35" si="5">IF(AK22&gt;"",VLOOKUP(AK22,MATERIAL_WEIGHT,2,FALSE),"")</f>
        <v>0.34899999999999998</v>
      </c>
      <c r="AV22" s="179">
        <f t="shared" ref="AV22:AV35" si="6">IF(AK22&gt;"",(AU22*AN22*AP22)/1000,"")</f>
        <v>0.96498499999999987</v>
      </c>
      <c r="AW22" s="4"/>
      <c r="AX22" s="199" t="s">
        <v>166</v>
      </c>
      <c r="AY22" s="200"/>
      <c r="AZ22" s="201"/>
      <c r="BA22" s="205" t="s">
        <v>84</v>
      </c>
      <c r="BB22" s="169"/>
      <c r="BC22" s="181"/>
      <c r="BD22" s="182" t="s">
        <v>173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179</v>
      </c>
      <c r="BO22" s="200"/>
      <c r="BP22" s="201"/>
      <c r="BQ22" s="205" t="s">
        <v>187</v>
      </c>
      <c r="BR22" s="169"/>
      <c r="BS22" s="181"/>
      <c r="BT22" s="182"/>
      <c r="BU22" s="172">
        <v>1</v>
      </c>
      <c r="BV22" s="173">
        <f t="shared" ref="BV22:BV44" si="8">IF(BU22="","",Q*BU22)</f>
        <v>1</v>
      </c>
      <c r="BW22" s="184"/>
      <c r="BX22" s="185" t="s">
        <v>191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156</v>
      </c>
      <c r="AI23" s="200"/>
      <c r="AJ23" s="204" t="s">
        <v>82</v>
      </c>
      <c r="AK23" s="168" t="s">
        <v>83</v>
      </c>
      <c r="AL23" s="169" t="str">
        <f t="shared" si="3"/>
        <v>-</v>
      </c>
      <c r="AM23" s="170">
        <v>0</v>
      </c>
      <c r="AN23" s="171">
        <f>HS.1-12</f>
        <v>2753</v>
      </c>
      <c r="AO23" s="172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7.5999999999999998E-2</v>
      </c>
      <c r="AV23" s="179">
        <f t="shared" si="6"/>
        <v>0.209228</v>
      </c>
      <c r="AW23" s="4"/>
      <c r="AX23" s="199" t="s">
        <v>167</v>
      </c>
      <c r="AY23" s="200"/>
      <c r="AZ23" s="201"/>
      <c r="BA23" s="168" t="s">
        <v>88</v>
      </c>
      <c r="BB23" s="169"/>
      <c r="BC23" s="181"/>
      <c r="BD23" s="182" t="s">
        <v>173</v>
      </c>
      <c r="BE23" s="172">
        <v>14</v>
      </c>
      <c r="BF23" s="173">
        <f t="shared" si="7"/>
        <v>14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179</v>
      </c>
      <c r="BO23" s="200"/>
      <c r="BP23" s="201"/>
      <c r="BQ23" s="168" t="s">
        <v>188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192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89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157</v>
      </c>
      <c r="AI24" s="200"/>
      <c r="AJ24" s="204" t="s">
        <v>82</v>
      </c>
      <c r="AK24" s="168" t="s">
        <v>83</v>
      </c>
      <c r="AL24" s="169" t="str">
        <f t="shared" si="3"/>
        <v>-</v>
      </c>
      <c r="AM24" s="170">
        <v>0</v>
      </c>
      <c r="AN24" s="208">
        <f>WS.1-222</f>
        <v>705</v>
      </c>
      <c r="AO24" s="172">
        <v>2</v>
      </c>
      <c r="AP24" s="173">
        <f t="shared" si="4"/>
        <v>2</v>
      </c>
      <c r="AQ24" s="220"/>
      <c r="AR24" s="175"/>
      <c r="AS24" s="176"/>
      <c r="AT24" s="212"/>
      <c r="AU24" s="178">
        <f t="shared" si="5"/>
        <v>7.5999999999999998E-2</v>
      </c>
      <c r="AV24" s="179">
        <f t="shared" si="6"/>
        <v>0.10715999999999999</v>
      </c>
      <c r="AW24" s="4"/>
      <c r="AX24" s="199" t="s">
        <v>168</v>
      </c>
      <c r="AY24" s="200"/>
      <c r="AZ24" s="201"/>
      <c r="BA24" s="168" t="s">
        <v>90</v>
      </c>
      <c r="BB24" s="169"/>
      <c r="BC24" s="181"/>
      <c r="BD24" s="182" t="s">
        <v>173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180</v>
      </c>
      <c r="BO24" s="200"/>
      <c r="BP24" s="201"/>
      <c r="BQ24" s="168" t="s">
        <v>91</v>
      </c>
      <c r="BR24" s="169"/>
      <c r="BS24" s="181"/>
      <c r="BT24" s="182" t="s">
        <v>174</v>
      </c>
      <c r="BU24" s="172">
        <f>(WS.1-9)*2/1000</f>
        <v>1.8360000000000001</v>
      </c>
      <c r="BV24" s="173">
        <f t="shared" si="8"/>
        <v>1.8360000000000001</v>
      </c>
      <c r="BW24" s="184" t="s">
        <v>100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214" t="s">
        <v>157</v>
      </c>
      <c r="AI25" s="215"/>
      <c r="AJ25" s="204" t="s">
        <v>82</v>
      </c>
      <c r="AK25" s="168" t="s">
        <v>83</v>
      </c>
      <c r="AL25" s="169" t="str">
        <f t="shared" si="3"/>
        <v>-</v>
      </c>
      <c r="AM25" s="170">
        <v>0</v>
      </c>
      <c r="AN25" s="208">
        <v>201</v>
      </c>
      <c r="AO25" s="172">
        <v>2</v>
      </c>
      <c r="AP25" s="173">
        <f t="shared" si="4"/>
        <v>2</v>
      </c>
      <c r="AQ25" s="220"/>
      <c r="AR25" s="175"/>
      <c r="AS25" s="176"/>
      <c r="AT25" s="212"/>
      <c r="AU25" s="178">
        <f t="shared" si="5"/>
        <v>7.5999999999999998E-2</v>
      </c>
      <c r="AV25" s="179">
        <f t="shared" si="6"/>
        <v>3.0551999999999999E-2</v>
      </c>
      <c r="AW25" s="4"/>
      <c r="AX25" s="199" t="s">
        <v>167</v>
      </c>
      <c r="AY25" s="200"/>
      <c r="AZ25" s="201"/>
      <c r="BA25" s="168" t="s">
        <v>93</v>
      </c>
      <c r="BB25" s="169"/>
      <c r="BC25" s="181"/>
      <c r="BD25" s="182" t="s">
        <v>173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181</v>
      </c>
      <c r="BO25" s="200"/>
      <c r="BP25" s="201"/>
      <c r="BQ25" s="168" t="s">
        <v>94</v>
      </c>
      <c r="BR25" s="169"/>
      <c r="BS25" s="181"/>
      <c r="BT25" s="182" t="s">
        <v>175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214" t="s">
        <v>158</v>
      </c>
      <c r="AI26" s="215"/>
      <c r="AJ26" s="204" t="s">
        <v>82</v>
      </c>
      <c r="AK26" s="168" t="s">
        <v>92</v>
      </c>
      <c r="AL26" s="169" t="str">
        <f t="shared" si="3"/>
        <v>-</v>
      </c>
      <c r="AM26" s="170">
        <v>3</v>
      </c>
      <c r="AN26" s="171">
        <f>WS.1-5.5</f>
        <v>921.5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0.187</v>
      </c>
      <c r="AV26" s="179">
        <f t="shared" si="6"/>
        <v>0.17232050000000002</v>
      </c>
      <c r="AW26" s="4"/>
      <c r="AX26" s="199" t="s">
        <v>169</v>
      </c>
      <c r="AY26" s="200"/>
      <c r="AZ26" s="201"/>
      <c r="BA26" s="168" t="s">
        <v>96</v>
      </c>
      <c r="BB26" s="169"/>
      <c r="BC26" s="181"/>
      <c r="BD26" s="182" t="s">
        <v>174</v>
      </c>
      <c r="BE26" s="172">
        <v>1</v>
      </c>
      <c r="BF26" s="173">
        <f t="shared" si="7"/>
        <v>1</v>
      </c>
      <c r="BG26" s="184"/>
      <c r="BH26" s="185" t="s">
        <v>97</v>
      </c>
      <c r="BI26" s="186"/>
      <c r="BJ26" s="187"/>
      <c r="BK26" s="188"/>
      <c r="BL26" s="189"/>
      <c r="BM26" s="4"/>
      <c r="BN26" s="199" t="s">
        <v>167</v>
      </c>
      <c r="BO26" s="200"/>
      <c r="BP26" s="201"/>
      <c r="BQ26" s="168" t="s">
        <v>98</v>
      </c>
      <c r="BR26" s="169"/>
      <c r="BS26" s="181"/>
      <c r="BT26" s="182" t="s">
        <v>175</v>
      </c>
      <c r="BU26" s="172">
        <v>10</v>
      </c>
      <c r="BV26" s="173">
        <f t="shared" si="8"/>
        <v>10</v>
      </c>
      <c r="BW26" s="184"/>
      <c r="BX26" s="185" t="s">
        <v>193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159</v>
      </c>
      <c r="AI27" s="215"/>
      <c r="AJ27" s="204" t="s">
        <v>82</v>
      </c>
      <c r="AK27" s="168" t="s">
        <v>95</v>
      </c>
      <c r="AL27" s="169" t="str">
        <f t="shared" si="3"/>
        <v>-</v>
      </c>
      <c r="AM27" s="170">
        <v>3</v>
      </c>
      <c r="AN27" s="208">
        <f>WS.1-9</f>
        <v>918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0.20799999999999999</v>
      </c>
      <c r="AV27" s="179">
        <f t="shared" si="6"/>
        <v>0.19094399999999997</v>
      </c>
      <c r="AW27" s="4"/>
      <c r="AX27" s="199" t="s">
        <v>170</v>
      </c>
      <c r="AY27" s="200"/>
      <c r="AZ27" s="201"/>
      <c r="BA27" s="168" t="s">
        <v>99</v>
      </c>
      <c r="BB27" s="169"/>
      <c r="BC27" s="181"/>
      <c r="BD27" s="182" t="s">
        <v>174</v>
      </c>
      <c r="BE27" s="172">
        <f>((W-61)+((H-38)*2))/1000</f>
        <v>7.3970000000000002</v>
      </c>
      <c r="BF27" s="173">
        <f t="shared" si="7"/>
        <v>7.3970000000000002</v>
      </c>
      <c r="BG27" s="213" t="s">
        <v>100</v>
      </c>
      <c r="BH27" s="185" t="s">
        <v>177</v>
      </c>
      <c r="BI27" s="186"/>
      <c r="BJ27" s="187"/>
      <c r="BK27" s="188"/>
      <c r="BL27" s="189"/>
      <c r="BM27" s="4"/>
      <c r="BN27" s="199" t="s">
        <v>167</v>
      </c>
      <c r="BO27" s="200"/>
      <c r="BP27" s="201"/>
      <c r="BQ27" s="168" t="s">
        <v>103</v>
      </c>
      <c r="BR27" s="169"/>
      <c r="BS27" s="181"/>
      <c r="BT27" s="182" t="s">
        <v>175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160</v>
      </c>
      <c r="AI28" s="215"/>
      <c r="AJ28" s="204" t="s">
        <v>82</v>
      </c>
      <c r="AK28" s="168" t="s">
        <v>101</v>
      </c>
      <c r="AL28" s="169" t="str">
        <f t="shared" si="3"/>
        <v>-</v>
      </c>
      <c r="AM28" s="170">
        <v>2</v>
      </c>
      <c r="AN28" s="171">
        <f>HS.1</f>
        <v>2765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0.34899999999999998</v>
      </c>
      <c r="AV28" s="179">
        <f t="shared" si="6"/>
        <v>0.96498499999999987</v>
      </c>
      <c r="AW28" s="4"/>
      <c r="AX28" s="199" t="s">
        <v>171</v>
      </c>
      <c r="AY28" s="200"/>
      <c r="AZ28" s="201"/>
      <c r="BA28" s="168" t="s">
        <v>102</v>
      </c>
      <c r="BB28" s="169"/>
      <c r="BC28" s="181"/>
      <c r="BD28" s="182" t="s">
        <v>173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182</v>
      </c>
      <c r="BO28" s="200"/>
      <c r="BP28" s="201"/>
      <c r="BQ28" s="168" t="s">
        <v>108</v>
      </c>
      <c r="BR28" s="169"/>
      <c r="BS28" s="181"/>
      <c r="BT28" s="182" t="s">
        <v>190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161</v>
      </c>
      <c r="AI29" s="215"/>
      <c r="AJ29" s="204" t="s">
        <v>82</v>
      </c>
      <c r="AK29" s="168" t="s">
        <v>95</v>
      </c>
      <c r="AL29" s="169" t="str">
        <f t="shared" si="3"/>
        <v>-</v>
      </c>
      <c r="AM29" s="170">
        <v>4</v>
      </c>
      <c r="AN29" s="171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172</v>
      </c>
      <c r="AY29" s="200"/>
      <c r="AZ29" s="201"/>
      <c r="BA29" s="168" t="s">
        <v>107</v>
      </c>
      <c r="BB29" s="169"/>
      <c r="BC29" s="181"/>
      <c r="BD29" s="182" t="s">
        <v>175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178</v>
      </c>
      <c r="BI29" s="186"/>
      <c r="BJ29" s="187"/>
      <c r="BK29" s="188"/>
      <c r="BL29" s="189" t="s">
        <v>106</v>
      </c>
      <c r="BM29" s="4"/>
      <c r="BN29" s="199" t="s">
        <v>171</v>
      </c>
      <c r="BO29" s="200"/>
      <c r="BP29" s="201"/>
      <c r="BQ29" s="168" t="s">
        <v>109</v>
      </c>
      <c r="BR29" s="169"/>
      <c r="BS29" s="181"/>
      <c r="BT29" s="182" t="s">
        <v>173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162</v>
      </c>
      <c r="AI30" s="215"/>
      <c r="AJ30" s="204" t="s">
        <v>82</v>
      </c>
      <c r="AK30" s="168" t="s">
        <v>83</v>
      </c>
      <c r="AL30" s="169" t="str">
        <f t="shared" si="3"/>
        <v>-</v>
      </c>
      <c r="AM30" s="170">
        <v>0</v>
      </c>
      <c r="AN30" s="171">
        <f>HS.1-12</f>
        <v>2753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7.5999999999999998E-2</v>
      </c>
      <c r="AV30" s="179">
        <f t="shared" si="6"/>
        <v>0.209228</v>
      </c>
      <c r="AW30" s="4"/>
      <c r="AX30" s="199" t="s">
        <v>167</v>
      </c>
      <c r="AY30" s="200"/>
      <c r="AZ30" s="201"/>
      <c r="BA30" s="168" t="s">
        <v>104</v>
      </c>
      <c r="BB30" s="169"/>
      <c r="BC30" s="181"/>
      <c r="BD30" s="182" t="s">
        <v>173</v>
      </c>
      <c r="BE30" s="172">
        <v>4</v>
      </c>
      <c r="BF30" s="173">
        <f t="shared" si="7"/>
        <v>4</v>
      </c>
      <c r="BG30" s="184"/>
      <c r="BH30" s="185" t="s">
        <v>105</v>
      </c>
      <c r="BI30" s="186"/>
      <c r="BJ30" s="187"/>
      <c r="BK30" s="188"/>
      <c r="BL30" s="189" t="s">
        <v>106</v>
      </c>
      <c r="BM30" s="4"/>
      <c r="BN30" s="199" t="s">
        <v>183</v>
      </c>
      <c r="BO30" s="200"/>
      <c r="BP30" s="201"/>
      <c r="BQ30" s="168" t="s">
        <v>110</v>
      </c>
      <c r="BR30" s="169"/>
      <c r="BS30" s="181"/>
      <c r="BT30" s="182" t="s">
        <v>190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162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208">
        <f>WS.1-222</f>
        <v>705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0.10715999999999999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167</v>
      </c>
      <c r="BO31" s="200"/>
      <c r="BP31" s="201"/>
      <c r="BQ31" s="168" t="s">
        <v>111</v>
      </c>
      <c r="BR31" s="169"/>
      <c r="BS31" s="181"/>
      <c r="BT31" s="182" t="s">
        <v>173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214" t="s">
        <v>162</v>
      </c>
      <c r="AI32" s="215"/>
      <c r="AJ32" s="204" t="s">
        <v>82</v>
      </c>
      <c r="AK32" s="168" t="s">
        <v>83</v>
      </c>
      <c r="AL32" s="169" t="str">
        <f t="shared" si="3"/>
        <v>-</v>
      </c>
      <c r="AM32" s="170">
        <v>0</v>
      </c>
      <c r="AN32" s="208">
        <v>201</v>
      </c>
      <c r="AO32" s="172">
        <v>2</v>
      </c>
      <c r="AP32" s="173">
        <f t="shared" si="4"/>
        <v>2</v>
      </c>
      <c r="AQ32" s="220"/>
      <c r="AR32" s="175"/>
      <c r="AS32" s="176"/>
      <c r="AT32" s="212"/>
      <c r="AU32" s="178">
        <f t="shared" si="5"/>
        <v>7.5999999999999998E-2</v>
      </c>
      <c r="AV32" s="179">
        <f t="shared" si="6"/>
        <v>3.0551999999999999E-2</v>
      </c>
      <c r="AW32" s="4"/>
      <c r="AX32" s="199" t="str">
        <f t="shared" ref="AX3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3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184</v>
      </c>
      <c r="BO32" s="200"/>
      <c r="BP32" s="201"/>
      <c r="BQ32" s="168" t="s">
        <v>189</v>
      </c>
      <c r="BR32" s="169"/>
      <c r="BS32" s="181"/>
      <c r="BT32" s="182" t="s">
        <v>174</v>
      </c>
      <c r="BU32" s="172">
        <v>1</v>
      </c>
      <c r="BV32" s="173">
        <f t="shared" si="8"/>
        <v>1</v>
      </c>
      <c r="BW32" s="184"/>
      <c r="BX32" s="185" t="s">
        <v>195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 t="s">
        <v>163</v>
      </c>
      <c r="AI33" s="215"/>
      <c r="AJ33" s="204" t="s">
        <v>82</v>
      </c>
      <c r="AK33" s="168" t="s">
        <v>92</v>
      </c>
      <c r="AL33" s="169" t="str">
        <f t="shared" si="3"/>
        <v>-</v>
      </c>
      <c r="AM33" s="170">
        <v>1</v>
      </c>
      <c r="AN33" s="171">
        <f>WS.1-5.5</f>
        <v>921.5</v>
      </c>
      <c r="AO33" s="172">
        <v>1</v>
      </c>
      <c r="AP33" s="173">
        <f t="shared" si="4"/>
        <v>1</v>
      </c>
      <c r="AQ33" s="220"/>
      <c r="AR33" s="175"/>
      <c r="AS33" s="176"/>
      <c r="AT33" s="212"/>
      <c r="AU33" s="178">
        <f t="shared" si="5"/>
        <v>0.187</v>
      </c>
      <c r="AV33" s="179">
        <f t="shared" si="6"/>
        <v>0.17232050000000002</v>
      </c>
      <c r="AW33" s="4"/>
      <c r="AX33" s="199"/>
      <c r="AY33" s="200"/>
      <c r="AZ33" s="201"/>
      <c r="BA33" s="205"/>
      <c r="BB33" s="169"/>
      <c r="BC33" s="181"/>
      <c r="BD33" s="182"/>
      <c r="BE33" s="172"/>
      <c r="BF33" s="173"/>
      <c r="BG33" s="184"/>
      <c r="BH33" s="185"/>
      <c r="BI33" s="186"/>
      <c r="BJ33" s="187"/>
      <c r="BK33" s="206"/>
      <c r="BL33" s="189"/>
      <c r="BM33" s="4"/>
      <c r="BN33" s="199" t="s">
        <v>184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174</v>
      </c>
      <c r="BU33" s="172">
        <v>1</v>
      </c>
      <c r="BV33" s="173">
        <f t="shared" si="8"/>
        <v>1</v>
      </c>
      <c r="BW33" s="213"/>
      <c r="BX33" s="185" t="s">
        <v>196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 t="s">
        <v>164</v>
      </c>
      <c r="AI34" s="215"/>
      <c r="AJ34" s="204" t="s">
        <v>82</v>
      </c>
      <c r="AK34" s="168" t="s">
        <v>95</v>
      </c>
      <c r="AL34" s="169" t="str">
        <f t="shared" si="3"/>
        <v>-</v>
      </c>
      <c r="AM34" s="170">
        <v>1</v>
      </c>
      <c r="AN34" s="208">
        <f>WS.1-9</f>
        <v>918</v>
      </c>
      <c r="AO34" s="172">
        <v>1</v>
      </c>
      <c r="AP34" s="173">
        <f t="shared" si="4"/>
        <v>1</v>
      </c>
      <c r="AQ34" s="220"/>
      <c r="AR34" s="175"/>
      <c r="AS34" s="176"/>
      <c r="AT34" s="212"/>
      <c r="AU34" s="178">
        <f t="shared" si="5"/>
        <v>0.20799999999999999</v>
      </c>
      <c r="AV34" s="179">
        <f t="shared" si="6"/>
        <v>0.19094399999999997</v>
      </c>
      <c r="AW34" s="4"/>
      <c r="AX34" s="199"/>
      <c r="AY34" s="200"/>
      <c r="AZ34" s="201"/>
      <c r="BA34" s="168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170</v>
      </c>
      <c r="BO34" s="200"/>
      <c r="BP34" s="201"/>
      <c r="BQ34" s="168" t="s">
        <v>99</v>
      </c>
      <c r="BR34" s="169"/>
      <c r="BS34" s="181"/>
      <c r="BT34" s="182" t="s">
        <v>174</v>
      </c>
      <c r="BU34" s="172">
        <f>(HS.1-8.5)/1000</f>
        <v>2.7565</v>
      </c>
      <c r="BV34" s="173">
        <f t="shared" si="8"/>
        <v>2.7565</v>
      </c>
      <c r="BW34" s="213" t="s">
        <v>100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 t="s">
        <v>165</v>
      </c>
      <c r="AI35" s="215"/>
      <c r="AJ35" s="204" t="s">
        <v>82</v>
      </c>
      <c r="AK35" s="168" t="s">
        <v>95</v>
      </c>
      <c r="AL35" s="169" t="str">
        <f t="shared" si="3"/>
        <v>-</v>
      </c>
      <c r="AM35" s="170">
        <v>5</v>
      </c>
      <c r="AN35" s="171">
        <f>HS.1-12</f>
        <v>2753</v>
      </c>
      <c r="AO35" s="172">
        <v>1</v>
      </c>
      <c r="AP35" s="173">
        <f t="shared" si="4"/>
        <v>1</v>
      </c>
      <c r="AQ35" s="220"/>
      <c r="AR35" s="175"/>
      <c r="AS35" s="176"/>
      <c r="AT35" s="212"/>
      <c r="AU35" s="178">
        <f t="shared" si="5"/>
        <v>0.20799999999999999</v>
      </c>
      <c r="AV35" s="179">
        <f t="shared" si="6"/>
        <v>0.57262400000000002</v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188"/>
      <c r="BL35" s="189"/>
      <c r="BM35" s="4"/>
      <c r="BN35" s="199" t="s">
        <v>185</v>
      </c>
      <c r="BO35" s="200"/>
      <c r="BP35" s="201"/>
      <c r="BQ35" s="168" t="s">
        <v>115</v>
      </c>
      <c r="BR35" s="169"/>
      <c r="BS35" s="181"/>
      <c r="BT35" s="182" t="s">
        <v>175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106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171"/>
      <c r="AO36" s="172"/>
      <c r="AP36" s="173"/>
      <c r="AQ36" s="22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186</v>
      </c>
      <c r="BO36" s="200"/>
      <c r="BP36" s="201"/>
      <c r="BQ36" s="168" t="s">
        <v>112</v>
      </c>
      <c r="BR36" s="169"/>
      <c r="BS36" s="181"/>
      <c r="BT36" s="182" t="s">
        <v>173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167</v>
      </c>
      <c r="BO37" s="200"/>
      <c r="BP37" s="201"/>
      <c r="BQ37" s="168" t="s">
        <v>114</v>
      </c>
      <c r="BR37" s="169"/>
      <c r="BS37" s="181"/>
      <c r="BT37" s="182" t="s">
        <v>173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106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04"/>
      <c r="AK38" s="168"/>
      <c r="AL38" s="169"/>
      <c r="AM38" s="170"/>
      <c r="AN38" s="171"/>
      <c r="AO38" s="172"/>
      <c r="AP38" s="173"/>
      <c r="AQ38" s="220"/>
      <c r="AR38" s="175"/>
      <c r="AS38" s="176"/>
      <c r="AT38" s="212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04"/>
      <c r="AK39" s="168"/>
      <c r="AL39" s="169"/>
      <c r="AM39" s="170"/>
      <c r="AN39" s="208"/>
      <c r="AO39" s="172"/>
      <c r="AP39" s="173"/>
      <c r="AQ39" s="220"/>
      <c r="AR39" s="175"/>
      <c r="AS39" s="176"/>
      <c r="AT39" s="212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04"/>
      <c r="AK40" s="168"/>
      <c r="AL40" s="169"/>
      <c r="AM40" s="170"/>
      <c r="AN40" s="208"/>
      <c r="AO40" s="172"/>
      <c r="AP40" s="173"/>
      <c r="AQ40" s="220"/>
      <c r="AR40" s="175"/>
      <c r="AS40" s="176"/>
      <c r="AT40" s="212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113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04"/>
      <c r="AK41" s="168"/>
      <c r="AL41" s="169"/>
      <c r="AM41" s="170"/>
      <c r="AN41" s="171"/>
      <c r="AO41" s="172"/>
      <c r="AP41" s="173"/>
      <c r="AQ41" s="220"/>
      <c r="AR41" s="175"/>
      <c r="AS41" s="176"/>
      <c r="AT41" s="212"/>
      <c r="AU41" s="178"/>
      <c r="AV41" s="179"/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04"/>
      <c r="AK42" s="168"/>
      <c r="AL42" s="169"/>
      <c r="AM42" s="170"/>
      <c r="AN42" s="208"/>
      <c r="AO42" s="172"/>
      <c r="AP42" s="173"/>
      <c r="AQ42" s="220"/>
      <c r="AR42" s="175"/>
      <c r="AS42" s="176"/>
      <c r="AT42" s="212"/>
      <c r="AU42" s="178"/>
      <c r="AV42" s="179"/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116</v>
      </c>
      <c r="C43" s="239"/>
      <c r="D43" s="239"/>
      <c r="E43" s="239"/>
      <c r="F43" s="240"/>
      <c r="G43" s="241"/>
      <c r="H43" s="242"/>
      <c r="I43" s="232"/>
      <c r="J43" s="243" t="s">
        <v>117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04"/>
      <c r="AK43" s="168"/>
      <c r="AL43" s="169"/>
      <c r="AM43" s="170"/>
      <c r="AN43" s="171"/>
      <c r="AO43" s="172"/>
      <c r="AP43" s="173"/>
      <c r="AQ43" s="220"/>
      <c r="AR43" s="175"/>
      <c r="AS43" s="176"/>
      <c r="AT43" s="212"/>
      <c r="AU43" s="178"/>
      <c r="AV43" s="179"/>
      <c r="AW43" s="4"/>
      <c r="AX43" s="199" t="str">
        <f t="shared" si="10"/>
        <v/>
      </c>
      <c r="AY43" s="200"/>
      <c r="AZ43" s="201"/>
      <c r="BA43" s="168"/>
      <c r="BB43" s="169"/>
      <c r="BC43" s="181"/>
      <c r="BD43" s="182" t="str">
        <f t="shared" si="11"/>
        <v/>
      </c>
      <c r="BE43" s="183"/>
      <c r="BF43" s="173" t="str">
        <f t="shared" si="7"/>
        <v/>
      </c>
      <c r="BG43" s="184"/>
      <c r="BH43" s="249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118</v>
      </c>
      <c r="C44" s="335" t="s">
        <v>119</v>
      </c>
      <c r="D44" s="336"/>
      <c r="E44" s="337"/>
      <c r="F44" s="335" t="s">
        <v>120</v>
      </c>
      <c r="G44" s="336"/>
      <c r="H44" s="337"/>
      <c r="I44" s="251"/>
      <c r="J44" s="252" t="s">
        <v>118</v>
      </c>
      <c r="K44" s="335" t="s">
        <v>119</v>
      </c>
      <c r="L44" s="336"/>
      <c r="M44" s="336"/>
      <c r="N44" s="337"/>
      <c r="O44" s="252" t="s">
        <v>121</v>
      </c>
      <c r="P44" s="253" t="s">
        <v>118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ref="AL44:AL47" si="12">IF(AK44&gt;"","-","")</f>
        <v/>
      </c>
      <c r="AM44" s="170"/>
      <c r="AN44" s="171"/>
      <c r="AO44" s="172"/>
      <c r="AP44" s="173" t="str">
        <f t="shared" ref="AP44:AP47" si="13">IF(AO44&lt;0.1,"",Q*AO44)</f>
        <v/>
      </c>
      <c r="AQ44" s="220"/>
      <c r="AR44" s="175"/>
      <c r="AS44" s="176"/>
      <c r="AT44" s="212"/>
      <c r="AU44" s="178" t="str">
        <f t="shared" ref="AU44:AU47" si="14">IF(AK44&gt;"",VLOOKUP(AK44,MATERIAL_WEIGHT,2,FALSE),"")</f>
        <v/>
      </c>
      <c r="AV44" s="179" t="str">
        <f t="shared" ref="AV44:AV47" si="15">IF(AK44&gt;"",(AU44*AN44*AP44)/1000,"")</f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 t="str">
        <f t="shared" ref="BN44" si="16">IF(BQ44&gt;"",VLOOKUP(BQ44,PART_NAMA,3,FALSE),"")</f>
        <v/>
      </c>
      <c r="BO44" s="200"/>
      <c r="BP44" s="201"/>
      <c r="BQ44" s="168"/>
      <c r="BR44" s="169"/>
      <c r="BS44" s="181"/>
      <c r="BT44" s="182" t="str">
        <f t="shared" ref="BT44" si="17">IF(BQ44&gt;"",VLOOKUP(BQ44&amp;$M$10,PART_MASTER,3,FALSE),"")</f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122</v>
      </c>
      <c r="D45" s="256"/>
      <c r="E45" s="256"/>
      <c r="F45" s="257"/>
      <c r="G45" s="258"/>
      <c r="H45" s="259"/>
      <c r="I45" s="260"/>
      <c r="J45" s="261">
        <v>1</v>
      </c>
      <c r="K45" s="262" t="s">
        <v>123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4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/>
      <c r="BO45" s="200"/>
      <c r="BP45" s="201"/>
      <c r="BQ45" s="205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124</v>
      </c>
      <c r="D46" s="258"/>
      <c r="E46" s="258"/>
      <c r="F46" s="262"/>
      <c r="G46" s="258"/>
      <c r="H46" s="259"/>
      <c r="I46" s="260"/>
      <c r="J46" s="261">
        <v>2</v>
      </c>
      <c r="K46" s="262" t="s">
        <v>125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4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6" t="str">
        <f t="shared" si="11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206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126</v>
      </c>
      <c r="D47" s="258"/>
      <c r="E47" s="258"/>
      <c r="F47" s="262"/>
      <c r="G47" s="258"/>
      <c r="H47" s="259"/>
      <c r="I47" s="267"/>
      <c r="J47" s="261">
        <v>3</v>
      </c>
      <c r="K47" s="262" t="s">
        <v>127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4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6" t="str">
        <f t="shared" si="11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128</v>
      </c>
      <c r="D48" s="258"/>
      <c r="E48" s="258"/>
      <c r="F48" s="262"/>
      <c r="G48" s="258"/>
      <c r="H48" s="259"/>
      <c r="I48" s="267"/>
      <c r="J48" s="261">
        <v>4</v>
      </c>
      <c r="K48" s="262" t="s">
        <v>129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130</v>
      </c>
      <c r="AD48" s="272"/>
      <c r="AE48" s="273" t="s">
        <v>131</v>
      </c>
      <c r="AF48" s="274">
        <f>SUM(AF22:AF47)</f>
        <v>4.4183210000000006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130</v>
      </c>
      <c r="AT48" s="272"/>
      <c r="AU48" s="273" t="s">
        <v>131</v>
      </c>
      <c r="AV48" s="274">
        <f>SUM(AV22:AV47)</f>
        <v>4.4956269999999998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132</v>
      </c>
      <c r="D49" s="258"/>
      <c r="E49" s="258"/>
      <c r="F49" s="262"/>
      <c r="G49" s="258"/>
      <c r="H49" s="259"/>
      <c r="I49" s="267"/>
      <c r="J49" s="261">
        <v>5</v>
      </c>
      <c r="K49" s="262" t="s">
        <v>133</v>
      </c>
      <c r="L49" s="258"/>
      <c r="M49" s="258"/>
      <c r="N49" s="263"/>
      <c r="O49" s="264"/>
      <c r="P49" s="265"/>
      <c r="Q49" s="4"/>
      <c r="R49" s="275" t="s">
        <v>134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135</v>
      </c>
      <c r="AE49" s="279" t="s">
        <v>136</v>
      </c>
      <c r="AF49" s="280">
        <f>AF48*0.986</f>
        <v>4.3564645060000009</v>
      </c>
      <c r="AG49" s="4"/>
      <c r="AH49" s="275" t="s">
        <v>134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135</v>
      </c>
      <c r="AU49" s="279" t="s">
        <v>136</v>
      </c>
      <c r="AV49" s="280">
        <f>AV48*0.986</f>
        <v>4.4326882219999995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137</v>
      </c>
      <c r="D50" s="258"/>
      <c r="E50" s="258"/>
      <c r="F50" s="262"/>
      <c r="G50" s="258"/>
      <c r="H50" s="259"/>
      <c r="I50" s="267"/>
      <c r="J50" s="261">
        <v>6</v>
      </c>
      <c r="K50" s="262" t="s">
        <v>138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139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139</v>
      </c>
      <c r="AV50" s="280">
        <f>AV48*0.974*0.986</f>
        <v>4.3174383282279996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140</v>
      </c>
      <c r="D51" s="258"/>
      <c r="E51" s="258"/>
      <c r="F51" s="262"/>
      <c r="G51" s="258"/>
      <c r="H51" s="259"/>
      <c r="I51" s="267"/>
      <c r="J51" s="261">
        <v>7</v>
      </c>
      <c r="K51" s="262" t="s">
        <v>141</v>
      </c>
      <c r="L51" s="258"/>
      <c r="M51" s="258"/>
      <c r="N51" s="263"/>
      <c r="O51" s="264"/>
      <c r="P51" s="265"/>
      <c r="Q51" s="4"/>
      <c r="R51" s="283" t="s">
        <v>142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143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144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145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146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147</v>
      </c>
      <c r="C55" s="267"/>
      <c r="D55" s="267"/>
      <c r="E55" s="267"/>
      <c r="F55" s="267"/>
      <c r="G55" s="267"/>
      <c r="H55" s="267"/>
      <c r="I55" s="267"/>
      <c r="J55" s="301" t="s">
        <v>148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149</v>
      </c>
      <c r="K56" s="306"/>
      <c r="L56" s="306"/>
      <c r="M56" s="306"/>
      <c r="N56" s="307"/>
      <c r="O56" s="308" t="s">
        <v>150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3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3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3"/>
      <c r="BM60" s="4"/>
      <c r="BN60" s="214" t="str">
        <f t="shared" ref="BN60" si="18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" si="19">IF(BQ60&gt;"",VLOOKUP(BQ60&amp;$M$10,PART_MASTER,3,FALSE),"")</f>
        <v/>
      </c>
      <c r="BU60" s="172"/>
      <c r="BV60" s="173" t="str">
        <f t="shared" ref="BV60" si="20">IF(BU60="","",Q*BU60)</f>
        <v/>
      </c>
      <c r="BW60" s="184"/>
      <c r="BX60" s="249"/>
      <c r="BY60" s="186"/>
      <c r="BZ60" s="187"/>
      <c r="CA60" s="206"/>
      <c r="CB60" s="313"/>
      <c r="CG60" s="3"/>
    </row>
    <row r="61" spans="2:120" ht="15" customHeight="1" x14ac:dyDescent="0.3">
      <c r="P61" s="321" t="s">
        <v>152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152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152</v>
      </c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DB-DOOR-EL</vt:lpstr>
      <vt:lpstr>'DB-DOOR-EL'!A.</vt:lpstr>
      <vt:lpstr>'DB-DOOR-EL'!C.</vt:lpstr>
      <vt:lpstr>'DB-DOOR-EL'!F.</vt:lpstr>
      <vt:lpstr>'DB-DOOR-EL'!GCS</vt:lpstr>
      <vt:lpstr>'DB-DOOR-EL'!GTH</vt:lpstr>
      <vt:lpstr>'DB-DOOR-EL'!H</vt:lpstr>
      <vt:lpstr>'DB-DOOR-EL'!h.1</vt:lpstr>
      <vt:lpstr>'DB-DOOR-EL'!h.10</vt:lpstr>
      <vt:lpstr>'DB-DOOR-EL'!h.2</vt:lpstr>
      <vt:lpstr>'DB-DOOR-EL'!h.3</vt:lpstr>
      <vt:lpstr>'DB-DOOR-EL'!h.4</vt:lpstr>
      <vt:lpstr>'DB-DOOR-EL'!h.5</vt:lpstr>
      <vt:lpstr>'DB-DOOR-EL'!h.6</vt:lpstr>
      <vt:lpstr>'DB-DOOR-EL'!h.7</vt:lpstr>
      <vt:lpstr>'DB-DOOR-EL'!h.8</vt:lpstr>
      <vt:lpstr>'DB-DOOR-EL'!h.9</vt:lpstr>
      <vt:lpstr>'DB-DOOR-EL'!HS</vt:lpstr>
      <vt:lpstr>'DB-DOOR-EL'!HS.1</vt:lpstr>
      <vt:lpstr>'DB-DOOR-EL'!HS.2</vt:lpstr>
      <vt:lpstr>'DB-DOOR-EL'!HS.3</vt:lpstr>
      <vt:lpstr>'DB-DOOR-EL'!HS.4</vt:lpstr>
      <vt:lpstr>'DB-DOOR-EL'!HS.5</vt:lpstr>
      <vt:lpstr>'DB-DOOR-EL'!Print_Area</vt:lpstr>
      <vt:lpstr>'DB-DOOR-EL'!Q</vt:lpstr>
      <vt:lpstr>'DB-DOOR-EL'!R.</vt:lpstr>
      <vt:lpstr>'DB-DOOR-EL'!W</vt:lpstr>
      <vt:lpstr>'DB-DOOR-EL'!w.1</vt:lpstr>
      <vt:lpstr>'DB-DOOR-EL'!w.10</vt:lpstr>
      <vt:lpstr>'DB-DOOR-EL'!w.2</vt:lpstr>
      <vt:lpstr>'DB-DOOR-EL'!w.3</vt:lpstr>
      <vt:lpstr>'DB-DOOR-EL'!w.4</vt:lpstr>
      <vt:lpstr>'DB-DOOR-EL'!w.5</vt:lpstr>
      <vt:lpstr>'DB-DOOR-EL'!w.6</vt:lpstr>
      <vt:lpstr>'DB-DOOR-EL'!w.7</vt:lpstr>
      <vt:lpstr>'DB-DOOR-EL'!w.8</vt:lpstr>
      <vt:lpstr>'DB-DOOR-EL'!w.9</vt:lpstr>
      <vt:lpstr>'DB-DOOR-EL'!WS</vt:lpstr>
      <vt:lpstr>'DB-DOOR-EL'!WS.1</vt:lpstr>
      <vt:lpstr>'DB-DOOR-EL'!WS.2</vt:lpstr>
      <vt:lpstr>'DB-DOOR-EL'!WS.3</vt:lpstr>
      <vt:lpstr>'DB-DOOR-EL'!WS.4</vt:lpstr>
      <vt:lpstr>'DB-DOOR-EL'!WS.5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2024-07-30T08:36:20Z</dcterms:created>
  <dcterms:modified xsi:type="dcterms:W3CDTF">2024-08-22T04:55:48Z</dcterms:modified>
</cp:coreProperties>
</file>