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19B73069-FED1-4DD5-8C69-C4BF811F5516}" xr6:coauthVersionLast="47" xr6:coauthVersionMax="47" xr10:uidLastSave="{00000000-0000-0000-0000-000000000000}"/>
  <bookViews>
    <workbookView xWindow="-108" yWindow="-108" windowWidth="23256" windowHeight="12456" xr2:uid="{58FB0035-DDC0-4FEF-BD18-0E07B0A0729A}"/>
  </bookViews>
  <sheets>
    <sheet name="DB-DOOR-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'DB-DOOR-ER'!$P$18</definedName>
    <definedName name="BD">"BD"</definedName>
    <definedName name="C." localSheetId="0">'DB-DOOR-ER'!$P$17</definedName>
    <definedName name="F." localSheetId="0">'DB-DOOR-ER'!$P$16</definedName>
    <definedName name="GCS" localSheetId="0">'DB-DOOR-ER'!$O$12</definedName>
    <definedName name="GTH" localSheetId="0">'DB-DOOR-ER'!$O$11</definedName>
    <definedName name="H" localSheetId="0">'DB-DOOR-ER'!$E$12</definedName>
    <definedName name="h.1" localSheetId="0">'DB-DOOR-ER'!$C$14</definedName>
    <definedName name="h.10" localSheetId="0">'DB-DOOR-ER'!$E$18</definedName>
    <definedName name="h.2" localSheetId="0">'DB-DOOR-ER'!$C$15</definedName>
    <definedName name="h.3" localSheetId="0">'DB-DOOR-ER'!$C$16</definedName>
    <definedName name="h.4" localSheetId="0">'DB-DOOR-ER'!$C$17</definedName>
    <definedName name="h.5" localSheetId="0">'DB-DOOR-ER'!$C$18</definedName>
    <definedName name="h.6" localSheetId="0">'DB-DOOR-ER'!$E$14</definedName>
    <definedName name="h.7" localSheetId="0">'DB-DOOR-ER'!$E$15</definedName>
    <definedName name="h.8" localSheetId="0">'DB-DOOR-ER'!$E$16</definedName>
    <definedName name="h.9" localSheetId="0">'DB-DOOR-ER'!$E$17</definedName>
    <definedName name="HS" localSheetId="0">'DB-DOOR-ER'!$H$12</definedName>
    <definedName name="HS.1" localSheetId="0">'DB-DOOR-ER'!$L$14</definedName>
    <definedName name="HS.2" localSheetId="0">'DB-DOOR-ER'!$L$15</definedName>
    <definedName name="HS.3" localSheetId="0">'DB-DOOR-ER'!$L$16</definedName>
    <definedName name="HS.4" localSheetId="0">'DB-DOOR-ER'!$L$17</definedName>
    <definedName name="HS.5" localSheetId="0">'DB-DOOR-ER'!$L$18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'DB-DOOR-ER'!$1:$61</definedName>
    <definedName name="Q" localSheetId="0">'DB-DOOR-ER'!$I$11</definedName>
    <definedName name="R." localSheetId="0">'DB-DOOR-ER'!$C$62</definedName>
    <definedName name="st" hidden="1">[6]Gra_Ord_In_2000!$BA$12:$BA$1655</definedName>
    <definedName name="W" localSheetId="0">'DB-DOOR-ER'!$E$11</definedName>
    <definedName name="w.1" localSheetId="0">'DB-DOOR-ER'!$H$14</definedName>
    <definedName name="w.10" localSheetId="0">'DB-DOOR-ER'!$J$18</definedName>
    <definedName name="w.2" localSheetId="0">'DB-DOOR-ER'!$H$15</definedName>
    <definedName name="w.3" localSheetId="0">'DB-DOOR-ER'!$H$16</definedName>
    <definedName name="w.4" localSheetId="0">'DB-DOOR-ER'!$H$17</definedName>
    <definedName name="w.5" localSheetId="0">'DB-DOOR-ER'!$H$18</definedName>
    <definedName name="w.6" localSheetId="0">'DB-DOOR-ER'!$J$14</definedName>
    <definedName name="w.7" localSheetId="0">'DB-DOOR-ER'!$J$15</definedName>
    <definedName name="w.8" localSheetId="0">'DB-DOOR-ER'!$J$16</definedName>
    <definedName name="w.9" localSheetId="0">'DB-DOOR-ER'!$J$17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'DB-DOOR-ER'!$L$12</definedName>
    <definedName name="WS.1" localSheetId="0">'DB-DOOR-ER'!$N$14</definedName>
    <definedName name="WS.2" localSheetId="0">'DB-DOOR-ER'!$N$15</definedName>
    <definedName name="WS.3" localSheetId="0">'DB-DOOR-ER'!$N$16</definedName>
    <definedName name="WS.4" localSheetId="0">'DB-DOOR-ER'!$N$17</definedName>
    <definedName name="WS.5" localSheetId="0">'DB-DOOR-ER'!$N$18</definedName>
    <definedName name="Z_8BD11290_77B3_4D27_9040_BB9D2A7264B2_.wvu.PrintArea" localSheetId="0" hidden="1">'DB-DOOR-ER'!$1:$61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60" i="1" l="1"/>
  <c r="BT60" i="1"/>
  <c r="BN60" i="1"/>
  <c r="BU29" i="1"/>
  <c r="BU28" i="1"/>
  <c r="BU27" i="1"/>
  <c r="BU37" i="1"/>
  <c r="BU24" i="1"/>
  <c r="BQ36" i="1"/>
  <c r="BE29" i="1"/>
  <c r="BE27" i="1"/>
  <c r="AV39" i="1"/>
  <c r="AU39" i="1"/>
  <c r="AP39" i="1"/>
  <c r="AL39" i="1"/>
  <c r="AV38" i="1"/>
  <c r="AU38" i="1"/>
  <c r="AP38" i="1"/>
  <c r="AL38" i="1"/>
  <c r="AV37" i="1"/>
  <c r="AU37" i="1"/>
  <c r="AP37" i="1"/>
  <c r="AL37" i="1"/>
  <c r="AV36" i="1"/>
  <c r="AU36" i="1"/>
  <c r="AP36" i="1"/>
  <c r="AL36" i="1"/>
  <c r="AV35" i="1"/>
  <c r="AU35" i="1"/>
  <c r="AP35" i="1"/>
  <c r="AL35" i="1"/>
  <c r="AV34" i="1"/>
  <c r="AU34" i="1"/>
  <c r="AP34" i="1"/>
  <c r="AL34" i="1"/>
  <c r="AU33" i="1"/>
  <c r="AV33" i="1" s="1"/>
  <c r="AP33" i="1"/>
  <c r="AN33" i="1"/>
  <c r="AL33" i="1"/>
  <c r="AU32" i="1"/>
  <c r="AV32" i="1" s="1"/>
  <c r="AP32" i="1"/>
  <c r="AN32" i="1"/>
  <c r="AL32" i="1"/>
  <c r="AU31" i="1"/>
  <c r="AV31" i="1" s="1"/>
  <c r="AP31" i="1"/>
  <c r="AN31" i="1"/>
  <c r="AL31" i="1"/>
  <c r="AV30" i="1"/>
  <c r="AU30" i="1"/>
  <c r="AP30" i="1"/>
  <c r="AN30" i="1"/>
  <c r="AL30" i="1"/>
  <c r="AU29" i="1"/>
  <c r="AV29" i="1" s="1"/>
  <c r="AP29" i="1"/>
  <c r="AN29" i="1"/>
  <c r="AL29" i="1"/>
  <c r="AU28" i="1"/>
  <c r="AV28" i="1" s="1"/>
  <c r="AP28" i="1"/>
  <c r="AN28" i="1"/>
  <c r="AL28" i="1"/>
  <c r="AU27" i="1"/>
  <c r="AV27" i="1" s="1"/>
  <c r="AP27" i="1"/>
  <c r="AN27" i="1"/>
  <c r="AL27" i="1"/>
  <c r="AU26" i="1"/>
  <c r="AV26" i="1" s="1"/>
  <c r="AP26" i="1"/>
  <c r="AN26" i="1"/>
  <c r="AL26" i="1"/>
  <c r="AU25" i="1"/>
  <c r="AV25" i="1" s="1"/>
  <c r="AP25" i="1"/>
  <c r="AN25" i="1"/>
  <c r="AL25" i="1"/>
  <c r="AU24" i="1"/>
  <c r="AV24" i="1" s="1"/>
  <c r="AP24" i="1"/>
  <c r="AN24" i="1"/>
  <c r="AL24" i="1"/>
  <c r="AU23" i="1"/>
  <c r="AV23" i="1" s="1"/>
  <c r="AP23" i="1"/>
  <c r="AN23" i="1"/>
  <c r="AL23" i="1"/>
  <c r="AV22" i="1"/>
  <c r="AU22" i="1"/>
  <c r="AP22" i="1"/>
  <c r="AN22" i="1"/>
  <c r="AL22" i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BF51" i="1"/>
  <c r="BD51" i="1"/>
  <c r="AX51" i="1"/>
  <c r="BF50" i="1"/>
  <c r="BD50" i="1"/>
  <c r="AX50" i="1"/>
  <c r="BF49" i="1"/>
  <c r="BD49" i="1"/>
  <c r="AX49" i="1"/>
  <c r="BF48" i="1"/>
  <c r="BD48" i="1"/>
  <c r="AX48" i="1"/>
  <c r="BF47" i="1"/>
  <c r="BD47" i="1"/>
  <c r="AX47" i="1"/>
  <c r="AV47" i="1"/>
  <c r="AU47" i="1"/>
  <c r="AP47" i="1"/>
  <c r="AL47" i="1"/>
  <c r="AF47" i="1"/>
  <c r="AE47" i="1"/>
  <c r="Z47" i="1"/>
  <c r="V47" i="1"/>
  <c r="BF46" i="1"/>
  <c r="BD46" i="1"/>
  <c r="AX46" i="1"/>
  <c r="AV46" i="1"/>
  <c r="AU46" i="1"/>
  <c r="AP46" i="1"/>
  <c r="AL46" i="1"/>
  <c r="AF46" i="1"/>
  <c r="AE46" i="1"/>
  <c r="Z46" i="1"/>
  <c r="V46" i="1"/>
  <c r="BF45" i="1"/>
  <c r="BD45" i="1"/>
  <c r="AX45" i="1"/>
  <c r="AV45" i="1"/>
  <c r="AU45" i="1"/>
  <c r="AP45" i="1"/>
  <c r="AL45" i="1"/>
  <c r="AF45" i="1"/>
  <c r="AE45" i="1"/>
  <c r="Z45" i="1"/>
  <c r="V45" i="1"/>
  <c r="BF44" i="1"/>
  <c r="BD44" i="1"/>
  <c r="AX44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F40" i="1"/>
  <c r="AE40" i="1"/>
  <c r="Z40" i="1"/>
  <c r="V40" i="1"/>
  <c r="BV39" i="1"/>
  <c r="AF39" i="1"/>
  <c r="AE39" i="1"/>
  <c r="Z39" i="1"/>
  <c r="V39" i="1"/>
  <c r="BV38" i="1"/>
  <c r="AF38" i="1"/>
  <c r="AE38" i="1"/>
  <c r="Z38" i="1"/>
  <c r="V38" i="1"/>
  <c r="BV37" i="1"/>
  <c r="AF37" i="1"/>
  <c r="AE37" i="1"/>
  <c r="Z37" i="1"/>
  <c r="V37" i="1"/>
  <c r="BV36" i="1"/>
  <c r="AF36" i="1"/>
  <c r="AE36" i="1"/>
  <c r="Z36" i="1"/>
  <c r="V36" i="1"/>
  <c r="BV35" i="1"/>
  <c r="AF35" i="1"/>
  <c r="AE35" i="1"/>
  <c r="Z35" i="1"/>
  <c r="V35" i="1"/>
  <c r="BV34" i="1"/>
  <c r="AF34" i="1"/>
  <c r="AE34" i="1"/>
  <c r="Z34" i="1"/>
  <c r="V34" i="1"/>
  <c r="BF33" i="1"/>
  <c r="BD33" i="1"/>
  <c r="AX33" i="1"/>
  <c r="AF33" i="1"/>
  <c r="AE33" i="1"/>
  <c r="Z33" i="1"/>
  <c r="V33" i="1"/>
  <c r="BF32" i="1"/>
  <c r="BD32" i="1"/>
  <c r="AX32" i="1"/>
  <c r="AF32" i="1"/>
  <c r="AE32" i="1"/>
  <c r="Z32" i="1"/>
  <c r="V32" i="1"/>
  <c r="AF31" i="1"/>
  <c r="AE31" i="1"/>
  <c r="Z31" i="1"/>
  <c r="V31" i="1"/>
  <c r="BF30" i="1"/>
  <c r="AF30" i="1"/>
  <c r="AE30" i="1"/>
  <c r="Z30" i="1"/>
  <c r="V30" i="1"/>
  <c r="BF29" i="1"/>
  <c r="AF29" i="1"/>
  <c r="AE29" i="1"/>
  <c r="Z29" i="1"/>
  <c r="V29" i="1"/>
  <c r="BV28" i="1"/>
  <c r="BF28" i="1"/>
  <c r="AF28" i="1"/>
  <c r="AE28" i="1"/>
  <c r="Z28" i="1"/>
  <c r="V28" i="1"/>
  <c r="BV27" i="1"/>
  <c r="BF27" i="1"/>
  <c r="AF27" i="1"/>
  <c r="AE27" i="1"/>
  <c r="Z27" i="1"/>
  <c r="V27" i="1"/>
  <c r="BV26" i="1"/>
  <c r="BF26" i="1"/>
  <c r="AF26" i="1"/>
  <c r="AE26" i="1"/>
  <c r="Z26" i="1"/>
  <c r="V26" i="1"/>
  <c r="BV25" i="1"/>
  <c r="BF25" i="1"/>
  <c r="AF25" i="1"/>
  <c r="AE25" i="1"/>
  <c r="Z25" i="1"/>
  <c r="V25" i="1"/>
  <c r="BF24" i="1"/>
  <c r="AF24" i="1"/>
  <c r="AE24" i="1"/>
  <c r="Z24" i="1"/>
  <c r="X24" i="1"/>
  <c r="V24" i="1"/>
  <c r="BV23" i="1"/>
  <c r="BF23" i="1"/>
  <c r="AF23" i="1"/>
  <c r="AE23" i="1"/>
  <c r="Z23" i="1"/>
  <c r="X23" i="1"/>
  <c r="V23" i="1"/>
  <c r="BV22" i="1"/>
  <c r="BF22" i="1"/>
  <c r="AF22" i="1"/>
  <c r="AF48" i="1" s="1"/>
  <c r="AE22" i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P17" i="1"/>
  <c r="P18" i="1" s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Z14" i="1"/>
  <c r="X14" i="1"/>
  <c r="U14" i="1"/>
  <c r="S14" i="1"/>
  <c r="N14" i="1"/>
  <c r="AD14" i="1" s="1"/>
  <c r="L14" i="1"/>
  <c r="BV33" i="1" s="1"/>
  <c r="CA12" i="1"/>
  <c r="BQ12" i="1"/>
  <c r="BK12" i="1"/>
  <c r="BA12" i="1"/>
  <c r="AU12" i="1"/>
  <c r="AT12" i="1"/>
  <c r="AK12" i="1"/>
  <c r="AE12" i="1"/>
  <c r="U12" i="1"/>
  <c r="N12" i="1"/>
  <c r="AD12" i="1" s="1"/>
  <c r="CA11" i="1"/>
  <c r="BZ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D11" i="1"/>
  <c r="AA11" i="1"/>
  <c r="Y11" i="1"/>
  <c r="U11" i="1"/>
  <c r="N11" i="1"/>
  <c r="AT11" i="1" s="1"/>
  <c r="CA10" i="1"/>
  <c r="BQ10" i="1"/>
  <c r="BK10" i="1"/>
  <c r="BA10" i="1"/>
  <c r="AU10" i="1"/>
  <c r="AK10" i="1"/>
  <c r="AE10" i="1"/>
  <c r="M10" i="1"/>
  <c r="K10" i="1"/>
  <c r="AQ10" i="1" s="1"/>
  <c r="CA9" i="1"/>
  <c r="BK9" i="1"/>
  <c r="BA9" i="1"/>
  <c r="AU9" i="1"/>
  <c r="AQ9" i="1"/>
  <c r="AK9" i="1"/>
  <c r="AE9" i="1"/>
  <c r="U9" i="1"/>
  <c r="BQ9" i="1" s="1"/>
  <c r="K9" i="1"/>
  <c r="BW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BQ3" i="1"/>
  <c r="BA3" i="1"/>
  <c r="AK3" i="1"/>
  <c r="E3" i="1"/>
  <c r="U3" i="1" s="1"/>
  <c r="AF2" i="1"/>
  <c r="AV2" i="1" s="1"/>
  <c r="BL2" i="1" s="1"/>
  <c r="CB2" i="1" s="1"/>
  <c r="AU4" i="1" l="1"/>
  <c r="AV18" i="1"/>
  <c r="AF18" i="1"/>
  <c r="BL18" i="1"/>
  <c r="CB18" i="1"/>
  <c r="AF50" i="1"/>
  <c r="AF49" i="1"/>
  <c r="AA10" i="1"/>
  <c r="BJ12" i="1"/>
  <c r="BJ14" i="1"/>
  <c r="BV24" i="1"/>
  <c r="BV41" i="1"/>
  <c r="BK4" i="1"/>
  <c r="BG9" i="1"/>
  <c r="BW10" i="1"/>
  <c r="AR14" i="1"/>
  <c r="BV40" i="1"/>
  <c r="BH14" i="1"/>
  <c r="BZ14" i="1"/>
  <c r="BG10" i="1"/>
  <c r="AE4" i="1"/>
  <c r="AA9" i="1"/>
  <c r="BZ12" i="1"/>
  <c r="AB14" i="1"/>
  <c r="CB17" i="1"/>
  <c r="BX14" i="1"/>
  <c r="AT14" i="1"/>
  <c r="BL17" i="1"/>
  <c r="BV29" i="1"/>
  <c r="BV30" i="1"/>
  <c r="BV31" i="1"/>
  <c r="BV32" i="1"/>
  <c r="AV48" i="1" l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BD80CC54-6E6A-467D-BDD7-4E30D8799A9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A2009F64-9D26-41F6-84B0-B9D6703E03C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734C7C7E-DF22-4034-8620-2326ECB3082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<sst xmlns="http://schemas.openxmlformats.org/spreadsheetml/2006/main" count="549" uniqueCount="206">
  <si>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</si>
  <si>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</si>
  <si>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</si>
  <si>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</si>
  <si>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</si>
  <si>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</si>
  <si>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</si>
  <si>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</si>
  <si>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</si>
  <si>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</si>
  <si>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</si>
  <si>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</si>
  <si>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</si>
  <si>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</si>
  <si>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</si>
  <si>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DB-DOOR-ER HF</t>
  </si>
  <si>
    <t>Delivery Date</t>
  </si>
  <si>
    <t>Elevation Code</t>
  </si>
  <si>
    <t>53DPR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</si>
  <si>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</si>
  <si>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</si>
  <si>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</si>
  <si>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W8D-21003</t>
  </si>
  <si>
    <t>Unit Code</t>
  </si>
  <si>
    <r>
      <t xml:space="preserve">H </t>
    </r>
    <r>
      <rPr>
        <sz val="10"/>
        <rFont val="Arial"/>
        <family val="2"/>
      </rPr>
      <t>item</t>
    </r>
  </si>
  <si>
    <t>W8D-20012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</si>
  <si>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</si>
  <si>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</si>
  <si>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</si>
  <si>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</si>
  <si>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</si>
  <si>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</si>
  <si>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</si>
  <si>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</si>
  <si>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</si>
  <si>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</si>
  <si>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</si>
  <si>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</si>
  <si>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</si>
  <si>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</si>
  <si>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</si>
  <si>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</si>
  <si>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</si>
  <si>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</si>
  <si>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</si>
  <si>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</si>
  <si>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</si>
  <si>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</si>
  <si>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</si>
  <si>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</si>
  <si>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</si>
  <si>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</si>
  <si>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</si>
  <si>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</si>
  <si>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</si>
  <si>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</si>
  <si>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</si>
  <si>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</si>
  <si>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</si>
  <si>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</si>
  <si>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</si>
  <si>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</si>
  <si>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</si>
  <si>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</si>
  <si>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</si>
  <si>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</si>
  <si>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</si>
  <si>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</si>
  <si>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</si>
  <si>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</si>
  <si>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</si>
  <si>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</si>
  <si>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</si>
  <si>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</si>
  <si>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</si>
  <si>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</si>
  <si>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</si>
  <si>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</si>
  <si>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</si>
  <si>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</si>
  <si>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</si>
  <si>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</si>
  <si>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YS1N</t>
  </si>
  <si>
    <t>9K-91388</t>
  </si>
  <si>
    <t>9K-11369</t>
  </si>
  <si>
    <t>FOR HINGE</t>
  </si>
  <si>
    <t>JAMB(L)</t>
  </si>
  <si>
    <t>9K-87021</t>
  </si>
  <si>
    <t>9K-87023</t>
  </si>
  <si>
    <t>MS-4010</t>
  </si>
  <si>
    <t>JAMB(R)</t>
  </si>
  <si>
    <t>9K-87024</t>
  </si>
  <si>
    <t>9K-13470</t>
  </si>
  <si>
    <t>9K-20889</t>
  </si>
  <si>
    <t>EF-4010D7</t>
  </si>
  <si>
    <t>9K-30298</t>
  </si>
  <si>
    <t>9K-87025</t>
  </si>
  <si>
    <t>9K-20879</t>
  </si>
  <si>
    <t>FOR JAMB</t>
  </si>
  <si>
    <t>WR-3120</t>
  </si>
  <si>
    <t>PANEL</t>
  </si>
  <si>
    <t>9K-87026</t>
  </si>
  <si>
    <t>2K-22464</t>
  </si>
  <si>
    <t>M</t>
  </si>
  <si>
    <t>4K-13677</t>
  </si>
  <si>
    <t>WF-3120</t>
  </si>
  <si>
    <t>FOR LOCK RECEIVER</t>
  </si>
  <si>
    <t>BM-4025G</t>
  </si>
  <si>
    <t>FOR JOINT FRAME</t>
  </si>
  <si>
    <t>S</t>
  </si>
  <si>
    <t>9K-30171</t>
  </si>
  <si>
    <t>K-19093</t>
  </si>
  <si>
    <t>FOR BRACKET</t>
  </si>
  <si>
    <t>9K-30297</t>
  </si>
  <si>
    <t>2K-38575</t>
  </si>
  <si>
    <t>9K-11382</t>
  </si>
  <si>
    <t>2K-30280</t>
  </si>
  <si>
    <t>EM-4008D8</t>
  </si>
  <si>
    <t>C5c</t>
  </si>
  <si>
    <t xml:space="preserve"> CHECK SIZE FRAME</t>
  </si>
  <si>
    <t xml:space="preserve"> VISUAL CHECK ( √ )</t>
  </si>
  <si>
    <t>9K-30296</t>
  </si>
  <si>
    <t>No</t>
  </si>
  <si>
    <t xml:space="preserve"> Point check</t>
  </si>
  <si>
    <t>Actual size</t>
  </si>
  <si>
    <t>Ok</t>
  </si>
  <si>
    <t>9K-11402</t>
  </si>
  <si>
    <t>FOR ASS</t>
  </si>
  <si>
    <t xml:space="preserve"> W-Top</t>
  </si>
  <si>
    <t>Elevation drawing</t>
  </si>
  <si>
    <t>9K-11384</t>
  </si>
  <si>
    <t xml:space="preserve"> W-Bottom</t>
  </si>
  <si>
    <t xml:space="preserve">All appearances </t>
  </si>
  <si>
    <t>9K-11383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</si>
  <si>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</si>
  <si>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</si>
  <si>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</si>
  <si>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</si>
  <si>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</si>
  <si>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</si>
  <si>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</si>
  <si>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</si>
  <si>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</si>
  <si>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</si>
  <si>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</si>
  <si>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</si>
  <si>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</si>
  <si>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</si>
  <si>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</si>
  <si>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</si>
  <si>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WWG_FLUTE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</si>
  <si>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</si>
  <si>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</si>
  <si>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</si>
  <si>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</si>
  <si>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</si>
  <si>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</si>
  <si>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</si>
  <si>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</si>
  <si>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</si>
  <si>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</si>
  <si>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STRIPS (R)</t>
  </si>
  <si>
    <t>BOTTOM ATTACHMENT (R)</t>
  </si>
  <si>
    <t>TOP ATTACHMENT (R)</t>
  </si>
  <si>
    <t>MEETING ATTACHMENT (R)</t>
  </si>
  <si>
    <t>RIGHT ATTACHMENT (R)</t>
  </si>
  <si>
    <t>STRIPS (L)</t>
  </si>
  <si>
    <t>BOTTOM ATTACHMENT (L)</t>
  </si>
  <si>
    <t>TOP ATTACHMENT (L)</t>
  </si>
  <si>
    <t>LEFT ATTACHMENT (L)</t>
  </si>
  <si>
    <t>MEETING ATTACHMENT (L)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</si>
  <si>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</si>
  <si>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</si>
  <si>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</si>
  <si>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</si>
  <si>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</si>
  <si>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</si>
  <si>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</si>
  <si>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</si>
  <si>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</si>
  <si>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</si>
  <si>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BACKPLATE, LOCK RECEIVER</t>
  </si>
  <si>
    <t>FOR HEAD, JAMB</t>
  </si>
  <si>
    <t>FOR JAMB, HEAD</t>
  </si>
  <si>
    <t>WOODEN PANEL</t>
  </si>
  <si>
    <t>MOHAIR</t>
  </si>
  <si>
    <t>CORNER CAP</t>
  </si>
  <si>
    <t>BRACKET</t>
  </si>
  <si>
    <t>CAP</t>
  </si>
  <si>
    <t>FLUSHBOLT</t>
  </si>
  <si>
    <t>BOLT</t>
  </si>
  <si>
    <t>LOCKSET</t>
  </si>
  <si>
    <t>LABEL</t>
  </si>
  <si>
    <t>HANDLE</t>
  </si>
  <si>
    <t>9K-40018</t>
  </si>
  <si>
    <t>9K-40022</t>
  </si>
  <si>
    <t>WR-3120-1</t>
  </si>
  <si>
    <t>4K-14311 L=249</t>
  </si>
  <si>
    <t>DG</t>
  </si>
  <si>
    <t>FOR LOCKSET SIDE (L)</t>
  </si>
  <si>
    <t>FOR FLUSHBOLT SIDE (R)</t>
  </si>
  <si>
    <t>FOR CORNER CAP, MEETING SIDE</t>
  </si>
  <si>
    <t>FOR TOP, BOTTOM, HINGE, MEETING (SIDE)</t>
  </si>
  <si>
    <t>FOR CAP</t>
  </si>
  <si>
    <t>L = 249</t>
  </si>
  <si>
    <t>L(9K-10837) = 767 L(9K-10838) = 1090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</si>
</sst>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" fillId="0" borderId="52" xfId="1" quotePrefix="1" applyBorder="1" applyProtection="1">
      <protection locked="0" hidden="1"/>
    </xf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28A2F272-144B-4228-B7E1-0175E58CCBB0}"/>
    <cellStyle name="Normal" xfId="0" builtinId="0"/>
    <cellStyle name="Normal 10" xfId="2" xr:uid="{A711F824-A7FC-4752-B5F1-8EC7A6EE0684}"/>
    <cellStyle name="Normal 2" xfId="1" xr:uid="{CFAE7BA3-AAEA-4A91-BD46-E42C52F96F51}"/>
    <cellStyle name="Normal 5" xfId="4" xr:uid="{16D8BA4F-EAEE-44E7-A4DF-BD87CC49B557}"/>
    <cellStyle name="Normal_COBA 2" xfId="5" xr:uid="{A31C45CD-3FD3-4D79-ABE8-396C2EA6E4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E2F2F5A-845C-4D75-8733-39EC321B2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073EA9CA-293B-4DAF-898D-CB14437F8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6857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449037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98EF03E7-F499-48DA-B252-15BEA30CA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721965" y="104775"/>
          <a:ext cx="1590132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489857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5C83E927-8785-4A20-A9FE-E8819D744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55305" y="104775"/>
          <a:ext cx="1592852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2E4068D4-EFB3-40AD-AEE6-3E27BC960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30124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7A3A02AF-0BB7-4BF4-93F9-5A5730E15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CC8155DD-EFEA-472B-B0BA-160EB2241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511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10</xdr:col>
      <xdr:colOff>280500</xdr:colOff>
      <xdr:row>37</xdr:row>
      <xdr:rowOff>157162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2B466EC5-DE86-4D69-BE9F-BD9A5692C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20340" y="4107180"/>
          <a:ext cx="1819740" cy="30070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  <row r="3231">
          <cell r="A3231" t="str">
            <v>9K-114161</v>
          </cell>
          <cell r="B3231" t="str">
            <v>9K-11416</v>
          </cell>
          <cell r="C3231" t="str">
            <v>YS</v>
          </cell>
          <cell r="D3231" t="str">
            <v>ARM STOPPER</v>
          </cell>
        </row>
        <row r="3232">
          <cell r="A3232" t="str">
            <v>9K-114162</v>
          </cell>
          <cell r="B3232" t="str">
            <v>9K-11416</v>
          </cell>
          <cell r="C3232" t="str">
            <v>YS</v>
          </cell>
          <cell r="D3232" t="str">
            <v>ARM STOPPER</v>
          </cell>
        </row>
        <row r="3233">
          <cell r="A3233" t="str">
            <v>EM-5012D10-SA1</v>
          </cell>
          <cell r="B3233" t="str">
            <v>EM-5012D10-SA</v>
          </cell>
          <cell r="C3233" t="str">
            <v>YS</v>
          </cell>
          <cell r="D3233" t="str">
            <v>SCREW</v>
          </cell>
        </row>
        <row r="3234">
          <cell r="A3234" t="str">
            <v>EM-5012D10-SA2</v>
          </cell>
          <cell r="B3234" t="str">
            <v>EM-5012D10-SA</v>
          </cell>
          <cell r="C3234" t="str">
            <v>YS</v>
          </cell>
          <cell r="D3234" t="str">
            <v>SCREW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EC29-34F4-4E57-AF97-DA05369B90EE}">
  <sheetPr>
    <tabColor indexed="14"/>
    <pageSetUpPr fitToPage="1"/>
  </sheetPr>
  <dimension ref="B1:DP61"/>
  <sheetViews>
    <sheetView showGridLines="0" tabSelected="1" zoomScale="70" zoomScaleNormal="70" zoomScaleSheetLayoutView="70" workbookViewId="0">
      <selection activeCell="R26" sqref="R26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8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7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7.554687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7.332031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7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45527.57211458333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45527.57211458333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45527.57211458333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45527.57211458333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45527.57211458333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DB-DOOR-ER HF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DB-DOOR-ER HF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DB-DOOR-ER HF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DB-DOOR-ER HF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53DPR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53DPR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53DPR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53DPR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5">
        <f>W</f>
        <v>1934</v>
      </c>
      <c r="L9" s="336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53DPR</v>
      </c>
      <c r="V9" s="37"/>
      <c r="W9" s="56"/>
      <c r="X9" s="63"/>
      <c r="Y9" s="63"/>
      <c r="Z9" s="64" t="s">
        <v>21</v>
      </c>
      <c r="AA9" s="335">
        <f>$K$9</f>
        <v>1934</v>
      </c>
      <c r="AB9" s="336"/>
      <c r="AC9" s="66"/>
      <c r="AD9" s="62"/>
      <c r="AE9" s="60" t="str">
        <f>IF($O$9&gt;0,$O$9,"")</f>
        <v>W8D-21003</v>
      </c>
      <c r="AF9" s="61"/>
      <c r="AG9" s="3"/>
      <c r="AH9" s="54" t="s">
        <v>20</v>
      </c>
      <c r="AI9" s="37"/>
      <c r="AJ9" s="38"/>
      <c r="AK9" s="55" t="str">
        <f>IF($E$9&gt;0,$E$9,"")</f>
        <v>53DPR</v>
      </c>
      <c r="AL9" s="37"/>
      <c r="AM9" s="56"/>
      <c r="AN9" s="63"/>
      <c r="AO9" s="63"/>
      <c r="AP9" s="64" t="s">
        <v>21</v>
      </c>
      <c r="AQ9" s="335">
        <f>$K$9</f>
        <v>1934</v>
      </c>
      <c r="AR9" s="336"/>
      <c r="AS9" s="66"/>
      <c r="AT9" s="62"/>
      <c r="AU9" s="60" t="str">
        <f>IF($O$9&gt;0,$O$9,"")</f>
        <v>W8D-21003</v>
      </c>
      <c r="AV9" s="61"/>
      <c r="AW9" s="3"/>
      <c r="AX9" s="54" t="s">
        <v>20</v>
      </c>
      <c r="AY9" s="37"/>
      <c r="AZ9" s="38"/>
      <c r="BA9" s="55" t="str">
        <f>IF(E9&gt;0,E9,"")</f>
        <v>53DPR</v>
      </c>
      <c r="BB9" s="37"/>
      <c r="BC9" s="56"/>
      <c r="BD9" s="63"/>
      <c r="BE9" s="63"/>
      <c r="BF9" s="64" t="s">
        <v>21</v>
      </c>
      <c r="BG9" s="335">
        <f>$K$9</f>
        <v>1934</v>
      </c>
      <c r="BH9" s="336"/>
      <c r="BI9" s="66"/>
      <c r="BJ9" s="62"/>
      <c r="BK9" s="60" t="str">
        <f>IF($O$9&gt;0,$O$9,"")</f>
        <v>W8D-21003</v>
      </c>
      <c r="BL9" s="61"/>
      <c r="BM9" s="3"/>
      <c r="BN9" s="54" t="s">
        <v>20</v>
      </c>
      <c r="BO9" s="37"/>
      <c r="BP9" s="38"/>
      <c r="BQ9" s="55" t="str">
        <f>IF(U9&gt;0,U9,"")</f>
        <v>53DPR</v>
      </c>
      <c r="BR9" s="37"/>
      <c r="BS9" s="56"/>
      <c r="BT9" s="63"/>
      <c r="BU9" s="63"/>
      <c r="BV9" s="64" t="s">
        <v>21</v>
      </c>
      <c r="BW9" s="335">
        <f>$K$9</f>
        <v>1934</v>
      </c>
      <c r="BX9" s="336"/>
      <c r="BY9" s="66"/>
      <c r="BZ9" s="62"/>
      <c r="CA9" s="60" t="str">
        <f>IF($O$9&gt;0,$O$9,"")</f>
        <v>W8D-21003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5">
        <f>H</f>
        <v>2800</v>
      </c>
      <c r="L10" s="337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5">
        <f>$K$10</f>
        <v>2800</v>
      </c>
      <c r="AB10" s="336"/>
      <c r="AC10" s="66"/>
      <c r="AD10" s="62"/>
      <c r="AE10" s="60" t="str">
        <f>IF($O$10&gt;0,$O$10,"")</f>
        <v>W8D-20012</v>
      </c>
      <c r="AF10" s="61"/>
      <c r="AG10" s="3"/>
      <c r="AH10" s="54" t="s">
        <v>23</v>
      </c>
      <c r="AI10" s="37"/>
      <c r="AJ10" s="38"/>
      <c r="AK10" s="55" t="str">
        <f>IF($BQ$46="9K-11383","53DPR-I/HD","53DPR-I/ND")</f>
        <v>53DPR-I/ND</v>
      </c>
      <c r="AL10" s="37"/>
      <c r="AM10" s="56"/>
      <c r="AN10" s="63"/>
      <c r="AO10" s="63"/>
      <c r="AP10" s="67" t="s">
        <v>24</v>
      </c>
      <c r="AQ10" s="335">
        <f>$K$10</f>
        <v>2800</v>
      </c>
      <c r="AR10" s="336"/>
      <c r="AS10" s="66"/>
      <c r="AT10" s="62"/>
      <c r="AU10" s="60" t="str">
        <f>IF($O$10&gt;0,$O$10,"")</f>
        <v>W8D-20012</v>
      </c>
      <c r="AV10" s="61"/>
      <c r="AW10" s="3"/>
      <c r="AX10" s="54" t="s">
        <v>23</v>
      </c>
      <c r="AY10" s="37"/>
      <c r="AZ10" s="38"/>
      <c r="BA10" s="55" t="str">
        <f>IF($U$10&gt;0,$U$10,"")</f>
        <v>53DPR</v>
      </c>
      <c r="BB10" s="37"/>
      <c r="BC10" s="56"/>
      <c r="BD10" s="63"/>
      <c r="BE10" s="63"/>
      <c r="BF10" s="67" t="s">
        <v>24</v>
      </c>
      <c r="BG10" s="335">
        <f>$K$10</f>
        <v>2800</v>
      </c>
      <c r="BH10" s="336"/>
      <c r="BI10" s="66"/>
      <c r="BJ10" s="62"/>
      <c r="BK10" s="60" t="str">
        <f>IF($O$10&gt;0,$O$10,"")</f>
        <v>W8D-20012</v>
      </c>
      <c r="BL10" s="61"/>
      <c r="BM10" s="3"/>
      <c r="BN10" s="54" t="s">
        <v>23</v>
      </c>
      <c r="BO10" s="37"/>
      <c r="BP10" s="38"/>
      <c r="BQ10" s="55" t="str">
        <f>IF($AK$10&gt;0,$AK$10,"")</f>
        <v>53DPR-I/ND</v>
      </c>
      <c r="BR10" s="37"/>
      <c r="BS10" s="56"/>
      <c r="BT10" s="63"/>
      <c r="BU10" s="63"/>
      <c r="BV10" s="67" t="s">
        <v>24</v>
      </c>
      <c r="BW10" s="335">
        <f>$K$10</f>
        <v>2800</v>
      </c>
      <c r="BX10" s="336"/>
      <c r="BY10" s="66"/>
      <c r="BZ10" s="62"/>
      <c r="CA10" s="60" t="str">
        <f>IF($O$10&gt;0,$O$10,"")</f>
        <v>W8D-20012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1934</v>
      </c>
      <c r="F11" s="25"/>
      <c r="G11" s="73"/>
      <c r="H11" s="333" t="s">
        <v>27</v>
      </c>
      <c r="I11" s="333">
        <v>1</v>
      </c>
      <c r="J11" s="333" t="s">
        <v>28</v>
      </c>
      <c r="K11" s="329" t="s">
        <v>29</v>
      </c>
      <c r="L11" s="330"/>
      <c r="M11" s="324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1934</v>
      </c>
      <c r="V11" s="25"/>
      <c r="W11" s="73"/>
      <c r="X11" s="333" t="s">
        <v>27</v>
      </c>
      <c r="Y11" s="333">
        <f>IF($I$11&gt;0,$I$11,"")</f>
        <v>1</v>
      </c>
      <c r="Z11" s="333" t="s">
        <v>28</v>
      </c>
      <c r="AA11" s="329" t="str">
        <f>IF($K$11&gt;0,$K$11,"")</f>
        <v>TT01</v>
      </c>
      <c r="AB11" s="330"/>
      <c r="AC11" s="324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1934</v>
      </c>
      <c r="AL11" s="25"/>
      <c r="AM11" s="73"/>
      <c r="AN11" s="333" t="s">
        <v>27</v>
      </c>
      <c r="AO11" s="333">
        <f>IF($I$11&gt;0,$I$11,"")</f>
        <v>1</v>
      </c>
      <c r="AP11" s="333" t="s">
        <v>28</v>
      </c>
      <c r="AQ11" s="329" t="str">
        <f>IF($K$11&gt;0,$K$11,"")</f>
        <v>TT01</v>
      </c>
      <c r="AR11" s="330"/>
      <c r="AS11" s="324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1934</v>
      </c>
      <c r="BB11" s="25"/>
      <c r="BC11" s="73"/>
      <c r="BD11" s="333" t="s">
        <v>27</v>
      </c>
      <c r="BE11" s="333">
        <f>IF($I$11&gt;0,$I$11,"")</f>
        <v>1</v>
      </c>
      <c r="BF11" s="333" t="s">
        <v>28</v>
      </c>
      <c r="BG11" s="329" t="str">
        <f>IF($K$11&gt;0,$K$11,"")</f>
        <v>TT01</v>
      </c>
      <c r="BH11" s="330"/>
      <c r="BI11" s="324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1934</v>
      </c>
      <c r="BR11" s="25"/>
      <c r="BS11" s="73"/>
      <c r="BT11" s="333" t="s">
        <v>27</v>
      </c>
      <c r="BU11" s="333">
        <f>IF($I$11&gt;0,$I$11,"")</f>
        <v>1</v>
      </c>
      <c r="BV11" s="333" t="s">
        <v>28</v>
      </c>
      <c r="BW11" s="329" t="str">
        <f>IF($K$11&gt;0,$K$11,"")</f>
        <v>TT01</v>
      </c>
      <c r="BX11" s="330"/>
      <c r="BY11" s="324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34"/>
      <c r="I12" s="334"/>
      <c r="J12" s="334"/>
      <c r="K12" s="331"/>
      <c r="L12" s="332"/>
      <c r="M12" s="325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34"/>
      <c r="Y12" s="334"/>
      <c r="Z12" s="334"/>
      <c r="AA12" s="331"/>
      <c r="AB12" s="332"/>
      <c r="AC12" s="325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34"/>
      <c r="AO12" s="334"/>
      <c r="AP12" s="334"/>
      <c r="AQ12" s="331"/>
      <c r="AR12" s="332"/>
      <c r="AS12" s="325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34"/>
      <c r="BE12" s="334"/>
      <c r="BF12" s="334"/>
      <c r="BG12" s="331"/>
      <c r="BH12" s="332"/>
      <c r="BI12" s="325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34"/>
      <c r="BU12" s="334"/>
      <c r="BV12" s="334"/>
      <c r="BW12" s="331"/>
      <c r="BX12" s="332"/>
      <c r="BY12" s="325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H-35</f>
        <v>2765</v>
      </c>
      <c r="M14" s="96" t="s">
        <v>38</v>
      </c>
      <c r="N14" s="98">
        <f>W/2-40</f>
        <v>927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927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927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>
        <f>IF(H=2400,900,IF(H=2600,900,IF(H=2800,1000,"")))</f>
        <v>1000</v>
      </c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>
        <f>IF($P$17&gt;0,$P$17,"")</f>
        <v>1000</v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>
        <f>IF($P$17&gt;0,$P$17,"")</f>
        <v>1000</v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990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>
        <f>IF($P$18&gt;0,$P$18,"")</f>
        <v>990</v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>
        <f>IF($P$18&gt;0,$P$18,"")</f>
        <v>990</v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>
        <f>IF($P$18&gt;0,$P$18,"")</f>
        <v>990</v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28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28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152" t="s">
        <v>74</v>
      </c>
      <c r="BB20" s="153"/>
      <c r="BC20" s="156" t="s">
        <v>69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152" t="s">
        <v>74</v>
      </c>
      <c r="BR20" s="153"/>
      <c r="BS20" s="156" t="s">
        <v>69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2</v>
      </c>
      <c r="X22" s="171">
        <f>W-61</f>
        <v>1873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1.080721</v>
      </c>
      <c r="AG22" s="4"/>
      <c r="AH22" s="214" t="s">
        <v>161</v>
      </c>
      <c r="AI22" s="215"/>
      <c r="AJ22" s="204" t="s">
        <v>82</v>
      </c>
      <c r="AK22" s="217" t="s">
        <v>83</v>
      </c>
      <c r="AL22" s="169" t="str">
        <f t="shared" ref="AL22:AL39" si="3">IF(AK22&gt;"","-","")</f>
        <v>-</v>
      </c>
      <c r="AM22" s="218">
        <v>0</v>
      </c>
      <c r="AN22" s="171">
        <f>WS.1-11</f>
        <v>916</v>
      </c>
      <c r="AO22" s="219">
        <v>2</v>
      </c>
      <c r="AP22" s="173">
        <f t="shared" ref="AP22:AP39" si="4">IF(AO22&lt;0.1,"",Q*AO22)</f>
        <v>2</v>
      </c>
      <c r="AQ22" s="220"/>
      <c r="AR22" s="175"/>
      <c r="AS22" s="176"/>
      <c r="AT22" s="212"/>
      <c r="AU22" s="178">
        <f t="shared" ref="AU22:AU39" si="5">IF(AK22&gt;"",VLOOKUP(AK22,MATERIAL_WEIGHT,2,FALSE),"")</f>
        <v>7.5999999999999998E-2</v>
      </c>
      <c r="AV22" s="179">
        <f t="shared" ref="AV22:AV39" si="6">IF(AK22&gt;"",(AU22*AN22*AP22)/1000,"")</f>
        <v>0.13923199999999999</v>
      </c>
      <c r="AW22" s="4"/>
      <c r="AX22" s="199" t="s">
        <v>171</v>
      </c>
      <c r="AY22" s="200"/>
      <c r="AZ22" s="201"/>
      <c r="BA22" s="205" t="s">
        <v>84</v>
      </c>
      <c r="BB22" s="169"/>
      <c r="BC22" s="181"/>
      <c r="BD22" s="182" t="s">
        <v>178</v>
      </c>
      <c r="BE22" s="172">
        <v>6</v>
      </c>
      <c r="BF22" s="173">
        <f t="shared" ref="BF22:BF60" si="7">IF(BE22="","",Q*BE22)</f>
        <v>6</v>
      </c>
      <c r="BG22" s="184"/>
      <c r="BH22" s="185" t="s">
        <v>85</v>
      </c>
      <c r="BI22" s="186"/>
      <c r="BJ22" s="187"/>
      <c r="BK22" s="206"/>
      <c r="BL22" s="189"/>
      <c r="BM22" s="4"/>
      <c r="BN22" s="199" t="s">
        <v>184</v>
      </c>
      <c r="BO22" s="200"/>
      <c r="BP22" s="201"/>
      <c r="BQ22" s="205" t="s">
        <v>194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199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1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199" t="s">
        <v>162</v>
      </c>
      <c r="AI23" s="200"/>
      <c r="AJ23" s="204" t="s">
        <v>82</v>
      </c>
      <c r="AK23" s="168" t="s">
        <v>88</v>
      </c>
      <c r="AL23" s="169" t="str">
        <f t="shared" si="3"/>
        <v>-</v>
      </c>
      <c r="AM23" s="170">
        <v>2</v>
      </c>
      <c r="AN23" s="208">
        <f>WS.1-9</f>
        <v>918</v>
      </c>
      <c r="AO23" s="172">
        <v>1</v>
      </c>
      <c r="AP23" s="173">
        <f t="shared" si="4"/>
        <v>1</v>
      </c>
      <c r="AQ23" s="220"/>
      <c r="AR23" s="175"/>
      <c r="AS23" s="176"/>
      <c r="AT23" s="177"/>
      <c r="AU23" s="178">
        <f t="shared" si="5"/>
        <v>0.187</v>
      </c>
      <c r="AV23" s="179">
        <f t="shared" si="6"/>
        <v>0.17166599999999999</v>
      </c>
      <c r="AW23" s="4"/>
      <c r="AX23" s="199" t="s">
        <v>172</v>
      </c>
      <c r="AY23" s="200"/>
      <c r="AZ23" s="201"/>
      <c r="BA23" s="168" t="s">
        <v>89</v>
      </c>
      <c r="BB23" s="169"/>
      <c r="BC23" s="181"/>
      <c r="BD23" s="182" t="s">
        <v>178</v>
      </c>
      <c r="BE23" s="172">
        <v>14</v>
      </c>
      <c r="BF23" s="173">
        <f t="shared" si="7"/>
        <v>14</v>
      </c>
      <c r="BG23" s="184"/>
      <c r="BH23" s="185" t="s">
        <v>181</v>
      </c>
      <c r="BI23" s="186"/>
      <c r="BJ23" s="187"/>
      <c r="BK23" s="206"/>
      <c r="BL23" s="189"/>
      <c r="BM23" s="4"/>
      <c r="BN23" s="199" t="s">
        <v>184</v>
      </c>
      <c r="BO23" s="200"/>
      <c r="BP23" s="201"/>
      <c r="BQ23" s="168" t="s">
        <v>195</v>
      </c>
      <c r="BR23" s="169"/>
      <c r="BS23" s="181"/>
      <c r="BT23" s="182"/>
      <c r="BU23" s="172">
        <v>1</v>
      </c>
      <c r="BV23" s="173">
        <f t="shared" si="8"/>
        <v>1</v>
      </c>
      <c r="BW23" s="184"/>
      <c r="BX23" s="185" t="s">
        <v>200</v>
      </c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90</v>
      </c>
      <c r="S24" s="200"/>
      <c r="T24" s="201"/>
      <c r="U24" s="168" t="s">
        <v>87</v>
      </c>
      <c r="V24" s="169" t="str">
        <f t="shared" si="0"/>
        <v>-</v>
      </c>
      <c r="W24" s="202">
        <v>2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163</v>
      </c>
      <c r="AI24" s="200"/>
      <c r="AJ24" s="204" t="s">
        <v>82</v>
      </c>
      <c r="AK24" s="168" t="s">
        <v>91</v>
      </c>
      <c r="AL24" s="169" t="str">
        <f t="shared" si="3"/>
        <v>-</v>
      </c>
      <c r="AM24" s="221">
        <v>2</v>
      </c>
      <c r="AN24" s="208">
        <f>WS.1-5.5</f>
        <v>921.5</v>
      </c>
      <c r="AO24" s="172">
        <v>1</v>
      </c>
      <c r="AP24" s="173">
        <f t="shared" si="4"/>
        <v>1</v>
      </c>
      <c r="AQ24" s="220"/>
      <c r="AR24" s="175"/>
      <c r="AS24" s="176"/>
      <c r="AT24" s="212"/>
      <c r="AU24" s="178">
        <f t="shared" si="5"/>
        <v>0.20799999999999999</v>
      </c>
      <c r="AV24" s="179">
        <f t="shared" si="6"/>
        <v>0.19167200000000001</v>
      </c>
      <c r="AW24" s="4"/>
      <c r="AX24" s="199" t="s">
        <v>173</v>
      </c>
      <c r="AY24" s="200"/>
      <c r="AZ24" s="201"/>
      <c r="BA24" s="168" t="s">
        <v>92</v>
      </c>
      <c r="BB24" s="169"/>
      <c r="BC24" s="181"/>
      <c r="BD24" s="182" t="s">
        <v>178</v>
      </c>
      <c r="BE24" s="172">
        <v>6</v>
      </c>
      <c r="BF24" s="173">
        <f t="shared" si="7"/>
        <v>6</v>
      </c>
      <c r="BG24" s="184"/>
      <c r="BH24" s="185"/>
      <c r="BI24" s="186"/>
      <c r="BJ24" s="187"/>
      <c r="BK24" s="188"/>
      <c r="BL24" s="189"/>
      <c r="BM24" s="4"/>
      <c r="BN24" s="199" t="s">
        <v>185</v>
      </c>
      <c r="BO24" s="200"/>
      <c r="BP24" s="201"/>
      <c r="BQ24" s="168" t="s">
        <v>93</v>
      </c>
      <c r="BR24" s="169"/>
      <c r="BS24" s="181"/>
      <c r="BT24" s="182" t="s">
        <v>179</v>
      </c>
      <c r="BU24" s="172">
        <f>(WS.1-9)*2/1000</f>
        <v>1.8360000000000001</v>
      </c>
      <c r="BV24" s="173">
        <f t="shared" si="8"/>
        <v>1.8360000000000001</v>
      </c>
      <c r="BW24" s="184" t="s">
        <v>103</v>
      </c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164</v>
      </c>
      <c r="AI25" s="200"/>
      <c r="AJ25" s="204" t="s">
        <v>82</v>
      </c>
      <c r="AK25" s="168" t="s">
        <v>96</v>
      </c>
      <c r="AL25" s="169" t="str">
        <f t="shared" si="3"/>
        <v>-</v>
      </c>
      <c r="AM25" s="170">
        <v>1</v>
      </c>
      <c r="AN25" s="171">
        <f>HS.1</f>
        <v>2765</v>
      </c>
      <c r="AO25" s="172">
        <v>1</v>
      </c>
      <c r="AP25" s="173">
        <f t="shared" si="4"/>
        <v>1</v>
      </c>
      <c r="AQ25" s="220"/>
      <c r="AR25" s="175"/>
      <c r="AS25" s="176"/>
      <c r="AT25" s="212"/>
      <c r="AU25" s="178">
        <f t="shared" si="5"/>
        <v>0.34899999999999998</v>
      </c>
      <c r="AV25" s="179">
        <f t="shared" si="6"/>
        <v>0.96498499999999987</v>
      </c>
      <c r="AW25" s="4"/>
      <c r="AX25" s="199" t="s">
        <v>172</v>
      </c>
      <c r="AY25" s="200"/>
      <c r="AZ25" s="201"/>
      <c r="BA25" s="168" t="s">
        <v>94</v>
      </c>
      <c r="BB25" s="169"/>
      <c r="BC25" s="181"/>
      <c r="BD25" s="182" t="s">
        <v>178</v>
      </c>
      <c r="BE25" s="172">
        <v>30</v>
      </c>
      <c r="BF25" s="173">
        <f t="shared" si="7"/>
        <v>30</v>
      </c>
      <c r="BG25" s="184"/>
      <c r="BH25" s="185" t="s">
        <v>85</v>
      </c>
      <c r="BI25" s="186"/>
      <c r="BJ25" s="187"/>
      <c r="BK25" s="188"/>
      <c r="BL25" s="189"/>
      <c r="BM25" s="4"/>
      <c r="BN25" s="199" t="s">
        <v>186</v>
      </c>
      <c r="BO25" s="200"/>
      <c r="BP25" s="201"/>
      <c r="BQ25" s="168" t="s">
        <v>95</v>
      </c>
      <c r="BR25" s="169"/>
      <c r="BS25" s="181"/>
      <c r="BT25" s="182" t="s">
        <v>180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214" t="s">
        <v>165</v>
      </c>
      <c r="AI26" s="215"/>
      <c r="AJ26" s="204" t="s">
        <v>82</v>
      </c>
      <c r="AK26" s="168" t="s">
        <v>91</v>
      </c>
      <c r="AL26" s="169" t="str">
        <f t="shared" si="3"/>
        <v>-</v>
      </c>
      <c r="AM26" s="170">
        <v>5</v>
      </c>
      <c r="AN26" s="208">
        <f>HS.1-12</f>
        <v>2753</v>
      </c>
      <c r="AO26" s="172">
        <v>1</v>
      </c>
      <c r="AP26" s="173">
        <f t="shared" si="4"/>
        <v>1</v>
      </c>
      <c r="AQ26" s="220"/>
      <c r="AR26" s="175"/>
      <c r="AS26" s="176"/>
      <c r="AT26" s="212"/>
      <c r="AU26" s="178">
        <f t="shared" si="5"/>
        <v>0.20799999999999999</v>
      </c>
      <c r="AV26" s="179">
        <f t="shared" si="6"/>
        <v>0.57262400000000002</v>
      </c>
      <c r="AW26" s="4"/>
      <c r="AX26" s="199" t="s">
        <v>174</v>
      </c>
      <c r="AY26" s="200"/>
      <c r="AZ26" s="201"/>
      <c r="BA26" s="168" t="s">
        <v>97</v>
      </c>
      <c r="BB26" s="169"/>
      <c r="BC26" s="181"/>
      <c r="BD26" s="182" t="s">
        <v>179</v>
      </c>
      <c r="BE26" s="172">
        <v>1</v>
      </c>
      <c r="BF26" s="173">
        <f t="shared" si="7"/>
        <v>1</v>
      </c>
      <c r="BG26" s="184"/>
      <c r="BH26" s="185" t="s">
        <v>98</v>
      </c>
      <c r="BI26" s="186"/>
      <c r="BJ26" s="187"/>
      <c r="BK26" s="188"/>
      <c r="BL26" s="189"/>
      <c r="BM26" s="4"/>
      <c r="BN26" s="199" t="s">
        <v>172</v>
      </c>
      <c r="BO26" s="200"/>
      <c r="BP26" s="201"/>
      <c r="BQ26" s="168" t="s">
        <v>99</v>
      </c>
      <c r="BR26" s="169"/>
      <c r="BS26" s="181"/>
      <c r="BT26" s="182" t="s">
        <v>180</v>
      </c>
      <c r="BU26" s="172">
        <v>10</v>
      </c>
      <c r="BV26" s="173">
        <f t="shared" si="8"/>
        <v>10</v>
      </c>
      <c r="BW26" s="184"/>
      <c r="BX26" s="185" t="s">
        <v>201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214" t="s">
        <v>100</v>
      </c>
      <c r="AI27" s="215"/>
      <c r="AJ27" s="204" t="s">
        <v>82</v>
      </c>
      <c r="AK27" s="168" t="s">
        <v>101</v>
      </c>
      <c r="AL27" s="169" t="str">
        <f t="shared" si="3"/>
        <v>-</v>
      </c>
      <c r="AM27" s="170">
        <v>0</v>
      </c>
      <c r="AN27" s="171">
        <f>HS.1-36</f>
        <v>2729</v>
      </c>
      <c r="AO27" s="172">
        <v>1</v>
      </c>
      <c r="AP27" s="173">
        <f t="shared" si="4"/>
        <v>1</v>
      </c>
      <c r="AQ27" s="220"/>
      <c r="AR27" s="175"/>
      <c r="AS27" s="176"/>
      <c r="AT27" s="212"/>
      <c r="AU27" s="178">
        <f t="shared" si="5"/>
        <v>0.94699999999999995</v>
      </c>
      <c r="AV27" s="179">
        <f t="shared" si="6"/>
        <v>2.5843629999999997</v>
      </c>
      <c r="AW27" s="4"/>
      <c r="AX27" s="199" t="s">
        <v>175</v>
      </c>
      <c r="AY27" s="200"/>
      <c r="AZ27" s="201"/>
      <c r="BA27" s="168" t="s">
        <v>102</v>
      </c>
      <c r="BB27" s="169"/>
      <c r="BC27" s="181"/>
      <c r="BD27" s="182" t="s">
        <v>179</v>
      </c>
      <c r="BE27" s="172">
        <f>((W-61)+((H-38)*2))/1000</f>
        <v>7.3970000000000002</v>
      </c>
      <c r="BF27" s="173">
        <f t="shared" si="7"/>
        <v>7.3970000000000002</v>
      </c>
      <c r="BG27" s="213" t="s">
        <v>103</v>
      </c>
      <c r="BH27" s="185" t="s">
        <v>182</v>
      </c>
      <c r="BI27" s="186"/>
      <c r="BJ27" s="187"/>
      <c r="BK27" s="188"/>
      <c r="BL27" s="189"/>
      <c r="BM27" s="4"/>
      <c r="BN27" s="199" t="s">
        <v>172</v>
      </c>
      <c r="BO27" s="200"/>
      <c r="BP27" s="201"/>
      <c r="BQ27" s="168" t="s">
        <v>105</v>
      </c>
      <c r="BR27" s="169"/>
      <c r="BS27" s="181"/>
      <c r="BT27" s="182" t="s">
        <v>180</v>
      </c>
      <c r="BU27" s="172">
        <f>IF(HS.1=2365,12,IF(HS.1=2565,13,IF(HS.1=2765,16,0)))+12</f>
        <v>28</v>
      </c>
      <c r="BV27" s="173">
        <f t="shared" si="8"/>
        <v>28</v>
      </c>
      <c r="BW27" s="213"/>
      <c r="BX27" s="185" t="s">
        <v>202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 t="s">
        <v>166</v>
      </c>
      <c r="AI28" s="215"/>
      <c r="AJ28" s="204" t="s">
        <v>82</v>
      </c>
      <c r="AK28" s="168" t="s">
        <v>83</v>
      </c>
      <c r="AL28" s="169" t="str">
        <f t="shared" si="3"/>
        <v>-</v>
      </c>
      <c r="AM28" s="170">
        <v>0</v>
      </c>
      <c r="AN28" s="171">
        <f>WS.1-11</f>
        <v>916</v>
      </c>
      <c r="AO28" s="172">
        <v>2</v>
      </c>
      <c r="AP28" s="173">
        <f t="shared" si="4"/>
        <v>2</v>
      </c>
      <c r="AQ28" s="220"/>
      <c r="AR28" s="175"/>
      <c r="AS28" s="176"/>
      <c r="AT28" s="212"/>
      <c r="AU28" s="178">
        <f t="shared" si="5"/>
        <v>7.5999999999999998E-2</v>
      </c>
      <c r="AV28" s="179">
        <f t="shared" si="6"/>
        <v>0.13923199999999999</v>
      </c>
      <c r="AW28" s="4"/>
      <c r="AX28" s="199" t="s">
        <v>176</v>
      </c>
      <c r="AY28" s="200"/>
      <c r="AZ28" s="201"/>
      <c r="BA28" s="168" t="s">
        <v>104</v>
      </c>
      <c r="BB28" s="169"/>
      <c r="BC28" s="181"/>
      <c r="BD28" s="182" t="s">
        <v>178</v>
      </c>
      <c r="BE28" s="172">
        <v>1</v>
      </c>
      <c r="BF28" s="173">
        <f t="shared" si="7"/>
        <v>1</v>
      </c>
      <c r="BG28" s="184"/>
      <c r="BH28" s="185" t="s">
        <v>106</v>
      </c>
      <c r="BI28" s="186"/>
      <c r="BJ28" s="187"/>
      <c r="BK28" s="188"/>
      <c r="BL28" s="189"/>
      <c r="BM28" s="4"/>
      <c r="BN28" s="199" t="s">
        <v>172</v>
      </c>
      <c r="BO28" s="200"/>
      <c r="BP28" s="201"/>
      <c r="BQ28" s="168" t="s">
        <v>196</v>
      </c>
      <c r="BR28" s="169"/>
      <c r="BS28" s="181"/>
      <c r="BT28" s="182" t="s">
        <v>178</v>
      </c>
      <c r="BU28" s="172">
        <f>IF(HS.1=2365,32,IF(HS.1=2565,36,IF(HS.1=2765,40,0)))</f>
        <v>40</v>
      </c>
      <c r="BV28" s="173">
        <f t="shared" si="8"/>
        <v>40</v>
      </c>
      <c r="BW28" s="184"/>
      <c r="BX28" s="185" t="s">
        <v>112</v>
      </c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7"/>
      <c r="V29" s="169" t="str">
        <f t="shared" si="0"/>
        <v/>
      </c>
      <c r="W29" s="218"/>
      <c r="X29" s="171"/>
      <c r="Y29" s="219"/>
      <c r="Z29" s="173" t="str">
        <f t="shared" si="1"/>
        <v/>
      </c>
      <c r="AA29" s="220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 t="s">
        <v>167</v>
      </c>
      <c r="AI29" s="215"/>
      <c r="AJ29" s="204" t="s">
        <v>82</v>
      </c>
      <c r="AK29" s="168" t="s">
        <v>88</v>
      </c>
      <c r="AL29" s="169" t="str">
        <f t="shared" si="3"/>
        <v>-</v>
      </c>
      <c r="AM29" s="170">
        <v>1</v>
      </c>
      <c r="AN29" s="208">
        <f>WS.1-9</f>
        <v>918</v>
      </c>
      <c r="AO29" s="172">
        <v>1</v>
      </c>
      <c r="AP29" s="173">
        <f t="shared" si="4"/>
        <v>1</v>
      </c>
      <c r="AQ29" s="220"/>
      <c r="AR29" s="175"/>
      <c r="AS29" s="176"/>
      <c r="AT29" s="212"/>
      <c r="AU29" s="178">
        <f t="shared" si="5"/>
        <v>0.187</v>
      </c>
      <c r="AV29" s="179">
        <f t="shared" si="6"/>
        <v>0.17166599999999999</v>
      </c>
      <c r="AW29" s="4"/>
      <c r="AX29" s="199" t="s">
        <v>177</v>
      </c>
      <c r="AY29" s="200"/>
      <c r="AZ29" s="201"/>
      <c r="BA29" s="168" t="s">
        <v>110</v>
      </c>
      <c r="BB29" s="169"/>
      <c r="BC29" s="181"/>
      <c r="BD29" s="182" t="s">
        <v>180</v>
      </c>
      <c r="BE29" s="172">
        <f>IF(H=2400,22,IF(H=2600,22,IF(H=2800,24,0)))+6</f>
        <v>30</v>
      </c>
      <c r="BF29" s="173">
        <f t="shared" si="7"/>
        <v>30</v>
      </c>
      <c r="BG29" s="184"/>
      <c r="BH29" s="185" t="s">
        <v>183</v>
      </c>
      <c r="BI29" s="186"/>
      <c r="BJ29" s="187"/>
      <c r="BK29" s="188"/>
      <c r="BL29" s="189" t="s">
        <v>109</v>
      </c>
      <c r="BM29" s="4"/>
      <c r="BN29" s="199" t="s">
        <v>187</v>
      </c>
      <c r="BO29" s="200"/>
      <c r="BP29" s="201"/>
      <c r="BQ29" s="168" t="s">
        <v>111</v>
      </c>
      <c r="BR29" s="169"/>
      <c r="BS29" s="181"/>
      <c r="BT29" s="182" t="s">
        <v>178</v>
      </c>
      <c r="BU29" s="172">
        <f>IF(HS.1=2365,32,IF(HS.1=2565,36,IF(HS.1=2765,40,0)))</f>
        <v>40</v>
      </c>
      <c r="BV29" s="173">
        <f t="shared" si="8"/>
        <v>40</v>
      </c>
      <c r="BW29" s="184"/>
      <c r="BX29" s="185"/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0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214" t="s">
        <v>168</v>
      </c>
      <c r="AI30" s="215"/>
      <c r="AJ30" s="204" t="s">
        <v>82</v>
      </c>
      <c r="AK30" s="168" t="s">
        <v>91</v>
      </c>
      <c r="AL30" s="169" t="str">
        <f t="shared" si="3"/>
        <v>-</v>
      </c>
      <c r="AM30" s="170">
        <v>1</v>
      </c>
      <c r="AN30" s="208">
        <f>WS.1-5.5</f>
        <v>921.5</v>
      </c>
      <c r="AO30" s="172">
        <v>1</v>
      </c>
      <c r="AP30" s="173">
        <f t="shared" si="4"/>
        <v>1</v>
      </c>
      <c r="AQ30" s="220"/>
      <c r="AR30" s="175"/>
      <c r="AS30" s="176"/>
      <c r="AT30" s="212"/>
      <c r="AU30" s="178">
        <f t="shared" si="5"/>
        <v>0.20799999999999999</v>
      </c>
      <c r="AV30" s="179">
        <f t="shared" si="6"/>
        <v>0.19167200000000001</v>
      </c>
      <c r="AW30" s="4"/>
      <c r="AX30" s="199" t="s">
        <v>172</v>
      </c>
      <c r="AY30" s="200"/>
      <c r="AZ30" s="201"/>
      <c r="BA30" s="168" t="s">
        <v>107</v>
      </c>
      <c r="BB30" s="169"/>
      <c r="BC30" s="181"/>
      <c r="BD30" s="182" t="s">
        <v>178</v>
      </c>
      <c r="BE30" s="172">
        <v>4</v>
      </c>
      <c r="BF30" s="173">
        <f t="shared" si="7"/>
        <v>4</v>
      </c>
      <c r="BG30" s="184"/>
      <c r="BH30" s="185" t="s">
        <v>108</v>
      </c>
      <c r="BI30" s="186"/>
      <c r="BJ30" s="187"/>
      <c r="BK30" s="188"/>
      <c r="BL30" s="189" t="s">
        <v>109</v>
      </c>
      <c r="BM30" s="4"/>
      <c r="BN30" s="199" t="s">
        <v>188</v>
      </c>
      <c r="BO30" s="200"/>
      <c r="BP30" s="201"/>
      <c r="BQ30" s="168" t="s">
        <v>113</v>
      </c>
      <c r="BR30" s="169"/>
      <c r="BS30" s="181"/>
      <c r="BT30" s="182" t="s">
        <v>180</v>
      </c>
      <c r="BU30" s="172">
        <v>4</v>
      </c>
      <c r="BV30" s="173">
        <f t="shared" si="8"/>
        <v>4</v>
      </c>
      <c r="BW30" s="184"/>
      <c r="BX30" s="185" t="s">
        <v>203</v>
      </c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1"/>
      <c r="X31" s="208"/>
      <c r="Y31" s="172"/>
      <c r="Z31" s="173" t="str">
        <f t="shared" si="1"/>
        <v/>
      </c>
      <c r="AA31" s="220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214" t="s">
        <v>169</v>
      </c>
      <c r="AI31" s="215"/>
      <c r="AJ31" s="204" t="s">
        <v>82</v>
      </c>
      <c r="AK31" s="168" t="s">
        <v>91</v>
      </c>
      <c r="AL31" s="169" t="str">
        <f t="shared" si="3"/>
        <v>-</v>
      </c>
      <c r="AM31" s="170">
        <v>4</v>
      </c>
      <c r="AN31" s="208">
        <f>HS.1-12</f>
        <v>2753</v>
      </c>
      <c r="AO31" s="172">
        <v>1</v>
      </c>
      <c r="AP31" s="173">
        <f t="shared" si="4"/>
        <v>1</v>
      </c>
      <c r="AQ31" s="220"/>
      <c r="AR31" s="175"/>
      <c r="AS31" s="176"/>
      <c r="AT31" s="212"/>
      <c r="AU31" s="178">
        <f t="shared" si="5"/>
        <v>0.20799999999999999</v>
      </c>
      <c r="AV31" s="179">
        <f t="shared" si="6"/>
        <v>0.57262400000000002</v>
      </c>
      <c r="AW31" s="4"/>
      <c r="AX31" s="199"/>
      <c r="AY31" s="200"/>
      <c r="AZ31" s="201"/>
      <c r="BA31" s="168"/>
      <c r="BB31" s="169"/>
      <c r="BC31" s="181"/>
      <c r="BD31" s="182"/>
      <c r="BE31" s="172"/>
      <c r="BF31" s="173"/>
      <c r="BG31" s="184"/>
      <c r="BH31" s="185"/>
      <c r="BI31" s="186"/>
      <c r="BJ31" s="187"/>
      <c r="BK31" s="188"/>
      <c r="BL31" s="189"/>
      <c r="BM31" s="4"/>
      <c r="BN31" s="199" t="s">
        <v>188</v>
      </c>
      <c r="BO31" s="200"/>
      <c r="BP31" s="201"/>
      <c r="BQ31" s="168" t="s">
        <v>114</v>
      </c>
      <c r="BR31" s="169"/>
      <c r="BS31" s="181"/>
      <c r="BT31" s="182" t="s">
        <v>198</v>
      </c>
      <c r="BU31" s="172">
        <v>2</v>
      </c>
      <c r="BV31" s="173">
        <f t="shared" si="8"/>
        <v>2</v>
      </c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0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214" t="s">
        <v>170</v>
      </c>
      <c r="AI32" s="215"/>
      <c r="AJ32" s="204" t="s">
        <v>82</v>
      </c>
      <c r="AK32" s="168" t="s">
        <v>96</v>
      </c>
      <c r="AL32" s="169" t="str">
        <f t="shared" si="3"/>
        <v>-</v>
      </c>
      <c r="AM32" s="170">
        <v>3</v>
      </c>
      <c r="AN32" s="171">
        <f>HS.1</f>
        <v>2765</v>
      </c>
      <c r="AO32" s="172">
        <v>1</v>
      </c>
      <c r="AP32" s="173">
        <f t="shared" si="4"/>
        <v>1</v>
      </c>
      <c r="AQ32" s="220"/>
      <c r="AR32" s="175"/>
      <c r="AS32" s="176"/>
      <c r="AT32" s="212"/>
      <c r="AU32" s="178">
        <f t="shared" si="5"/>
        <v>0.34899999999999998</v>
      </c>
      <c r="AV32" s="179">
        <f t="shared" si="6"/>
        <v>0.96498499999999987</v>
      </c>
      <c r="AW32" s="4"/>
      <c r="AX32" s="199" t="str">
        <f t="shared" ref="AX22:AX60" si="10">IF(BA32&gt;"",VLOOKUP(BA32,PART_NAMA,3,FALSE),"")</f>
        <v/>
      </c>
      <c r="AY32" s="200"/>
      <c r="AZ32" s="201"/>
      <c r="BA32" s="168"/>
      <c r="BB32" s="169"/>
      <c r="BC32" s="181"/>
      <c r="BD32" s="182" t="str">
        <f t="shared" ref="BD22:BD60" si="11">IF(BA32&gt;"",VLOOKUP(BA32&amp;$M$10,PART_MASTER,3,FALSE),"")</f>
        <v/>
      </c>
      <c r="BE32" s="172"/>
      <c r="BF32" s="173" t="str">
        <f t="shared" si="7"/>
        <v/>
      </c>
      <c r="BG32" s="184"/>
      <c r="BH32" s="185"/>
      <c r="BI32" s="186"/>
      <c r="BJ32" s="187"/>
      <c r="BK32" s="188"/>
      <c r="BL32" s="189"/>
      <c r="BM32" s="4"/>
      <c r="BN32" s="199" t="s">
        <v>176</v>
      </c>
      <c r="BO32" s="200"/>
      <c r="BP32" s="201"/>
      <c r="BQ32" s="168" t="s">
        <v>115</v>
      </c>
      <c r="BR32" s="169"/>
      <c r="BS32" s="181"/>
      <c r="BT32" s="182" t="s">
        <v>178</v>
      </c>
      <c r="BU32" s="172">
        <v>1</v>
      </c>
      <c r="BV32" s="173">
        <f t="shared" si="8"/>
        <v>1</v>
      </c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0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 t="s">
        <v>100</v>
      </c>
      <c r="AI33" s="215"/>
      <c r="AJ33" s="204" t="s">
        <v>82</v>
      </c>
      <c r="AK33" s="168" t="s">
        <v>101</v>
      </c>
      <c r="AL33" s="169" t="str">
        <f t="shared" si="3"/>
        <v>-</v>
      </c>
      <c r="AM33" s="170">
        <v>0</v>
      </c>
      <c r="AN33" s="171">
        <f>HS.1-36</f>
        <v>2729</v>
      </c>
      <c r="AO33" s="172">
        <v>1</v>
      </c>
      <c r="AP33" s="173">
        <f t="shared" si="4"/>
        <v>1</v>
      </c>
      <c r="AQ33" s="220"/>
      <c r="AR33" s="175"/>
      <c r="AS33" s="176"/>
      <c r="AT33" s="212"/>
      <c r="AU33" s="178">
        <f t="shared" si="5"/>
        <v>0.94699999999999995</v>
      </c>
      <c r="AV33" s="179">
        <f t="shared" si="6"/>
        <v>2.5843629999999997</v>
      </c>
      <c r="AW33" s="4"/>
      <c r="AX33" s="199" t="str">
        <f t="shared" si="10"/>
        <v/>
      </c>
      <c r="AY33" s="200"/>
      <c r="AZ33" s="201"/>
      <c r="BA33" s="168"/>
      <c r="BB33" s="169"/>
      <c r="BC33" s="181"/>
      <c r="BD33" s="182" t="str">
        <f t="shared" si="11"/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 t="s">
        <v>189</v>
      </c>
      <c r="BO33" s="200"/>
      <c r="BP33" s="201"/>
      <c r="BQ33" s="168" t="s">
        <v>116</v>
      </c>
      <c r="BR33" s="169"/>
      <c r="BS33" s="181"/>
      <c r="BT33" s="182" t="s">
        <v>198</v>
      </c>
      <c r="BU33" s="172">
        <v>2</v>
      </c>
      <c r="BV33" s="173">
        <f t="shared" si="8"/>
        <v>2</v>
      </c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0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0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/>
      <c r="AY34" s="200"/>
      <c r="AZ34" s="201"/>
      <c r="BA34" s="205"/>
      <c r="BB34" s="169"/>
      <c r="BC34" s="181"/>
      <c r="BD34" s="182"/>
      <c r="BE34" s="172"/>
      <c r="BF34" s="173"/>
      <c r="BG34" s="184"/>
      <c r="BH34" s="185"/>
      <c r="BI34" s="186"/>
      <c r="BJ34" s="187"/>
      <c r="BK34" s="206"/>
      <c r="BL34" s="189"/>
      <c r="BM34" s="4"/>
      <c r="BN34" s="199" t="s">
        <v>172</v>
      </c>
      <c r="BO34" s="200"/>
      <c r="BP34" s="201"/>
      <c r="BQ34" s="168" t="s">
        <v>117</v>
      </c>
      <c r="BR34" s="169"/>
      <c r="BS34" s="181"/>
      <c r="BT34" s="182" t="s">
        <v>178</v>
      </c>
      <c r="BU34" s="172">
        <v>4</v>
      </c>
      <c r="BV34" s="173">
        <f t="shared" si="8"/>
        <v>4</v>
      </c>
      <c r="BW34" s="213"/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0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0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 t="s">
        <v>190</v>
      </c>
      <c r="BO35" s="200"/>
      <c r="BP35" s="201"/>
      <c r="BQ35" s="168" t="s">
        <v>197</v>
      </c>
      <c r="BR35" s="169"/>
      <c r="BS35" s="181"/>
      <c r="BT35" s="182" t="s">
        <v>179</v>
      </c>
      <c r="BU35" s="172">
        <v>1</v>
      </c>
      <c r="BV35" s="173">
        <f t="shared" si="8"/>
        <v>1</v>
      </c>
      <c r="BW35" s="213"/>
      <c r="BX35" s="185" t="s">
        <v>204</v>
      </c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0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208"/>
      <c r="AO36" s="172"/>
      <c r="AP36" s="173" t="str">
        <f t="shared" si="4"/>
        <v/>
      </c>
      <c r="AQ36" s="220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188"/>
      <c r="BL36" s="189"/>
      <c r="BM36" s="4"/>
      <c r="BN36" s="199" t="s">
        <v>190</v>
      </c>
      <c r="BO36" s="200"/>
      <c r="BP36" s="201"/>
      <c r="BQ36" s="168" t="str">
        <f>IF(HS.1=2365,"9K-10837",IF(HS.1=2565,"9K-10837",IF(HS.1=2765,"9K-10838","")))</f>
        <v>9K-10838</v>
      </c>
      <c r="BR36" s="169"/>
      <c r="BS36" s="181"/>
      <c r="BT36" s="182" t="s">
        <v>179</v>
      </c>
      <c r="BU36" s="172">
        <v>1</v>
      </c>
      <c r="BV36" s="173">
        <f t="shared" si="8"/>
        <v>1</v>
      </c>
      <c r="BW36" s="213"/>
      <c r="BX36" s="185" t="s">
        <v>205</v>
      </c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0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0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 t="s">
        <v>175</v>
      </c>
      <c r="BO37" s="200"/>
      <c r="BP37" s="201"/>
      <c r="BQ37" s="168" t="s">
        <v>102</v>
      </c>
      <c r="BR37" s="169"/>
      <c r="BS37" s="181"/>
      <c r="BT37" s="182" t="s">
        <v>179</v>
      </c>
      <c r="BU37" s="183">
        <f>(HS.1-8.5)/1000</f>
        <v>2.7565</v>
      </c>
      <c r="BV37" s="173">
        <f t="shared" si="8"/>
        <v>2.7565</v>
      </c>
      <c r="BW37" s="213" t="s">
        <v>103</v>
      </c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2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0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0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 t="s">
        <v>191</v>
      </c>
      <c r="BO38" s="200"/>
      <c r="BP38" s="201"/>
      <c r="BQ38" s="168" t="s">
        <v>130</v>
      </c>
      <c r="BR38" s="169"/>
      <c r="BS38" s="181"/>
      <c r="BT38" s="182" t="s">
        <v>180</v>
      </c>
      <c r="BU38" s="172">
        <v>1</v>
      </c>
      <c r="BV38" s="173">
        <f t="shared" si="8"/>
        <v>1</v>
      </c>
      <c r="BW38" s="213"/>
      <c r="BX38" s="185"/>
      <c r="BY38" s="186"/>
      <c r="BZ38" s="187"/>
      <c r="CA38" s="188"/>
      <c r="CB38" s="189" t="s">
        <v>109</v>
      </c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0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171"/>
      <c r="AO39" s="172"/>
      <c r="AP39" s="173" t="str">
        <f t="shared" si="4"/>
        <v/>
      </c>
      <c r="AQ39" s="220"/>
      <c r="AR39" s="175"/>
      <c r="AS39" s="176"/>
      <c r="AT39" s="212"/>
      <c r="AU39" s="178" t="str">
        <f t="shared" si="5"/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213"/>
      <c r="BH39" s="185"/>
      <c r="BI39" s="186"/>
      <c r="BJ39" s="187"/>
      <c r="BK39" s="188"/>
      <c r="BL39" s="189"/>
      <c r="BM39" s="4"/>
      <c r="BN39" s="199" t="s">
        <v>192</v>
      </c>
      <c r="BO39" s="200"/>
      <c r="BP39" s="201"/>
      <c r="BQ39" s="168" t="s">
        <v>121</v>
      </c>
      <c r="BR39" s="169"/>
      <c r="BS39" s="223">
        <v>249</v>
      </c>
      <c r="BT39" s="182" t="s">
        <v>178</v>
      </c>
      <c r="BU39" s="172">
        <v>1</v>
      </c>
      <c r="BV39" s="173">
        <f t="shared" si="8"/>
        <v>1</v>
      </c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0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04"/>
      <c r="AK40" s="168"/>
      <c r="AL40" s="169"/>
      <c r="AM40" s="170"/>
      <c r="AN40" s="171"/>
      <c r="AO40" s="172"/>
      <c r="AP40" s="173"/>
      <c r="AQ40" s="220"/>
      <c r="AR40" s="175"/>
      <c r="AS40" s="176"/>
      <c r="AT40" s="212"/>
      <c r="AU40" s="178"/>
      <c r="AV40" s="179"/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 t="s">
        <v>172</v>
      </c>
      <c r="BO40" s="200"/>
      <c r="BP40" s="201"/>
      <c r="BQ40" s="168" t="s">
        <v>126</v>
      </c>
      <c r="BR40" s="169"/>
      <c r="BS40" s="223">
        <v>767</v>
      </c>
      <c r="BT40" s="182" t="s">
        <v>178</v>
      </c>
      <c r="BU40" s="183">
        <v>30</v>
      </c>
      <c r="BV40" s="173">
        <f t="shared" si="8"/>
        <v>30</v>
      </c>
      <c r="BW40" s="184"/>
      <c r="BX40" s="185" t="s">
        <v>85</v>
      </c>
      <c r="BY40" s="186"/>
      <c r="BZ40" s="187"/>
      <c r="CA40" s="188"/>
      <c r="CB40" s="189" t="s">
        <v>109</v>
      </c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118</v>
      </c>
      <c r="C41" s="225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6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0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ref="AL22:AL47" si="12">IF(AK41&gt;"","-","")</f>
        <v/>
      </c>
      <c r="AM41" s="170"/>
      <c r="AN41" s="171"/>
      <c r="AO41" s="172"/>
      <c r="AP41" s="173" t="str">
        <f t="shared" ref="AP22:AP47" si="13">IF(AO41&lt;0.1,"",Q*AO41)</f>
        <v/>
      </c>
      <c r="AQ41" s="220"/>
      <c r="AR41" s="175"/>
      <c r="AS41" s="176"/>
      <c r="AT41" s="212"/>
      <c r="AU41" s="178" t="str">
        <f t="shared" ref="AU39:AU47" si="14">IF(AK41&gt;"",VLOOKUP(AK41,MATERIAL_WEIGHT,2,FALSE),"")</f>
        <v/>
      </c>
      <c r="AV41" s="179" t="str">
        <f t="shared" ref="AV22:AV47" si="15">IF(AK41&gt;"",(AU41*AN41*AP41)/1000,"")</f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 t="s">
        <v>193</v>
      </c>
      <c r="BO41" s="200"/>
      <c r="BP41" s="201"/>
      <c r="BQ41" s="168" t="s">
        <v>133</v>
      </c>
      <c r="BR41" s="169"/>
      <c r="BS41" s="223">
        <v>1090</v>
      </c>
      <c r="BT41" s="182" t="s">
        <v>180</v>
      </c>
      <c r="BU41" s="183">
        <v>2</v>
      </c>
      <c r="BV41" s="173">
        <f t="shared" si="8"/>
        <v>2</v>
      </c>
      <c r="BW41" s="184"/>
      <c r="BX41" s="185" t="s">
        <v>127</v>
      </c>
      <c r="BY41" s="186"/>
      <c r="BZ41" s="187"/>
      <c r="CA41" s="188"/>
      <c r="CB41" s="189" t="s">
        <v>109</v>
      </c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4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0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12"/>
        <v/>
      </c>
      <c r="AM42" s="170"/>
      <c r="AN42" s="171"/>
      <c r="AO42" s="172"/>
      <c r="AP42" s="173" t="str">
        <f t="shared" si="13"/>
        <v/>
      </c>
      <c r="AQ42" s="220"/>
      <c r="AR42" s="175"/>
      <c r="AS42" s="176"/>
      <c r="AT42" s="212"/>
      <c r="AU42" s="178" t="str">
        <f t="shared" si="14"/>
        <v/>
      </c>
      <c r="AV42" s="179" t="str">
        <f t="shared" si="15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83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119</v>
      </c>
      <c r="C43" s="240"/>
      <c r="D43" s="240"/>
      <c r="E43" s="240"/>
      <c r="F43" s="241"/>
      <c r="G43" s="242"/>
      <c r="H43" s="243"/>
      <c r="I43" s="233"/>
      <c r="J43" s="244" t="s">
        <v>120</v>
      </c>
      <c r="K43" s="244"/>
      <c r="L43" s="245"/>
      <c r="M43" s="246"/>
      <c r="N43" s="247"/>
      <c r="O43" s="248"/>
      <c r="P43" s="249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0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12"/>
        <v/>
      </c>
      <c r="AM43" s="170"/>
      <c r="AN43" s="208"/>
      <c r="AO43" s="172"/>
      <c r="AP43" s="173" t="str">
        <f t="shared" si="13"/>
        <v/>
      </c>
      <c r="AQ43" s="220"/>
      <c r="AR43" s="175"/>
      <c r="AS43" s="176"/>
      <c r="AT43" s="212"/>
      <c r="AU43" s="178" t="str">
        <f t="shared" si="14"/>
        <v/>
      </c>
      <c r="AV43" s="179" t="str">
        <f t="shared" si="15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83"/>
      <c r="BV43" s="173"/>
      <c r="BW43" s="184"/>
      <c r="BX43" s="250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122</v>
      </c>
      <c r="C44" s="326" t="s">
        <v>123</v>
      </c>
      <c r="D44" s="327"/>
      <c r="E44" s="328"/>
      <c r="F44" s="326" t="s">
        <v>124</v>
      </c>
      <c r="G44" s="327"/>
      <c r="H44" s="328"/>
      <c r="I44" s="252"/>
      <c r="J44" s="253" t="s">
        <v>122</v>
      </c>
      <c r="K44" s="326" t="s">
        <v>123</v>
      </c>
      <c r="L44" s="327"/>
      <c r="M44" s="327"/>
      <c r="N44" s="328"/>
      <c r="O44" s="253" t="s">
        <v>125</v>
      </c>
      <c r="P44" s="254" t="s">
        <v>122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0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12"/>
        <v/>
      </c>
      <c r="AM44" s="170"/>
      <c r="AN44" s="171"/>
      <c r="AO44" s="172"/>
      <c r="AP44" s="173" t="str">
        <f t="shared" si="13"/>
        <v/>
      </c>
      <c r="AQ44" s="220"/>
      <c r="AR44" s="175"/>
      <c r="AS44" s="176"/>
      <c r="AT44" s="212"/>
      <c r="AU44" s="178" t="str">
        <f t="shared" si="14"/>
        <v/>
      </c>
      <c r="AV44" s="179" t="str">
        <f t="shared" si="15"/>
        <v/>
      </c>
      <c r="AW44" s="4"/>
      <c r="AX44" s="199" t="str">
        <f t="shared" si="10"/>
        <v/>
      </c>
      <c r="AY44" s="200"/>
      <c r="AZ44" s="201"/>
      <c r="BA44" s="168"/>
      <c r="BB44" s="169"/>
      <c r="BC44" s="181"/>
      <c r="BD44" s="182" t="str">
        <f t="shared" si="11"/>
        <v/>
      </c>
      <c r="BE44" s="183"/>
      <c r="BF44" s="173" t="str">
        <f t="shared" si="7"/>
        <v/>
      </c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83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128</v>
      </c>
      <c r="D45" s="257"/>
      <c r="E45" s="257"/>
      <c r="F45" s="258"/>
      <c r="G45" s="259"/>
      <c r="H45" s="260"/>
      <c r="I45" s="261"/>
      <c r="J45" s="262">
        <v>1</v>
      </c>
      <c r="K45" s="263" t="s">
        <v>129</v>
      </c>
      <c r="L45" s="259"/>
      <c r="M45" s="259"/>
      <c r="N45" s="264"/>
      <c r="O45" s="265"/>
      <c r="P45" s="266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0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12"/>
        <v/>
      </c>
      <c r="AM45" s="170"/>
      <c r="AN45" s="208"/>
      <c r="AO45" s="172"/>
      <c r="AP45" s="173" t="str">
        <f t="shared" si="13"/>
        <v/>
      </c>
      <c r="AQ45" s="220"/>
      <c r="AR45" s="175"/>
      <c r="AS45" s="176"/>
      <c r="AT45" s="212"/>
      <c r="AU45" s="178" t="str">
        <f t="shared" si="14"/>
        <v/>
      </c>
      <c r="AV45" s="179" t="str">
        <f t="shared" si="15"/>
        <v/>
      </c>
      <c r="AW45" s="4"/>
      <c r="AX45" s="199" t="str">
        <f t="shared" si="10"/>
        <v/>
      </c>
      <c r="AY45" s="200"/>
      <c r="AZ45" s="201"/>
      <c r="BA45" s="168"/>
      <c r="BB45" s="169"/>
      <c r="BC45" s="181"/>
      <c r="BD45" s="182" t="str">
        <f t="shared" si="11"/>
        <v/>
      </c>
      <c r="BE45" s="183"/>
      <c r="BF45" s="173" t="str">
        <f t="shared" si="7"/>
        <v/>
      </c>
      <c r="BG45" s="184"/>
      <c r="BH45" s="250"/>
      <c r="BI45" s="186"/>
      <c r="BJ45" s="187"/>
      <c r="BK45" s="188"/>
      <c r="BL45" s="189"/>
      <c r="BM45" s="4"/>
      <c r="BN45" s="199"/>
      <c r="BO45" s="200"/>
      <c r="BP45" s="201"/>
      <c r="BQ45" s="205"/>
      <c r="BR45" s="169"/>
      <c r="BS45" s="181"/>
      <c r="BT45" s="182"/>
      <c r="BU45" s="172"/>
      <c r="BV45" s="173"/>
      <c r="BW45" s="184"/>
      <c r="BX45" s="185"/>
      <c r="BY45" s="186"/>
      <c r="BZ45" s="187"/>
      <c r="CA45" s="206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131</v>
      </c>
      <c r="D46" s="259"/>
      <c r="E46" s="259"/>
      <c r="F46" s="263"/>
      <c r="G46" s="259"/>
      <c r="H46" s="260"/>
      <c r="I46" s="261"/>
      <c r="J46" s="262">
        <v>2</v>
      </c>
      <c r="K46" s="263" t="s">
        <v>132</v>
      </c>
      <c r="L46" s="259"/>
      <c r="M46" s="259"/>
      <c r="N46" s="264"/>
      <c r="O46" s="265"/>
      <c r="P46" s="266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0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12"/>
        <v/>
      </c>
      <c r="AM46" s="170"/>
      <c r="AN46" s="171"/>
      <c r="AO46" s="172"/>
      <c r="AP46" s="173" t="str">
        <f t="shared" si="13"/>
        <v/>
      </c>
      <c r="AQ46" s="220"/>
      <c r="AR46" s="175"/>
      <c r="AS46" s="176"/>
      <c r="AT46" s="212"/>
      <c r="AU46" s="178" t="str">
        <f t="shared" si="14"/>
        <v/>
      </c>
      <c r="AV46" s="179" t="str">
        <f t="shared" si="15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7" t="str">
        <f t="shared" si="11"/>
        <v/>
      </c>
      <c r="BE46" s="183"/>
      <c r="BF46" s="173" t="str">
        <f t="shared" si="7"/>
        <v/>
      </c>
      <c r="BG46" s="184"/>
      <c r="BH46" s="250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206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134</v>
      </c>
      <c r="D47" s="259"/>
      <c r="E47" s="259"/>
      <c r="F47" s="263"/>
      <c r="G47" s="259"/>
      <c r="H47" s="260"/>
      <c r="I47" s="268"/>
      <c r="J47" s="262">
        <v>3</v>
      </c>
      <c r="K47" s="263" t="s">
        <v>135</v>
      </c>
      <c r="L47" s="259"/>
      <c r="M47" s="259"/>
      <c r="N47" s="264"/>
      <c r="O47" s="265"/>
      <c r="P47" s="266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0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12"/>
        <v/>
      </c>
      <c r="AM47" s="170"/>
      <c r="AN47" s="171"/>
      <c r="AO47" s="172"/>
      <c r="AP47" s="173" t="str">
        <f t="shared" si="13"/>
        <v/>
      </c>
      <c r="AQ47" s="220"/>
      <c r="AR47" s="175"/>
      <c r="AS47" s="176"/>
      <c r="AT47" s="212"/>
      <c r="AU47" s="178" t="str">
        <f t="shared" si="14"/>
        <v/>
      </c>
      <c r="AV47" s="179" t="str">
        <f t="shared" si="15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7" t="str">
        <f t="shared" si="11"/>
        <v/>
      </c>
      <c r="BE47" s="183"/>
      <c r="BF47" s="173" t="str">
        <f t="shared" si="7"/>
        <v/>
      </c>
      <c r="BG47" s="184"/>
      <c r="BH47" s="250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136</v>
      </c>
      <c r="D48" s="259"/>
      <c r="E48" s="259"/>
      <c r="F48" s="263"/>
      <c r="G48" s="259"/>
      <c r="H48" s="260"/>
      <c r="I48" s="268"/>
      <c r="J48" s="262">
        <v>4</v>
      </c>
      <c r="K48" s="263" t="s">
        <v>137</v>
      </c>
      <c r="L48" s="259"/>
      <c r="M48" s="259"/>
      <c r="N48" s="264"/>
      <c r="O48" s="265"/>
      <c r="P48" s="266"/>
      <c r="Q48" s="4"/>
      <c r="R48" s="269" t="s">
        <v>76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138</v>
      </c>
      <c r="AD48" s="273"/>
      <c r="AE48" s="274" t="s">
        <v>139</v>
      </c>
      <c r="AF48" s="275">
        <f>SUM(AF22:AF47)</f>
        <v>4.4183210000000006</v>
      </c>
      <c r="AG48" s="4"/>
      <c r="AH48" s="269" t="s">
        <v>76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138</v>
      </c>
      <c r="AT48" s="273"/>
      <c r="AU48" s="274" t="s">
        <v>139</v>
      </c>
      <c r="AV48" s="275">
        <f>SUM(AV22:AV47)</f>
        <v>9.2490839999999999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50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140</v>
      </c>
      <c r="D49" s="259"/>
      <c r="E49" s="259"/>
      <c r="F49" s="263"/>
      <c r="G49" s="259"/>
      <c r="H49" s="260"/>
      <c r="I49" s="268"/>
      <c r="J49" s="262">
        <v>5</v>
      </c>
      <c r="K49" s="263" t="s">
        <v>141</v>
      </c>
      <c r="L49" s="259"/>
      <c r="M49" s="259"/>
      <c r="N49" s="264"/>
      <c r="O49" s="265"/>
      <c r="P49" s="266"/>
      <c r="Q49" s="4"/>
      <c r="R49" s="276" t="s">
        <v>142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143</v>
      </c>
      <c r="AE49" s="280" t="s">
        <v>144</v>
      </c>
      <c r="AF49" s="281">
        <f>AF48*0.986</f>
        <v>4.3564645060000009</v>
      </c>
      <c r="AG49" s="4"/>
      <c r="AH49" s="276" t="s">
        <v>142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143</v>
      </c>
      <c r="AU49" s="280" t="s">
        <v>144</v>
      </c>
      <c r="AV49" s="281">
        <f>AV48*0.986</f>
        <v>9.1195968240000003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50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184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145</v>
      </c>
      <c r="D50" s="259"/>
      <c r="E50" s="259"/>
      <c r="F50" s="263"/>
      <c r="G50" s="259"/>
      <c r="H50" s="260"/>
      <c r="I50" s="268"/>
      <c r="J50" s="262">
        <v>6</v>
      </c>
      <c r="K50" s="263" t="s">
        <v>146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147</v>
      </c>
      <c r="AF50" s="281">
        <f>AF48*0.974*0.986</f>
        <v>4.2431964288440005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147</v>
      </c>
      <c r="AV50" s="281">
        <f>AV48*0.974*0.986</f>
        <v>8.8824873065759995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50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213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5">
        <v>7</v>
      </c>
      <c r="C51" s="256" t="s">
        <v>148</v>
      </c>
      <c r="D51" s="259"/>
      <c r="E51" s="259"/>
      <c r="F51" s="263"/>
      <c r="G51" s="259"/>
      <c r="H51" s="260"/>
      <c r="I51" s="268"/>
      <c r="J51" s="262">
        <v>7</v>
      </c>
      <c r="K51" s="263" t="s">
        <v>149</v>
      </c>
      <c r="L51" s="259"/>
      <c r="M51" s="259"/>
      <c r="N51" s="264"/>
      <c r="O51" s="265"/>
      <c r="P51" s="266"/>
      <c r="Q51" s="4"/>
      <c r="R51" s="284" t="s">
        <v>150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5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5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184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6" t="s">
        <v>151</v>
      </c>
      <c r="C52" s="287"/>
      <c r="D52" s="288"/>
      <c r="E52" s="288"/>
      <c r="F52" s="288"/>
      <c r="G52" s="288"/>
      <c r="H52" s="288"/>
      <c r="I52" s="268"/>
      <c r="J52" s="262">
        <v>8</v>
      </c>
      <c r="K52" s="263" t="s">
        <v>152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5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5"/>
      <c r="AW52" s="4"/>
      <c r="AX52" s="199" t="str">
        <f t="shared" si="10"/>
        <v/>
      </c>
      <c r="AY52" s="200"/>
      <c r="AZ52" s="201"/>
      <c r="BA52" s="289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50"/>
      <c r="BI52" s="186"/>
      <c r="BJ52" s="187"/>
      <c r="BK52" s="188"/>
      <c r="BL52" s="189"/>
      <c r="BM52" s="4"/>
      <c r="BN52" s="199"/>
      <c r="BO52" s="200"/>
      <c r="BP52" s="201"/>
      <c r="BQ52" s="168"/>
      <c r="BR52" s="169"/>
      <c r="BS52" s="181"/>
      <c r="BT52" s="182"/>
      <c r="BU52" s="172"/>
      <c r="BV52" s="173"/>
      <c r="BW52" s="184"/>
      <c r="BX52" s="185"/>
      <c r="BY52" s="186"/>
      <c r="BZ52" s="187"/>
      <c r="CA52" s="188"/>
      <c r="CB52" s="189"/>
      <c r="CG52" s="3"/>
    </row>
    <row r="53" spans="2:120" ht="15" customHeight="1" x14ac:dyDescent="0.25">
      <c r="B53" s="290" t="s">
        <v>153</v>
      </c>
      <c r="C53" s="268"/>
      <c r="D53" s="268"/>
      <c r="E53" s="268"/>
      <c r="F53" s="268"/>
      <c r="G53" s="268"/>
      <c r="H53" s="268"/>
      <c r="I53" s="268"/>
      <c r="J53" s="291"/>
      <c r="K53" s="292"/>
      <c r="L53" s="292"/>
      <c r="M53" s="292"/>
      <c r="N53" s="293"/>
      <c r="O53" s="294"/>
      <c r="P53" s="295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5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5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/>
      <c r="BO53" s="200"/>
      <c r="BP53" s="201"/>
      <c r="BQ53" s="168"/>
      <c r="BR53" s="169"/>
      <c r="BS53" s="181"/>
      <c r="BT53" s="182"/>
      <c r="BU53" s="172"/>
      <c r="BV53" s="173"/>
      <c r="BW53" s="184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6" t="s">
        <v>154</v>
      </c>
      <c r="C54" s="268"/>
      <c r="D54" s="268"/>
      <c r="E54" s="268"/>
      <c r="F54" s="268"/>
      <c r="G54" s="268"/>
      <c r="H54" s="268"/>
      <c r="I54" s="268"/>
      <c r="J54" s="297"/>
      <c r="K54" s="298"/>
      <c r="L54" s="298"/>
      <c r="M54" s="298"/>
      <c r="N54" s="299"/>
      <c r="O54" s="300"/>
      <c r="P54" s="301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5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5"/>
      <c r="AW54" s="4"/>
      <c r="AX54" s="199" t="str">
        <f t="shared" si="10"/>
        <v/>
      </c>
      <c r="AY54" s="200"/>
      <c r="AZ54" s="201"/>
      <c r="BA54" s="289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/>
      <c r="BO54" s="200"/>
      <c r="BP54" s="201"/>
      <c r="BQ54" s="168"/>
      <c r="BR54" s="169"/>
      <c r="BS54" s="181"/>
      <c r="BT54" s="182"/>
      <c r="BU54" s="172"/>
      <c r="BV54" s="173"/>
      <c r="BW54" s="184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6" t="s">
        <v>155</v>
      </c>
      <c r="C55" s="268"/>
      <c r="D55" s="268"/>
      <c r="E55" s="268"/>
      <c r="F55" s="268"/>
      <c r="G55" s="268"/>
      <c r="H55" s="268"/>
      <c r="I55" s="268"/>
      <c r="J55" s="302" t="s">
        <v>156</v>
      </c>
      <c r="K55" s="294"/>
      <c r="L55" s="288"/>
      <c r="M55" s="288"/>
      <c r="N55" s="303"/>
      <c r="O55" s="259"/>
      <c r="P55" s="304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5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5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/>
      <c r="BO55" s="200"/>
      <c r="BP55" s="201"/>
      <c r="BQ55" s="168"/>
      <c r="BR55" s="169"/>
      <c r="BS55" s="181"/>
      <c r="BT55" s="182"/>
      <c r="BU55" s="172"/>
      <c r="BV55" s="173"/>
      <c r="BW55" s="184"/>
      <c r="BX55" s="185"/>
      <c r="BY55" s="186"/>
      <c r="BZ55" s="187"/>
      <c r="CA55" s="188"/>
      <c r="CB55" s="189"/>
    </row>
    <row r="56" spans="2:120" ht="15.6" x14ac:dyDescent="0.25">
      <c r="B56" s="305"/>
      <c r="C56" s="268"/>
      <c r="D56" s="268"/>
      <c r="E56" s="268"/>
      <c r="F56" s="268"/>
      <c r="G56" s="268"/>
      <c r="H56" s="268"/>
      <c r="I56" s="268"/>
      <c r="J56" s="306" t="s">
        <v>157</v>
      </c>
      <c r="K56" s="307"/>
      <c r="L56" s="307"/>
      <c r="M56" s="307"/>
      <c r="N56" s="308"/>
      <c r="O56" s="309" t="s">
        <v>158</v>
      </c>
      <c r="P56" s="310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5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5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/>
      <c r="BO56" s="200"/>
      <c r="BP56" s="201"/>
      <c r="BQ56" s="168"/>
      <c r="BR56" s="169"/>
      <c r="BS56" s="181"/>
      <c r="BT56" s="182"/>
      <c r="BU56" s="172"/>
      <c r="BV56" s="173"/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1"/>
      <c r="C57" s="312"/>
      <c r="D57" s="312"/>
      <c r="E57" s="312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3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5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5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/>
      <c r="BO57" s="200"/>
      <c r="BP57" s="201"/>
      <c r="BQ57" s="168"/>
      <c r="BR57" s="169"/>
      <c r="BS57" s="181"/>
      <c r="BT57" s="182"/>
      <c r="BU57" s="172"/>
      <c r="BV57" s="173"/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1"/>
      <c r="C58" s="312"/>
      <c r="D58" s="312"/>
      <c r="E58" s="312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3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5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5"/>
      <c r="AW58" s="4"/>
      <c r="AX58" s="214" t="str">
        <f t="shared" si="10"/>
        <v/>
      </c>
      <c r="AY58" s="200"/>
      <c r="AZ58" s="201"/>
      <c r="BA58" s="289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0"/>
      <c r="BI58" s="186"/>
      <c r="BJ58" s="187"/>
      <c r="BK58" s="206"/>
      <c r="BL58" s="314"/>
      <c r="BM58" s="4"/>
      <c r="BN58" s="199"/>
      <c r="BO58" s="200"/>
      <c r="BP58" s="201"/>
      <c r="BQ58" s="168"/>
      <c r="BR58" s="169"/>
      <c r="BS58" s="181"/>
      <c r="BT58" s="182"/>
      <c r="BU58" s="172"/>
      <c r="BV58" s="173"/>
      <c r="BW58" s="213"/>
      <c r="BX58" s="185"/>
      <c r="BY58" s="186"/>
      <c r="BZ58" s="187"/>
      <c r="CA58" s="188"/>
      <c r="CB58" s="189"/>
      <c r="CG58" s="3"/>
    </row>
    <row r="59" spans="2:120" ht="15" customHeight="1" x14ac:dyDescent="0.25">
      <c r="B59" s="311"/>
      <c r="C59" s="312"/>
      <c r="D59" s="312"/>
      <c r="E59" s="312"/>
      <c r="F59" s="312"/>
      <c r="G59" s="312"/>
      <c r="H59" s="312"/>
      <c r="I59" s="268"/>
      <c r="J59" s="268"/>
      <c r="K59" s="268"/>
      <c r="L59" s="315"/>
      <c r="M59" s="315"/>
      <c r="N59" s="315"/>
      <c r="O59" s="315"/>
      <c r="P59" s="313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5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5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0"/>
      <c r="BI59" s="186"/>
      <c r="BJ59" s="187"/>
      <c r="BK59" s="206"/>
      <c r="BL59" s="314"/>
      <c r="BM59" s="4"/>
      <c r="BN59" s="199"/>
      <c r="BO59" s="200"/>
      <c r="BP59" s="201"/>
      <c r="BQ59" s="168"/>
      <c r="BR59" s="169"/>
      <c r="BS59" s="181"/>
      <c r="BT59" s="182"/>
      <c r="BU59" s="172"/>
      <c r="BV59" s="173"/>
      <c r="BW59" s="213"/>
      <c r="BX59" s="185"/>
      <c r="BY59" s="186"/>
      <c r="BZ59" s="187"/>
      <c r="CA59" s="188"/>
      <c r="CB59" s="189"/>
    </row>
    <row r="60" spans="2:120" ht="15" customHeight="1" thickBot="1" x14ac:dyDescent="0.3">
      <c r="B60" s="316"/>
      <c r="C60" s="317"/>
      <c r="D60" s="317"/>
      <c r="E60" s="317"/>
      <c r="F60" s="317"/>
      <c r="G60" s="317"/>
      <c r="H60" s="317"/>
      <c r="I60" s="317"/>
      <c r="J60" s="317"/>
      <c r="K60" s="317"/>
      <c r="L60" s="317" t="s">
        <v>159</v>
      </c>
      <c r="M60" s="317"/>
      <c r="N60" s="317"/>
      <c r="O60" s="317"/>
      <c r="P60" s="318"/>
      <c r="Q60" s="4"/>
      <c r="R60" s="319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1"/>
      <c r="AG60" s="4"/>
      <c r="AH60" s="319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1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0"/>
      <c r="BI60" s="186"/>
      <c r="BJ60" s="187"/>
      <c r="BK60" s="206"/>
      <c r="BL60" s="314"/>
      <c r="BM60" s="4"/>
      <c r="BN60" s="214" t="str">
        <f t="shared" ref="BN60:BN69" si="16">IF(BQ60&gt;"",VLOOKUP(BQ60,PART_NAMA,3,FALSE),"")</f>
        <v/>
      </c>
      <c r="BO60" s="200"/>
      <c r="BP60" s="201"/>
      <c r="BQ60" s="168"/>
      <c r="BR60" s="169"/>
      <c r="BS60" s="181"/>
      <c r="BT60" s="182" t="str">
        <f t="shared" ref="BT60:BT69" si="17">IF(BQ60&gt;"",VLOOKUP(BQ60&amp;$M$10,PART_MASTER,3,FALSE),"")</f>
        <v/>
      </c>
      <c r="BU60" s="172"/>
      <c r="BV60" s="173" t="str">
        <f t="shared" ref="BV60:BV69" si="18">IF(BU60="","",Q*BU60)</f>
        <v/>
      </c>
      <c r="BW60" s="184"/>
      <c r="BX60" s="250"/>
      <c r="BY60" s="186"/>
      <c r="BZ60" s="187"/>
      <c r="CA60" s="206"/>
      <c r="CB60" s="314"/>
      <c r="CG60" s="3"/>
    </row>
    <row r="61" spans="2:120" ht="15" customHeight="1" x14ac:dyDescent="0.3">
      <c r="P61" s="322" t="s">
        <v>160</v>
      </c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2" t="s">
        <v>160</v>
      </c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2" t="s">
        <v>160</v>
      </c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2" t="s">
        <v>160</v>
      </c>
      <c r="BN61" s="323"/>
      <c r="BO61" s="323"/>
      <c r="BP61" s="323"/>
      <c r="BQ61" s="323"/>
      <c r="BR61" s="323"/>
      <c r="BS61" s="323"/>
      <c r="BT61" s="323"/>
      <c r="BU61" s="323"/>
      <c r="BV61" s="323"/>
      <c r="BW61" s="323"/>
      <c r="BX61" s="323"/>
      <c r="BY61" s="323"/>
      <c r="BZ61" s="323"/>
      <c r="CA61" s="323"/>
      <c r="CB61" s="322" t="s">
        <v>160</v>
      </c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DB-DOOR-ER</vt:lpstr>
      <vt:lpstr>'DB-DOOR-ER'!A.</vt:lpstr>
      <vt:lpstr>'DB-DOOR-ER'!C.</vt:lpstr>
      <vt:lpstr>'DB-DOOR-ER'!F.</vt:lpstr>
      <vt:lpstr>'DB-DOOR-ER'!GCS</vt:lpstr>
      <vt:lpstr>'DB-DOOR-ER'!GTH</vt:lpstr>
      <vt:lpstr>'DB-DOOR-ER'!H</vt:lpstr>
      <vt:lpstr>'DB-DOOR-ER'!h.1</vt:lpstr>
      <vt:lpstr>'DB-DOOR-ER'!h.10</vt:lpstr>
      <vt:lpstr>'DB-DOOR-ER'!h.2</vt:lpstr>
      <vt:lpstr>'DB-DOOR-ER'!h.3</vt:lpstr>
      <vt:lpstr>'DB-DOOR-ER'!h.4</vt:lpstr>
      <vt:lpstr>'DB-DOOR-ER'!h.5</vt:lpstr>
      <vt:lpstr>'DB-DOOR-ER'!h.6</vt:lpstr>
      <vt:lpstr>'DB-DOOR-ER'!h.7</vt:lpstr>
      <vt:lpstr>'DB-DOOR-ER'!h.8</vt:lpstr>
      <vt:lpstr>'DB-DOOR-ER'!h.9</vt:lpstr>
      <vt:lpstr>'DB-DOOR-ER'!HS</vt:lpstr>
      <vt:lpstr>'DB-DOOR-ER'!HS.1</vt:lpstr>
      <vt:lpstr>'DB-DOOR-ER'!HS.2</vt:lpstr>
      <vt:lpstr>'DB-DOOR-ER'!HS.3</vt:lpstr>
      <vt:lpstr>'DB-DOOR-ER'!HS.4</vt:lpstr>
      <vt:lpstr>'DB-DOOR-ER'!HS.5</vt:lpstr>
      <vt:lpstr>'DB-DOOR-ER'!Print_Area</vt:lpstr>
      <vt:lpstr>'DB-DOOR-ER'!Q</vt:lpstr>
      <vt:lpstr>'DB-DOOR-ER'!R.</vt:lpstr>
      <vt:lpstr>'DB-DOOR-ER'!W</vt:lpstr>
      <vt:lpstr>'DB-DOOR-ER'!w.1</vt:lpstr>
      <vt:lpstr>'DB-DOOR-ER'!w.10</vt:lpstr>
      <vt:lpstr>'DB-DOOR-ER'!w.2</vt:lpstr>
      <vt:lpstr>'DB-DOOR-ER'!w.3</vt:lpstr>
      <vt:lpstr>'DB-DOOR-ER'!w.4</vt:lpstr>
      <vt:lpstr>'DB-DOOR-ER'!w.5</vt:lpstr>
      <vt:lpstr>'DB-DOOR-ER'!w.6</vt:lpstr>
      <vt:lpstr>'DB-DOOR-ER'!w.7</vt:lpstr>
      <vt:lpstr>'DB-DOOR-ER'!w.8</vt:lpstr>
      <vt:lpstr>'DB-DOOR-ER'!w.9</vt:lpstr>
      <vt:lpstr>'DB-DOOR-ER'!WS</vt:lpstr>
      <vt:lpstr>'DB-DOOR-ER'!WS.1</vt:lpstr>
      <vt:lpstr>'DB-DOOR-ER'!WS.2</vt:lpstr>
      <vt:lpstr>'DB-DOOR-ER'!WS.3</vt:lpstr>
      <vt:lpstr>'DB-DOOR-ER'!WS.4</vt:lpstr>
      <vt:lpstr>'DB-DOOR-ER'!WS.5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2024-07-31T05:59:29Z</dcterms:created>
  <dcterms:modified xsi:type="dcterms:W3CDTF">2024-08-23T06:43:57Z</dcterms:modified>
</cp:coreProperties>
</file>