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E8A318A0-288B-439A-B22B-20D483D19072}" xr6:coauthVersionLast="47" xr6:coauthVersionMax="47" xr10:uidLastSave="{00000000-0000-0000-0000-000000000000}"/>
  <bookViews>
    <workbookView xWindow="-108" yWindow="-108" windowWidth="23256" windowHeight="12456" xr2:uid="{1712569E-23C0-4F96-A0F3-C0FD487D2363}"/>
  </bookViews>
  <sheets>
    <sheet name="FIX_DOOR-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'FIX_DOOR-EL'!$P$18</definedName>
    <definedName name="BD">"BD"</definedName>
    <definedName name="C." localSheetId="0">'FIX_DOOR-EL'!$P$17</definedName>
    <definedName name="F." localSheetId="0">'FIX_DOOR-EL'!$P$16</definedName>
    <definedName name="GCS" localSheetId="0">'FIX_DOOR-EL'!$O$12</definedName>
    <definedName name="GTH" localSheetId="0">'FIX_DOOR-EL'!$O$11</definedName>
    <definedName name="H" localSheetId="0">'FIX_DOOR-EL'!$E$12</definedName>
    <definedName name="h.1" localSheetId="0">'FIX_DOOR-EL'!$C$14</definedName>
    <definedName name="h.10" localSheetId="0">'FIX_DOOR-EL'!$E$18</definedName>
    <definedName name="h.2" localSheetId="0">'FIX_DOOR-EL'!$C$15</definedName>
    <definedName name="h.3" localSheetId="0">'FIX_DOOR-EL'!$C$16</definedName>
    <definedName name="h.4" localSheetId="0">'FIX_DOOR-EL'!$C$17</definedName>
    <definedName name="h.5" localSheetId="0">'FIX_DOOR-EL'!$C$18</definedName>
    <definedName name="h.6" localSheetId="0">'FIX_DOOR-EL'!$E$14</definedName>
    <definedName name="h.7" localSheetId="0">'FIX_DOOR-EL'!$E$15</definedName>
    <definedName name="h.8" localSheetId="0">'FIX_DOOR-EL'!$E$16</definedName>
    <definedName name="h.9" localSheetId="0">'FIX_DOOR-EL'!$E$17</definedName>
    <definedName name="HS" localSheetId="0">'FIX_DOOR-EL'!$H$12</definedName>
    <definedName name="HS.1" localSheetId="0">'FIX_DOOR-EL'!$L$14</definedName>
    <definedName name="HS.2" localSheetId="0">'FIX_DOOR-EL'!$L$15</definedName>
    <definedName name="HS.3" localSheetId="0">'FIX_DOOR-EL'!$L$16</definedName>
    <definedName name="HS.4" localSheetId="0">'FIX_DOOR-EL'!$L$17</definedName>
    <definedName name="HS.5" localSheetId="0">'FIX_DOOR-EL'!$L$18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'FIX_DOOR-EL'!$1:$61</definedName>
    <definedName name="Q" localSheetId="0">'FIX_DOOR-EL'!$I$11</definedName>
    <definedName name="R." localSheetId="0">'FIX_DOOR-EL'!$C$62</definedName>
    <definedName name="st" hidden="1">[6]Gra_Ord_In_2000!$BA$12:$BA$1655</definedName>
    <definedName name="W" localSheetId="0">'FIX_DOOR-EL'!$E$11</definedName>
    <definedName name="w.1" localSheetId="0">'FIX_DOOR-EL'!$H$14</definedName>
    <definedName name="w.10" localSheetId="0">'FIX_DOOR-EL'!$J$18</definedName>
    <definedName name="w.2" localSheetId="0">'FIX_DOOR-EL'!$H$15</definedName>
    <definedName name="w.3" localSheetId="0">'FIX_DOOR-EL'!$H$16</definedName>
    <definedName name="w.4" localSheetId="0">'FIX_DOOR-EL'!$H$17</definedName>
    <definedName name="w.5" localSheetId="0">'FIX_DOOR-EL'!$H$18</definedName>
    <definedName name="w.6" localSheetId="0">'FIX_DOOR-EL'!$J$14</definedName>
    <definedName name="w.7" localSheetId="0">'FIX_DOOR-EL'!$J$15</definedName>
    <definedName name="w.8" localSheetId="0">'FIX_DOOR-EL'!$J$16</definedName>
    <definedName name="w.9" localSheetId="0">'FIX_DOOR-EL'!$J$17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'FIX_DOOR-EL'!$L$12</definedName>
    <definedName name="WS.1" localSheetId="0">'FIX_DOOR-EL'!$N$14</definedName>
    <definedName name="WS.2" localSheetId="0">'FIX_DOOR-EL'!$N$15</definedName>
    <definedName name="WS.3" localSheetId="0">'FIX_DOOR-EL'!$N$16</definedName>
    <definedName name="WS.4" localSheetId="0">'FIX_DOOR-EL'!$N$17</definedName>
    <definedName name="WS.5" localSheetId="0">'FIX_DOOR-EL'!$N$18</definedName>
    <definedName name="Z_8BD11290_77B3_4D27_9040_BB9D2A7264B2_.wvu.PrintArea" localSheetId="0" hidden="1">'FIX_DOOR-EL'!$1:$61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7" i="1" l="1"/>
  <c r="BU25" i="1"/>
  <c r="BU26" i="1"/>
  <c r="BU23" i="1"/>
  <c r="BV23" i="1" s="1"/>
  <c r="BE25" i="1"/>
  <c r="BE34" i="1"/>
  <c r="BE33" i="1"/>
  <c r="BE27" i="1"/>
  <c r="BA27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V51" i="1"/>
  <c r="BT51" i="1"/>
  <c r="BN51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BF37" i="1"/>
  <c r="BD37" i="1"/>
  <c r="AX37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BF35" i="1"/>
  <c r="AV35" i="1"/>
  <c r="AU35" i="1"/>
  <c r="AP35" i="1"/>
  <c r="AL35" i="1"/>
  <c r="AF35" i="1"/>
  <c r="AE35" i="1"/>
  <c r="Z35" i="1"/>
  <c r="V35" i="1"/>
  <c r="BF34" i="1"/>
  <c r="AV34" i="1"/>
  <c r="AU34" i="1"/>
  <c r="AP34" i="1"/>
  <c r="AL34" i="1"/>
  <c r="AF34" i="1"/>
  <c r="AE34" i="1"/>
  <c r="Z34" i="1"/>
  <c r="V34" i="1"/>
  <c r="BV33" i="1"/>
  <c r="BF33" i="1"/>
  <c r="AV33" i="1"/>
  <c r="AU33" i="1"/>
  <c r="AP33" i="1"/>
  <c r="AL33" i="1"/>
  <c r="AF33" i="1"/>
  <c r="AE33" i="1"/>
  <c r="Z33" i="1"/>
  <c r="V33" i="1"/>
  <c r="BV32" i="1"/>
  <c r="BF32" i="1"/>
  <c r="AV32" i="1"/>
  <c r="AU32" i="1"/>
  <c r="AP32" i="1"/>
  <c r="AL32" i="1"/>
  <c r="AF32" i="1"/>
  <c r="AE32" i="1"/>
  <c r="Z32" i="1"/>
  <c r="V32" i="1"/>
  <c r="BV31" i="1"/>
  <c r="BF31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AV29" i="1"/>
  <c r="AU29" i="1"/>
  <c r="AP29" i="1"/>
  <c r="AL29" i="1"/>
  <c r="AF29" i="1"/>
  <c r="AE29" i="1"/>
  <c r="Z29" i="1"/>
  <c r="V29" i="1"/>
  <c r="BF28" i="1"/>
  <c r="AV28" i="1"/>
  <c r="AU28" i="1"/>
  <c r="AP28" i="1"/>
  <c r="AL28" i="1"/>
  <c r="AF28" i="1"/>
  <c r="AE28" i="1"/>
  <c r="Z28" i="1"/>
  <c r="V28" i="1"/>
  <c r="BF27" i="1"/>
  <c r="AU27" i="1"/>
  <c r="AP27" i="1"/>
  <c r="AL27" i="1"/>
  <c r="AF27" i="1"/>
  <c r="AE27" i="1"/>
  <c r="Z27" i="1"/>
  <c r="X27" i="1"/>
  <c r="V27" i="1"/>
  <c r="BV26" i="1"/>
  <c r="BF26" i="1"/>
  <c r="AU26" i="1"/>
  <c r="AP26" i="1"/>
  <c r="AL26" i="1"/>
  <c r="AE26" i="1"/>
  <c r="Z26" i="1"/>
  <c r="V26" i="1"/>
  <c r="BV25" i="1"/>
  <c r="BF25" i="1"/>
  <c r="AU25" i="1"/>
  <c r="AP25" i="1"/>
  <c r="AL25" i="1"/>
  <c r="AE25" i="1"/>
  <c r="AF25" i="1" s="1"/>
  <c r="Z25" i="1"/>
  <c r="X25" i="1"/>
  <c r="V25" i="1"/>
  <c r="BV24" i="1"/>
  <c r="BF24" i="1"/>
  <c r="AU24" i="1"/>
  <c r="AP24" i="1"/>
  <c r="AL24" i="1"/>
  <c r="AE24" i="1"/>
  <c r="AF24" i="1" s="1"/>
  <c r="AB24" i="1"/>
  <c r="Z24" i="1"/>
  <c r="X24" i="1"/>
  <c r="V24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AV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P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T15" i="1"/>
  <c r="AR15" i="1"/>
  <c r="AP15" i="1"/>
  <c r="AN15" i="1"/>
  <c r="AK15" i="1"/>
  <c r="AD15" i="1"/>
  <c r="AB15" i="1"/>
  <c r="Z15" i="1"/>
  <c r="X15" i="1"/>
  <c r="U15" i="1"/>
  <c r="C15" i="1"/>
  <c r="S15" i="1" s="1"/>
  <c r="CB14" i="1"/>
  <c r="BZ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D14" i="1"/>
  <c r="Z14" i="1"/>
  <c r="X14" i="1"/>
  <c r="U14" i="1"/>
  <c r="S14" i="1"/>
  <c r="N14" i="1"/>
  <c r="AT14" i="1" s="1"/>
  <c r="L14" i="1"/>
  <c r="BV29" i="1" s="1"/>
  <c r="CA12" i="1"/>
  <c r="BQ12" i="1"/>
  <c r="BK12" i="1"/>
  <c r="BA12" i="1"/>
  <c r="AU12" i="1"/>
  <c r="AT12" i="1"/>
  <c r="AK12" i="1"/>
  <c r="AE12" i="1"/>
  <c r="U12" i="1"/>
  <c r="N12" i="1"/>
  <c r="BZ12" i="1" s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CA10" i="1"/>
  <c r="BW10" i="1"/>
  <c r="BQ10" i="1"/>
  <c r="BK10" i="1"/>
  <c r="BA10" i="1"/>
  <c r="AU10" i="1"/>
  <c r="AK10" i="1"/>
  <c r="AE10" i="1"/>
  <c r="M10" i="1"/>
  <c r="K10" i="1"/>
  <c r="AQ10" i="1" s="1"/>
  <c r="CA9" i="1"/>
  <c r="BW9" i="1"/>
  <c r="BK9" i="1"/>
  <c r="BA9" i="1"/>
  <c r="AU9" i="1"/>
  <c r="AK9" i="1"/>
  <c r="AE9" i="1"/>
  <c r="U9" i="1"/>
  <c r="BQ9" i="1" s="1"/>
  <c r="K9" i="1"/>
  <c r="AA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E4" i="1" s="1"/>
  <c r="BQ3" i="1"/>
  <c r="BA3" i="1"/>
  <c r="AK3" i="1"/>
  <c r="U3" i="1"/>
  <c r="E3" i="1"/>
  <c r="AF2" i="1"/>
  <c r="AV2" i="1" s="1"/>
  <c r="BL2" i="1" s="1"/>
  <c r="CB2" i="1" s="1"/>
  <c r="AU4" i="1" l="1"/>
  <c r="BK4" i="1"/>
  <c r="CA4" i="1"/>
  <c r="X26" i="1"/>
  <c r="AF26" i="1" s="1"/>
  <c r="AF48" i="1" s="1"/>
  <c r="AQ9" i="1"/>
  <c r="BG10" i="1"/>
  <c r="BX14" i="1"/>
  <c r="AY15" i="1"/>
  <c r="BF29" i="1"/>
  <c r="AA10" i="1"/>
  <c r="BJ12" i="1"/>
  <c r="BJ14" i="1"/>
  <c r="AI15" i="1"/>
  <c r="AN22" i="1"/>
  <c r="AV22" i="1" s="1"/>
  <c r="AN23" i="1"/>
  <c r="AV23" i="1" s="1"/>
  <c r="BG9" i="1"/>
  <c r="AR14" i="1"/>
  <c r="CB18" i="1"/>
  <c r="BH14" i="1"/>
  <c r="AN24" i="1"/>
  <c r="AV24" i="1" s="1"/>
  <c r="AN25" i="1"/>
  <c r="AV25" i="1" s="1"/>
  <c r="AN26" i="1"/>
  <c r="AV26" i="1" s="1"/>
  <c r="AN27" i="1"/>
  <c r="AV27" i="1" s="1"/>
  <c r="BV30" i="1"/>
  <c r="AD12" i="1"/>
  <c r="BL18" i="1"/>
  <c r="AB14" i="1"/>
  <c r="BV27" i="1"/>
  <c r="BV28" i="1"/>
  <c r="AV48" i="1" l="1"/>
  <c r="AF50" i="1"/>
  <c r="AF4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3AEBCC5B-B207-411E-A523-C43D92D6DDAC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4AED5A28-1726-446D-AB24-833879E4AE1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B7ACA3C1-B3F9-4A31-8B7A-CC9AD1B0D99C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<sst xmlns="http://schemas.openxmlformats.org/spreadsheetml/2006/main" count="535" uniqueCount="202">
  <si>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</si>
  <si>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</si>
  <si>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</si>
  <si>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</si>
  <si>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</si>
  <si>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</si>
  <si>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</si>
  <si>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</si>
  <si>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</si>
  <si>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</si>
  <si>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</si>
  <si>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</si>
  <si>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</si>
  <si>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</si>
  <si>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</si>
  <si>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DOOR-EL HF</t>
  </si>
  <si>
    <t>Delivery Date</t>
  </si>
  <si>
    <t>Elevation Code</t>
  </si>
  <si>
    <t>53PL/F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</si>
  <si>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</si>
  <si>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</si>
  <si>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</si>
  <si>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W8D-21006</t>
  </si>
  <si>
    <t>Unit Code</t>
  </si>
  <si>
    <r>
      <t xml:space="preserve">H </t>
    </r>
    <r>
      <rPr>
        <sz val="10"/>
        <rFont val="Arial"/>
        <family val="2"/>
      </rPr>
      <t>item</t>
    </r>
  </si>
  <si>
    <t>W8D-20008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</si>
  <si>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</si>
  <si>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</si>
  <si>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</si>
  <si>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</si>
  <si>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</si>
  <si>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</si>
  <si>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</si>
  <si>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</si>
  <si>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</si>
  <si>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</si>
  <si>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</si>
  <si>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</si>
  <si>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</si>
  <si>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</si>
  <si>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</si>
  <si>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</si>
  <si>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</si>
  <si>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</si>
  <si>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</si>
  <si>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</si>
  <si>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</si>
  <si>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</si>
  <si>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</si>
  <si>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</si>
  <si>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</si>
  <si>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</si>
  <si>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</si>
  <si>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</si>
  <si>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</si>
  <si>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</si>
  <si>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</si>
  <si>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</si>
  <si>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</si>
  <si>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</si>
  <si>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</si>
  <si>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</si>
  <si>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</si>
  <si>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</si>
  <si>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</si>
  <si>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</si>
  <si>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</si>
  <si>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</si>
  <si>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</si>
  <si>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</si>
  <si>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</si>
  <si>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</si>
  <si>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</si>
  <si>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</si>
  <si>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</si>
  <si>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</si>
  <si>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</si>
  <si>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</si>
  <si>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</si>
  <si>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</si>
  <si>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</si>
  <si>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</si>
  <si>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STRIP</t>
  </si>
  <si>
    <t>YS1N</t>
  </si>
  <si>
    <t>9K-91388</t>
  </si>
  <si>
    <t>9K-11369</t>
  </si>
  <si>
    <t>FOR HINGE</t>
  </si>
  <si>
    <t>TRANSOM</t>
  </si>
  <si>
    <t>9K-87022</t>
  </si>
  <si>
    <t>BOTTOM ATTACHMENT</t>
  </si>
  <si>
    <t>9K-87023</t>
  </si>
  <si>
    <t>MS-4010</t>
  </si>
  <si>
    <t>FOR BACKPLATE</t>
  </si>
  <si>
    <t>9K-20889</t>
  </si>
  <si>
    <t>JAMB(L)</t>
  </si>
  <si>
    <t>9K-87021</t>
  </si>
  <si>
    <t>TOP ATTACHMENT</t>
  </si>
  <si>
    <t>9K-87024</t>
  </si>
  <si>
    <t>9K-13470</t>
  </si>
  <si>
    <t>9K-30298</t>
  </si>
  <si>
    <t>FOR CORNER CAP</t>
  </si>
  <si>
    <t>JAMB(R)</t>
  </si>
  <si>
    <t>RIGHT ATTACHMENT</t>
  </si>
  <si>
    <t>EF-4010D7</t>
  </si>
  <si>
    <t>WR-3120</t>
  </si>
  <si>
    <t>GLASS BEAD</t>
  </si>
  <si>
    <t>9K-87119</t>
  </si>
  <si>
    <t>LEFT ATTACHMENT</t>
  </si>
  <si>
    <t>9K-20879</t>
  </si>
  <si>
    <t>FOR JAMB</t>
  </si>
  <si>
    <t>WF-3120</t>
  </si>
  <si>
    <t>PANEL</t>
  </si>
  <si>
    <t>9K-87026</t>
  </si>
  <si>
    <t>9K-20880</t>
  </si>
  <si>
    <t>2K-22464</t>
  </si>
  <si>
    <t>M</t>
  </si>
  <si>
    <t>2K-22277</t>
  </si>
  <si>
    <t>K-19093</t>
  </si>
  <si>
    <t>9K-20856</t>
  </si>
  <si>
    <t>FOR BRACKET</t>
  </si>
  <si>
    <t>9K-11382</t>
  </si>
  <si>
    <t>9K-30297</t>
  </si>
  <si>
    <t>FOR CAP</t>
  </si>
  <si>
    <t>9K-11386</t>
  </si>
  <si>
    <t>FOR LOCK RECEIVER</t>
  </si>
  <si>
    <t>9K-30296</t>
  </si>
  <si>
    <t>9K-11402</t>
  </si>
  <si>
    <t>S</t>
  </si>
  <si>
    <t>BM-4025G</t>
  </si>
  <si>
    <t>FOR JOINT FRAME</t>
  </si>
  <si>
    <t>9K-11384</t>
  </si>
  <si>
    <t>FOR LOCK</t>
  </si>
  <si>
    <t>9K-30171</t>
  </si>
  <si>
    <t>9K-11383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</si>
  <si>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</si>
  <si>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</si>
  <si>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</si>
  <si>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</si>
  <si>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</si>
  <si>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</si>
  <si>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</si>
  <si>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</si>
  <si>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</si>
  <si>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</si>
  <si>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</si>
  <si>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</si>
  <si>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</si>
  <si>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</si>
  <si>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</si>
  <si>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</si>
  <si>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</si>
  <si>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</si>
  <si>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</si>
  <si>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</si>
  <si>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</si>
  <si>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</si>
  <si>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</si>
  <si>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</si>
  <si>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</si>
  <si>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</si>
  <si>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</si>
  <si>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WWG_FLUTE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</si>
  <si>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</si>
  <si>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</si>
  <si>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</si>
  <si>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</si>
  <si>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</si>
  <si>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</si>
  <si>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</si>
  <si>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</si>
  <si>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</si>
  <si>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</si>
  <si>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</si>
  <si>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colour</t>
  </si>
  <si>
    <t>length</t>
  </si>
  <si>
    <t>BACKPLATE</t>
  </si>
  <si>
    <t>LOCK RECEIVER</t>
  </si>
  <si>
    <t>HOLE CAP</t>
  </si>
  <si>
    <t>SCREW</t>
  </si>
  <si>
    <t>GASKET</t>
  </si>
  <si>
    <t>HINGE</t>
  </si>
  <si>
    <t>SEALER PAD</t>
  </si>
  <si>
    <t>AT MATERIAL</t>
  </si>
  <si>
    <t>SETTING BLOCK</t>
  </si>
  <si>
    <t>YS</t>
  </si>
  <si>
    <t>Y</t>
  </si>
  <si>
    <t>YK</t>
  </si>
  <si>
    <t>FOR INSIDE</t>
  </si>
  <si>
    <t>FOR HINGE, LOCK RECEIVER</t>
  </si>
  <si>
    <t>FOR OUTSIDE</t>
  </si>
  <si>
    <t>WOODEN PANEL</t>
  </si>
  <si>
    <t>MOHAIR</t>
  </si>
  <si>
    <t>CORNER CAP</t>
  </si>
  <si>
    <t>BRACKET</t>
  </si>
  <si>
    <t>CAP</t>
  </si>
  <si>
    <t>LOCKSET</t>
  </si>
  <si>
    <t>LABEL</t>
  </si>
  <si>
    <t>HANDLE</t>
  </si>
  <si>
    <t>9K-40026</t>
  </si>
  <si>
    <t>WR-3120-1</t>
  </si>
  <si>
    <t>PW, PH</t>
  </si>
  <si>
    <t>FOR TOP, BOTTOM, HINGE,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</si>
</sst>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0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8EDD45AC-2B01-474D-89BC-BC8A08060B5C}"/>
    <cellStyle name="Normal" xfId="0" builtinId="0"/>
    <cellStyle name="Normal 10" xfId="2" xr:uid="{3FE3A764-B7C1-4B72-9A13-1EA0E7827D57}"/>
    <cellStyle name="Normal 2" xfId="1" xr:uid="{D3FA01F4-0A40-46D9-BA19-4549DEAAC4D9}"/>
    <cellStyle name="Normal 5" xfId="4" xr:uid="{0119DCEA-68B1-407A-BBF0-E08D72E34F39}"/>
    <cellStyle name="Normal_COBA 2" xfId="5" xr:uid="{1A256BED-72B0-44B2-9C03-A9A94965F8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0AF2675-8E51-4BB8-8F92-30D148A24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C7F2FE94-D6A6-4C85-B57E-130CBDE6D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A29FBF06-5904-4F80-886C-087F6888E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5290769C-EAAC-45C7-8724-7E4E47505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E0705E99-2E7F-4CF1-8DD2-371C407CF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37E2665E-8F9D-4EE6-8FCA-A55931582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8BCDF59D-412C-4EF4-BEE9-FC0D21007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280489</xdr:colOff>
      <xdr:row>22</xdr:row>
      <xdr:rowOff>1</xdr:rowOff>
    </xdr:from>
    <xdr:to>
      <xdr:col>10</xdr:col>
      <xdr:colOff>300990</xdr:colOff>
      <xdr:row>37</xdr:row>
      <xdr:rowOff>108859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A843F0EA-8C17-45A1-9E01-5A458AC9C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61789" y="4107181"/>
          <a:ext cx="1559741" cy="29587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72690-505C-4568-BF18-8456FAA69913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5" sqref="S25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8.332031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8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45527.591390740738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45527.591390740738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45527.591390740738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45527.591390740738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45527.591390740738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DOOR-EL HF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DOOR-EL HF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DOOR-EL HF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DOOR-EL HF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53PL/F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53PL/F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53PL/F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53PL/F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7">
        <f>W</f>
        <v>1000</v>
      </c>
      <c r="L9" s="338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53PL/F</v>
      </c>
      <c r="V9" s="37"/>
      <c r="W9" s="56"/>
      <c r="X9" s="63"/>
      <c r="Y9" s="63"/>
      <c r="Z9" s="64" t="s">
        <v>21</v>
      </c>
      <c r="AA9" s="337">
        <f>$K$9</f>
        <v>1000</v>
      </c>
      <c r="AB9" s="338"/>
      <c r="AC9" s="66"/>
      <c r="AD9" s="62"/>
      <c r="AE9" s="60" t="str">
        <f>IF($O$9&gt;0,$O$9,"")</f>
        <v>W8D-21006</v>
      </c>
      <c r="AF9" s="61"/>
      <c r="AG9" s="3"/>
      <c r="AH9" s="54" t="s">
        <v>20</v>
      </c>
      <c r="AI9" s="37"/>
      <c r="AJ9" s="38"/>
      <c r="AK9" s="55" t="str">
        <f>IF($E$9&gt;0,$E$9,"")</f>
        <v>53PL/F</v>
      </c>
      <c r="AL9" s="37"/>
      <c r="AM9" s="56"/>
      <c r="AN9" s="63"/>
      <c r="AO9" s="63"/>
      <c r="AP9" s="64" t="s">
        <v>21</v>
      </c>
      <c r="AQ9" s="337">
        <f>$K$9</f>
        <v>1000</v>
      </c>
      <c r="AR9" s="338"/>
      <c r="AS9" s="66"/>
      <c r="AT9" s="62"/>
      <c r="AU9" s="60" t="str">
        <f>IF($O$9&gt;0,$O$9,"")</f>
        <v>W8D-21006</v>
      </c>
      <c r="AV9" s="61"/>
      <c r="AW9" s="3"/>
      <c r="AX9" s="54" t="s">
        <v>20</v>
      </c>
      <c r="AY9" s="37"/>
      <c r="AZ9" s="38"/>
      <c r="BA9" s="55" t="str">
        <f>IF(E9&gt;0,E9,"")</f>
        <v>53PL/F</v>
      </c>
      <c r="BB9" s="37"/>
      <c r="BC9" s="56"/>
      <c r="BD9" s="63"/>
      <c r="BE9" s="63"/>
      <c r="BF9" s="64" t="s">
        <v>21</v>
      </c>
      <c r="BG9" s="337">
        <f>$K$9</f>
        <v>1000</v>
      </c>
      <c r="BH9" s="338"/>
      <c r="BI9" s="66"/>
      <c r="BJ9" s="62"/>
      <c r="BK9" s="60" t="str">
        <f>IF($O$9&gt;0,$O$9,"")</f>
        <v>W8D-21006</v>
      </c>
      <c r="BL9" s="61"/>
      <c r="BM9" s="3"/>
      <c r="BN9" s="54" t="s">
        <v>20</v>
      </c>
      <c r="BO9" s="37"/>
      <c r="BP9" s="38"/>
      <c r="BQ9" s="55" t="str">
        <f>IF(U9&gt;0,U9,"")</f>
        <v>53PL/F</v>
      </c>
      <c r="BR9" s="37"/>
      <c r="BS9" s="56"/>
      <c r="BT9" s="63"/>
      <c r="BU9" s="63"/>
      <c r="BV9" s="64" t="s">
        <v>21</v>
      </c>
      <c r="BW9" s="337">
        <f>$K$9</f>
        <v>1000</v>
      </c>
      <c r="BX9" s="338"/>
      <c r="BY9" s="66"/>
      <c r="BZ9" s="62"/>
      <c r="CA9" s="60" t="str">
        <f>IF($O$9&gt;0,$O$9,"")</f>
        <v>W8D-21006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7">
        <f>H</f>
        <v>3000</v>
      </c>
      <c r="L10" s="339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7">
        <f>$K$10</f>
        <v>3000</v>
      </c>
      <c r="AB10" s="338"/>
      <c r="AC10" s="66"/>
      <c r="AD10" s="62"/>
      <c r="AE10" s="60" t="str">
        <f>IF($O$10&gt;0,$O$10,"")</f>
        <v>W8D-20008</v>
      </c>
      <c r="AF10" s="61"/>
      <c r="AG10" s="3"/>
      <c r="AH10" s="54" t="s">
        <v>23</v>
      </c>
      <c r="AI10" s="37"/>
      <c r="AJ10" s="38"/>
      <c r="AK10" s="55" t="str">
        <f>IF($BQ$35="9K-11383","53PL-I/HD","53PL-I/ND")</f>
        <v>53PL-I/ND</v>
      </c>
      <c r="AL10" s="37"/>
      <c r="AM10" s="56"/>
      <c r="AN10" s="63"/>
      <c r="AO10" s="63"/>
      <c r="AP10" s="67" t="s">
        <v>24</v>
      </c>
      <c r="AQ10" s="337">
        <f>$K$10</f>
        <v>3000</v>
      </c>
      <c r="AR10" s="338"/>
      <c r="AS10" s="66"/>
      <c r="AT10" s="62"/>
      <c r="AU10" s="60" t="str">
        <f>IF($O$10&gt;0,$O$10,"")</f>
        <v>W8D-20008</v>
      </c>
      <c r="AV10" s="61"/>
      <c r="AW10" s="3"/>
      <c r="AX10" s="54" t="s">
        <v>23</v>
      </c>
      <c r="AY10" s="37"/>
      <c r="AZ10" s="38"/>
      <c r="BA10" s="55" t="str">
        <f>IF($U$10&gt;0,$U$10,"")</f>
        <v>53PL/F</v>
      </c>
      <c r="BB10" s="37"/>
      <c r="BC10" s="56"/>
      <c r="BD10" s="63"/>
      <c r="BE10" s="63"/>
      <c r="BF10" s="67" t="s">
        <v>24</v>
      </c>
      <c r="BG10" s="337">
        <f>$K$10</f>
        <v>3000</v>
      </c>
      <c r="BH10" s="338"/>
      <c r="BI10" s="66"/>
      <c r="BJ10" s="62"/>
      <c r="BK10" s="60" t="str">
        <f>IF($O$10&gt;0,$O$10,"")</f>
        <v>W8D-20008</v>
      </c>
      <c r="BL10" s="61"/>
      <c r="BM10" s="3"/>
      <c r="BN10" s="54" t="s">
        <v>23</v>
      </c>
      <c r="BO10" s="37"/>
      <c r="BP10" s="38"/>
      <c r="BQ10" s="55" t="str">
        <f>IF($AK$10&gt;0,$AK$10,"")</f>
        <v>53PL-I/ND</v>
      </c>
      <c r="BR10" s="37"/>
      <c r="BS10" s="56"/>
      <c r="BT10" s="63"/>
      <c r="BU10" s="63"/>
      <c r="BV10" s="67" t="s">
        <v>24</v>
      </c>
      <c r="BW10" s="337">
        <f>$K$10</f>
        <v>3000</v>
      </c>
      <c r="BX10" s="338"/>
      <c r="BY10" s="66"/>
      <c r="BZ10" s="62"/>
      <c r="CA10" s="60" t="str">
        <f>IF($O$10&gt;0,$O$10,"")</f>
        <v>W8D-20008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35" t="s">
        <v>27</v>
      </c>
      <c r="I11" s="335">
        <v>1</v>
      </c>
      <c r="J11" s="335" t="s">
        <v>28</v>
      </c>
      <c r="K11" s="331" t="s">
        <v>29</v>
      </c>
      <c r="L11" s="332"/>
      <c r="M11" s="326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35" t="s">
        <v>27</v>
      </c>
      <c r="Y11" s="335">
        <f>IF($I$11&gt;0,$I$11,"")</f>
        <v>1</v>
      </c>
      <c r="Z11" s="335" t="s">
        <v>28</v>
      </c>
      <c r="AA11" s="331" t="str">
        <f>IF($K$11&gt;0,$K$11,"")</f>
        <v>TT01</v>
      </c>
      <c r="AB11" s="332"/>
      <c r="AC11" s="326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35" t="s">
        <v>27</v>
      </c>
      <c r="AO11" s="335">
        <f>IF($I$11&gt;0,$I$11,"")</f>
        <v>1</v>
      </c>
      <c r="AP11" s="335" t="s">
        <v>28</v>
      </c>
      <c r="AQ11" s="331" t="str">
        <f>IF($K$11&gt;0,$K$11,"")</f>
        <v>TT01</v>
      </c>
      <c r="AR11" s="332"/>
      <c r="AS11" s="326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35" t="s">
        <v>27</v>
      </c>
      <c r="BE11" s="335">
        <f>IF($I$11&gt;0,$I$11,"")</f>
        <v>1</v>
      </c>
      <c r="BF11" s="335" t="s">
        <v>28</v>
      </c>
      <c r="BG11" s="331" t="str">
        <f>IF($K$11&gt;0,$K$11,"")</f>
        <v>TT01</v>
      </c>
      <c r="BH11" s="332"/>
      <c r="BI11" s="326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35" t="s">
        <v>27</v>
      </c>
      <c r="BU11" s="335">
        <f>IF($I$11&gt;0,$I$11,"")</f>
        <v>1</v>
      </c>
      <c r="BV11" s="335" t="s">
        <v>28</v>
      </c>
      <c r="BW11" s="331" t="str">
        <f>IF($K$11&gt;0,$K$11,"")</f>
        <v>TT01</v>
      </c>
      <c r="BX11" s="332"/>
      <c r="BY11" s="326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3000</v>
      </c>
      <c r="F12" s="81"/>
      <c r="G12" s="82"/>
      <c r="H12" s="336"/>
      <c r="I12" s="336"/>
      <c r="J12" s="336"/>
      <c r="K12" s="333"/>
      <c r="L12" s="334"/>
      <c r="M12" s="327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3000</v>
      </c>
      <c r="V12" s="81"/>
      <c r="W12" s="82"/>
      <c r="X12" s="336"/>
      <c r="Y12" s="336"/>
      <c r="Z12" s="336"/>
      <c r="AA12" s="333"/>
      <c r="AB12" s="334"/>
      <c r="AC12" s="327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3000</v>
      </c>
      <c r="AL12" s="81"/>
      <c r="AM12" s="82"/>
      <c r="AN12" s="336"/>
      <c r="AO12" s="336"/>
      <c r="AP12" s="336"/>
      <c r="AQ12" s="333"/>
      <c r="AR12" s="334"/>
      <c r="AS12" s="327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3000</v>
      </c>
      <c r="BB12" s="81"/>
      <c r="BC12" s="82"/>
      <c r="BD12" s="336"/>
      <c r="BE12" s="336"/>
      <c r="BF12" s="336"/>
      <c r="BG12" s="333"/>
      <c r="BH12" s="334"/>
      <c r="BI12" s="327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3000</v>
      </c>
      <c r="BR12" s="81"/>
      <c r="BS12" s="82"/>
      <c r="BT12" s="336"/>
      <c r="BU12" s="336"/>
      <c r="BV12" s="336"/>
      <c r="BW12" s="333"/>
      <c r="BX12" s="334"/>
      <c r="BY12" s="327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>
        <v>2780</v>
      </c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h.1-15</f>
        <v>2765</v>
      </c>
      <c r="M14" s="96" t="s">
        <v>38</v>
      </c>
      <c r="N14" s="98">
        <f>W-70</f>
        <v>930</v>
      </c>
      <c r="O14" s="99"/>
      <c r="P14" s="100"/>
      <c r="R14" s="91" t="s">
        <v>33</v>
      </c>
      <c r="S14" s="101">
        <f>IF($C$14&gt;0,$C$14,"")</f>
        <v>2780</v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930</v>
      </c>
      <c r="AE14" s="99"/>
      <c r="AF14" s="100"/>
      <c r="AH14" s="91" t="s">
        <v>33</v>
      </c>
      <c r="AI14" s="101">
        <f>IF($C$14&gt;0,$C$14,"")</f>
        <v>2780</v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930</v>
      </c>
      <c r="AU14" s="99"/>
      <c r="AV14" s="100"/>
      <c r="AX14" s="91" t="s">
        <v>33</v>
      </c>
      <c r="AY14" s="101">
        <f>IF($C$14&gt;0,$C$14,"")</f>
        <v>2780</v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930</v>
      </c>
      <c r="BK14" s="99"/>
      <c r="BL14" s="100" t="str">
        <f>IF($P$14&gt;0,$P$14,"")</f>
        <v/>
      </c>
      <c r="BN14" s="91" t="s">
        <v>33</v>
      </c>
      <c r="BO14" s="101">
        <f>IF($C$14&gt;0,$C$14,"")</f>
        <v>2780</v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930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>
        <f>H-h.1-40</f>
        <v>180</v>
      </c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>
        <f>IF($C$15&gt;0,$C$15,"")</f>
        <v>180</v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>
        <f>IF($C$15&gt;0,$C$15,"")</f>
        <v>180</v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>
        <f>IF($C$15&gt;0,$C$15,"")</f>
        <v>180</v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>
        <f>IF($C$15&gt;0,$C$15,"")</f>
        <v>180</v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>
        <f>IF(h.1=2380,900,IF(h.1=2580,900,IF(h.1=2780,1000,"")))</f>
        <v>1000</v>
      </c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>
        <f>IF($P$17&gt;0,$P$17,"")</f>
        <v>1000</v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>
        <f>IF($P$17&gt;0,$P$17,"")</f>
        <v>1000</v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990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>
        <f>IF($P$18&gt;0,$P$18,"")</f>
        <v>990</v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>
        <f>IF($P$18&gt;0,$P$18,"")</f>
        <v>990</v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>
        <f>IF($P$18&gt;0,$P$18,"")</f>
        <v>990</v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173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173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5" t="s">
        <v>74</v>
      </c>
      <c r="BB20" s="153"/>
      <c r="BC20" s="156" t="s">
        <v>174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5" t="s">
        <v>74</v>
      </c>
      <c r="BR20" s="153"/>
      <c r="BS20" s="156" t="s">
        <v>174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0.54180300000000003</v>
      </c>
      <c r="AG22" s="4"/>
      <c r="AH22" s="199" t="s">
        <v>82</v>
      </c>
      <c r="AI22" s="200"/>
      <c r="AJ22" s="204" t="s">
        <v>83</v>
      </c>
      <c r="AK22" s="168" t="s">
        <v>84</v>
      </c>
      <c r="AL22" s="169" t="str">
        <f t="shared" ref="AL22:AL47" si="3">IF(AK22&gt;"","-","")</f>
        <v>-</v>
      </c>
      <c r="AM22" s="202">
        <v>0</v>
      </c>
      <c r="AN22" s="171">
        <f>WS.1-14</f>
        <v>916</v>
      </c>
      <c r="AO22" s="172">
        <v>2</v>
      </c>
      <c r="AP22" s="173">
        <f t="shared" ref="AP22:AP47" si="4">IF(AO22&lt;0.1,"",Q*AO22)</f>
        <v>2</v>
      </c>
      <c r="AQ22" s="203"/>
      <c r="AR22" s="175"/>
      <c r="AS22" s="176"/>
      <c r="AT22" s="177"/>
      <c r="AU22" s="178">
        <f t="shared" ref="AU22:AU38" si="5">IF(AK22&gt;"",VLOOKUP(AK22,MATERIAL_WEIGHT,2,FALSE),"")</f>
        <v>7.5999999999999998E-2</v>
      </c>
      <c r="AV22" s="179">
        <f t="shared" ref="AV22:AV47" si="6">IF(AK22&gt;"",(AU22*AN22*AP22)/1000,"")</f>
        <v>0.13923199999999999</v>
      </c>
      <c r="AW22" s="4"/>
      <c r="AX22" s="199" t="s">
        <v>175</v>
      </c>
      <c r="AY22" s="200"/>
      <c r="AZ22" s="201"/>
      <c r="BA22" s="205" t="s">
        <v>85</v>
      </c>
      <c r="BB22" s="169"/>
      <c r="BC22" s="181"/>
      <c r="BD22" s="182" t="s">
        <v>184</v>
      </c>
      <c r="BE22" s="172">
        <v>3</v>
      </c>
      <c r="BF22" s="173">
        <f t="shared" ref="BF22:BF60" si="7">IF(BE22="","",Q*BE22)</f>
        <v>3</v>
      </c>
      <c r="BG22" s="184"/>
      <c r="BH22" s="185" t="s">
        <v>86</v>
      </c>
      <c r="BI22" s="186"/>
      <c r="BJ22" s="187"/>
      <c r="BK22" s="206"/>
      <c r="BL22" s="189"/>
      <c r="BM22" s="4"/>
      <c r="BN22" s="199" t="s">
        <v>190</v>
      </c>
      <c r="BO22" s="200"/>
      <c r="BP22" s="201"/>
      <c r="BQ22" s="205" t="s">
        <v>198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200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1</v>
      </c>
      <c r="X23" s="208">
        <f>W-61</f>
        <v>939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0.88500000000000001</v>
      </c>
      <c r="AF23" s="179">
        <f>IF(U23&gt;"",(AE23*X23*Z23)/1000,"")</f>
        <v>0.83101499999999995</v>
      </c>
      <c r="AG23" s="4"/>
      <c r="AH23" s="199" t="s">
        <v>89</v>
      </c>
      <c r="AI23" s="200"/>
      <c r="AJ23" s="204" t="s">
        <v>83</v>
      </c>
      <c r="AK23" s="168" t="s">
        <v>90</v>
      </c>
      <c r="AL23" s="169" t="str">
        <f t="shared" si="3"/>
        <v>-</v>
      </c>
      <c r="AM23" s="202">
        <v>1</v>
      </c>
      <c r="AN23" s="208">
        <f>WS.1-12</f>
        <v>918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0.187</v>
      </c>
      <c r="AV23" s="179">
        <f t="shared" si="6"/>
        <v>0.17166599999999999</v>
      </c>
      <c r="AW23" s="4"/>
      <c r="AX23" s="199" t="s">
        <v>176</v>
      </c>
      <c r="AY23" s="200"/>
      <c r="AZ23" s="201"/>
      <c r="BA23" s="168" t="s">
        <v>120</v>
      </c>
      <c r="BB23" s="169"/>
      <c r="BC23" s="181"/>
      <c r="BD23" s="182" t="s">
        <v>184</v>
      </c>
      <c r="BE23" s="172">
        <v>1</v>
      </c>
      <c r="BF23" s="173">
        <f t="shared" si="7"/>
        <v>1</v>
      </c>
      <c r="BG23" s="184"/>
      <c r="BH23" s="185"/>
      <c r="BI23" s="186"/>
      <c r="BJ23" s="187"/>
      <c r="BK23" s="206"/>
      <c r="BL23" s="189"/>
      <c r="BM23" s="4"/>
      <c r="BN23" s="199" t="s">
        <v>191</v>
      </c>
      <c r="BO23" s="200"/>
      <c r="BP23" s="201"/>
      <c r="BQ23" s="168" t="s">
        <v>93</v>
      </c>
      <c r="BR23" s="169"/>
      <c r="BS23" s="181"/>
      <c r="BT23" s="182" t="s">
        <v>186</v>
      </c>
      <c r="BU23" s="172">
        <f>(WS.1-12)/1000</f>
        <v>0.91800000000000004</v>
      </c>
      <c r="BV23" s="173">
        <f t="shared" si="8"/>
        <v>0.91800000000000004</v>
      </c>
      <c r="BW23" s="184" t="s">
        <v>115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94</v>
      </c>
      <c r="S24" s="200"/>
      <c r="T24" s="201"/>
      <c r="U24" s="168" t="s">
        <v>95</v>
      </c>
      <c r="V24" s="169" t="str">
        <f t="shared" si="0"/>
        <v>-</v>
      </c>
      <c r="W24" s="202">
        <v>8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 t="str">
        <f>CONCATENATE("a= ",C.)</f>
        <v>a= 1000</v>
      </c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96</v>
      </c>
      <c r="AI24" s="200"/>
      <c r="AJ24" s="204" t="s">
        <v>83</v>
      </c>
      <c r="AK24" s="168" t="s">
        <v>97</v>
      </c>
      <c r="AL24" s="169" t="str">
        <f t="shared" si="3"/>
        <v>-</v>
      </c>
      <c r="AM24" s="202">
        <v>1</v>
      </c>
      <c r="AN24" s="208">
        <f>WS.1-8</f>
        <v>922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0.20799999999999999</v>
      </c>
      <c r="AV24" s="179">
        <f t="shared" si="6"/>
        <v>0.19177599999999997</v>
      </c>
      <c r="AW24" s="4"/>
      <c r="AX24" s="199" t="s">
        <v>175</v>
      </c>
      <c r="AY24" s="200"/>
      <c r="AZ24" s="201"/>
      <c r="BA24" s="168" t="s">
        <v>123</v>
      </c>
      <c r="BB24" s="169"/>
      <c r="BC24" s="181"/>
      <c r="BD24" s="182" t="s">
        <v>184</v>
      </c>
      <c r="BE24" s="172">
        <v>1</v>
      </c>
      <c r="BF24" s="173">
        <f t="shared" si="7"/>
        <v>1</v>
      </c>
      <c r="BG24" s="184"/>
      <c r="BH24" s="185" t="s">
        <v>124</v>
      </c>
      <c r="BI24" s="186"/>
      <c r="BJ24" s="187"/>
      <c r="BK24" s="188"/>
      <c r="BL24" s="189"/>
      <c r="BM24" s="4"/>
      <c r="BN24" s="199" t="s">
        <v>192</v>
      </c>
      <c r="BO24" s="200"/>
      <c r="BP24" s="201"/>
      <c r="BQ24" s="168" t="s">
        <v>99</v>
      </c>
      <c r="BR24" s="169"/>
      <c r="BS24" s="181"/>
      <c r="BT24" s="182" t="s">
        <v>185</v>
      </c>
      <c r="BU24" s="172">
        <v>2</v>
      </c>
      <c r="BV24" s="173">
        <f t="shared" si="8"/>
        <v>2</v>
      </c>
      <c r="BW24" s="184"/>
      <c r="BX24" s="185" t="s">
        <v>100</v>
      </c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101</v>
      </c>
      <c r="S25" s="200"/>
      <c r="T25" s="201"/>
      <c r="U25" s="168" t="s">
        <v>95</v>
      </c>
      <c r="V25" s="169" t="str">
        <f t="shared" si="0"/>
        <v>-</v>
      </c>
      <c r="W25" s="202">
        <v>6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/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102</v>
      </c>
      <c r="AI25" s="200"/>
      <c r="AJ25" s="204" t="s">
        <v>83</v>
      </c>
      <c r="AK25" s="168" t="s">
        <v>97</v>
      </c>
      <c r="AL25" s="169" t="str">
        <f t="shared" si="3"/>
        <v>-</v>
      </c>
      <c r="AM25" s="202">
        <v>5</v>
      </c>
      <c r="AN25" s="208">
        <f>HS.1-12</f>
        <v>2753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0.20799999999999999</v>
      </c>
      <c r="AV25" s="179">
        <f t="shared" si="6"/>
        <v>0.57262400000000002</v>
      </c>
      <c r="AW25" s="4"/>
      <c r="AX25" s="199" t="s">
        <v>177</v>
      </c>
      <c r="AY25" s="200"/>
      <c r="AZ25" s="201"/>
      <c r="BA25" s="168" t="s">
        <v>132</v>
      </c>
      <c r="BB25" s="169"/>
      <c r="BC25" s="181"/>
      <c r="BD25" s="182" t="s">
        <v>185</v>
      </c>
      <c r="BE25" s="172">
        <f>IF(h.1=2380,18,IF(h.1=2580,19,IF(h.1=2780,21,0)))</f>
        <v>21</v>
      </c>
      <c r="BF25" s="173">
        <f t="shared" si="7"/>
        <v>21</v>
      </c>
      <c r="BG25" s="184"/>
      <c r="BH25" s="185" t="s">
        <v>109</v>
      </c>
      <c r="BI25" s="186"/>
      <c r="BJ25" s="187"/>
      <c r="BK25" s="188"/>
      <c r="BL25" s="189" t="s">
        <v>127</v>
      </c>
      <c r="BM25" s="4"/>
      <c r="BN25" s="199" t="s">
        <v>178</v>
      </c>
      <c r="BO25" s="200"/>
      <c r="BP25" s="201"/>
      <c r="BQ25" s="168" t="s">
        <v>199</v>
      </c>
      <c r="BR25" s="169"/>
      <c r="BS25" s="181"/>
      <c r="BT25" s="182" t="s">
        <v>184</v>
      </c>
      <c r="BU25" s="172">
        <f>IF(HS.1=2365,16,IF(HS.1=2565,18,IF(HS.1=2765,20,0)))</f>
        <v>20</v>
      </c>
      <c r="BV25" s="173">
        <f t="shared" si="8"/>
        <v>20</v>
      </c>
      <c r="BW25" s="184"/>
      <c r="BX25" s="185" t="s">
        <v>119</v>
      </c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105</v>
      </c>
      <c r="S26" s="200"/>
      <c r="T26" s="201"/>
      <c r="U26" s="168" t="s">
        <v>106</v>
      </c>
      <c r="V26" s="169" t="str">
        <f t="shared" si="0"/>
        <v>-</v>
      </c>
      <c r="W26" s="202">
        <v>0</v>
      </c>
      <c r="X26" s="171">
        <f>h.2-36</f>
        <v>144</v>
      </c>
      <c r="Y26" s="172">
        <v>2</v>
      </c>
      <c r="Z26" s="173">
        <f t="shared" si="1"/>
        <v>2</v>
      </c>
      <c r="AA26" s="210"/>
      <c r="AB26" s="175"/>
      <c r="AC26" s="176"/>
      <c r="AD26" s="212"/>
      <c r="AE26" s="178">
        <f t="shared" si="2"/>
        <v>0.13900000000000001</v>
      </c>
      <c r="AF26" s="179">
        <f t="shared" si="9"/>
        <v>4.0032000000000005E-2</v>
      </c>
      <c r="AG26" s="4"/>
      <c r="AH26" s="199" t="s">
        <v>107</v>
      </c>
      <c r="AI26" s="200"/>
      <c r="AJ26" s="204" t="s">
        <v>83</v>
      </c>
      <c r="AK26" s="168" t="s">
        <v>97</v>
      </c>
      <c r="AL26" s="169" t="str">
        <f t="shared" si="3"/>
        <v>-</v>
      </c>
      <c r="AM26" s="202">
        <v>7</v>
      </c>
      <c r="AN26" s="171">
        <f>HS.1-12</f>
        <v>2753</v>
      </c>
      <c r="AO26" s="172">
        <v>1</v>
      </c>
      <c r="AP26" s="173">
        <f t="shared" si="4"/>
        <v>1</v>
      </c>
      <c r="AQ26" s="210"/>
      <c r="AR26" s="175"/>
      <c r="AS26" s="176"/>
      <c r="AT26" s="212"/>
      <c r="AU26" s="178">
        <f t="shared" si="5"/>
        <v>0.20799999999999999</v>
      </c>
      <c r="AV26" s="179">
        <f t="shared" si="6"/>
        <v>0.57262400000000002</v>
      </c>
      <c r="AW26" s="4"/>
      <c r="AX26" s="199" t="s">
        <v>178</v>
      </c>
      <c r="AY26" s="200"/>
      <c r="AZ26" s="201"/>
      <c r="BA26" s="168" t="s">
        <v>128</v>
      </c>
      <c r="BB26" s="169"/>
      <c r="BC26" s="181"/>
      <c r="BD26" s="182" t="s">
        <v>184</v>
      </c>
      <c r="BE26" s="172">
        <v>8</v>
      </c>
      <c r="BF26" s="173">
        <f t="shared" si="7"/>
        <v>8</v>
      </c>
      <c r="BG26" s="184"/>
      <c r="BH26" s="185" t="s">
        <v>129</v>
      </c>
      <c r="BI26" s="186"/>
      <c r="BJ26" s="187"/>
      <c r="BK26" s="188"/>
      <c r="BL26" s="189" t="s">
        <v>127</v>
      </c>
      <c r="BM26" s="4"/>
      <c r="BN26" s="199" t="s">
        <v>178</v>
      </c>
      <c r="BO26" s="200"/>
      <c r="BP26" s="201"/>
      <c r="BQ26" s="168" t="s">
        <v>110</v>
      </c>
      <c r="BR26" s="169"/>
      <c r="BS26" s="181"/>
      <c r="BT26" s="182" t="s">
        <v>185</v>
      </c>
      <c r="BU26" s="172">
        <f>IF(HS.1=2365,8,IF(HS.1=2565,8,IF(HS.1=2765,10,0)))+6</f>
        <v>16</v>
      </c>
      <c r="BV26" s="173">
        <f t="shared" si="8"/>
        <v>16</v>
      </c>
      <c r="BW26" s="184"/>
      <c r="BX26" s="185" t="s">
        <v>201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105</v>
      </c>
      <c r="S27" s="200"/>
      <c r="T27" s="201"/>
      <c r="U27" s="168" t="s">
        <v>106</v>
      </c>
      <c r="V27" s="169" t="str">
        <f t="shared" si="0"/>
        <v>-</v>
      </c>
      <c r="W27" s="202">
        <v>0</v>
      </c>
      <c r="X27" s="171">
        <f>W-60</f>
        <v>940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0.13066000000000003</v>
      </c>
      <c r="AG27" s="4"/>
      <c r="AH27" s="199" t="s">
        <v>111</v>
      </c>
      <c r="AI27" s="200"/>
      <c r="AJ27" s="204" t="s">
        <v>83</v>
      </c>
      <c r="AK27" s="168" t="s">
        <v>112</v>
      </c>
      <c r="AL27" s="169" t="str">
        <f t="shared" si="3"/>
        <v>-</v>
      </c>
      <c r="AM27" s="202">
        <v>0</v>
      </c>
      <c r="AN27" s="171">
        <f>HS.1-36</f>
        <v>2729</v>
      </c>
      <c r="AO27" s="172">
        <v>1</v>
      </c>
      <c r="AP27" s="173">
        <f t="shared" si="4"/>
        <v>1</v>
      </c>
      <c r="AQ27" s="210"/>
      <c r="AR27" s="175"/>
      <c r="AS27" s="176"/>
      <c r="AT27" s="212"/>
      <c r="AU27" s="178">
        <f t="shared" si="5"/>
        <v>0.94699999999999995</v>
      </c>
      <c r="AV27" s="179">
        <f t="shared" si="6"/>
        <v>2.5843629999999997</v>
      </c>
      <c r="AW27" s="4"/>
      <c r="AX27" s="199" t="s">
        <v>179</v>
      </c>
      <c r="AY27" s="200"/>
      <c r="AZ27" s="201"/>
      <c r="BA27" s="168" t="str">
        <f>IF(GTH=5,"9K-20523",IF(GTH=6,"2K-22973",IF(GTH=8,"2K-22975","")))</f>
        <v>9K-20523</v>
      </c>
      <c r="BB27" s="169"/>
      <c r="BC27" s="181"/>
      <c r="BD27" s="182" t="s">
        <v>186</v>
      </c>
      <c r="BE27" s="172">
        <f>((W*2)+((h.2*2))-108)/1000</f>
        <v>2.2519999999999998</v>
      </c>
      <c r="BF27" s="173">
        <f t="shared" si="7"/>
        <v>2.2519999999999998</v>
      </c>
      <c r="BG27" s="213" t="s">
        <v>115</v>
      </c>
      <c r="BH27" s="185" t="s">
        <v>187</v>
      </c>
      <c r="BI27" s="186"/>
      <c r="BJ27" s="187"/>
      <c r="BK27" s="188"/>
      <c r="BL27" s="189" t="s">
        <v>127</v>
      </c>
      <c r="BM27" s="4"/>
      <c r="BN27" s="199" t="s">
        <v>193</v>
      </c>
      <c r="BO27" s="200"/>
      <c r="BP27" s="201"/>
      <c r="BQ27" s="168" t="s">
        <v>117</v>
      </c>
      <c r="BR27" s="169"/>
      <c r="BS27" s="181"/>
      <c r="BT27" s="182" t="s">
        <v>184</v>
      </c>
      <c r="BU27" s="172">
        <f>IF(HS.1=2365,16,IF(HS.1=2565,18,IF(HS.1=2765,20,0)))</f>
        <v>20</v>
      </c>
      <c r="BV27" s="173">
        <f t="shared" si="8"/>
        <v>20</v>
      </c>
      <c r="BW27" s="213"/>
      <c r="BX27" s="185"/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178</v>
      </c>
      <c r="AY28" s="200"/>
      <c r="AZ28" s="201"/>
      <c r="BA28" s="168" t="s">
        <v>91</v>
      </c>
      <c r="BB28" s="169"/>
      <c r="BC28" s="181"/>
      <c r="BD28" s="182" t="s">
        <v>184</v>
      </c>
      <c r="BE28" s="172">
        <v>8</v>
      </c>
      <c r="BF28" s="173">
        <f t="shared" si="7"/>
        <v>8</v>
      </c>
      <c r="BG28" s="184"/>
      <c r="BH28" s="185" t="s">
        <v>92</v>
      </c>
      <c r="BI28" s="186"/>
      <c r="BJ28" s="187"/>
      <c r="BK28" s="188"/>
      <c r="BL28" s="189"/>
      <c r="BM28" s="4"/>
      <c r="BN28" s="199" t="s">
        <v>194</v>
      </c>
      <c r="BO28" s="200"/>
      <c r="BP28" s="201"/>
      <c r="BQ28" s="168" t="s">
        <v>121</v>
      </c>
      <c r="BR28" s="169"/>
      <c r="BS28" s="181"/>
      <c r="BT28" s="182" t="s">
        <v>185</v>
      </c>
      <c r="BU28" s="172">
        <v>2</v>
      </c>
      <c r="BV28" s="173">
        <f t="shared" si="8"/>
        <v>2</v>
      </c>
      <c r="BW28" s="184"/>
      <c r="BX28" s="185" t="s">
        <v>122</v>
      </c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180</v>
      </c>
      <c r="AY29" s="200"/>
      <c r="AZ29" s="201"/>
      <c r="BA29" s="168" t="s">
        <v>98</v>
      </c>
      <c r="BB29" s="169"/>
      <c r="BC29" s="181"/>
      <c r="BD29" s="182" t="s">
        <v>184</v>
      </c>
      <c r="BE29" s="172">
        <v>3</v>
      </c>
      <c r="BF29" s="173">
        <f t="shared" si="7"/>
        <v>3</v>
      </c>
      <c r="BG29" s="184"/>
      <c r="BH29" s="185"/>
      <c r="BI29" s="186"/>
      <c r="BJ29" s="187"/>
      <c r="BK29" s="188"/>
      <c r="BL29" s="189"/>
      <c r="BM29" s="4"/>
      <c r="BN29" s="199" t="s">
        <v>195</v>
      </c>
      <c r="BO29" s="200"/>
      <c r="BP29" s="201"/>
      <c r="BQ29" s="168" t="s">
        <v>130</v>
      </c>
      <c r="BR29" s="169"/>
      <c r="BS29" s="181"/>
      <c r="BT29" s="182" t="s">
        <v>185</v>
      </c>
      <c r="BU29" s="172">
        <v>1</v>
      </c>
      <c r="BV29" s="173">
        <f t="shared" si="8"/>
        <v>1</v>
      </c>
      <c r="BW29" s="184"/>
      <c r="BX29" s="185" t="s">
        <v>131</v>
      </c>
      <c r="BY29" s="186"/>
      <c r="BZ29" s="187"/>
      <c r="CA29" s="188"/>
      <c r="CB29" s="189" t="s">
        <v>127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178</v>
      </c>
      <c r="AY30" s="200"/>
      <c r="AZ30" s="201"/>
      <c r="BA30" s="168" t="s">
        <v>103</v>
      </c>
      <c r="BB30" s="169"/>
      <c r="BC30" s="181"/>
      <c r="BD30" s="182" t="s">
        <v>184</v>
      </c>
      <c r="BE30" s="172">
        <v>18</v>
      </c>
      <c r="BF30" s="173">
        <f t="shared" si="7"/>
        <v>18</v>
      </c>
      <c r="BG30" s="184"/>
      <c r="BH30" s="185" t="s">
        <v>188</v>
      </c>
      <c r="BI30" s="186"/>
      <c r="BJ30" s="187"/>
      <c r="BK30" s="188"/>
      <c r="BL30" s="189"/>
      <c r="BM30" s="4"/>
      <c r="BN30" s="199" t="s">
        <v>196</v>
      </c>
      <c r="BO30" s="200"/>
      <c r="BP30" s="201"/>
      <c r="BQ30" s="168" t="s">
        <v>125</v>
      </c>
      <c r="BR30" s="169"/>
      <c r="BS30" s="181"/>
      <c r="BT30" s="182" t="s">
        <v>184</v>
      </c>
      <c r="BU30" s="172">
        <v>1</v>
      </c>
      <c r="BV30" s="173">
        <f t="shared" si="8"/>
        <v>1</v>
      </c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181</v>
      </c>
      <c r="AY31" s="200"/>
      <c r="AZ31" s="201"/>
      <c r="BA31" s="168" t="s">
        <v>108</v>
      </c>
      <c r="BB31" s="169"/>
      <c r="BC31" s="181"/>
      <c r="BD31" s="182" t="s">
        <v>186</v>
      </c>
      <c r="BE31" s="172">
        <v>1</v>
      </c>
      <c r="BF31" s="173">
        <f t="shared" si="7"/>
        <v>1</v>
      </c>
      <c r="BG31" s="184"/>
      <c r="BH31" s="185" t="s">
        <v>109</v>
      </c>
      <c r="BI31" s="186"/>
      <c r="BJ31" s="187"/>
      <c r="BK31" s="188"/>
      <c r="BL31" s="189"/>
      <c r="BM31" s="4"/>
      <c r="BN31" s="199" t="s">
        <v>178</v>
      </c>
      <c r="BO31" s="200"/>
      <c r="BP31" s="201"/>
      <c r="BQ31" s="168" t="s">
        <v>126</v>
      </c>
      <c r="BR31" s="169"/>
      <c r="BS31" s="181"/>
      <c r="BT31" s="182" t="s">
        <v>184</v>
      </c>
      <c r="BU31" s="172">
        <v>15</v>
      </c>
      <c r="BV31" s="173">
        <f t="shared" si="8"/>
        <v>15</v>
      </c>
      <c r="BW31" s="184"/>
      <c r="BX31" s="185" t="s">
        <v>86</v>
      </c>
      <c r="BY31" s="186"/>
      <c r="BZ31" s="187"/>
      <c r="CA31" s="188"/>
      <c r="CB31" s="189" t="s">
        <v>127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 t="s">
        <v>181</v>
      </c>
      <c r="AY32" s="200"/>
      <c r="AZ32" s="201"/>
      <c r="BA32" s="168" t="s">
        <v>113</v>
      </c>
      <c r="BB32" s="169"/>
      <c r="BC32" s="181"/>
      <c r="BD32" s="182" t="s">
        <v>186</v>
      </c>
      <c r="BE32" s="172">
        <v>1</v>
      </c>
      <c r="BF32" s="173">
        <f t="shared" si="7"/>
        <v>1</v>
      </c>
      <c r="BG32" s="184"/>
      <c r="BH32" s="185" t="s">
        <v>109</v>
      </c>
      <c r="BI32" s="186"/>
      <c r="BJ32" s="187"/>
      <c r="BK32" s="188"/>
      <c r="BL32" s="189"/>
      <c r="BM32" s="4"/>
      <c r="BN32" s="199" t="s">
        <v>197</v>
      </c>
      <c r="BO32" s="200"/>
      <c r="BP32" s="201"/>
      <c r="BQ32" s="168" t="s">
        <v>133</v>
      </c>
      <c r="BR32" s="169"/>
      <c r="BS32" s="181"/>
      <c r="BT32" s="182" t="s">
        <v>185</v>
      </c>
      <c r="BU32" s="172">
        <v>1</v>
      </c>
      <c r="BV32" s="173">
        <f t="shared" si="8"/>
        <v>1</v>
      </c>
      <c r="BW32" s="184"/>
      <c r="BX32" s="185"/>
      <c r="BY32" s="186"/>
      <c r="BZ32" s="187"/>
      <c r="CA32" s="188"/>
      <c r="CB32" s="189" t="s">
        <v>127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">
        <v>182</v>
      </c>
      <c r="AY33" s="200"/>
      <c r="AZ33" s="201"/>
      <c r="BA33" s="168" t="s">
        <v>114</v>
      </c>
      <c r="BB33" s="169"/>
      <c r="BC33" s="181"/>
      <c r="BD33" s="182" t="s">
        <v>186</v>
      </c>
      <c r="BE33" s="172">
        <f>((W-61)+((H-38)*2))/1000</f>
        <v>6.8630000000000004</v>
      </c>
      <c r="BF33" s="173">
        <f t="shared" si="7"/>
        <v>6.8630000000000004</v>
      </c>
      <c r="BG33" s="213" t="s">
        <v>115</v>
      </c>
      <c r="BH33" s="185"/>
      <c r="BI33" s="186"/>
      <c r="BJ33" s="187"/>
      <c r="BK33" s="188"/>
      <c r="BL33" s="189"/>
      <c r="BM33" s="4"/>
      <c r="BN33" s="199" t="s">
        <v>178</v>
      </c>
      <c r="BO33" s="200"/>
      <c r="BP33" s="201"/>
      <c r="BQ33" s="168" t="s">
        <v>104</v>
      </c>
      <c r="BR33" s="169"/>
      <c r="BS33" s="181"/>
      <c r="BT33" s="182" t="s">
        <v>185</v>
      </c>
      <c r="BU33" s="172">
        <v>4</v>
      </c>
      <c r="BV33" s="173">
        <f t="shared" si="8"/>
        <v>4</v>
      </c>
      <c r="BW33" s="213" t="s">
        <v>7</v>
      </c>
      <c r="BX33" s="185" t="s">
        <v>100</v>
      </c>
      <c r="BY33" s="186"/>
      <c r="BZ33" s="187"/>
      <c r="CA33" s="188"/>
      <c r="CB33" s="189" t="s">
        <v>7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7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">
        <v>179</v>
      </c>
      <c r="AY34" s="200"/>
      <c r="AZ34" s="201"/>
      <c r="BA34" s="168" t="s">
        <v>116</v>
      </c>
      <c r="BB34" s="169"/>
      <c r="BC34" s="181"/>
      <c r="BD34" s="182" t="s">
        <v>186</v>
      </c>
      <c r="BE34" s="172">
        <f>((W-61)+((h.2-36)*2))/1000</f>
        <v>1.2270000000000001</v>
      </c>
      <c r="BF34" s="173">
        <f t="shared" si="7"/>
        <v>1.2270000000000001</v>
      </c>
      <c r="BG34" s="213" t="s">
        <v>115</v>
      </c>
      <c r="BH34" s="185" t="s">
        <v>189</v>
      </c>
      <c r="BI34" s="186"/>
      <c r="BJ34" s="187"/>
      <c r="BK34" s="188"/>
      <c r="BL34" s="189"/>
      <c r="BM34" s="4"/>
      <c r="BN34" s="199"/>
      <c r="BO34" s="200"/>
      <c r="BP34" s="201"/>
      <c r="BQ34" s="168"/>
      <c r="BR34" s="169"/>
      <c r="BS34" s="181"/>
      <c r="BT34" s="182"/>
      <c r="BU34" s="172"/>
      <c r="BV34" s="173"/>
      <c r="BW34" s="213"/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7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 t="s">
        <v>183</v>
      </c>
      <c r="AY35" s="200"/>
      <c r="AZ35" s="201"/>
      <c r="BA35" s="168" t="s">
        <v>118</v>
      </c>
      <c r="BB35" s="169"/>
      <c r="BC35" s="181"/>
      <c r="BD35" s="182" t="s">
        <v>186</v>
      </c>
      <c r="BE35" s="172">
        <v>2</v>
      </c>
      <c r="BF35" s="173">
        <f t="shared" si="7"/>
        <v>2</v>
      </c>
      <c r="BG35" s="213"/>
      <c r="BH35" s="185"/>
      <c r="BI35" s="186"/>
      <c r="BJ35" s="187"/>
      <c r="BK35" s="188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213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7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213"/>
      <c r="BH36" s="185"/>
      <c r="BI36" s="186"/>
      <c r="BJ36" s="187"/>
      <c r="BK36" s="188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 t="str">
        <f t="shared" ref="AX22:AX60" si="10">IF(BA37&gt;"",VLOOKUP(BA37,PART_NAMA,3,FALSE),"")</f>
        <v/>
      </c>
      <c r="AY37" s="200"/>
      <c r="AZ37" s="201"/>
      <c r="BA37" s="168"/>
      <c r="BB37" s="169"/>
      <c r="BC37" s="181"/>
      <c r="BD37" s="182" t="str">
        <f t="shared" ref="BD22:BD60" si="11">IF(BA37&gt;"",VLOOKUP(BA37&amp;$M$10,PART_MASTER,3,FALSE),"")</f>
        <v/>
      </c>
      <c r="BE37" s="172"/>
      <c r="BF37" s="173" t="str">
        <f t="shared" si="7"/>
        <v/>
      </c>
      <c r="BG37" s="213"/>
      <c r="BH37" s="185"/>
      <c r="BI37" s="186"/>
      <c r="BJ37" s="187"/>
      <c r="BK37" s="188"/>
      <c r="BL37" s="189"/>
      <c r="BM37" s="4"/>
      <c r="BN37" s="199"/>
      <c r="BO37" s="200"/>
      <c r="BP37" s="201"/>
      <c r="BQ37" s="205"/>
      <c r="BR37" s="169"/>
      <c r="BS37" s="181"/>
      <c r="BT37" s="182"/>
      <c r="BU37" s="172"/>
      <c r="BV37" s="173"/>
      <c r="BW37" s="184"/>
      <c r="BX37" s="185"/>
      <c r="BY37" s="186"/>
      <c r="BZ37" s="187"/>
      <c r="CA37" s="206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205"/>
      <c r="BB38" s="169"/>
      <c r="BC38" s="181"/>
      <c r="BD38" s="182"/>
      <c r="BE38" s="172"/>
      <c r="BF38" s="173"/>
      <c r="BG38" s="184"/>
      <c r="BH38" s="185"/>
      <c r="BI38" s="186"/>
      <c r="BJ38" s="187"/>
      <c r="BK38" s="206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206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2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206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2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134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2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2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213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135</v>
      </c>
      <c r="C43" s="241"/>
      <c r="D43" s="241"/>
      <c r="E43" s="241"/>
      <c r="F43" s="242"/>
      <c r="G43" s="243"/>
      <c r="H43" s="244"/>
      <c r="I43" s="234"/>
      <c r="J43" s="245" t="s">
        <v>136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2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213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137</v>
      </c>
      <c r="C44" s="328" t="s">
        <v>138</v>
      </c>
      <c r="D44" s="329"/>
      <c r="E44" s="330"/>
      <c r="F44" s="328" t="s">
        <v>139</v>
      </c>
      <c r="G44" s="329"/>
      <c r="H44" s="330"/>
      <c r="I44" s="253"/>
      <c r="J44" s="254" t="s">
        <v>137</v>
      </c>
      <c r="K44" s="328" t="s">
        <v>138</v>
      </c>
      <c r="L44" s="329"/>
      <c r="M44" s="329"/>
      <c r="N44" s="330"/>
      <c r="O44" s="254" t="s">
        <v>140</v>
      </c>
      <c r="P44" s="255" t="s">
        <v>137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2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141</v>
      </c>
      <c r="D45" s="258"/>
      <c r="E45" s="258"/>
      <c r="F45" s="259"/>
      <c r="G45" s="260"/>
      <c r="H45" s="261"/>
      <c r="I45" s="262"/>
      <c r="J45" s="263">
        <v>1</v>
      </c>
      <c r="K45" s="264" t="s">
        <v>142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2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143</v>
      </c>
      <c r="D46" s="260"/>
      <c r="E46" s="260"/>
      <c r="F46" s="264"/>
      <c r="G46" s="260"/>
      <c r="H46" s="261"/>
      <c r="I46" s="262"/>
      <c r="J46" s="263">
        <v>2</v>
      </c>
      <c r="K46" s="264" t="s">
        <v>144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2"/>
        <v/>
      </c>
      <c r="AV46" s="179" t="str">
        <f t="shared" si="6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145</v>
      </c>
      <c r="D47" s="260"/>
      <c r="E47" s="260"/>
      <c r="F47" s="264"/>
      <c r="G47" s="260"/>
      <c r="H47" s="261"/>
      <c r="I47" s="268"/>
      <c r="J47" s="263">
        <v>3</v>
      </c>
      <c r="K47" s="264" t="s">
        <v>146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2"/>
        <v/>
      </c>
      <c r="AV47" s="179" t="str">
        <f t="shared" si="6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147</v>
      </c>
      <c r="D48" s="260"/>
      <c r="E48" s="260"/>
      <c r="F48" s="264"/>
      <c r="G48" s="260"/>
      <c r="H48" s="261"/>
      <c r="I48" s="268"/>
      <c r="J48" s="263">
        <v>4</v>
      </c>
      <c r="K48" s="264" t="s">
        <v>148</v>
      </c>
      <c r="L48" s="260"/>
      <c r="M48" s="260"/>
      <c r="N48" s="265"/>
      <c r="O48" s="266"/>
      <c r="P48" s="267"/>
      <c r="Q48" s="4"/>
      <c r="R48" s="269" t="s">
        <v>76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149</v>
      </c>
      <c r="AD48" s="273"/>
      <c r="AE48" s="274" t="s">
        <v>150</v>
      </c>
      <c r="AF48" s="275">
        <f>SUM(AF22:AF47)</f>
        <v>5.11951</v>
      </c>
      <c r="AG48" s="4"/>
      <c r="AH48" s="269" t="s">
        <v>76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149</v>
      </c>
      <c r="AT48" s="273"/>
      <c r="AU48" s="274" t="s">
        <v>150</v>
      </c>
      <c r="AV48" s="275">
        <f>SUM(AV22:AV47)</f>
        <v>4.2322850000000001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184"/>
      <c r="BH48" s="185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213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151</v>
      </c>
      <c r="D49" s="260"/>
      <c r="E49" s="260"/>
      <c r="F49" s="264"/>
      <c r="G49" s="260"/>
      <c r="H49" s="261"/>
      <c r="I49" s="268"/>
      <c r="J49" s="263">
        <v>5</v>
      </c>
      <c r="K49" s="264" t="s">
        <v>152</v>
      </c>
      <c r="L49" s="260"/>
      <c r="M49" s="260"/>
      <c r="N49" s="265"/>
      <c r="O49" s="266"/>
      <c r="P49" s="267"/>
      <c r="Q49" s="4"/>
      <c r="R49" s="276" t="s">
        <v>153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154</v>
      </c>
      <c r="AE49" s="280" t="s">
        <v>155</v>
      </c>
      <c r="AF49" s="281">
        <f>AF48*0.986</f>
        <v>5.0478368600000003</v>
      </c>
      <c r="AG49" s="4"/>
      <c r="AH49" s="276" t="s">
        <v>153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154</v>
      </c>
      <c r="AU49" s="280" t="s">
        <v>155</v>
      </c>
      <c r="AV49" s="281">
        <f>AV48*0.986</f>
        <v>4.1730330100000002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213"/>
      <c r="BH49" s="185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213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156</v>
      </c>
      <c r="D50" s="260"/>
      <c r="E50" s="260"/>
      <c r="F50" s="264"/>
      <c r="G50" s="260"/>
      <c r="H50" s="261"/>
      <c r="I50" s="268"/>
      <c r="J50" s="263">
        <v>6</v>
      </c>
      <c r="K50" s="264" t="s">
        <v>157</v>
      </c>
      <c r="L50" s="260"/>
      <c r="M50" s="260"/>
      <c r="N50" s="265"/>
      <c r="O50" s="266"/>
      <c r="P50" s="267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158</v>
      </c>
      <c r="AF50" s="281">
        <f>AF48*0.974*0.986</f>
        <v>4.9165931016400002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158</v>
      </c>
      <c r="AV50" s="281">
        <f>AV48*0.974*0.986</f>
        <v>4.0645341517400002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3"/>
      <c r="BH50" s="185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213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159</v>
      </c>
      <c r="D51" s="260"/>
      <c r="E51" s="260"/>
      <c r="F51" s="264"/>
      <c r="G51" s="260"/>
      <c r="H51" s="261"/>
      <c r="I51" s="268"/>
      <c r="J51" s="263">
        <v>7</v>
      </c>
      <c r="K51" s="264" t="s">
        <v>160</v>
      </c>
      <c r="L51" s="260"/>
      <c r="M51" s="260"/>
      <c r="N51" s="265"/>
      <c r="O51" s="266"/>
      <c r="P51" s="267"/>
      <c r="Q51" s="4"/>
      <c r="R51" s="284" t="s">
        <v>161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5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5"/>
      <c r="AW51" s="4"/>
      <c r="AX51" s="199"/>
      <c r="AY51" s="200"/>
      <c r="AZ51" s="201"/>
      <c r="BA51" s="168"/>
      <c r="BB51" s="169"/>
      <c r="BC51" s="181"/>
      <c r="BD51" s="182"/>
      <c r="BE51" s="172"/>
      <c r="BF51" s="173"/>
      <c r="BG51" s="213"/>
      <c r="BH51" s="185"/>
      <c r="BI51" s="186"/>
      <c r="BJ51" s="187"/>
      <c r="BK51" s="188"/>
      <c r="BL51" s="189"/>
      <c r="BM51" s="4"/>
      <c r="BN51" s="199" t="str">
        <f t="shared" ref="BN22:BN60" si="13">IF(BQ51&gt;"",VLOOKUP(BQ51,PART_NAMA,3,FALSE),"")</f>
        <v/>
      </c>
      <c r="BO51" s="200"/>
      <c r="BP51" s="201"/>
      <c r="BQ51" s="168"/>
      <c r="BR51" s="169"/>
      <c r="BS51" s="181"/>
      <c r="BT51" s="182" t="str">
        <f t="shared" ref="BT23:BT58" si="14">IF(BQ51&gt;"",VLOOKUP(BQ51&amp;$M$10,PART_MASTER,3,FALSE),"")</f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6" t="s">
        <v>162</v>
      </c>
      <c r="C52" s="287"/>
      <c r="D52" s="288"/>
      <c r="E52" s="288"/>
      <c r="F52" s="288"/>
      <c r="G52" s="288"/>
      <c r="H52" s="288"/>
      <c r="I52" s="268"/>
      <c r="J52" s="263">
        <v>8</v>
      </c>
      <c r="K52" s="264" t="s">
        <v>163</v>
      </c>
      <c r="L52" s="260"/>
      <c r="M52" s="260"/>
      <c r="N52" s="265"/>
      <c r="O52" s="266"/>
      <c r="P52" s="267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5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5"/>
      <c r="AW52" s="4"/>
      <c r="AX52" s="199"/>
      <c r="AY52" s="200"/>
      <c r="AZ52" s="201"/>
      <c r="BA52" s="168"/>
      <c r="BB52" s="169"/>
      <c r="BC52" s="181"/>
      <c r="BD52" s="182"/>
      <c r="BE52" s="172"/>
      <c r="BF52" s="173"/>
      <c r="BG52" s="213"/>
      <c r="BH52" s="185"/>
      <c r="BI52" s="186"/>
      <c r="BJ52" s="187"/>
      <c r="BK52" s="188"/>
      <c r="BL52" s="189"/>
      <c r="BM52" s="4"/>
      <c r="BN52" s="214" t="str">
        <f t="shared" si="13"/>
        <v/>
      </c>
      <c r="BO52" s="200"/>
      <c r="BP52" s="201"/>
      <c r="BQ52" s="289"/>
      <c r="BR52" s="169"/>
      <c r="BS52" s="181"/>
      <c r="BT52" s="182" t="str">
        <f t="shared" si="14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0" t="s">
        <v>164</v>
      </c>
      <c r="C53" s="268"/>
      <c r="D53" s="268"/>
      <c r="E53" s="268"/>
      <c r="F53" s="268"/>
      <c r="G53" s="268"/>
      <c r="H53" s="268"/>
      <c r="I53" s="268"/>
      <c r="J53" s="291"/>
      <c r="K53" s="292"/>
      <c r="L53" s="292"/>
      <c r="M53" s="292"/>
      <c r="N53" s="293"/>
      <c r="O53" s="294"/>
      <c r="P53" s="295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5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5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3"/>
        <v/>
      </c>
      <c r="BO53" s="200"/>
      <c r="BP53" s="201"/>
      <c r="BQ53" s="168"/>
      <c r="BR53" s="169"/>
      <c r="BS53" s="181"/>
      <c r="BT53" s="182" t="str">
        <f t="shared" si="14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6" t="s">
        <v>165</v>
      </c>
      <c r="C54" s="268"/>
      <c r="D54" s="268"/>
      <c r="E54" s="268"/>
      <c r="F54" s="268"/>
      <c r="G54" s="268"/>
      <c r="H54" s="268"/>
      <c r="I54" s="268"/>
      <c r="J54" s="297"/>
      <c r="K54" s="298"/>
      <c r="L54" s="298"/>
      <c r="M54" s="298"/>
      <c r="N54" s="299"/>
      <c r="O54" s="300"/>
      <c r="P54" s="301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5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5"/>
      <c r="AW54" s="4"/>
      <c r="AX54" s="199" t="str">
        <f t="shared" si="10"/>
        <v/>
      </c>
      <c r="AY54" s="200"/>
      <c r="AZ54" s="201"/>
      <c r="BA54" s="289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3"/>
        <v/>
      </c>
      <c r="BO54" s="200"/>
      <c r="BP54" s="201"/>
      <c r="BQ54" s="289"/>
      <c r="BR54" s="169"/>
      <c r="BS54" s="181"/>
      <c r="BT54" s="182" t="str">
        <f t="shared" si="14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6" t="s">
        <v>166</v>
      </c>
      <c r="C55" s="268"/>
      <c r="D55" s="268"/>
      <c r="E55" s="268"/>
      <c r="F55" s="268"/>
      <c r="G55" s="268"/>
      <c r="H55" s="268"/>
      <c r="I55" s="268"/>
      <c r="J55" s="302" t="s">
        <v>167</v>
      </c>
      <c r="K55" s="294"/>
      <c r="L55" s="288"/>
      <c r="M55" s="288"/>
      <c r="N55" s="303"/>
      <c r="O55" s="260"/>
      <c r="P55" s="304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5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5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3"/>
        <v/>
      </c>
      <c r="BO55" s="200"/>
      <c r="BP55" s="201"/>
      <c r="BQ55" s="168"/>
      <c r="BR55" s="169"/>
      <c r="BS55" s="181"/>
      <c r="BT55" s="182" t="str">
        <f t="shared" si="14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5"/>
      <c r="C56" s="268"/>
      <c r="D56" s="268"/>
      <c r="E56" s="268"/>
      <c r="F56" s="268"/>
      <c r="G56" s="268"/>
      <c r="H56" s="268"/>
      <c r="I56" s="268"/>
      <c r="J56" s="306" t="s">
        <v>168</v>
      </c>
      <c r="K56" s="307"/>
      <c r="L56" s="307"/>
      <c r="M56" s="307"/>
      <c r="N56" s="308"/>
      <c r="O56" s="309" t="s">
        <v>169</v>
      </c>
      <c r="P56" s="310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5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5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3"/>
        <v/>
      </c>
      <c r="BO56" s="200"/>
      <c r="BP56" s="201"/>
      <c r="BQ56" s="168"/>
      <c r="BR56" s="169"/>
      <c r="BS56" s="181"/>
      <c r="BT56" s="182" t="str">
        <f t="shared" si="14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1"/>
      <c r="C57" s="312"/>
      <c r="D57" s="312"/>
      <c r="E57" s="312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3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5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5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3"/>
        <v/>
      </c>
      <c r="BO57" s="200"/>
      <c r="BP57" s="201"/>
      <c r="BQ57" s="168"/>
      <c r="BR57" s="169"/>
      <c r="BS57" s="181"/>
      <c r="BT57" s="182" t="str">
        <f t="shared" si="14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1"/>
      <c r="C58" s="312"/>
      <c r="D58" s="312"/>
      <c r="E58" s="312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3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5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5"/>
      <c r="AW58" s="4"/>
      <c r="AX58" s="214" t="str">
        <f t="shared" si="10"/>
        <v/>
      </c>
      <c r="AY58" s="200"/>
      <c r="AZ58" s="201"/>
      <c r="BA58" s="289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4"/>
      <c r="BM58" s="4"/>
      <c r="BN58" s="214" t="str">
        <f t="shared" si="13"/>
        <v/>
      </c>
      <c r="BO58" s="200"/>
      <c r="BP58" s="201"/>
      <c r="BQ58" s="289"/>
      <c r="BR58" s="169"/>
      <c r="BS58" s="181"/>
      <c r="BT58" s="182" t="str">
        <f t="shared" si="14"/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4"/>
      <c r="CG58" s="3"/>
    </row>
    <row r="59" spans="2:120" ht="15" customHeight="1" x14ac:dyDescent="0.25">
      <c r="B59" s="311"/>
      <c r="C59" s="312"/>
      <c r="D59" s="312"/>
      <c r="E59" s="312"/>
      <c r="F59" s="312"/>
      <c r="G59" s="312"/>
      <c r="H59" s="312"/>
      <c r="I59" s="268"/>
      <c r="J59" s="268"/>
      <c r="K59" s="268"/>
      <c r="L59" s="315"/>
      <c r="M59" s="315"/>
      <c r="N59" s="315"/>
      <c r="O59" s="315"/>
      <c r="P59" s="313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5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5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4"/>
      <c r="BM59" s="4"/>
      <c r="BN59" s="214" t="str">
        <f t="shared" si="13"/>
        <v/>
      </c>
      <c r="BO59" s="200"/>
      <c r="BP59" s="201"/>
      <c r="BQ59" s="168"/>
      <c r="BR59" s="169"/>
      <c r="BS59" s="181"/>
      <c r="BT59" s="182" t="str">
        <f t="shared" ref="BT59" si="15">IF(BQ59&gt;"",VLOOKUP(BQ59&amp;$M$10,PART_MASTER,3,FALSE),"")</f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4"/>
    </row>
    <row r="60" spans="2:120" ht="15" customHeight="1" thickBot="1" x14ac:dyDescent="0.3">
      <c r="B60" s="316"/>
      <c r="C60" s="317"/>
      <c r="D60" s="317"/>
      <c r="E60" s="317"/>
      <c r="F60" s="317"/>
      <c r="G60" s="317"/>
      <c r="H60" s="317"/>
      <c r="I60" s="317"/>
      <c r="J60" s="317"/>
      <c r="K60" s="317"/>
      <c r="L60" s="317" t="s">
        <v>170</v>
      </c>
      <c r="M60" s="317"/>
      <c r="N60" s="317"/>
      <c r="O60" s="317"/>
      <c r="P60" s="318"/>
      <c r="Q60" s="4"/>
      <c r="R60" s="319"/>
      <c r="S60" s="320"/>
      <c r="T60" s="320"/>
      <c r="U60" s="320"/>
      <c r="V60" s="320"/>
      <c r="W60" s="320"/>
      <c r="X60" s="320"/>
      <c r="Y60" s="320"/>
      <c r="Z60" s="320"/>
      <c r="AA60" s="320"/>
      <c r="AB60" s="320"/>
      <c r="AC60" s="320"/>
      <c r="AD60" s="320"/>
      <c r="AE60" s="320"/>
      <c r="AF60" s="321"/>
      <c r="AG60" s="4"/>
      <c r="AH60" s="319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321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4"/>
      <c r="BM60" s="4"/>
      <c r="BN60" s="214" t="str">
        <f t="shared" si="13"/>
        <v/>
      </c>
      <c r="BO60" s="200"/>
      <c r="BP60" s="201"/>
      <c r="BQ60" s="168"/>
      <c r="BR60" s="169"/>
      <c r="BS60" s="181"/>
      <c r="BT60" s="182" t="str">
        <f t="shared" ref="BT60" si="16">IF(BQ60&gt;"",VLOOKUP(BQ60&amp;$M$10,PART_MASTER,3,FALSE),"")</f>
        <v/>
      </c>
      <c r="BU60" s="172"/>
      <c r="BV60" s="173" t="str">
        <f t="shared" ref="BV60" si="17">IF(BU60="","",Q*BU60)</f>
        <v/>
      </c>
      <c r="BW60" s="184"/>
      <c r="BX60" s="251"/>
      <c r="BY60" s="186"/>
      <c r="BZ60" s="187"/>
      <c r="CA60" s="206"/>
      <c r="CB60" s="314"/>
      <c r="CG60" s="3"/>
    </row>
    <row r="61" spans="2:120" ht="15" customHeight="1" x14ac:dyDescent="0.3">
      <c r="P61" s="322" t="s">
        <v>171</v>
      </c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3"/>
      <c r="AD61" s="323"/>
      <c r="AE61" s="323"/>
      <c r="AF61" s="322" t="s">
        <v>171</v>
      </c>
      <c r="AH61" s="323"/>
      <c r="AI61" s="323"/>
      <c r="AJ61" s="323"/>
      <c r="AK61" s="323"/>
      <c r="AL61" s="323"/>
      <c r="AM61" s="323"/>
      <c r="AN61" s="323"/>
      <c r="AO61" s="323"/>
      <c r="AP61" s="323"/>
      <c r="AQ61" s="323"/>
      <c r="AR61" s="323"/>
      <c r="AS61" s="323"/>
      <c r="AT61" s="323"/>
      <c r="AU61" s="323"/>
      <c r="AV61" s="322" t="s">
        <v>171</v>
      </c>
      <c r="AX61" s="323"/>
      <c r="AY61" s="323"/>
      <c r="AZ61" s="323"/>
      <c r="BA61" s="323"/>
      <c r="BB61" s="323"/>
      <c r="BC61" s="323"/>
      <c r="BD61" s="323"/>
      <c r="BE61" s="323"/>
      <c r="BF61" s="323"/>
      <c r="BG61" s="323"/>
      <c r="BH61" s="323"/>
      <c r="BI61" s="323"/>
      <c r="BJ61" s="323"/>
      <c r="BK61" s="323"/>
      <c r="BL61" s="322" t="s">
        <v>171</v>
      </c>
      <c r="BN61" s="323"/>
      <c r="BO61" s="323"/>
      <c r="BP61" s="323"/>
      <c r="BQ61" s="323"/>
      <c r="BR61" s="323"/>
      <c r="BS61" s="323"/>
      <c r="BT61" s="323"/>
      <c r="BU61" s="323"/>
      <c r="BV61" s="323"/>
      <c r="BW61" s="323"/>
      <c r="BX61" s="323"/>
      <c r="BY61" s="323"/>
      <c r="BZ61" s="323"/>
      <c r="CA61" s="323"/>
      <c r="CB61" s="322" t="s">
        <v>171</v>
      </c>
    </row>
    <row r="62" spans="2:120" x14ac:dyDescent="0.25">
      <c r="BT62" s="277" t="s">
        <v>172</v>
      </c>
    </row>
    <row r="63" spans="2:120" x14ac:dyDescent="0.25">
      <c r="BT63" s="324"/>
    </row>
    <row r="64" spans="2:120" x14ac:dyDescent="0.25">
      <c r="BT64" s="324" t="s">
        <v>172</v>
      </c>
    </row>
    <row r="65" spans="72:72" x14ac:dyDescent="0.25">
      <c r="BT65" s="324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FIX_DOOR-EL</vt:lpstr>
      <vt:lpstr>'FIX_DOOR-EL'!A.</vt:lpstr>
      <vt:lpstr>'FIX_DOOR-EL'!C.</vt:lpstr>
      <vt:lpstr>'FIX_DOOR-EL'!F.</vt:lpstr>
      <vt:lpstr>'FIX_DOOR-EL'!GCS</vt:lpstr>
      <vt:lpstr>'FIX_DOOR-EL'!GTH</vt:lpstr>
      <vt:lpstr>'FIX_DOOR-EL'!H</vt:lpstr>
      <vt:lpstr>'FIX_DOOR-EL'!h.1</vt:lpstr>
      <vt:lpstr>'FIX_DOOR-EL'!h.10</vt:lpstr>
      <vt:lpstr>'FIX_DOOR-EL'!h.2</vt:lpstr>
      <vt:lpstr>'FIX_DOOR-EL'!h.3</vt:lpstr>
      <vt:lpstr>'FIX_DOOR-EL'!h.4</vt:lpstr>
      <vt:lpstr>'FIX_DOOR-EL'!h.5</vt:lpstr>
      <vt:lpstr>'FIX_DOOR-EL'!h.6</vt:lpstr>
      <vt:lpstr>'FIX_DOOR-EL'!h.7</vt:lpstr>
      <vt:lpstr>'FIX_DOOR-EL'!h.8</vt:lpstr>
      <vt:lpstr>'FIX_DOOR-EL'!h.9</vt:lpstr>
      <vt:lpstr>'FIX_DOOR-EL'!HS</vt:lpstr>
      <vt:lpstr>'FIX_DOOR-EL'!HS.1</vt:lpstr>
      <vt:lpstr>'FIX_DOOR-EL'!HS.2</vt:lpstr>
      <vt:lpstr>'FIX_DOOR-EL'!HS.3</vt:lpstr>
      <vt:lpstr>'FIX_DOOR-EL'!HS.4</vt:lpstr>
      <vt:lpstr>'FIX_DOOR-EL'!HS.5</vt:lpstr>
      <vt:lpstr>'FIX_DOOR-EL'!Print_Area</vt:lpstr>
      <vt:lpstr>'FIX_DOOR-EL'!Q</vt:lpstr>
      <vt:lpstr>'FIX_DOOR-EL'!R.</vt:lpstr>
      <vt:lpstr>'FIX_DOOR-EL'!W</vt:lpstr>
      <vt:lpstr>'FIX_DOOR-EL'!w.1</vt:lpstr>
      <vt:lpstr>'FIX_DOOR-EL'!w.10</vt:lpstr>
      <vt:lpstr>'FIX_DOOR-EL'!w.2</vt:lpstr>
      <vt:lpstr>'FIX_DOOR-EL'!w.3</vt:lpstr>
      <vt:lpstr>'FIX_DOOR-EL'!w.4</vt:lpstr>
      <vt:lpstr>'FIX_DOOR-EL'!w.5</vt:lpstr>
      <vt:lpstr>'FIX_DOOR-EL'!w.6</vt:lpstr>
      <vt:lpstr>'FIX_DOOR-EL'!w.7</vt:lpstr>
      <vt:lpstr>'FIX_DOOR-EL'!w.8</vt:lpstr>
      <vt:lpstr>'FIX_DOOR-EL'!w.9</vt:lpstr>
      <vt:lpstr>'FIX_DOOR-EL'!WS</vt:lpstr>
      <vt:lpstr>'FIX_DOOR-EL'!WS.1</vt:lpstr>
      <vt:lpstr>'FIX_DOOR-EL'!WS.2</vt:lpstr>
      <vt:lpstr>'FIX_DOOR-EL'!WS.3</vt:lpstr>
      <vt:lpstr>'FIX_DOOR-EL'!WS.4</vt:lpstr>
      <vt:lpstr>'FIX_DOOR-EL'!WS.5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2024-07-30T09:40:46Z</dcterms:created>
  <dcterms:modified xsi:type="dcterms:W3CDTF">2024-08-23T07:11:47Z</dcterms:modified>
</cp:coreProperties>
</file>