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uijs\Desktop\ETEME\"/>
    </mc:Choice>
  </mc:AlternateContent>
  <xr:revisionPtr revIDLastSave="0" documentId="13_ncr:1_{48A7CBF4-0857-4512-8812-EEC0C533DDEA}" xr6:coauthVersionLast="47" xr6:coauthVersionMax="47" xr10:uidLastSave="{00000000-0000-0000-0000-000000000000}"/>
  <bookViews>
    <workbookView xWindow="240" yWindow="1620" windowWidth="21504" windowHeight="11040" xr2:uid="{2E597B4C-CD0B-46B8-B788-655E1D3EBACE}"/>
  </bookViews>
  <sheets>
    <sheet name="BOM" sheetId="1" r:id="rId1"/>
    <sheet name="Cálc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K7" i="1"/>
  <c r="F6" i="1"/>
  <c r="M17" i="1"/>
  <c r="M16" i="1"/>
  <c r="E17" i="2"/>
  <c r="E18" i="2"/>
  <c r="E19" i="2" s="1"/>
  <c r="E9" i="2"/>
  <c r="D9" i="2"/>
  <c r="E8" i="2"/>
  <c r="E10" i="2" s="1"/>
  <c r="E12" i="2" s="1"/>
  <c r="E7" i="2"/>
  <c r="E6" i="2"/>
  <c r="E11" i="2" s="1"/>
  <c r="F5" i="1" s="1"/>
  <c r="K5" i="1" s="1"/>
  <c r="E8" i="1" s="1"/>
  <c r="K8" i="1" s="1"/>
  <c r="E9" i="1" s="1"/>
  <c r="K9" i="1" l="1"/>
  <c r="E10" i="1" s="1"/>
  <c r="K10" i="1" s="1"/>
  <c r="E11" i="1" s="1"/>
  <c r="K11" i="1" s="1"/>
  <c r="F11" i="1"/>
  <c r="E13" i="2"/>
</calcChain>
</file>

<file path=xl/sharedStrings.xml><?xml version="1.0" encoding="utf-8"?>
<sst xmlns="http://schemas.openxmlformats.org/spreadsheetml/2006/main" count="160" uniqueCount="113">
  <si>
    <t>Produto</t>
  </si>
  <si>
    <t>Tarugo de Aço</t>
  </si>
  <si>
    <t>Zinco</t>
  </si>
  <si>
    <t>Fio de Aço Galvanizado</t>
  </si>
  <si>
    <t>Cabo de Aço Entrançado</t>
  </si>
  <si>
    <t>**</t>
  </si>
  <si>
    <t>Data</t>
  </si>
  <si>
    <t>Preço</t>
  </si>
  <si>
    <t>https://tradingeconomics.com/commodity/zinc</t>
  </si>
  <si>
    <t>Preço Total</t>
  </si>
  <si>
    <t>Tarugo</t>
  </si>
  <si>
    <t>https://mepsinternational.com/gb/en/products/billet-prices</t>
  </si>
  <si>
    <t>Fixed Costs</t>
  </si>
  <si>
    <t>Renda</t>
  </si>
  <si>
    <t>https://propriedadespt.com/</t>
  </si>
  <si>
    <t>Assumindo que a empresa tem 1000 m^2</t>
  </si>
  <si>
    <t>E que em Portugal o preço de renda por metro quadrado é de 17,59 €</t>
  </si>
  <si>
    <t>Utilitários (Gás, Água, luz, etc)</t>
  </si>
  <si>
    <t>Custo (mês)</t>
  </si>
  <si>
    <t>Salarios</t>
  </si>
  <si>
    <t>Seguros, Licenças, Certificações</t>
  </si>
  <si>
    <t>https://www.iso.org/home.html</t>
  </si>
  <si>
    <t>Manutenção de equipamentos</t>
  </si>
  <si>
    <t>Custo fixo total (mês)</t>
  </si>
  <si>
    <t>Custo fixo total (ano)</t>
  </si>
  <si>
    <t>https://ec.europa.eu/eurostat/statistics-explained/index.php?title=Salary_calculator</t>
  </si>
  <si>
    <t>Especialização breve de cada preço</t>
  </si>
  <si>
    <t>Referência</t>
  </si>
  <si>
    <t>Pressupostos</t>
  </si>
  <si>
    <t>Quantidade Necessária</t>
  </si>
  <si>
    <t>Custo de Produção</t>
  </si>
  <si>
    <t>Custo Total</t>
  </si>
  <si>
    <t>Custo do Material</t>
  </si>
  <si>
    <t>Lista de Materiais (BOM)</t>
  </si>
  <si>
    <t>Cálculos</t>
  </si>
  <si>
    <t>Cálculo do volume de aço e do comprimento do tarugo para fazer uma bobine de fio</t>
  </si>
  <si>
    <t>Passos</t>
  </si>
  <si>
    <t>Fórmula</t>
  </si>
  <si>
    <t>Resultado</t>
  </si>
  <si>
    <t>Calibre do fio final</t>
  </si>
  <si>
    <t>mm</t>
  </si>
  <si>
    <t>1ºPasso → Volume do cabo final</t>
  </si>
  <si>
    <t>Vcabo=(π⋅raio(cabo)^2)⋅comprimento</t>
  </si>
  <si>
    <t>m^3</t>
  </si>
  <si>
    <t>Calibre dos fios individuais</t>
  </si>
  <si>
    <t>2ºPasso → Volume final do núcleo</t>
  </si>
  <si>
    <t>Vnúcleo=(π*raio(núcleo)^2)*comprimento</t>
  </si>
  <si>
    <t>Comprimento do fio final</t>
  </si>
  <si>
    <t>m</t>
  </si>
  <si>
    <t>3ºPasso → Volume final de cada fio externo</t>
  </si>
  <si>
    <t>Vfio=(π*raio(fio)^2)*comprimento</t>
  </si>
  <si>
    <t>Comprimento do fios individual interno (núcleo)</t>
  </si>
  <si>
    <t>4ºPasso → Área do tarugo</t>
  </si>
  <si>
    <t>m^2</t>
  </si>
  <si>
    <r>
      <t>Comprimento dos fios individuais exteriores (</t>
    </r>
    <r>
      <rPr>
        <sz val="11"/>
        <color theme="1"/>
        <rFont val="Aptos Narrow"/>
        <family val="2"/>
      </rPr>
      <t>aprox.</t>
    </r>
    <r>
      <rPr>
        <sz val="11"/>
        <color theme="1"/>
        <rFont val="Aptos Narrow"/>
        <family val="2"/>
        <scheme val="minor"/>
      </rPr>
      <t>)</t>
    </r>
  </si>
  <si>
    <t>5ºPasso → Comprimento de tarugo necessário</t>
  </si>
  <si>
    <t>Ltarugo=(nfios*Vfio+Vnucleo)/Atarugo</t>
  </si>
  <si>
    <t>Quantidade de fios externos</t>
  </si>
  <si>
    <t>uni</t>
  </si>
  <si>
    <t>6ºPasso → Quantidade de Aço por bobina</t>
  </si>
  <si>
    <t>Massa=Vcabo*Densidade</t>
  </si>
  <si>
    <t>kg</t>
  </si>
  <si>
    <t>Densidade Aço</t>
  </si>
  <si>
    <t>7ºPasso → Número de bobinas por tarugo</t>
  </si>
  <si>
    <t>Nbobinas=Lmatériaprima/Ltarugo</t>
  </si>
  <si>
    <t>Espessura de revestimento na galvanização (aprox)</t>
  </si>
  <si>
    <t>Tarugo de aço (matéria prima)</t>
  </si>
  <si>
    <t>Cálculo do zinco necessário para a galvanização</t>
  </si>
  <si>
    <t>Tipo de secção do tarugo (circular/quadrada)</t>
  </si>
  <si>
    <t>quadrada</t>
  </si>
  <si>
    <t>Comprimento do tarugo de aço (matéria prima)</t>
  </si>
  <si>
    <t>1ºPasso → Cálculo da área superficial</t>
  </si>
  <si>
    <r>
      <t xml:space="preserve">Asuperficial = </t>
    </r>
    <r>
      <rPr>
        <sz val="11"/>
        <color theme="1"/>
        <rFont val="Aptos Narrow"/>
        <family val="2"/>
      </rPr>
      <t>π*diâmetro*comprimento</t>
    </r>
  </si>
  <si>
    <t>Calibre do tarugo de aço</t>
  </si>
  <si>
    <t>2ºPasso → Cálculo do volume de zinco</t>
  </si>
  <si>
    <t>Volume=Asuperficial*Espessura</t>
  </si>
  <si>
    <t>Altura do tarugo de aço</t>
  </si>
  <si>
    <t>3ºPasso → Cálculo da massa de zinco</t>
  </si>
  <si>
    <t>Massa=Volume*Densidade</t>
  </si>
  <si>
    <t>Largura do tarugo de aço</t>
  </si>
  <si>
    <t>Fonte</t>
  </si>
  <si>
    <t>Fornecedor de Tarugos de Aço</t>
  </si>
  <si>
    <t>http://steelcoilmanufacturer.com.br/8-steel-billet.html#</t>
  </si>
  <si>
    <t>Tabela de referencia para o diametro do cabo final</t>
  </si>
  <si>
    <t>https://www.calmont.com/wp-content/uploads/calmont-eng-wire-gauge.pdf</t>
  </si>
  <si>
    <t>Padrrão Europeu da quantidade de zinco para revestimento</t>
  </si>
  <si>
    <t>https://cdn.standards.iteh.ai/samples/75831/d3e3073a2a1d4156a6b061681d706f0f/SIST-EN-10244-2-2023.pdf</t>
  </si>
  <si>
    <t>Quantidade</t>
  </si>
  <si>
    <t>€/kg</t>
  </si>
  <si>
    <t>Custo Unitário</t>
  </si>
  <si>
    <t>kg/m^3</t>
  </si>
  <si>
    <t>€/t</t>
  </si>
  <si>
    <t>Plant Manager (Gestor da Unidade) -&gt;1 pessoa :1* 3000 €/mês</t>
  </si>
  <si>
    <t xml:space="preserve">Manufacturing Manager (Gestor de Manufatura) -&gt; 1 pessoa : 1*1400 €/mês </t>
  </si>
  <si>
    <t>Maintenance Technician (Técnico de Manutenção) -&gt; 1 pessoa: 1* 1630 €/mês</t>
  </si>
  <si>
    <t>Quality Control (Controlo de Qualidade) -&gt; 2 pessoas: 2* 1908  €/mês</t>
  </si>
  <si>
    <t>Maquinistas (Operários) - 8 pessoas: 8*1100 €/mês</t>
  </si>
  <si>
    <t>Recursos Humanos -&gt; 1 pessoa: 1*1611 €/mês</t>
  </si>
  <si>
    <t>15,000/ano</t>
  </si>
  <si>
    <t>60,000/ano</t>
  </si>
  <si>
    <t>(2024/02)</t>
  </si>
  <si>
    <t>(2025/05/6)</t>
  </si>
  <si>
    <t>Bobina</t>
  </si>
  <si>
    <t>€/uni</t>
  </si>
  <si>
    <t>https://www.guillevin.com/catalog/electrical/wire-cable/reels/reel-wooden-40in-diameter-nci-wire-rh40</t>
  </si>
  <si>
    <t>(2025/05/2025)</t>
  </si>
  <si>
    <t>32,06+9,67 = 41.73</t>
  </si>
  <si>
    <t>7*41.73+5,22 +4=301,33</t>
  </si>
  <si>
    <t>Fórmula (minha resposta)</t>
  </si>
  <si>
    <t>Bobina de Cabo de Aço Entrançado</t>
  </si>
  <si>
    <t>301,33 + 1,02= 302,35</t>
  </si>
  <si>
    <t>302,35 + 357,49 + 2,50= 662,34</t>
  </si>
  <si>
    <t>Fio de Aço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</si>
</sst>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000E+00"/>
  </numFmts>
  <fonts count="9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36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u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60">
    <xf numFmtId="0" fontId="0" fillId="0" borderId="0" xfId="0"/>
    <xf numFmtId="0" fontId="0" fillId="2" borderId="2" xfId="0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12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3" borderId="0" xfId="0" applyFill="1"/>
    <xf numFmtId="0" fontId="0" fillId="3" borderId="22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26" xfId="0" applyFill="1" applyBorder="1"/>
    <xf numFmtId="0" fontId="0" fillId="3" borderId="27" xfId="0" applyFill="1" applyBorder="1"/>
    <xf numFmtId="0" fontId="1" fillId="3" borderId="24" xfId="1" applyFill="1" applyBorder="1" applyAlignment="1">
      <alignment vertical="center"/>
    </xf>
    <xf numFmtId="0" fontId="1" fillId="3" borderId="24" xfId="1" applyFill="1" applyBorder="1"/>
    <xf numFmtId="0" fontId="2" fillId="2" borderId="9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4" borderId="14" xfId="0" applyFill="1" applyBorder="1"/>
    <xf numFmtId="0" fontId="0" fillId="3" borderId="2" xfId="0" applyFill="1" applyBorder="1"/>
    <xf numFmtId="0" fontId="0" fillId="0" borderId="15" xfId="0" applyBorder="1"/>
    <xf numFmtId="0" fontId="0" fillId="4" borderId="28" xfId="0" applyFill="1" applyBorder="1"/>
    <xf numFmtId="0" fontId="0" fillId="4" borderId="25" xfId="0" quotePrefix="1" applyFill="1" applyBorder="1" applyAlignment="1">
      <alignment horizontal="center"/>
    </xf>
    <xf numFmtId="11" fontId="0" fillId="5" borderId="25" xfId="0" applyNumberFormat="1" applyFill="1" applyBorder="1"/>
    <xf numFmtId="0" fontId="0" fillId="5" borderId="15" xfId="0" applyFill="1" applyBorder="1"/>
    <xf numFmtId="0" fontId="0" fillId="4" borderId="31" xfId="0" applyFill="1" applyBorder="1"/>
    <xf numFmtId="0" fontId="0" fillId="0" borderId="1" xfId="0" applyBorder="1"/>
    <xf numFmtId="0" fontId="0" fillId="0" borderId="21" xfId="0" applyBorder="1"/>
    <xf numFmtId="11" fontId="0" fillId="3" borderId="25" xfId="0" applyNumberFormat="1" applyFill="1" applyBorder="1"/>
    <xf numFmtId="0" fontId="0" fillId="3" borderId="15" xfId="0" applyFill="1" applyBorder="1"/>
    <xf numFmtId="0" fontId="0" fillId="4" borderId="32" xfId="0" applyFill="1" applyBorder="1"/>
    <xf numFmtId="11" fontId="0" fillId="3" borderId="22" xfId="0" applyNumberFormat="1" applyFill="1" applyBorder="1"/>
    <xf numFmtId="0" fontId="0" fillId="3" borderId="21" xfId="0" applyFill="1" applyBorder="1"/>
    <xf numFmtId="0" fontId="0" fillId="4" borderId="19" xfId="0" applyFill="1" applyBorder="1"/>
    <xf numFmtId="0" fontId="0" fillId="4" borderId="33" xfId="0" quotePrefix="1" applyFill="1" applyBorder="1" applyAlignment="1">
      <alignment horizontal="center"/>
    </xf>
    <xf numFmtId="11" fontId="0" fillId="3" borderId="1" xfId="0" applyNumberFormat="1" applyFill="1" applyBorder="1"/>
    <xf numFmtId="0" fontId="0" fillId="4" borderId="1" xfId="0" quotePrefix="1" applyFill="1" applyBorder="1" applyAlignment="1">
      <alignment horizontal="center"/>
    </xf>
    <xf numFmtId="2" fontId="0" fillId="3" borderId="7" xfId="0" applyNumberFormat="1" applyFill="1" applyBorder="1"/>
    <xf numFmtId="0" fontId="0" fillId="4" borderId="16" xfId="0" applyFill="1" applyBorder="1"/>
    <xf numFmtId="0" fontId="0" fillId="4" borderId="34" xfId="0" quotePrefix="1" applyFill="1" applyBorder="1" applyAlignment="1">
      <alignment horizontal="center"/>
    </xf>
    <xf numFmtId="2" fontId="0" fillId="3" borderId="7" xfId="0" applyNumberFormat="1" applyFill="1" applyBorder="1" applyAlignment="1">
      <alignment horizontal="right"/>
    </xf>
    <xf numFmtId="0" fontId="0" fillId="3" borderId="18" xfId="0" applyFill="1" applyBorder="1"/>
    <xf numFmtId="0" fontId="0" fillId="5" borderId="23" xfId="0" applyFill="1" applyBorder="1"/>
    <xf numFmtId="0" fontId="0" fillId="4" borderId="1" xfId="0" applyFill="1" applyBorder="1"/>
    <xf numFmtId="0" fontId="0" fillId="4" borderId="38" xfId="0" applyFill="1" applyBorder="1"/>
    <xf numFmtId="0" fontId="0" fillId="0" borderId="39" xfId="0" applyBorder="1"/>
    <xf numFmtId="2" fontId="0" fillId="3" borderId="25" xfId="0" applyNumberFormat="1" applyFill="1" applyBorder="1"/>
    <xf numFmtId="0" fontId="0" fillId="0" borderId="18" xfId="0" applyBorder="1"/>
    <xf numFmtId="0" fontId="2" fillId="6" borderId="9" xfId="0" applyFont="1" applyFill="1" applyBorder="1" applyAlignment="1">
      <alignment horizontal="center"/>
    </xf>
    <xf numFmtId="0" fontId="0" fillId="7" borderId="12" xfId="0" applyFill="1" applyBorder="1"/>
    <xf numFmtId="0" fontId="0" fillId="7" borderId="14" xfId="0" applyFill="1" applyBorder="1"/>
    <xf numFmtId="0" fontId="0" fillId="7" borderId="16" xfId="0" applyFill="1" applyBorder="1"/>
    <xf numFmtId="0" fontId="0" fillId="2" borderId="2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2" fontId="0" fillId="2" borderId="25" xfId="0" applyNumberFormat="1" applyFill="1" applyBorder="1" applyAlignment="1">
      <alignment horizontal="right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2" borderId="44" xfId="0" applyFill="1" applyBorder="1"/>
    <xf numFmtId="0" fontId="0" fillId="2" borderId="45" xfId="0" applyFill="1" applyBorder="1"/>
    <xf numFmtId="0" fontId="0" fillId="2" borderId="28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4" xfId="0" applyFill="1" applyBorder="1" applyAlignment="1">
      <alignment horizontal="left"/>
    </xf>
    <xf numFmtId="0" fontId="0" fillId="2" borderId="16" xfId="0" applyFill="1" applyBorder="1" applyAlignment="1">
      <alignment horizontal="left"/>
    </xf>
    <xf numFmtId="0" fontId="0" fillId="2" borderId="25" xfId="0" applyFill="1" applyBorder="1"/>
    <xf numFmtId="0" fontId="0" fillId="2" borderId="27" xfId="0" applyFill="1" applyBorder="1"/>
    <xf numFmtId="2" fontId="0" fillId="2" borderId="27" xfId="0" applyNumberFormat="1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45" xfId="0" applyFill="1" applyBorder="1" applyAlignment="1">
      <alignment horizontal="left"/>
    </xf>
    <xf numFmtId="0" fontId="0" fillId="2" borderId="4" xfId="0" applyFill="1" applyBorder="1" applyAlignment="1">
      <alignment horizontal="center"/>
    </xf>
    <xf numFmtId="44" fontId="0" fillId="2" borderId="13" xfId="2" applyFont="1" applyFill="1" applyBorder="1"/>
    <xf numFmtId="44" fontId="0" fillId="2" borderId="1" xfId="2" applyFont="1" applyFill="1" applyBorder="1" applyAlignment="1">
      <alignment horizontal="right"/>
    </xf>
    <xf numFmtId="44" fontId="0" fillId="2" borderId="17" xfId="2" applyFont="1" applyFill="1" applyBorder="1" applyAlignment="1">
      <alignment horizontal="right"/>
    </xf>
    <xf numFmtId="44" fontId="0" fillId="2" borderId="48" xfId="2" applyFont="1" applyFill="1" applyBorder="1" applyAlignment="1">
      <alignment horizontal="right"/>
    </xf>
    <xf numFmtId="44" fontId="0" fillId="2" borderId="46" xfId="2" applyFont="1" applyFill="1" applyBorder="1" applyAlignment="1">
      <alignment horizontal="right"/>
    </xf>
    <xf numFmtId="44" fontId="0" fillId="2" borderId="47" xfId="2" applyFont="1" applyFill="1" applyBorder="1" applyAlignment="1">
      <alignment horizontal="right"/>
    </xf>
    <xf numFmtId="0" fontId="0" fillId="2" borderId="42" xfId="0" applyFill="1" applyBorder="1" applyAlignment="1">
      <alignment horizontal="left"/>
    </xf>
    <xf numFmtId="44" fontId="0" fillId="2" borderId="2" xfId="2" applyFont="1" applyFill="1" applyBorder="1" applyAlignment="1">
      <alignment horizontal="right"/>
    </xf>
    <xf numFmtId="44" fontId="0" fillId="2" borderId="23" xfId="2" applyFont="1" applyFill="1" applyBorder="1"/>
    <xf numFmtId="0" fontId="0" fillId="3" borderId="2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0" fillId="2" borderId="6" xfId="0" applyNumberFormat="1" applyFill="1" applyBorder="1" applyAlignment="1">
      <alignment horizontal="right"/>
    </xf>
    <xf numFmtId="2" fontId="0" fillId="2" borderId="44" xfId="0" applyNumberFormat="1" applyFill="1" applyBorder="1" applyAlignment="1">
      <alignment horizontal="right"/>
    </xf>
    <xf numFmtId="2" fontId="0" fillId="2" borderId="25" xfId="0" applyNumberFormat="1" applyFill="1" applyBorder="1"/>
    <xf numFmtId="2" fontId="0" fillId="3" borderId="2" xfId="0" applyNumberFormat="1" applyFill="1" applyBorder="1"/>
    <xf numFmtId="2" fontId="0" fillId="3" borderId="1" xfId="0" applyNumberFormat="1" applyFill="1" applyBorder="1"/>
    <xf numFmtId="2" fontId="0" fillId="0" borderId="20" xfId="0" applyNumberFormat="1" applyBorder="1"/>
    <xf numFmtId="2" fontId="0" fillId="0" borderId="1" xfId="0" applyNumberFormat="1" applyBorder="1"/>
    <xf numFmtId="2" fontId="0" fillId="3" borderId="17" xfId="0" applyNumberFormat="1" applyFill="1" applyBorder="1"/>
    <xf numFmtId="2" fontId="0" fillId="3" borderId="34" xfId="0" applyNumberFormat="1" applyFill="1" applyBorder="1"/>
    <xf numFmtId="164" fontId="0" fillId="5" borderId="35" xfId="0" applyNumberFormat="1" applyFill="1" applyBorder="1" applyAlignment="1">
      <alignment horizontal="right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0" fillId="2" borderId="32" xfId="0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44" fontId="0" fillId="2" borderId="29" xfId="2" applyFont="1" applyFill="1" applyBorder="1" applyAlignment="1">
      <alignment horizontal="center"/>
    </xf>
    <xf numFmtId="44" fontId="0" fillId="2" borderId="42" xfId="2" applyFont="1" applyFill="1" applyBorder="1" applyAlignment="1">
      <alignment horizontal="center"/>
    </xf>
    <xf numFmtId="44" fontId="0" fillId="2" borderId="6" xfId="2" applyFont="1" applyFill="1" applyBorder="1" applyAlignment="1">
      <alignment horizontal="center"/>
    </xf>
    <xf numFmtId="44" fontId="0" fillId="2" borderId="8" xfId="2" applyFont="1" applyFill="1" applyBorder="1" applyAlignment="1">
      <alignment horizontal="center"/>
    </xf>
    <xf numFmtId="44" fontId="0" fillId="2" borderId="44" xfId="2" applyFont="1" applyFill="1" applyBorder="1" applyAlignment="1">
      <alignment horizontal="center"/>
    </xf>
    <xf numFmtId="44" fontId="0" fillId="2" borderId="45" xfId="2" applyFont="1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1" xfId="1" applyFill="1" applyBorder="1" applyAlignment="1">
      <alignment horizontal="center" vertical="center" wrapText="1"/>
    </xf>
    <xf numFmtId="0" fontId="1" fillId="2" borderId="15" xfId="1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/>
    </xf>
    <xf numFmtId="0" fontId="1" fillId="2" borderId="15" xfId="1" applyFill="1" applyBorder="1" applyAlignment="1">
      <alignment horizontal="center" vertical="center"/>
    </xf>
    <xf numFmtId="0" fontId="1" fillId="2" borderId="17" xfId="1" applyFill="1" applyBorder="1" applyAlignment="1">
      <alignment horizontal="center" vertical="center"/>
    </xf>
    <xf numFmtId="0" fontId="1" fillId="2" borderId="18" xfId="1" applyFill="1" applyBorder="1" applyAlignment="1">
      <alignment horizontal="center" vertical="center"/>
    </xf>
    <xf numFmtId="44" fontId="0" fillId="2" borderId="33" xfId="2" applyFont="1" applyFill="1" applyBorder="1" applyAlignment="1">
      <alignment horizontal="center" vertical="center"/>
    </xf>
    <xf numFmtId="44" fontId="0" fillId="2" borderId="43" xfId="2" applyFont="1" applyFill="1" applyBorder="1" applyAlignment="1">
      <alignment horizontal="center" vertical="center"/>
    </xf>
    <xf numFmtId="44" fontId="0" fillId="2" borderId="25" xfId="2" applyFont="1" applyFill="1" applyBorder="1" applyAlignment="1">
      <alignment horizontal="center" vertical="center"/>
    </xf>
    <xf numFmtId="44" fontId="0" fillId="2" borderId="27" xfId="2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2" borderId="2" xfId="1" applyFill="1" applyBorder="1" applyAlignment="1">
      <alignment horizontal="center" vertical="center"/>
    </xf>
    <xf numFmtId="0" fontId="1" fillId="2" borderId="17" xfId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2" fillId="2" borderId="40" xfId="0" applyFont="1" applyFill="1" applyBorder="1" applyAlignment="1">
      <alignment horizontal="left"/>
    </xf>
    <xf numFmtId="0" fontId="2" fillId="2" borderId="41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" fillId="3" borderId="2" xfId="1" applyFill="1" applyBorder="1" applyAlignment="1">
      <alignment horizontal="left"/>
    </xf>
    <xf numFmtId="0" fontId="1" fillId="3" borderId="13" xfId="1" applyFill="1" applyBorder="1" applyAlignment="1">
      <alignment horizontal="left"/>
    </xf>
    <xf numFmtId="0" fontId="1" fillId="3" borderId="1" xfId="1" applyFill="1" applyBorder="1" applyAlignment="1">
      <alignment horizontal="left"/>
    </xf>
    <xf numFmtId="0" fontId="1" fillId="3" borderId="15" xfId="1" applyFill="1" applyBorder="1" applyAlignment="1">
      <alignment horizontal="left"/>
    </xf>
    <xf numFmtId="0" fontId="1" fillId="3" borderId="17" xfId="1" applyFill="1" applyBorder="1" applyAlignment="1">
      <alignment horizontal="left"/>
    </xf>
    <xf numFmtId="0" fontId="1" fillId="3" borderId="18" xfId="1" applyFill="1" applyBorder="1" applyAlignment="1">
      <alignment horizontal="left"/>
    </xf>
    <xf numFmtId="0" fontId="5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3" borderId="36" xfId="0" applyFill="1" applyBorder="1" applyAlignment="1">
      <alignment horizontal="center"/>
    </xf>
    <xf numFmtId="0" fontId="0" fillId="3" borderId="37" xfId="0" applyFill="1" applyBorder="1" applyAlignment="1">
      <alignment horizontal="center"/>
    </xf>
  </cellXfs>
  <cellStyles count="3">
    <cellStyle name="Hiperligação" xfId="1" builtinId="8"/>
    <cellStyle name="Moeda" xfId="2" builtinId="4"/>
    <cellStyle name="Normal" xfId="0" builtinId="0"/>
  </cellStyles>
  <dxfs count="2">
    <dxf>
      <font>
        <b val="0"/>
        <i val="0"/>
        <strike val="0"/>
        <color auto="1"/>
      </font>
      <fill>
        <patternFill patternType="darkDown"/>
      </fill>
    </dxf>
    <dxf>
      <fill>
        <patternFill patternType="darkDown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opriedadespt.com/" TargetMode="External"/><Relationship Id="rId2" Type="http://schemas.openxmlformats.org/officeDocument/2006/relationships/hyperlink" Target="https://ec.europa.eu/eurostat/statistics-explained/index.php?title=Salary_calculator" TargetMode="External"/><Relationship Id="rId1" Type="http://schemas.openxmlformats.org/officeDocument/2006/relationships/hyperlink" Target="https://mepsinternational.com/gb/en/products/billet-prices" TargetMode="External"/><Relationship Id="rId6" Type="http://schemas.openxmlformats.org/officeDocument/2006/relationships/hyperlink" Target="https://www.guillevin.com/catalog/electrical/wire-cable/reels/reel-wooden-40in-diameter-nci-wire-rh40" TargetMode="External"/><Relationship Id="rId5" Type="http://schemas.openxmlformats.org/officeDocument/2006/relationships/hyperlink" Target="https://tradingeconomics.com/commodity/zinc" TargetMode="External"/><Relationship Id="rId4" Type="http://schemas.openxmlformats.org/officeDocument/2006/relationships/hyperlink" Target="https://www.iso.org/hom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standards.iteh.ai/samples/75831/d3e3073a2a1d4156a6b061681d706f0f/SIST-EN-10244-2-2023.pdf" TargetMode="External"/><Relationship Id="rId2" Type="http://schemas.openxmlformats.org/officeDocument/2006/relationships/hyperlink" Target="http://steelcoilmanufacturer.com.br/8-steel-billet.html" TargetMode="External"/><Relationship Id="rId1" Type="http://schemas.openxmlformats.org/officeDocument/2006/relationships/hyperlink" Target="https://www.calmont.com/wp-content/uploads/calmont-eng-wire-gauge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3EBD1-9A1E-4780-80A8-7EF58E7B615D}">
  <dimension ref="B2:N35"/>
  <sheetViews>
    <sheetView tabSelected="1" topLeftCell="A2" zoomScale="93" zoomScaleNormal="85" workbookViewId="0">
      <selection activeCell="H8" sqref="H8"/>
    </sheetView>
  </sheetViews>
  <sheetFormatPr defaultColWidth="9.109375" defaultRowHeight="14.4" x14ac:dyDescent="0.3"/>
  <cols>
    <col min="1" max="1" width="2.5546875" style="9" customWidth="1"/>
    <col min="2" max="2" width="6.33203125" style="9" customWidth="1"/>
    <col min="3" max="3" width="33.33203125" style="9" bestFit="1" customWidth="1"/>
    <col min="4" max="4" width="72.21875" style="9" customWidth="1"/>
    <col min="5" max="5" width="15.6640625" style="9" bestFit="1" customWidth="1"/>
    <col min="6" max="6" width="10.77734375" style="9" bestFit="1" customWidth="1"/>
    <col min="7" max="7" width="4.21875" style="9" customWidth="1"/>
    <col min="8" max="8" width="16.77734375" style="9" bestFit="1" customWidth="1"/>
    <col min="9" max="9" width="12.77734375" style="9" bestFit="1" customWidth="1"/>
    <col min="10" max="10" width="5.88671875" style="9" customWidth="1"/>
    <col min="11" max="11" width="19.33203125" style="9" customWidth="1"/>
    <col min="12" max="12" width="4.21875" style="9" customWidth="1"/>
    <col min="13" max="13" width="12.109375" style="9" bestFit="1" customWidth="1"/>
    <col min="14" max="14" width="76.77734375" style="9" customWidth="1"/>
    <col min="15" max="15" width="19.21875" style="9" customWidth="1"/>
    <col min="16" max="16384" width="9.109375" style="9"/>
  </cols>
  <sheetData>
    <row r="2" spans="2:14" ht="65.25" customHeight="1" x14ac:dyDescent="1.2">
      <c r="B2" s="95" t="s">
        <v>33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7"/>
    </row>
    <row r="3" spans="2:14" ht="15" thickBot="1" x14ac:dyDescent="0.35">
      <c r="B3" s="10"/>
      <c r="N3" s="11"/>
    </row>
    <row r="4" spans="2:14" ht="15" thickBot="1" x14ac:dyDescent="0.35">
      <c r="B4" s="10"/>
      <c r="C4" s="2" t="s">
        <v>0</v>
      </c>
      <c r="D4" s="3" t="s">
        <v>108</v>
      </c>
      <c r="E4" s="3" t="s">
        <v>32</v>
      </c>
      <c r="F4" s="138" t="s">
        <v>87</v>
      </c>
      <c r="G4" s="139"/>
      <c r="H4" s="3" t="s">
        <v>30</v>
      </c>
      <c r="I4" s="138" t="s">
        <v>89</v>
      </c>
      <c r="J4" s="140"/>
      <c r="K4" s="4" t="s">
        <v>31</v>
      </c>
      <c r="M4" s="59"/>
      <c r="N4" s="11"/>
    </row>
    <row r="5" spans="2:14" x14ac:dyDescent="0.3">
      <c r="B5" s="10"/>
      <c r="C5" s="5" t="s">
        <v>1</v>
      </c>
      <c r="D5" s="80"/>
      <c r="E5" s="80" t="s">
        <v>5</v>
      </c>
      <c r="F5" s="58">
        <f>ROUNDUP(Cálculos!$E$11,2)</f>
        <v>61.66</v>
      </c>
      <c r="G5" s="69" t="s">
        <v>61</v>
      </c>
      <c r="H5" s="80" t="s">
        <v>5</v>
      </c>
      <c r="I5" s="56">
        <v>0.52</v>
      </c>
      <c r="J5" s="79" t="s">
        <v>88</v>
      </c>
      <c r="K5" s="76">
        <f>$F$5*$I$5</f>
        <v>32.063200000000002</v>
      </c>
      <c r="M5" s="60"/>
      <c r="N5" s="11"/>
    </row>
    <row r="6" spans="2:14" x14ac:dyDescent="0.3">
      <c r="B6" s="10"/>
      <c r="C6" s="6" t="s">
        <v>2</v>
      </c>
      <c r="D6" s="74"/>
      <c r="E6" s="74" t="s">
        <v>5</v>
      </c>
      <c r="F6" s="58">
        <f>ROUNDUP(Cálculos!$E$19,2)</f>
        <v>2.25</v>
      </c>
      <c r="G6" s="69" t="s">
        <v>61</v>
      </c>
      <c r="H6" s="74" t="s">
        <v>5</v>
      </c>
      <c r="I6" s="57">
        <v>2.3199999999999998</v>
      </c>
      <c r="J6" s="70" t="s">
        <v>88</v>
      </c>
      <c r="K6" s="77">
        <f>$F6*I6</f>
        <v>5.22</v>
      </c>
      <c r="M6" s="60"/>
      <c r="N6" s="15"/>
    </row>
    <row r="7" spans="2:14" x14ac:dyDescent="0.3">
      <c r="B7" s="10"/>
      <c r="C7" s="6" t="s">
        <v>102</v>
      </c>
      <c r="D7" s="74"/>
      <c r="E7" s="74" t="s">
        <v>5</v>
      </c>
      <c r="F7" s="58">
        <v>1</v>
      </c>
      <c r="G7" s="69" t="s">
        <v>58</v>
      </c>
      <c r="H7" s="74" t="s">
        <v>5</v>
      </c>
      <c r="I7" s="57">
        <v>357.49</v>
      </c>
      <c r="J7" s="70" t="s">
        <v>103</v>
      </c>
      <c r="K7" s="77">
        <f>$I$7</f>
        <v>357.49</v>
      </c>
      <c r="M7" s="60"/>
      <c r="N7" s="15"/>
    </row>
    <row r="8" spans="2:14" x14ac:dyDescent="0.3">
      <c r="B8" s="10"/>
      <c r="C8" s="6" t="s">
        <v>112</v>
      </c>
      <c r="D8" s="74" t="s">
        <v>106</v>
      </c>
      <c r="E8" s="74">
        <f>$K$5</f>
        <v>32.063200000000002</v>
      </c>
      <c r="F8" s="85">
        <v>1</v>
      </c>
      <c r="G8" s="70" t="s">
        <v>58</v>
      </c>
      <c r="H8" s="74">
        <v>27.34</v>
      </c>
      <c r="I8" s="134" t="s">
        <v>5</v>
      </c>
      <c r="J8" s="135"/>
      <c r="K8" s="77">
        <f>E8*F8+H8</f>
        <v>59.403199999999998</v>
      </c>
      <c r="M8" s="60"/>
      <c r="N8" s="16"/>
    </row>
    <row r="9" spans="2:14" x14ac:dyDescent="0.3">
      <c r="B9" s="10"/>
      <c r="C9" s="6" t="s">
        <v>3</v>
      </c>
      <c r="D9" s="74" t="s">
        <v>107</v>
      </c>
      <c r="E9" s="74">
        <f>K8</f>
        <v>59.403199999999998</v>
      </c>
      <c r="F9" s="85">
        <v>7</v>
      </c>
      <c r="G9" s="70" t="s">
        <v>58</v>
      </c>
      <c r="H9" s="74">
        <v>4</v>
      </c>
      <c r="I9" s="134" t="s">
        <v>5</v>
      </c>
      <c r="J9" s="135"/>
      <c r="K9" s="77">
        <f>E9*F9+H9</f>
        <v>419.82240000000002</v>
      </c>
      <c r="M9" s="60"/>
      <c r="N9" s="11"/>
    </row>
    <row r="10" spans="2:14" x14ac:dyDescent="0.3">
      <c r="B10" s="10"/>
      <c r="C10" s="6" t="s">
        <v>4</v>
      </c>
      <c r="D10" s="74" t="s">
        <v>110</v>
      </c>
      <c r="E10" s="74">
        <f>K9</f>
        <v>419.82240000000002</v>
      </c>
      <c r="F10" s="85">
        <v>1</v>
      </c>
      <c r="G10" s="70" t="s">
        <v>58</v>
      </c>
      <c r="H10" s="74">
        <v>1.02</v>
      </c>
      <c r="I10" s="134" t="s">
        <v>5</v>
      </c>
      <c r="J10" s="135"/>
      <c r="K10" s="77">
        <f>E10*F10+H10</f>
        <v>420.8424</v>
      </c>
      <c r="M10" s="60"/>
      <c r="N10" s="11"/>
    </row>
    <row r="11" spans="2:14" ht="15" thickBot="1" x14ac:dyDescent="0.35">
      <c r="B11" s="10"/>
      <c r="C11" s="7" t="s">
        <v>109</v>
      </c>
      <c r="D11" s="75" t="s">
        <v>111</v>
      </c>
      <c r="E11" s="75">
        <f>K10</f>
        <v>420.8424</v>
      </c>
      <c r="F11" s="86">
        <f>ROUNDDOWN(Cálculos!E12,0)</f>
        <v>21</v>
      </c>
      <c r="G11" s="71" t="s">
        <v>58</v>
      </c>
      <c r="H11" s="75">
        <v>2.5</v>
      </c>
      <c r="I11" s="136" t="s">
        <v>5</v>
      </c>
      <c r="J11" s="137"/>
      <c r="K11" s="78">
        <f>E11*F11+H11</f>
        <v>8840.1903999999995</v>
      </c>
      <c r="N11" s="11"/>
    </row>
    <row r="12" spans="2:14" x14ac:dyDescent="0.3">
      <c r="B12" s="10"/>
      <c r="N12" s="11"/>
    </row>
    <row r="13" spans="2:14" ht="15" thickBot="1" x14ac:dyDescent="0.35">
      <c r="B13" s="10"/>
      <c r="N13" s="11"/>
    </row>
    <row r="14" spans="2:14" ht="15" thickBot="1" x14ac:dyDescent="0.35">
      <c r="B14" s="10"/>
      <c r="C14" s="115" t="s">
        <v>26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03"/>
      <c r="N14" s="11"/>
    </row>
    <row r="15" spans="2:14" ht="15" thickBot="1" x14ac:dyDescent="0.35">
      <c r="B15" s="82"/>
      <c r="C15" s="83" t="s">
        <v>0</v>
      </c>
      <c r="D15" s="72" t="s">
        <v>6</v>
      </c>
      <c r="E15" s="110" t="s">
        <v>7</v>
      </c>
      <c r="F15" s="111"/>
      <c r="G15" s="129" t="s">
        <v>27</v>
      </c>
      <c r="H15" s="129"/>
      <c r="I15" s="129"/>
      <c r="J15" s="129"/>
      <c r="K15" s="110" t="s">
        <v>29</v>
      </c>
      <c r="L15" s="111"/>
      <c r="M15" s="84" t="s">
        <v>9</v>
      </c>
      <c r="N15" s="11"/>
    </row>
    <row r="16" spans="2:14" x14ac:dyDescent="0.3">
      <c r="B16" s="10"/>
      <c r="C16" s="5" t="s">
        <v>10</v>
      </c>
      <c r="D16" s="1" t="s">
        <v>100</v>
      </c>
      <c r="E16" s="87">
        <v>520</v>
      </c>
      <c r="F16" s="68" t="s">
        <v>91</v>
      </c>
      <c r="G16" s="130" t="s">
        <v>11</v>
      </c>
      <c r="H16" s="130"/>
      <c r="I16" s="130"/>
      <c r="J16" s="130"/>
      <c r="K16" s="67">
        <v>61.65</v>
      </c>
      <c r="L16" s="68" t="s">
        <v>61</v>
      </c>
      <c r="M16" s="73">
        <f>E16*K16/1000</f>
        <v>32.058</v>
      </c>
      <c r="N16" s="11"/>
    </row>
    <row r="17" spans="2:14" ht="15" thickBot="1" x14ac:dyDescent="0.35">
      <c r="B17" s="10"/>
      <c r="C17" s="7" t="s">
        <v>2</v>
      </c>
      <c r="D17" s="8" t="s">
        <v>101</v>
      </c>
      <c r="E17" s="61">
        <v>2340.3200000000002</v>
      </c>
      <c r="F17" s="62" t="s">
        <v>91</v>
      </c>
      <c r="G17" s="131" t="s">
        <v>8</v>
      </c>
      <c r="H17" s="131"/>
      <c r="I17" s="131"/>
      <c r="J17" s="131"/>
      <c r="K17" s="61">
        <v>2.2400000000000002</v>
      </c>
      <c r="L17" s="62" t="s">
        <v>61</v>
      </c>
      <c r="M17" s="81">
        <f>E17*K17/1000</f>
        <v>5.2423168000000002</v>
      </c>
      <c r="N17" s="11"/>
    </row>
    <row r="18" spans="2:14" ht="15" thickBot="1" x14ac:dyDescent="0.35">
      <c r="B18" s="10"/>
      <c r="C18" s="7" t="s">
        <v>102</v>
      </c>
      <c r="D18" s="8" t="s">
        <v>105</v>
      </c>
      <c r="E18" s="61">
        <v>357.49</v>
      </c>
      <c r="F18" s="62" t="s">
        <v>103</v>
      </c>
      <c r="G18" s="131" t="s">
        <v>104</v>
      </c>
      <c r="H18" s="131"/>
      <c r="I18" s="131"/>
      <c r="J18" s="131"/>
      <c r="K18" s="61">
        <v>1</v>
      </c>
      <c r="L18" s="62" t="s">
        <v>58</v>
      </c>
      <c r="M18" s="81">
        <v>357.49</v>
      </c>
      <c r="N18" s="11"/>
    </row>
    <row r="19" spans="2:14" x14ac:dyDescent="0.3">
      <c r="B19" s="10"/>
      <c r="N19" s="11"/>
    </row>
    <row r="20" spans="2:14" ht="15" thickBot="1" x14ac:dyDescent="0.35">
      <c r="B20" s="10"/>
      <c r="N20" s="11"/>
    </row>
    <row r="21" spans="2:14" ht="15" thickBot="1" x14ac:dyDescent="0.35">
      <c r="B21" s="10"/>
      <c r="C21" s="17" t="s">
        <v>12</v>
      </c>
      <c r="D21" s="2" t="s">
        <v>28</v>
      </c>
      <c r="E21" s="102" t="s">
        <v>18</v>
      </c>
      <c r="F21" s="103"/>
      <c r="G21" s="112" t="s">
        <v>27</v>
      </c>
      <c r="H21" s="113"/>
      <c r="I21" s="114"/>
      <c r="N21" s="11"/>
    </row>
    <row r="22" spans="2:14" x14ac:dyDescent="0.3">
      <c r="B22" s="10"/>
      <c r="C22" s="63" t="s">
        <v>22</v>
      </c>
      <c r="D22" s="5"/>
      <c r="E22" s="104">
        <v>1000</v>
      </c>
      <c r="F22" s="105"/>
      <c r="G22" s="127"/>
      <c r="H22" s="127"/>
      <c r="I22" s="128"/>
      <c r="N22" s="11"/>
    </row>
    <row r="23" spans="2:14" x14ac:dyDescent="0.3">
      <c r="B23" s="10"/>
      <c r="C23" s="98" t="s">
        <v>13</v>
      </c>
      <c r="D23" s="65" t="s">
        <v>15</v>
      </c>
      <c r="E23" s="123">
        <v>17590</v>
      </c>
      <c r="F23" s="124"/>
      <c r="G23" s="119" t="s">
        <v>14</v>
      </c>
      <c r="H23" s="119"/>
      <c r="I23" s="120"/>
      <c r="N23" s="11"/>
    </row>
    <row r="24" spans="2:14" x14ac:dyDescent="0.3">
      <c r="B24" s="10"/>
      <c r="C24" s="101"/>
      <c r="D24" s="65" t="s">
        <v>16</v>
      </c>
      <c r="E24" s="125"/>
      <c r="F24" s="126"/>
      <c r="G24" s="119"/>
      <c r="H24" s="119"/>
      <c r="I24" s="120"/>
      <c r="N24" s="11"/>
    </row>
    <row r="25" spans="2:14" x14ac:dyDescent="0.3">
      <c r="B25" s="10"/>
      <c r="C25" s="64" t="s">
        <v>17</v>
      </c>
      <c r="D25" s="65" t="s">
        <v>99</v>
      </c>
      <c r="E25" s="106">
        <v>5000</v>
      </c>
      <c r="F25" s="107"/>
      <c r="G25" s="132"/>
      <c r="H25" s="132"/>
      <c r="I25" s="133"/>
      <c r="N25" s="11"/>
    </row>
    <row r="26" spans="2:14" ht="15" customHeight="1" x14ac:dyDescent="0.3">
      <c r="B26" s="10"/>
      <c r="C26" s="98" t="s">
        <v>19</v>
      </c>
      <c r="D26" s="65" t="s">
        <v>92</v>
      </c>
      <c r="E26" s="106">
        <v>3000</v>
      </c>
      <c r="F26" s="107"/>
      <c r="G26" s="117" t="s">
        <v>25</v>
      </c>
      <c r="H26" s="117"/>
      <c r="I26" s="118"/>
      <c r="N26" s="11"/>
    </row>
    <row r="27" spans="2:14" x14ac:dyDescent="0.3">
      <c r="B27" s="10"/>
      <c r="C27" s="99"/>
      <c r="D27" s="65" t="s">
        <v>93</v>
      </c>
      <c r="E27" s="106">
        <v>1400</v>
      </c>
      <c r="F27" s="107"/>
      <c r="G27" s="117"/>
      <c r="H27" s="117"/>
      <c r="I27" s="118"/>
      <c r="N27" s="11"/>
    </row>
    <row r="28" spans="2:14" x14ac:dyDescent="0.3">
      <c r="B28" s="10"/>
      <c r="C28" s="99"/>
      <c r="D28" s="65" t="s">
        <v>94</v>
      </c>
      <c r="E28" s="106">
        <v>1630</v>
      </c>
      <c r="F28" s="107"/>
      <c r="G28" s="117"/>
      <c r="H28" s="117"/>
      <c r="I28" s="118"/>
      <c r="N28" s="11"/>
    </row>
    <row r="29" spans="2:14" x14ac:dyDescent="0.3">
      <c r="B29" s="10"/>
      <c r="C29" s="99"/>
      <c r="D29" s="65" t="s">
        <v>95</v>
      </c>
      <c r="E29" s="106">
        <v>3816</v>
      </c>
      <c r="F29" s="107"/>
      <c r="G29" s="117"/>
      <c r="H29" s="117"/>
      <c r="I29" s="118"/>
      <c r="N29" s="11"/>
    </row>
    <row r="30" spans="2:14" x14ac:dyDescent="0.3">
      <c r="B30" s="10"/>
      <c r="C30" s="99"/>
      <c r="D30" s="65" t="s">
        <v>97</v>
      </c>
      <c r="E30" s="106">
        <v>1611</v>
      </c>
      <c r="F30" s="107"/>
      <c r="G30" s="117"/>
      <c r="H30" s="117"/>
      <c r="I30" s="118"/>
      <c r="N30" s="11"/>
    </row>
    <row r="31" spans="2:14" x14ac:dyDescent="0.3">
      <c r="B31" s="10"/>
      <c r="C31" s="101"/>
      <c r="D31" s="65" t="s">
        <v>96</v>
      </c>
      <c r="E31" s="106">
        <v>8800</v>
      </c>
      <c r="F31" s="107"/>
      <c r="G31" s="117"/>
      <c r="H31" s="117"/>
      <c r="I31" s="118"/>
      <c r="N31" s="11"/>
    </row>
    <row r="32" spans="2:14" x14ac:dyDescent="0.3">
      <c r="B32" s="10"/>
      <c r="C32" s="98" t="s">
        <v>20</v>
      </c>
      <c r="D32" s="65" t="s">
        <v>98</v>
      </c>
      <c r="E32" s="106">
        <v>1250</v>
      </c>
      <c r="F32" s="107"/>
      <c r="G32" s="119" t="s">
        <v>21</v>
      </c>
      <c r="H32" s="119"/>
      <c r="I32" s="120"/>
      <c r="N32" s="11"/>
    </row>
    <row r="33" spans="2:14" x14ac:dyDescent="0.3">
      <c r="B33" s="10"/>
      <c r="C33" s="99"/>
      <c r="D33" s="65" t="s">
        <v>23</v>
      </c>
      <c r="E33" s="106">
        <v>45097</v>
      </c>
      <c r="F33" s="107"/>
      <c r="G33" s="119"/>
      <c r="H33" s="119"/>
      <c r="I33" s="120"/>
      <c r="N33" s="11"/>
    </row>
    <row r="34" spans="2:14" ht="15" thickBot="1" x14ac:dyDescent="0.35">
      <c r="B34" s="10"/>
      <c r="C34" s="100"/>
      <c r="D34" s="66" t="s">
        <v>24</v>
      </c>
      <c r="E34" s="108">
        <v>541164</v>
      </c>
      <c r="F34" s="109"/>
      <c r="G34" s="121"/>
      <c r="H34" s="121"/>
      <c r="I34" s="122"/>
      <c r="N34" s="11"/>
    </row>
    <row r="35" spans="2:14" ht="45" customHeight="1" x14ac:dyDescent="0.3">
      <c r="B35" s="12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4"/>
    </row>
  </sheetData>
  <mergeCells count="36">
    <mergeCell ref="I8:J8"/>
    <mergeCell ref="I9:J9"/>
    <mergeCell ref="I10:J10"/>
    <mergeCell ref="I11:J11"/>
    <mergeCell ref="F4:G4"/>
    <mergeCell ref="I4:J4"/>
    <mergeCell ref="G22:I22"/>
    <mergeCell ref="G15:J15"/>
    <mergeCell ref="G16:J16"/>
    <mergeCell ref="G17:J17"/>
    <mergeCell ref="G25:I25"/>
    <mergeCell ref="G23:I24"/>
    <mergeCell ref="G18:J18"/>
    <mergeCell ref="G32:I34"/>
    <mergeCell ref="E23:F24"/>
    <mergeCell ref="E27:F27"/>
    <mergeCell ref="E28:F28"/>
    <mergeCell ref="E29:F29"/>
    <mergeCell ref="E30:F30"/>
    <mergeCell ref="E31:F31"/>
    <mergeCell ref="B2:N2"/>
    <mergeCell ref="C32:C34"/>
    <mergeCell ref="C26:C31"/>
    <mergeCell ref="C23:C24"/>
    <mergeCell ref="E21:F21"/>
    <mergeCell ref="E22:F22"/>
    <mergeCell ref="E25:F25"/>
    <mergeCell ref="E26:F26"/>
    <mergeCell ref="E32:F32"/>
    <mergeCell ref="E33:F33"/>
    <mergeCell ref="E34:F34"/>
    <mergeCell ref="K15:L15"/>
    <mergeCell ref="E15:F15"/>
    <mergeCell ref="G21:I21"/>
    <mergeCell ref="C14:M14"/>
    <mergeCell ref="G26:I31"/>
  </mergeCells>
  <hyperlinks>
    <hyperlink ref="G16" r:id="rId1" xr:uid="{6C4BC0A4-2739-443E-9E0A-5FE4AD90A491}"/>
    <hyperlink ref="G26" r:id="rId2" tooltip="https://ec.europa.eu/eurostat/statistics-explained/index.php?title=Salary_calculator" xr:uid="{E3F66B60-E272-4178-8438-308E2B6EDDF3}"/>
    <hyperlink ref="G23" r:id="rId3" xr:uid="{12B78726-D955-4A16-A4DD-8B06D9B8D52F}"/>
    <hyperlink ref="G32" r:id="rId4" xr:uid="{DAA0307C-A75C-4838-81A7-40C9214A9BFF}"/>
    <hyperlink ref="G17" r:id="rId5" xr:uid="{8461EBE6-3EDA-4242-88A2-6ACC2DFA368C}"/>
    <hyperlink ref="G18" r:id="rId6" xr:uid="{2EF20E14-4FA0-4EC1-AF63-EABFC9768D8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4C51-668C-46D5-A124-6BE70347F79A}">
  <dimension ref="B2:K31"/>
  <sheetViews>
    <sheetView topLeftCell="C1" zoomScale="74" zoomScaleNormal="85" workbookViewId="0">
      <selection activeCell="E11" sqref="E11"/>
    </sheetView>
  </sheetViews>
  <sheetFormatPr defaultColWidth="9.109375" defaultRowHeight="14.4" x14ac:dyDescent="0.3"/>
  <cols>
    <col min="1" max="1" width="3.109375" style="9" customWidth="1"/>
    <col min="2" max="2" width="8.88671875" style="9" customWidth="1"/>
    <col min="3" max="3" width="53.21875" style="9" customWidth="1"/>
    <col min="4" max="4" width="39.6640625" style="9" bestFit="1" customWidth="1"/>
    <col min="5" max="5" width="14.6640625" style="9" customWidth="1"/>
    <col min="6" max="6" width="4.88671875" style="9" bestFit="1" customWidth="1"/>
    <col min="7" max="7" width="9.109375" style="9"/>
    <col min="8" max="8" width="44.44140625" style="9" bestFit="1" customWidth="1"/>
    <col min="9" max="9" width="9.109375" style="9"/>
    <col min="10" max="10" width="8.21875" style="9" bestFit="1" customWidth="1"/>
    <col min="11" max="16384" width="9.109375" style="9"/>
  </cols>
  <sheetData>
    <row r="2" spans="2:11" ht="48" customHeight="1" x14ac:dyDescent="0.3">
      <c r="B2" s="150" t="s">
        <v>34</v>
      </c>
      <c r="C2" s="151"/>
      <c r="D2" s="151"/>
      <c r="E2" s="151"/>
      <c r="F2" s="151"/>
      <c r="G2" s="151"/>
      <c r="H2" s="151"/>
      <c r="I2" s="151"/>
      <c r="J2" s="151"/>
      <c r="K2" s="152"/>
    </row>
    <row r="3" spans="2:11" ht="15.75" customHeight="1" thickBot="1" x14ac:dyDescent="0.35">
      <c r="B3" s="10"/>
      <c r="K3" s="11"/>
    </row>
    <row r="4" spans="2:11" ht="15" thickBot="1" x14ac:dyDescent="0.35">
      <c r="B4" s="10"/>
      <c r="C4" s="153" t="s">
        <v>35</v>
      </c>
      <c r="D4" s="154"/>
      <c r="E4" s="154"/>
      <c r="F4" s="155"/>
      <c r="H4" s="153" t="s">
        <v>28</v>
      </c>
      <c r="I4" s="154"/>
      <c r="J4" s="155"/>
      <c r="K4" s="11"/>
    </row>
    <row r="5" spans="2:11" x14ac:dyDescent="0.3">
      <c r="B5" s="10"/>
      <c r="C5" s="18" t="s">
        <v>36</v>
      </c>
      <c r="D5" s="19" t="s">
        <v>37</v>
      </c>
      <c r="E5" s="156" t="s">
        <v>38</v>
      </c>
      <c r="F5" s="157"/>
      <c r="H5" s="22" t="s">
        <v>39</v>
      </c>
      <c r="I5" s="88">
        <v>10</v>
      </c>
      <c r="J5" s="24" t="s">
        <v>40</v>
      </c>
      <c r="K5" s="11"/>
    </row>
    <row r="6" spans="2:11" x14ac:dyDescent="0.3">
      <c r="B6" s="10"/>
      <c r="C6" s="25" t="s">
        <v>41</v>
      </c>
      <c r="D6" s="26" t="s">
        <v>42</v>
      </c>
      <c r="E6" s="27">
        <f>PI()*(($I$5/1000)/2)^2*$I$7</f>
        <v>7.8539816339744835E-3</v>
      </c>
      <c r="F6" s="28" t="s">
        <v>43</v>
      </c>
      <c r="H6" s="29" t="s">
        <v>44</v>
      </c>
      <c r="I6" s="30">
        <v>3.33</v>
      </c>
      <c r="J6" s="31" t="s">
        <v>40</v>
      </c>
      <c r="K6" s="11"/>
    </row>
    <row r="7" spans="2:11" x14ac:dyDescent="0.3">
      <c r="B7" s="10"/>
      <c r="C7" s="25" t="s">
        <v>45</v>
      </c>
      <c r="D7" s="26" t="s">
        <v>46</v>
      </c>
      <c r="E7" s="32">
        <f>(PI()*(($I$6/1000)/2)^2)*$I$8</f>
        <v>8.7092016940979648E-4</v>
      </c>
      <c r="F7" s="33" t="s">
        <v>43</v>
      </c>
      <c r="H7" s="29" t="s">
        <v>47</v>
      </c>
      <c r="I7" s="89">
        <v>100</v>
      </c>
      <c r="J7" s="31" t="s">
        <v>48</v>
      </c>
      <c r="K7" s="11"/>
    </row>
    <row r="8" spans="2:11" x14ac:dyDescent="0.3">
      <c r="B8" s="10"/>
      <c r="C8" s="25" t="s">
        <v>49</v>
      </c>
      <c r="D8" s="26" t="s">
        <v>50</v>
      </c>
      <c r="E8" s="32">
        <f>(PI()*(($I$6/1000)/2)^2)*$I$9</f>
        <v>8.8833857279799232E-4</v>
      </c>
      <c r="F8" s="33" t="s">
        <v>43</v>
      </c>
      <c r="H8" s="34" t="s">
        <v>51</v>
      </c>
      <c r="I8" s="90">
        <v>100</v>
      </c>
      <c r="J8" s="31" t="s">
        <v>48</v>
      </c>
      <c r="K8" s="11"/>
    </row>
    <row r="9" spans="2:11" x14ac:dyDescent="0.3">
      <c r="B9" s="10"/>
      <c r="C9" s="22" t="s">
        <v>52</v>
      </c>
      <c r="D9" s="26" t="str">
        <f>IF(I15="circular","Atarugo=π*raio(tarugo)^2","Atarugo=comprimento*largura")</f>
        <v>Atarugo=comprimento*largura</v>
      </c>
      <c r="E9" s="35">
        <f>IF($I$15="circular",(PI()*(($I$17/1000)/2)^2),($I$18/1000*$I$19/1000))</f>
        <v>2.2499999999999999E-2</v>
      </c>
      <c r="F9" s="36" t="s">
        <v>53</v>
      </c>
      <c r="H9" s="22" t="s">
        <v>54</v>
      </c>
      <c r="I9" s="91">
        <v>102</v>
      </c>
      <c r="J9" s="24" t="s">
        <v>48</v>
      </c>
      <c r="K9" s="11"/>
    </row>
    <row r="10" spans="2:11" x14ac:dyDescent="0.3">
      <c r="B10" s="10"/>
      <c r="C10" s="37" t="s">
        <v>55</v>
      </c>
      <c r="D10" s="38" t="s">
        <v>56</v>
      </c>
      <c r="E10" s="39">
        <f>($I$10*$E$8+$E$7)/$E$9</f>
        <v>0.27559784916434449</v>
      </c>
      <c r="F10" s="33" t="s">
        <v>48</v>
      </c>
      <c r="H10" s="22" t="s">
        <v>57</v>
      </c>
      <c r="I10" s="91">
        <v>6</v>
      </c>
      <c r="J10" s="24" t="s">
        <v>58</v>
      </c>
      <c r="K10" s="11"/>
    </row>
    <row r="11" spans="2:11" x14ac:dyDescent="0.3">
      <c r="B11" s="10"/>
      <c r="C11" s="34" t="s">
        <v>59</v>
      </c>
      <c r="D11" s="40" t="s">
        <v>60</v>
      </c>
      <c r="E11" s="41">
        <f>$E$6*$I$11</f>
        <v>61.653755826699694</v>
      </c>
      <c r="F11" s="33" t="s">
        <v>61</v>
      </c>
      <c r="H11" s="37" t="s">
        <v>62</v>
      </c>
      <c r="I11" s="90">
        <v>7850</v>
      </c>
      <c r="J11" s="31" t="s">
        <v>90</v>
      </c>
      <c r="K11" s="11"/>
    </row>
    <row r="12" spans="2:11" ht="15" thickBot="1" x14ac:dyDescent="0.35">
      <c r="B12" s="10"/>
      <c r="C12" s="42" t="s">
        <v>63</v>
      </c>
      <c r="D12" s="43" t="s">
        <v>64</v>
      </c>
      <c r="E12" s="44">
        <f>$I$16/$E$10</f>
        <v>21.770852051976938</v>
      </c>
      <c r="F12" s="33" t="s">
        <v>58</v>
      </c>
      <c r="H12" s="42" t="s">
        <v>65</v>
      </c>
      <c r="I12" s="92">
        <v>0.1</v>
      </c>
      <c r="J12" s="45" t="s">
        <v>40</v>
      </c>
      <c r="K12" s="11"/>
    </row>
    <row r="13" spans="2:11" ht="15" thickBot="1" x14ac:dyDescent="0.35">
      <c r="B13" s="10"/>
      <c r="E13" s="94" t="str">
        <f>"≈↓ " &amp; ROUNDDOWN(E12,0)</f>
        <v>≈↓ 21</v>
      </c>
      <c r="F13" s="46" t="s">
        <v>58</v>
      </c>
      <c r="K13" s="11"/>
    </row>
    <row r="14" spans="2:11" ht="15" thickBot="1" x14ac:dyDescent="0.35">
      <c r="B14" s="10"/>
      <c r="H14" s="153" t="s">
        <v>66</v>
      </c>
      <c r="I14" s="154"/>
      <c r="J14" s="155"/>
      <c r="K14" s="11"/>
    </row>
    <row r="15" spans="2:11" ht="15" thickBot="1" x14ac:dyDescent="0.35">
      <c r="B15" s="10"/>
      <c r="C15" s="153" t="s">
        <v>67</v>
      </c>
      <c r="D15" s="154"/>
      <c r="E15" s="154"/>
      <c r="F15" s="155"/>
      <c r="H15" s="22" t="s">
        <v>68</v>
      </c>
      <c r="I15" s="158" t="s">
        <v>69</v>
      </c>
      <c r="J15" s="159"/>
      <c r="K15" s="11"/>
    </row>
    <row r="16" spans="2:11" x14ac:dyDescent="0.3">
      <c r="B16" s="10"/>
      <c r="C16" s="18" t="s">
        <v>36</v>
      </c>
      <c r="D16" s="19" t="s">
        <v>37</v>
      </c>
      <c r="E16" s="20" t="s">
        <v>38</v>
      </c>
      <c r="F16" s="21"/>
      <c r="H16" s="47" t="s">
        <v>70</v>
      </c>
      <c r="I16" s="89">
        <v>6</v>
      </c>
      <c r="J16" s="24" t="s">
        <v>48</v>
      </c>
      <c r="K16" s="11"/>
    </row>
    <row r="17" spans="2:11" x14ac:dyDescent="0.3">
      <c r="B17" s="10"/>
      <c r="C17" s="25" t="s">
        <v>71</v>
      </c>
      <c r="D17" s="26" t="s">
        <v>72</v>
      </c>
      <c r="E17" s="32">
        <f>PI()*($I$5/1000)*$I$7</f>
        <v>3.1415926535897936</v>
      </c>
      <c r="F17" s="33" t="s">
        <v>53</v>
      </c>
      <c r="H17" s="48" t="s">
        <v>73</v>
      </c>
      <c r="I17" s="23">
        <v>20</v>
      </c>
      <c r="J17" s="49" t="s">
        <v>40</v>
      </c>
      <c r="K17" s="11"/>
    </row>
    <row r="18" spans="2:11" x14ac:dyDescent="0.3">
      <c r="B18" s="10"/>
      <c r="C18" s="25" t="s">
        <v>74</v>
      </c>
      <c r="D18" s="26" t="s">
        <v>75</v>
      </c>
      <c r="E18" s="32">
        <f>$E$17*($I$12/1000)</f>
        <v>3.1415926535897936E-4</v>
      </c>
      <c r="F18" s="33" t="s">
        <v>43</v>
      </c>
      <c r="H18" s="22" t="s">
        <v>76</v>
      </c>
      <c r="I18" s="88">
        <v>150</v>
      </c>
      <c r="J18" s="24" t="s">
        <v>40</v>
      </c>
      <c r="K18" s="11"/>
    </row>
    <row r="19" spans="2:11" ht="15" thickBot="1" x14ac:dyDescent="0.35">
      <c r="B19" s="10"/>
      <c r="C19" s="25" t="s">
        <v>77</v>
      </c>
      <c r="D19" s="26" t="s">
        <v>78</v>
      </c>
      <c r="E19" s="50">
        <f>($E$18*7140000)/1000</f>
        <v>2.2430971546631127</v>
      </c>
      <c r="F19" s="33" t="s">
        <v>61</v>
      </c>
      <c r="H19" s="42" t="s">
        <v>79</v>
      </c>
      <c r="I19" s="93">
        <v>150</v>
      </c>
      <c r="J19" s="51" t="s">
        <v>40</v>
      </c>
      <c r="K19" s="11"/>
    </row>
    <row r="20" spans="2:11" ht="15" thickBot="1" x14ac:dyDescent="0.35">
      <c r="B20" s="10"/>
      <c r="K20" s="11"/>
    </row>
    <row r="21" spans="2:11" ht="15" thickBot="1" x14ac:dyDescent="0.35">
      <c r="B21" s="10"/>
      <c r="C21" s="52" t="s">
        <v>27</v>
      </c>
      <c r="D21" s="141" t="s">
        <v>80</v>
      </c>
      <c r="E21" s="142"/>
      <c r="F21" s="142"/>
      <c r="G21" s="142"/>
      <c r="H21" s="142"/>
      <c r="I21" s="142"/>
      <c r="J21" s="143"/>
      <c r="K21" s="11"/>
    </row>
    <row r="22" spans="2:11" x14ac:dyDescent="0.3">
      <c r="B22" s="10"/>
      <c r="C22" s="53" t="s">
        <v>81</v>
      </c>
      <c r="D22" s="144" t="s">
        <v>82</v>
      </c>
      <c r="E22" s="144"/>
      <c r="F22" s="144"/>
      <c r="G22" s="144"/>
      <c r="H22" s="144"/>
      <c r="I22" s="144"/>
      <c r="J22" s="145"/>
      <c r="K22" s="11"/>
    </row>
    <row r="23" spans="2:11" x14ac:dyDescent="0.3">
      <c r="B23" s="10"/>
      <c r="C23" s="54" t="s">
        <v>83</v>
      </c>
      <c r="D23" s="146" t="s">
        <v>84</v>
      </c>
      <c r="E23" s="146"/>
      <c r="F23" s="146"/>
      <c r="G23" s="146"/>
      <c r="H23" s="146"/>
      <c r="I23" s="146"/>
      <c r="J23" s="147"/>
      <c r="K23" s="11"/>
    </row>
    <row r="24" spans="2:11" ht="15" thickBot="1" x14ac:dyDescent="0.35">
      <c r="B24" s="10"/>
      <c r="C24" s="55" t="s">
        <v>85</v>
      </c>
      <c r="D24" s="148" t="s">
        <v>86</v>
      </c>
      <c r="E24" s="148"/>
      <c r="F24" s="148"/>
      <c r="G24" s="148"/>
      <c r="H24" s="148"/>
      <c r="I24" s="148"/>
      <c r="J24" s="149"/>
      <c r="K24" s="11"/>
    </row>
    <row r="25" spans="2:11" x14ac:dyDescent="0.3">
      <c r="B25" s="12"/>
      <c r="C25" s="13"/>
      <c r="D25" s="13"/>
      <c r="E25" s="13"/>
      <c r="F25" s="13"/>
      <c r="G25" s="13"/>
      <c r="H25" s="13"/>
      <c r="I25" s="13"/>
      <c r="J25" s="13"/>
      <c r="K25" s="14"/>
    </row>
    <row r="31" spans="2:11" ht="16.5" customHeight="1" x14ac:dyDescent="0.3"/>
  </sheetData>
  <mergeCells count="11">
    <mergeCell ref="D21:J21"/>
    <mergeCell ref="D22:J22"/>
    <mergeCell ref="D23:J23"/>
    <mergeCell ref="D24:J24"/>
    <mergeCell ref="B2:K2"/>
    <mergeCell ref="C4:F4"/>
    <mergeCell ref="H4:J4"/>
    <mergeCell ref="E5:F5"/>
    <mergeCell ref="H14:J14"/>
    <mergeCell ref="C15:F15"/>
    <mergeCell ref="I15:J15"/>
  </mergeCells>
  <conditionalFormatting sqref="H17:J17">
    <cfRule type="expression" dxfId="1" priority="1">
      <formula>$I$15="quadrada"</formula>
    </cfRule>
  </conditionalFormatting>
  <conditionalFormatting sqref="H18:J19">
    <cfRule type="expression" dxfId="0" priority="2">
      <formula>$I$15="circular"</formula>
    </cfRule>
  </conditionalFormatting>
  <dataValidations count="1">
    <dataValidation type="list" allowBlank="1" showInputMessage="1" showErrorMessage="1" sqref="I15" xr:uid="{68CC1A54-1031-4897-A3BE-0EA0491F85FB}">
      <formula1>"circular, quadrada"</formula1>
    </dataValidation>
  </dataValidations>
  <hyperlinks>
    <hyperlink ref="D23" r:id="rId1" xr:uid="{4AED2C93-8174-4FF4-BAF8-87B63D3CBBD8}"/>
    <hyperlink ref="D22" r:id="rId2" xr:uid="{A111AE84-A4FB-4FD5-B404-40CC26B24E59}"/>
    <hyperlink ref="D24" r:id="rId3" xr:uid="{8640F838-C714-4210-A81C-A8566B08449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BOM</vt:lpstr>
      <vt:lpstr>Cálculos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Jorge Sousa Costa</dc:creator>
  <cp:lastModifiedBy>Rui Jorge Sousa Costa</cp:lastModifiedBy>
  <dcterms:created xsi:type="dcterms:W3CDTF">2025-05-06T18:23:13Z</dcterms:created>
  <dcterms:modified xsi:type="dcterms:W3CDTF">2025-05-29T14:54:14Z</dcterms:modified>
</cp:coreProperties>
</file>