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l\Desktop\"/>
    </mc:Choice>
  </mc:AlternateContent>
  <xr:revisionPtr revIDLastSave="0" documentId="8_{3DBF4BAF-39D6-41E1-9F82-C21A8D443A51}" xr6:coauthVersionLast="47" xr6:coauthVersionMax="47" xr10:uidLastSave="{00000000-0000-0000-0000-000000000000}"/>
  <bookViews>
    <workbookView xWindow="-120" yWindow="-120" windowWidth="27870" windowHeight="16440" tabRatio="500" activeTab="2" xr2:uid="{00000000-000D-0000-FFFF-FFFF00000000}"/>
  </bookViews>
  <sheets>
    <sheet name="Planilha1" sheetId="1" r:id="rId1"/>
    <sheet name="Folha1" sheetId="2" r:id="rId2"/>
    <sheet name="Folha2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56" i="3" l="1"/>
  <c r="L55" i="3"/>
  <c r="L52" i="3"/>
  <c r="L49" i="3"/>
  <c r="L46" i="3"/>
  <c r="L43" i="3"/>
  <c r="L40" i="3"/>
  <c r="L37" i="3"/>
  <c r="L34" i="3"/>
  <c r="B55" i="3"/>
  <c r="B52" i="3"/>
  <c r="B46" i="3"/>
  <c r="B49" i="3"/>
  <c r="B43" i="3"/>
  <c r="B34" i="3"/>
  <c r="B40" i="3"/>
  <c r="B37" i="3"/>
  <c r="D31" i="3"/>
  <c r="D29" i="3"/>
  <c r="D26" i="3"/>
  <c r="C22" i="3"/>
  <c r="Q253" i="2"/>
  <c r="G253" i="2"/>
  <c r="Q235" i="2"/>
  <c r="G235" i="2"/>
  <c r="Q217" i="2"/>
  <c r="Q218" i="2" s="1"/>
  <c r="G217" i="2"/>
  <c r="Q197" i="2"/>
  <c r="G197" i="2"/>
  <c r="Q178" i="2"/>
  <c r="G178" i="2"/>
  <c r="M197" i="2"/>
  <c r="C157" i="2"/>
  <c r="G157" i="2"/>
  <c r="Q157" i="2"/>
  <c r="Q137" i="2"/>
  <c r="Q138" i="2" s="1"/>
  <c r="G137" i="2"/>
  <c r="Q117" i="2"/>
  <c r="G117" i="2"/>
  <c r="Q99" i="2"/>
  <c r="G99" i="2"/>
  <c r="Q83" i="2"/>
  <c r="G83" i="2"/>
  <c r="Q62" i="2"/>
  <c r="Q63" i="2" s="1"/>
  <c r="G62" i="2"/>
  <c r="C38" i="2"/>
  <c r="G38" i="2"/>
  <c r="Q38" i="2"/>
  <c r="M137" i="2"/>
  <c r="M199" i="2"/>
  <c r="M198" i="2"/>
  <c r="L200" i="2"/>
  <c r="C199" i="2"/>
  <c r="C197" i="2"/>
  <c r="B200" i="2" s="1"/>
  <c r="G198" i="2" s="1"/>
  <c r="C198" i="2"/>
  <c r="C118" i="2"/>
  <c r="M255" i="2"/>
  <c r="M254" i="2"/>
  <c r="M253" i="2"/>
  <c r="C255" i="2"/>
  <c r="C254" i="2"/>
  <c r="C253" i="2"/>
  <c r="B256" i="2"/>
  <c r="G254" i="2" s="1"/>
  <c r="M237" i="2"/>
  <c r="M236" i="2"/>
  <c r="M235" i="2"/>
  <c r="C237" i="2"/>
  <c r="B238" i="2" s="1"/>
  <c r="G236" i="2" s="1"/>
  <c r="C235" i="2"/>
  <c r="C236" i="2"/>
  <c r="C218" i="2"/>
  <c r="L220" i="2"/>
  <c r="M219" i="2"/>
  <c r="C219" i="2"/>
  <c r="M218" i="2"/>
  <c r="M217" i="2"/>
  <c r="C217" i="2"/>
  <c r="B220" i="2" s="1"/>
  <c r="G218" i="2" s="1"/>
  <c r="M180" i="2"/>
  <c r="C180" i="2"/>
  <c r="M179" i="2"/>
  <c r="C179" i="2"/>
  <c r="M178" i="2"/>
  <c r="L181" i="2" s="1"/>
  <c r="Q179" i="2" s="1"/>
  <c r="C178" i="2"/>
  <c r="B181" i="2" s="1"/>
  <c r="M159" i="2"/>
  <c r="C159" i="2"/>
  <c r="M158" i="2"/>
  <c r="C158" i="2"/>
  <c r="M157" i="2"/>
  <c r="L160" i="2" s="1"/>
  <c r="Q158" i="2" s="1"/>
  <c r="B160" i="2"/>
  <c r="M139" i="2"/>
  <c r="C139" i="2"/>
  <c r="M138" i="2"/>
  <c r="C138" i="2"/>
  <c r="L140" i="2"/>
  <c r="C137" i="2"/>
  <c r="B140" i="2" s="1"/>
  <c r="G138" i="2" s="1"/>
  <c r="M119" i="2"/>
  <c r="C119" i="2"/>
  <c r="M118" i="2"/>
  <c r="M117" i="2"/>
  <c r="L120" i="2" s="1"/>
  <c r="Q118" i="2" s="1"/>
  <c r="C117" i="2"/>
  <c r="B120" i="2" s="1"/>
  <c r="M101" i="2"/>
  <c r="C101" i="2"/>
  <c r="M100" i="2"/>
  <c r="C100" i="2"/>
  <c r="M99" i="2"/>
  <c r="L102" i="2" s="1"/>
  <c r="Q100" i="2" s="1"/>
  <c r="C99" i="2"/>
  <c r="B102" i="2" s="1"/>
  <c r="G100" i="2" s="1"/>
  <c r="M85" i="2"/>
  <c r="C85" i="2"/>
  <c r="M84" i="2"/>
  <c r="C84" i="2"/>
  <c r="M83" i="2"/>
  <c r="L86" i="2" s="1"/>
  <c r="Q84" i="2" s="1"/>
  <c r="C83" i="2"/>
  <c r="B86" i="2" s="1"/>
  <c r="G84" i="2" s="1"/>
  <c r="L65" i="2"/>
  <c r="M64" i="2"/>
  <c r="C64" i="2"/>
  <c r="M63" i="2"/>
  <c r="C63" i="2"/>
  <c r="M62" i="2"/>
  <c r="C62" i="2"/>
  <c r="B65" i="2" s="1"/>
  <c r="G63" i="2" s="1"/>
  <c r="M39" i="2"/>
  <c r="M40" i="2"/>
  <c r="M38" i="2"/>
  <c r="C40" i="2"/>
  <c r="C39" i="2"/>
  <c r="F250" i="2"/>
  <c r="F232" i="2"/>
  <c r="F214" i="2"/>
  <c r="F194" i="2"/>
  <c r="F175" i="2"/>
  <c r="F154" i="2"/>
  <c r="F134" i="2"/>
  <c r="F114" i="2"/>
  <c r="F96" i="2"/>
  <c r="F80" i="2"/>
  <c r="F59" i="2"/>
  <c r="F35" i="2"/>
  <c r="G158" i="2" l="1"/>
  <c r="G118" i="2"/>
  <c r="Q198" i="2"/>
  <c r="G179" i="2"/>
  <c r="L256" i="2"/>
  <c r="Q254" i="2" s="1"/>
  <c r="L238" i="2"/>
  <c r="Q236" i="2" s="1"/>
  <c r="L41" i="2"/>
  <c r="Q39" i="2" s="1"/>
  <c r="B41" i="2"/>
  <c r="G39" i="2" s="1"/>
</calcChain>
</file>

<file path=xl/sharedStrings.xml><?xml version="1.0" encoding="utf-8"?>
<sst xmlns="http://schemas.openxmlformats.org/spreadsheetml/2006/main" count="533" uniqueCount="131">
  <si>
    <t>2.3</t>
  </si>
  <si>
    <t>tempo de viagem = 2h30</t>
  </si>
  <si>
    <t>temperatura atual = 20 º C</t>
  </si>
  <si>
    <t xml:space="preserve">   Disposição de 40 contentores e tamanho individual (m) :</t>
  </si>
  <si>
    <t>ÁreaTotalExposta (At) = 2 *(2b * 4a) + 3 * (2b * 5c) = 2 * (2 * 2,44 * 4 * 2,56) + 3 * (2 * 2,44 * 5 * 6,09)</t>
  </si>
  <si>
    <t>At = 545.7305 m^2</t>
  </si>
  <si>
    <t>Energia para os 40 contentores à temperatura -5</t>
  </si>
  <si>
    <t>Energia para os 40 contentores à temperatura 7</t>
  </si>
  <si>
    <t>expessura_externa</t>
  </si>
  <si>
    <t>0.002 m</t>
  </si>
  <si>
    <t>k_externo</t>
  </si>
  <si>
    <t>15 K</t>
  </si>
  <si>
    <t>237 K</t>
  </si>
  <si>
    <t>expessura_intermédia</t>
  </si>
  <si>
    <t>0.095 m</t>
  </si>
  <si>
    <t>k_intermédio</t>
  </si>
  <si>
    <t>0.030 K</t>
  </si>
  <si>
    <t>0.045 K</t>
  </si>
  <si>
    <t>expessura_interna</t>
  </si>
  <si>
    <t>0.003 m</t>
  </si>
  <si>
    <t>k_interno</t>
  </si>
  <si>
    <t>0.033 K</t>
  </si>
  <si>
    <t>0.055 K</t>
  </si>
  <si>
    <t>R1 = expessura_externa / ( K_externo * At)  =  0.002 / (545.7305 * 15)</t>
  </si>
  <si>
    <t>R1 = expessura_externa / ( K_externo * At)  =  0.002 / (545.7305 * 237)</t>
  </si>
  <si>
    <t>R1 = 2.4432 * 10 ^ -7  K/W</t>
  </si>
  <si>
    <t>R1 = 1.5463 * 10 ^ -8  K/W</t>
  </si>
  <si>
    <t>R2 = expessura_intermédia / ( K_intermédio * At)  =  0.095 / (545.7305 * 0.030)</t>
  </si>
  <si>
    <t>R2 = expessura_intermédia / ( K_intermédio * At)  =  0.095 / (545.7305 * 0.045)</t>
  </si>
  <si>
    <t>R2 = 5.8026 * 10 ^ -3  K/W</t>
  </si>
  <si>
    <t>R2 = 3.8684 * 10 ^ -3  K/W</t>
  </si>
  <si>
    <t>R3 = expessura_interna / ( K_interna * At)  =  0.003 / (545.7305 * 0.033)</t>
  </si>
  <si>
    <t>R3 = expessura_interna / ( K_interna * At)  =  0.003 / (545.7305 * 0.055)</t>
  </si>
  <si>
    <t>R3 = 1.6658 * 10 ^ -4  K/W</t>
  </si>
  <si>
    <t>R3 = 9.9949 * 10 ^ -5  K/W</t>
  </si>
  <si>
    <t>Rtotal = R1 + R2 + R3</t>
  </si>
  <si>
    <t>Rtotal = 5.9694 * 10 ^-3  K/W</t>
  </si>
  <si>
    <t>Rtotal = 3.9684 * 10 ^-3  K/W</t>
  </si>
  <si>
    <t>Q = (temperatura - (-5)) / Rtotal   =  (20 - (-5))/5.9694*10^-3</t>
  </si>
  <si>
    <t>Q = (temperatura - (7)) / Rtotal   =  (20 - (7))/3.9684*10^-3</t>
  </si>
  <si>
    <t>Q = 4188.0256 W</t>
  </si>
  <si>
    <t>Q = 3275.8794 W</t>
  </si>
  <si>
    <t>E = Q * tempo_viagem = 4188.0256 * 9000</t>
  </si>
  <si>
    <t>E = Q * tempo_viagem = 3275.8794 * 9000</t>
  </si>
  <si>
    <t>E = 3,77 * 10 ^ 7 J</t>
  </si>
  <si>
    <t>E = 2,95 * 10 ^ 7 J</t>
  </si>
  <si>
    <t xml:space="preserve">Neste documento estão os cálculos de energia necessária para uma viagem de 2H30M </t>
  </si>
  <si>
    <t>As ilustrações seguintes mostram as possibilidades de posicionamentos dos contentores e as energias necessarias. A face debaixo não aparece pois está sempre coberta.</t>
  </si>
  <si>
    <t>Dados contentor refrigerado a -5 graus Celsius.</t>
  </si>
  <si>
    <t>m^2</t>
  </si>
  <si>
    <t>Dados contentor refrigerado a 7 graus celsius</t>
  </si>
  <si>
    <t>R1</t>
  </si>
  <si>
    <t>R2</t>
  </si>
  <si>
    <t>R3</t>
  </si>
  <si>
    <t>M</t>
  </si>
  <si>
    <t xml:space="preserve"> M</t>
  </si>
  <si>
    <t>K</t>
  </si>
  <si>
    <t>RT</t>
  </si>
  <si>
    <t>Q</t>
  </si>
  <si>
    <t>E</t>
  </si>
  <si>
    <t>Matriz de 20 contentores de baixo</t>
  </si>
  <si>
    <t>Matriz de 20 contentores de cima</t>
  </si>
  <si>
    <t>15 contentores a -5ºc</t>
  </si>
  <si>
    <t>25 contentores a 7ºc</t>
  </si>
  <si>
    <t>Viagem - 3h</t>
  </si>
  <si>
    <t>2 Horas iniciais a 20ºc</t>
  </si>
  <si>
    <t>Hora final a 30ºc</t>
  </si>
  <si>
    <t>Área exposta -5ºc</t>
  </si>
  <si>
    <t>a=5*(c*b)+4*(a*b)</t>
  </si>
  <si>
    <t>Área exposta 7ºc</t>
  </si>
  <si>
    <t>Parte de baixo</t>
  </si>
  <si>
    <t>A=4*(a*b)+4*(b*c)+(b*c)</t>
  </si>
  <si>
    <t>Parte de cima</t>
  </si>
  <si>
    <t>A=10*(b*c)+8*(a*b)+20*(a*c)</t>
  </si>
  <si>
    <t>Área total</t>
  </si>
  <si>
    <t>Contentores -5ºc</t>
  </si>
  <si>
    <t>Contentores 7ºc</t>
  </si>
  <si>
    <t>R1 = expessura_externa / ( K_externo * At)  =  0.002 / 99.2836 * 15)</t>
  </si>
  <si>
    <t>R2 = expessura_intermédia / ( K_intermédio * At)  =  0.095 / (99.2836 * 0.030)</t>
  </si>
  <si>
    <t>R3 = expessura_interna / ( K_interna * At)  =  0.003 / (99.2836 * 0.033)</t>
  </si>
  <si>
    <t>1ºa parte</t>
  </si>
  <si>
    <t>2ºa parte</t>
  </si>
  <si>
    <t xml:space="preserve">R1 = </t>
  </si>
  <si>
    <t xml:space="preserve">R2 = </t>
  </si>
  <si>
    <t xml:space="preserve">R3 = </t>
  </si>
  <si>
    <t>Rtotal =</t>
  </si>
  <si>
    <t xml:space="preserve">Q = </t>
  </si>
  <si>
    <t xml:space="preserve">E = </t>
  </si>
  <si>
    <t>Q = (temperatura - (-5)) / Rtotal   =  (20 - (-5))/0.032812157</t>
  </si>
  <si>
    <t>E = Q * tempo_viagem = 761.91271217 * 7200</t>
  </si>
  <si>
    <t>Q = (temperatura - (-5)) / Rtotal   =  (30- (-5))/0.032812157</t>
  </si>
  <si>
    <t>E = Q * tempo_viagem = 761.91271217 * 3600</t>
  </si>
  <si>
    <t>1ª parte</t>
  </si>
  <si>
    <t>R1 = expessura_externa / ( K_externo * At)  =  0.002 / (609.6588 * 237)</t>
  </si>
  <si>
    <t>R2 = expessura_intermédia / ( K_intermédio * At)  =  0.095 / (609.6588 * 0.045)</t>
  </si>
  <si>
    <t>R3 = expessura_interna / ( K_interna * At)  =  0.003 / (609.6588 * 0.055)</t>
  </si>
  <si>
    <t>R3 =</t>
  </si>
  <si>
    <t xml:space="preserve">Rtotal = </t>
  </si>
  <si>
    <t>2ª parte</t>
  </si>
  <si>
    <t>E = Q * tempo_viagem = 3659.645121 * 7200</t>
  </si>
  <si>
    <t>E=</t>
  </si>
  <si>
    <t>Q = (temperatura - (7)) / Rtotal   =  (20 - 7)/0,003552257</t>
  </si>
  <si>
    <t>Q = (temperatura - (-5)) / Rtotal   =  (30- 7)/0.003552257</t>
  </si>
  <si>
    <t>E = Q * tempo_viagem = 6474.756753 * 3600</t>
  </si>
  <si>
    <t>W</t>
  </si>
  <si>
    <t>Q total(2ªa parte) =</t>
  </si>
  <si>
    <t>Na segunda parte da viagem, que é a mais exigente um gerador de 75KW serve.</t>
  </si>
  <si>
    <t>J</t>
  </si>
  <si>
    <t>K/W</t>
  </si>
  <si>
    <t>Temperatura -5 ºc</t>
  </si>
  <si>
    <t>Temperatura 7ºc</t>
  </si>
  <si>
    <t>Área exposta =2*( a*b)+2*(b*c)+(a*c)</t>
  </si>
  <si>
    <t xml:space="preserve">Q = (temperatura - (-5)) / Rtotal   </t>
  </si>
  <si>
    <t xml:space="preserve">E = Q * tempo_viagem </t>
  </si>
  <si>
    <t>A energia está calculada para uma duração de 2h30 exposta 20ºC</t>
  </si>
  <si>
    <t xml:space="preserve">R1 = expessura_externa / ( K_externo * At)  </t>
  </si>
  <si>
    <t xml:space="preserve">R2 = expessura_intermédia / ( K_intermédio * At) </t>
  </si>
  <si>
    <t>R3 = expessura_interna / ( K_interna * At)</t>
  </si>
  <si>
    <t>Área exposta = 2*(a*b)+(a*c)+(b*c)</t>
  </si>
  <si>
    <t>Temperatura -5ºC</t>
  </si>
  <si>
    <t>Temperatura 7ºC</t>
  </si>
  <si>
    <t>Área exposta =2*(a*b)+(a*c)</t>
  </si>
  <si>
    <t>Área exposta=(a*b)+(a*c)</t>
  </si>
  <si>
    <t>Área exposta =(a*c)</t>
  </si>
  <si>
    <t>Área exposta = 2*(c*b)+(a*c)+(a*b)</t>
  </si>
  <si>
    <t>Área exposta=(a*b)+(a*c)+(b*c)</t>
  </si>
  <si>
    <t>Área exposta =2*(b*c)+(a*c)</t>
  </si>
  <si>
    <t>Área exposta = (a*c)+(b*c)</t>
  </si>
  <si>
    <t>Área descoberta = (a*b)</t>
  </si>
  <si>
    <t>Área descoberta = (c*b)</t>
  </si>
  <si>
    <t>Área descoberta =(c*b)+(a*b)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</si>
</sst>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sz val="11"/>
      <color rgb="FF444444"/>
      <name val="Calibri"/>
      <family val="2"/>
      <charset val="1"/>
    </font>
    <font>
      <sz val="8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ont="1" applyBorder="1" applyAlignme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Font="1"/>
    <xf numFmtId="0" fontId="1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image" Target="../media/image13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png"/><Relationship Id="rId10" Type="http://schemas.openxmlformats.org/officeDocument/2006/relationships/image" Target="../media/image11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600120</xdr:colOff>
      <xdr:row>6</xdr:row>
      <xdr:rowOff>0</xdr:rowOff>
    </xdr:from>
    <xdr:to>
      <xdr:col>9</xdr:col>
      <xdr:colOff>84960</xdr:colOff>
      <xdr:row>13</xdr:row>
      <xdr:rowOff>170640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600120" y="1143000"/>
          <a:ext cx="4908240" cy="15040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160020</xdr:colOff>
      <xdr:row>22</xdr:row>
      <xdr:rowOff>38101</xdr:rowOff>
    </xdr:from>
    <xdr:to>
      <xdr:col>6</xdr:col>
      <xdr:colOff>243840</xdr:colOff>
      <xdr:row>33</xdr:row>
      <xdr:rowOff>118705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8734A54-3F08-4092-B43B-B8E931DEC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0020" y="4061461"/>
          <a:ext cx="3954780" cy="2092284"/>
        </a:xfrm>
        <a:prstGeom prst="rect">
          <a:avLst/>
        </a:prstGeom>
      </xdr:spPr>
    </xdr:pic>
    <xdr:clientData/>
  </xdr:twoCellAnchor>
  <xdr:twoCellAnchor editAs="oneCell">
    <xdr:from>
      <xdr:col>0</xdr:col>
      <xdr:colOff>434340</xdr:colOff>
      <xdr:row>42</xdr:row>
      <xdr:rowOff>1</xdr:rowOff>
    </xdr:from>
    <xdr:to>
      <xdr:col>8</xdr:col>
      <xdr:colOff>76200</xdr:colOff>
      <xdr:row>55</xdr:row>
      <xdr:rowOff>126045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57C5913E-BF52-490D-B519-EA037B02D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7680961"/>
          <a:ext cx="4732020" cy="2503484"/>
        </a:xfrm>
        <a:prstGeom prst="rect">
          <a:avLst/>
        </a:prstGeom>
      </xdr:spPr>
    </xdr:pic>
    <xdr:clientData/>
  </xdr:twoCellAnchor>
  <xdr:twoCellAnchor editAs="oneCell">
    <xdr:from>
      <xdr:col>0</xdr:col>
      <xdr:colOff>464820</xdr:colOff>
      <xdr:row>65</xdr:row>
      <xdr:rowOff>106681</xdr:rowOff>
    </xdr:from>
    <xdr:to>
      <xdr:col>7</xdr:col>
      <xdr:colOff>319599</xdr:colOff>
      <xdr:row>78</xdr:row>
      <xdr:rowOff>22860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E1E2FC84-EBFA-48BA-8536-660A1C638A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0" y="11993881"/>
          <a:ext cx="4335339" cy="2293619"/>
        </a:xfrm>
        <a:prstGeom prst="rect">
          <a:avLst/>
        </a:prstGeom>
      </xdr:spPr>
    </xdr:pic>
    <xdr:clientData/>
  </xdr:twoCellAnchor>
  <xdr:twoCellAnchor editAs="oneCell">
    <xdr:from>
      <xdr:col>0</xdr:col>
      <xdr:colOff>594360</xdr:colOff>
      <xdr:row>85</xdr:row>
      <xdr:rowOff>152401</xdr:rowOff>
    </xdr:from>
    <xdr:to>
      <xdr:col>5</xdr:col>
      <xdr:colOff>502920</xdr:colOff>
      <xdr:row>95</xdr:row>
      <xdr:rowOff>653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2C83EC99-CC1D-4EC4-9C65-F81FE7A83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4360" y="15697201"/>
          <a:ext cx="3169920" cy="1677052"/>
        </a:xfrm>
        <a:prstGeom prst="rect">
          <a:avLst/>
        </a:prstGeom>
      </xdr:spPr>
    </xdr:pic>
    <xdr:clientData/>
  </xdr:twoCellAnchor>
  <xdr:twoCellAnchor editAs="oneCell">
    <xdr:from>
      <xdr:col>1</xdr:col>
      <xdr:colOff>22860</xdr:colOff>
      <xdr:row>102</xdr:row>
      <xdr:rowOff>38101</xdr:rowOff>
    </xdr:from>
    <xdr:to>
      <xdr:col>6</xdr:col>
      <xdr:colOff>297180</xdr:colOff>
      <xdr:row>112</xdr:row>
      <xdr:rowOff>79859</xdr:rowOff>
    </xdr:to>
    <xdr:pic>
      <xdr:nvPicPr>
        <xdr:cNvPr id="11" name="Imagem 10">
          <a:extLst>
            <a:ext uri="{FF2B5EF4-FFF2-40B4-BE49-F238E27FC236}">
              <a16:creationId xmlns:a16="http://schemas.microsoft.com/office/drawing/2014/main" id="{9E20FDAD-00EC-4D7C-9C29-D0C1B8E7EC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2460" y="18691861"/>
          <a:ext cx="3535680" cy="1870558"/>
        </a:xfrm>
        <a:prstGeom prst="rect">
          <a:avLst/>
        </a:prstGeom>
      </xdr:spPr>
    </xdr:pic>
    <xdr:clientData/>
  </xdr:twoCellAnchor>
  <xdr:twoCellAnchor editAs="oneCell">
    <xdr:from>
      <xdr:col>0</xdr:col>
      <xdr:colOff>495301</xdr:colOff>
      <xdr:row>120</xdr:row>
      <xdr:rowOff>30481</xdr:rowOff>
    </xdr:from>
    <xdr:to>
      <xdr:col>6</xdr:col>
      <xdr:colOff>388620</xdr:colOff>
      <xdr:row>131</xdr:row>
      <xdr:rowOff>114752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608336D7-5430-4E75-BE8B-49B151725E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5301" y="21976081"/>
          <a:ext cx="3764279" cy="20959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106681</xdr:rowOff>
    </xdr:from>
    <xdr:to>
      <xdr:col>5</xdr:col>
      <xdr:colOff>548640</xdr:colOff>
      <xdr:row>151</xdr:row>
      <xdr:rowOff>110689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4B65BCF1-5761-4B01-B09A-8C219022DE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09881"/>
          <a:ext cx="3810000" cy="20156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161</xdr:row>
      <xdr:rowOff>91441</xdr:rowOff>
    </xdr:from>
    <xdr:to>
      <xdr:col>6</xdr:col>
      <xdr:colOff>51356</xdr:colOff>
      <xdr:row>171</xdr:row>
      <xdr:rowOff>15240</xdr:rowOff>
    </xdr:to>
    <xdr:pic>
      <xdr:nvPicPr>
        <xdr:cNvPr id="17" name="Imagem 16">
          <a:extLst>
            <a:ext uri="{FF2B5EF4-FFF2-40B4-BE49-F238E27FC236}">
              <a16:creationId xmlns:a16="http://schemas.microsoft.com/office/drawing/2014/main" id="{CBBD965C-6E75-4C5F-AD18-D20245DDDB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29535121"/>
          <a:ext cx="3312716" cy="1752599"/>
        </a:xfrm>
        <a:prstGeom prst="rect">
          <a:avLst/>
        </a:prstGeom>
      </xdr:spPr>
    </xdr:pic>
    <xdr:clientData/>
  </xdr:twoCellAnchor>
  <xdr:twoCellAnchor editAs="oneCell">
    <xdr:from>
      <xdr:col>0</xdr:col>
      <xdr:colOff>563881</xdr:colOff>
      <xdr:row>181</xdr:row>
      <xdr:rowOff>76201</xdr:rowOff>
    </xdr:from>
    <xdr:to>
      <xdr:col>5</xdr:col>
      <xdr:colOff>289560</xdr:colOff>
      <xdr:row>190</xdr:row>
      <xdr:rowOff>10580</xdr:rowOff>
    </xdr:to>
    <xdr:pic>
      <xdr:nvPicPr>
        <xdr:cNvPr id="19" name="Imagem 18">
          <a:extLst>
            <a:ext uri="{FF2B5EF4-FFF2-40B4-BE49-F238E27FC236}">
              <a16:creationId xmlns:a16="http://schemas.microsoft.com/office/drawing/2014/main" id="{F42A7960-5919-4E32-B5E0-FC8F25B764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1" y="33177481"/>
          <a:ext cx="2987039" cy="1580299"/>
        </a:xfrm>
        <a:prstGeom prst="rect">
          <a:avLst/>
        </a:prstGeom>
      </xdr:spPr>
    </xdr:pic>
    <xdr:clientData/>
  </xdr:twoCellAnchor>
  <xdr:twoCellAnchor editAs="oneCell">
    <xdr:from>
      <xdr:col>0</xdr:col>
      <xdr:colOff>541020</xdr:colOff>
      <xdr:row>201</xdr:row>
      <xdr:rowOff>1</xdr:rowOff>
    </xdr:from>
    <xdr:to>
      <xdr:col>5</xdr:col>
      <xdr:colOff>592377</xdr:colOff>
      <xdr:row>210</xdr:row>
      <xdr:rowOff>106680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6901824F-2494-43C8-A3A4-DB33D91A3C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1020" y="36758881"/>
          <a:ext cx="3312717" cy="1752599"/>
        </a:xfrm>
        <a:prstGeom prst="rect">
          <a:avLst/>
        </a:prstGeom>
      </xdr:spPr>
    </xdr:pic>
    <xdr:clientData/>
  </xdr:twoCellAnchor>
  <xdr:twoCellAnchor editAs="oneCell">
    <xdr:from>
      <xdr:col>0</xdr:col>
      <xdr:colOff>601980</xdr:colOff>
      <xdr:row>221</xdr:row>
      <xdr:rowOff>15241</xdr:rowOff>
    </xdr:from>
    <xdr:to>
      <xdr:col>5</xdr:col>
      <xdr:colOff>278857</xdr:colOff>
      <xdr:row>229</xdr:row>
      <xdr:rowOff>106681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F4611719-DFA9-4E37-8900-F1905657B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980" y="40431721"/>
          <a:ext cx="2938237" cy="1554480"/>
        </a:xfrm>
        <a:prstGeom prst="rect">
          <a:avLst/>
        </a:prstGeom>
      </xdr:spPr>
    </xdr:pic>
    <xdr:clientData/>
  </xdr:twoCellAnchor>
  <xdr:twoCellAnchor editAs="oneCell">
    <xdr:from>
      <xdr:col>0</xdr:col>
      <xdr:colOff>312420</xdr:colOff>
      <xdr:row>238</xdr:row>
      <xdr:rowOff>7621</xdr:rowOff>
    </xdr:from>
    <xdr:to>
      <xdr:col>6</xdr:col>
      <xdr:colOff>128660</xdr:colOff>
      <xdr:row>248</xdr:row>
      <xdr:rowOff>129541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DDD3781C-270A-4943-94A8-B34B6192DB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2420" y="43533061"/>
          <a:ext cx="3687200" cy="19507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15240</xdr:colOff>
      <xdr:row>11</xdr:row>
      <xdr:rowOff>30480</xdr:rowOff>
    </xdr:from>
    <xdr:to>
      <xdr:col>9</xdr:col>
      <xdr:colOff>487680</xdr:colOff>
      <xdr:row>18</xdr:row>
      <xdr:rowOff>114300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6963237-7B64-46B5-BE10-6F1E1F4CECC5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844040" y="2057400"/>
          <a:ext cx="4130040" cy="136398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41"/>
  <sheetViews>
    <sheetView zoomScaleNormal="100" workbookViewId="0">
      <selection activeCell="E43" sqref="E43"/>
    </sheetView>
  </sheetViews>
  <sheetFormatPr defaultRowHeight="15" x14ac:dyDescent="0.25"/>
  <cols>
    <col min="1" max="1025" width="8.5703125" customWidth="1"/>
  </cols>
  <sheetData>
    <row r="2" spans="1:13" x14ac:dyDescent="0.25">
      <c r="A2" s="1" t="s">
        <v>0</v>
      </c>
    </row>
    <row r="3" spans="1:13" x14ac:dyDescent="0.25">
      <c r="B3" s="19" t="s">
        <v>1</v>
      </c>
      <c r="C3" s="19"/>
      <c r="D3" s="19"/>
      <c r="E3" s="20" t="s">
        <v>2</v>
      </c>
      <c r="F3" s="20"/>
      <c r="G3" s="20"/>
    </row>
    <row r="5" spans="1:13" x14ac:dyDescent="0.25">
      <c r="B5" s="21" t="s">
        <v>3</v>
      </c>
      <c r="C5" s="21"/>
      <c r="D5" s="21"/>
      <c r="E5" s="21"/>
      <c r="F5" s="21"/>
      <c r="G5" s="21"/>
    </row>
    <row r="16" spans="1:13" x14ac:dyDescent="0.25">
      <c r="B16" s="2" t="s">
        <v>4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9" x14ac:dyDescent="0.25">
      <c r="B17" t="s">
        <v>5</v>
      </c>
    </row>
    <row r="19" spans="2:19" x14ac:dyDescent="0.25">
      <c r="B19" s="22" t="s">
        <v>6</v>
      </c>
      <c r="C19" s="22"/>
      <c r="D19" s="22"/>
      <c r="E19" s="22"/>
      <c r="F19" s="22"/>
      <c r="L19" s="22" t="s">
        <v>7</v>
      </c>
      <c r="M19" s="22"/>
      <c r="N19" s="22"/>
      <c r="O19" s="22"/>
      <c r="P19" s="22"/>
    </row>
    <row r="20" spans="2:19" x14ac:dyDescent="0.25">
      <c r="B20" s="3"/>
      <c r="L20" s="3"/>
    </row>
    <row r="21" spans="2:19" x14ac:dyDescent="0.25">
      <c r="B21" s="20" t="s">
        <v>8</v>
      </c>
      <c r="C21" s="20"/>
      <c r="D21" s="20"/>
      <c r="E21" s="1" t="s">
        <v>9</v>
      </c>
      <c r="G21" s="20" t="s">
        <v>10</v>
      </c>
      <c r="H21" s="20"/>
      <c r="I21" s="4" t="s">
        <v>11</v>
      </c>
      <c r="L21" s="20" t="s">
        <v>8</v>
      </c>
      <c r="M21" s="20"/>
      <c r="N21" s="20"/>
      <c r="O21" s="1" t="s">
        <v>9</v>
      </c>
      <c r="Q21" s="20" t="s">
        <v>10</v>
      </c>
      <c r="R21" s="20"/>
      <c r="S21" s="4" t="s">
        <v>12</v>
      </c>
    </row>
    <row r="22" spans="2:19" x14ac:dyDescent="0.25">
      <c r="B22" s="20" t="s">
        <v>13</v>
      </c>
      <c r="C22" s="20"/>
      <c r="D22" s="20"/>
      <c r="E22" s="1" t="s">
        <v>14</v>
      </c>
      <c r="G22" s="20" t="s">
        <v>15</v>
      </c>
      <c r="H22" s="20"/>
      <c r="I22" s="4" t="s">
        <v>16</v>
      </c>
      <c r="L22" s="20" t="s">
        <v>13</v>
      </c>
      <c r="M22" s="20"/>
      <c r="N22" s="20"/>
      <c r="O22" s="1" t="s">
        <v>14</v>
      </c>
      <c r="Q22" s="20" t="s">
        <v>15</v>
      </c>
      <c r="R22" s="20"/>
      <c r="S22" s="4" t="s">
        <v>17</v>
      </c>
    </row>
    <row r="23" spans="2:19" x14ac:dyDescent="0.25">
      <c r="B23" s="20" t="s">
        <v>18</v>
      </c>
      <c r="C23" s="20"/>
      <c r="D23" s="20"/>
      <c r="E23" s="1" t="s">
        <v>19</v>
      </c>
      <c r="G23" s="20" t="s">
        <v>20</v>
      </c>
      <c r="H23" s="20"/>
      <c r="I23" s="4" t="s">
        <v>21</v>
      </c>
      <c r="L23" s="20" t="s">
        <v>18</v>
      </c>
      <c r="M23" s="20"/>
      <c r="N23" s="20"/>
      <c r="O23" s="1" t="s">
        <v>19</v>
      </c>
      <c r="Q23" s="20" t="s">
        <v>20</v>
      </c>
      <c r="R23" s="20"/>
      <c r="S23" s="4" t="s">
        <v>22</v>
      </c>
    </row>
    <row r="25" spans="2:19" x14ac:dyDescent="0.25">
      <c r="B25" s="21" t="s">
        <v>23</v>
      </c>
      <c r="C25" s="21"/>
      <c r="D25" s="21"/>
      <c r="E25" s="21"/>
      <c r="F25" s="21"/>
      <c r="G25" s="21"/>
      <c r="H25" s="21"/>
      <c r="L25" s="21" t="s">
        <v>24</v>
      </c>
      <c r="M25" s="21"/>
      <c r="N25" s="21"/>
      <c r="O25" s="21"/>
      <c r="P25" s="21"/>
      <c r="Q25" s="21"/>
      <c r="R25" s="21"/>
    </row>
    <row r="26" spans="2:19" x14ac:dyDescent="0.25">
      <c r="B26" s="21" t="s">
        <v>25</v>
      </c>
      <c r="C26" s="21"/>
      <c r="D26" s="21"/>
      <c r="L26" s="21" t="s">
        <v>26</v>
      </c>
      <c r="M26" s="21"/>
      <c r="N26" s="21"/>
    </row>
    <row r="28" spans="2:19" x14ac:dyDescent="0.25">
      <c r="B28" s="2" t="s">
        <v>27</v>
      </c>
      <c r="C28" s="2"/>
      <c r="D28" s="2"/>
      <c r="E28" s="2"/>
      <c r="F28" s="2"/>
      <c r="G28" s="2"/>
      <c r="H28" s="2"/>
      <c r="I28" s="2"/>
      <c r="L28" s="2" t="s">
        <v>28</v>
      </c>
      <c r="M28" s="2"/>
      <c r="N28" s="2"/>
      <c r="O28" s="2"/>
      <c r="P28" s="2"/>
      <c r="Q28" s="2"/>
      <c r="R28" s="2"/>
      <c r="S28" s="2"/>
    </row>
    <row r="29" spans="2:19" x14ac:dyDescent="0.25">
      <c r="B29" s="21" t="s">
        <v>29</v>
      </c>
      <c r="C29" s="21"/>
      <c r="D29" s="21"/>
      <c r="L29" s="21" t="s">
        <v>30</v>
      </c>
      <c r="M29" s="21"/>
      <c r="N29" s="21"/>
    </row>
    <row r="31" spans="2:19" x14ac:dyDescent="0.25">
      <c r="B31" s="21" t="s">
        <v>31</v>
      </c>
      <c r="C31" s="21"/>
      <c r="D31" s="21"/>
      <c r="E31" s="21"/>
      <c r="F31" s="21"/>
      <c r="G31" s="21"/>
      <c r="H31" s="21"/>
      <c r="L31" s="21" t="s">
        <v>32</v>
      </c>
      <c r="M31" s="21"/>
      <c r="N31" s="21"/>
      <c r="O31" s="21"/>
      <c r="P31" s="21"/>
      <c r="Q31" s="21"/>
      <c r="R31" s="21"/>
    </row>
    <row r="32" spans="2:19" x14ac:dyDescent="0.25">
      <c r="B32" s="21" t="s">
        <v>33</v>
      </c>
      <c r="C32" s="21"/>
      <c r="D32" s="21"/>
      <c r="L32" s="21" t="s">
        <v>34</v>
      </c>
      <c r="M32" s="21"/>
      <c r="N32" s="21"/>
    </row>
    <row r="34" spans="2:18" x14ac:dyDescent="0.25">
      <c r="B34" s="21" t="s">
        <v>35</v>
      </c>
      <c r="C34" s="21"/>
      <c r="D34" s="21"/>
      <c r="E34" s="21"/>
      <c r="F34" s="21"/>
      <c r="G34" s="21"/>
      <c r="H34" s="21"/>
      <c r="L34" s="21" t="s">
        <v>35</v>
      </c>
      <c r="M34" s="21"/>
      <c r="N34" s="21"/>
      <c r="O34" s="21"/>
      <c r="P34" s="21"/>
      <c r="Q34" s="21"/>
      <c r="R34" s="21"/>
    </row>
    <row r="35" spans="2:18" x14ac:dyDescent="0.25">
      <c r="B35" s="21" t="s">
        <v>36</v>
      </c>
      <c r="C35" s="21"/>
      <c r="D35" s="21"/>
      <c r="L35" s="21" t="s">
        <v>37</v>
      </c>
      <c r="M35" s="21"/>
      <c r="N35" s="21"/>
    </row>
    <row r="37" spans="2:18" x14ac:dyDescent="0.25">
      <c r="B37" t="s">
        <v>38</v>
      </c>
      <c r="L37" t="s">
        <v>39</v>
      </c>
    </row>
    <row r="38" spans="2:18" x14ac:dyDescent="0.25">
      <c r="B38" t="s">
        <v>40</v>
      </c>
      <c r="L38" t="s">
        <v>41</v>
      </c>
    </row>
    <row r="40" spans="2:18" x14ac:dyDescent="0.25">
      <c r="B40" t="s">
        <v>42</v>
      </c>
      <c r="L40" t="s">
        <v>43</v>
      </c>
    </row>
    <row r="41" spans="2:18" x14ac:dyDescent="0.25">
      <c r="B41" t="s">
        <v>44</v>
      </c>
      <c r="L41" t="s">
        <v>45</v>
      </c>
    </row>
  </sheetData>
  <mergeCells count="31">
    <mergeCell ref="B32:D32"/>
    <mergeCell ref="L32:N32"/>
    <mergeCell ref="B34:H34"/>
    <mergeCell ref="L34:R34"/>
    <mergeCell ref="B35:D35"/>
    <mergeCell ref="L35:N35"/>
    <mergeCell ref="B26:D26"/>
    <mergeCell ref="L26:N26"/>
    <mergeCell ref="B29:D29"/>
    <mergeCell ref="L29:N29"/>
    <mergeCell ref="B31:H31"/>
    <mergeCell ref="L31:R31"/>
    <mergeCell ref="B23:D23"/>
    <mergeCell ref="G23:H23"/>
    <mergeCell ref="L23:N23"/>
    <mergeCell ref="Q23:R23"/>
    <mergeCell ref="B25:H25"/>
    <mergeCell ref="L25:R25"/>
    <mergeCell ref="B21:D21"/>
    <mergeCell ref="G21:H21"/>
    <mergeCell ref="L21:N21"/>
    <mergeCell ref="Q21:R21"/>
    <mergeCell ref="B22:D22"/>
    <mergeCell ref="G22:H22"/>
    <mergeCell ref="L22:N22"/>
    <mergeCell ref="Q22:R22"/>
    <mergeCell ref="B3:D3"/>
    <mergeCell ref="E3:G3"/>
    <mergeCell ref="B5:G5"/>
    <mergeCell ref="B19:F19"/>
    <mergeCell ref="L19:P19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F6A0A-71C1-40B7-B551-2EB81039018B}">
  <dimension ref="A3:W256"/>
  <sheetViews>
    <sheetView topLeftCell="A227" workbookViewId="0">
      <selection activeCell="H261" sqref="H261"/>
    </sheetView>
  </sheetViews>
  <sheetFormatPr defaultRowHeight="15" x14ac:dyDescent="0.25"/>
  <cols>
    <col min="3" max="3" width="12" bestFit="1" customWidth="1"/>
    <col min="13" max="13" width="12" bestFit="1" customWidth="1"/>
  </cols>
  <sheetData>
    <row r="3" spans="2:22" x14ac:dyDescent="0.25">
      <c r="B3" t="s">
        <v>46</v>
      </c>
    </row>
    <row r="4" spans="2:22" x14ac:dyDescent="0.25">
      <c r="B4" t="s">
        <v>47</v>
      </c>
    </row>
    <row r="5" spans="2:22" x14ac:dyDescent="0.25">
      <c r="B5" t="s">
        <v>114</v>
      </c>
    </row>
    <row r="9" spans="2:22" x14ac:dyDescent="0.25">
      <c r="C9" t="s">
        <v>48</v>
      </c>
      <c r="L9" t="s">
        <v>50</v>
      </c>
    </row>
    <row r="10" spans="2:22" x14ac:dyDescent="0.25">
      <c r="C10" s="20" t="s">
        <v>8</v>
      </c>
      <c r="D10" s="20"/>
      <c r="E10" s="20"/>
      <c r="F10" s="1">
        <v>2E-3</v>
      </c>
      <c r="G10" t="s">
        <v>54</v>
      </c>
      <c r="H10" s="20" t="s">
        <v>10</v>
      </c>
      <c r="I10" s="20"/>
      <c r="J10" s="4">
        <v>15</v>
      </c>
      <c r="K10" t="s">
        <v>56</v>
      </c>
      <c r="L10" s="20" t="s">
        <v>8</v>
      </c>
      <c r="M10" s="20"/>
      <c r="N10" s="20"/>
      <c r="O10" s="1">
        <v>2E-3</v>
      </c>
      <c r="P10" t="s">
        <v>54</v>
      </c>
      <c r="Q10" s="20" t="s">
        <v>10</v>
      </c>
      <c r="R10" s="20"/>
      <c r="S10" s="4">
        <v>237</v>
      </c>
      <c r="T10" t="s">
        <v>56</v>
      </c>
    </row>
    <row r="11" spans="2:22" x14ac:dyDescent="0.25">
      <c r="C11" s="20" t="s">
        <v>13</v>
      </c>
      <c r="D11" s="20"/>
      <c r="E11" s="20"/>
      <c r="F11" s="1">
        <v>9.5000000000000001E-2</v>
      </c>
      <c r="G11" t="s">
        <v>55</v>
      </c>
      <c r="H11" s="20" t="s">
        <v>15</v>
      </c>
      <c r="I11" s="20"/>
      <c r="J11" s="4">
        <v>0.03</v>
      </c>
      <c r="K11" t="s">
        <v>56</v>
      </c>
      <c r="L11" s="20" t="s">
        <v>13</v>
      </c>
      <c r="M11" s="20"/>
      <c r="N11" s="20"/>
      <c r="O11" s="1">
        <v>9.5000000000000001E-2</v>
      </c>
      <c r="P11" t="s">
        <v>54</v>
      </c>
      <c r="Q11" s="20" t="s">
        <v>15</v>
      </c>
      <c r="R11" s="20"/>
      <c r="S11" s="4">
        <v>4.4999999999999998E-2</v>
      </c>
      <c r="T11" t="s">
        <v>56</v>
      </c>
    </row>
    <row r="12" spans="2:22" x14ac:dyDescent="0.25">
      <c r="C12" s="20" t="s">
        <v>18</v>
      </c>
      <c r="D12" s="20"/>
      <c r="E12" s="20"/>
      <c r="F12" s="1">
        <v>3.0000000000000001E-3</v>
      </c>
      <c r="G12" t="s">
        <v>54</v>
      </c>
      <c r="H12" s="20" t="s">
        <v>20</v>
      </c>
      <c r="I12" s="20"/>
      <c r="J12" s="4">
        <v>3.3000000000000002E-2</v>
      </c>
      <c r="K12" t="s">
        <v>56</v>
      </c>
      <c r="L12" s="20" t="s">
        <v>18</v>
      </c>
      <c r="M12" s="20"/>
      <c r="N12" s="20"/>
      <c r="O12" s="1">
        <v>3.0000000000000001E-3</v>
      </c>
      <c r="P12" t="s">
        <v>54</v>
      </c>
      <c r="Q12" s="20" t="s">
        <v>20</v>
      </c>
      <c r="R12" s="20"/>
      <c r="S12" s="4">
        <v>5.5E-2</v>
      </c>
      <c r="T12" t="s">
        <v>56</v>
      </c>
    </row>
    <row r="14" spans="2:22" x14ac:dyDescent="0.25">
      <c r="E14" s="21" t="s">
        <v>115</v>
      </c>
      <c r="F14" s="21"/>
      <c r="G14" s="21"/>
      <c r="H14" s="21"/>
      <c r="I14" s="21"/>
      <c r="J14" s="21"/>
      <c r="K14" s="21"/>
    </row>
    <row r="15" spans="2:22" x14ac:dyDescent="0.25">
      <c r="E15" s="21"/>
      <c r="F15" s="21"/>
      <c r="G15" s="21"/>
      <c r="P15" s="21" t="s">
        <v>115</v>
      </c>
      <c r="Q15" s="21"/>
      <c r="R15" s="21"/>
      <c r="S15" s="21"/>
      <c r="T15" s="21"/>
      <c r="U15" s="21"/>
      <c r="V15" s="21"/>
    </row>
    <row r="16" spans="2:22" x14ac:dyDescent="0.25">
      <c r="P16" s="21"/>
      <c r="Q16" s="21"/>
      <c r="R16" s="21"/>
    </row>
    <row r="17" spans="1:23" x14ac:dyDescent="0.25">
      <c r="E17" s="2" t="s">
        <v>116</v>
      </c>
      <c r="F17" s="2"/>
      <c r="G17" s="2"/>
      <c r="H17" s="2"/>
      <c r="I17" s="2"/>
      <c r="J17" s="2"/>
      <c r="K17" s="2"/>
    </row>
    <row r="18" spans="1:23" x14ac:dyDescent="0.25">
      <c r="E18" s="21"/>
      <c r="F18" s="21"/>
      <c r="G18" s="21"/>
      <c r="P18" s="2" t="s">
        <v>116</v>
      </c>
      <c r="Q18" s="2"/>
      <c r="R18" s="2"/>
      <c r="S18" s="2"/>
      <c r="T18" s="2"/>
      <c r="U18" s="2"/>
      <c r="V18" s="2"/>
      <c r="W18" s="2"/>
    </row>
    <row r="19" spans="1:23" x14ac:dyDescent="0.25">
      <c r="A19" t="s">
        <v>112</v>
      </c>
      <c r="P19" s="21"/>
      <c r="Q19" s="21"/>
      <c r="R19" s="21"/>
    </row>
    <row r="20" spans="1:23" x14ac:dyDescent="0.25">
      <c r="E20" s="21" t="s">
        <v>117</v>
      </c>
      <c r="F20" s="21"/>
      <c r="G20" s="21"/>
      <c r="H20" s="21"/>
      <c r="I20" s="21"/>
      <c r="J20" s="21"/>
      <c r="K20" s="21"/>
    </row>
    <row r="21" spans="1:23" x14ac:dyDescent="0.25">
      <c r="A21" t="s">
        <v>113</v>
      </c>
      <c r="E21" s="21"/>
      <c r="F21" s="21"/>
      <c r="G21" s="21"/>
      <c r="P21" s="21" t="s">
        <v>117</v>
      </c>
      <c r="Q21" s="21"/>
      <c r="R21" s="21"/>
      <c r="S21" s="21"/>
      <c r="T21" s="21"/>
      <c r="U21" s="21"/>
      <c r="V21" s="21"/>
    </row>
    <row r="22" spans="1:23" x14ac:dyDescent="0.25">
      <c r="E22" t="s">
        <v>35</v>
      </c>
      <c r="P22" s="21"/>
      <c r="Q22" s="21"/>
      <c r="R22" s="21"/>
    </row>
    <row r="23" spans="1:23" x14ac:dyDescent="0.25">
      <c r="E23" s="21"/>
      <c r="F23" s="21"/>
      <c r="G23" s="21"/>
      <c r="H23" s="21"/>
      <c r="I23" s="21"/>
      <c r="J23" s="21"/>
      <c r="K23" s="21"/>
    </row>
    <row r="24" spans="1:23" x14ac:dyDescent="0.25">
      <c r="E24" s="21"/>
      <c r="F24" s="21"/>
      <c r="G24" s="21"/>
      <c r="P24" s="21" t="s">
        <v>35</v>
      </c>
      <c r="Q24" s="21"/>
      <c r="R24" s="21"/>
      <c r="S24" s="21"/>
      <c r="T24" s="21"/>
      <c r="U24" s="21"/>
      <c r="V24" s="21"/>
    </row>
    <row r="25" spans="1:23" x14ac:dyDescent="0.25">
      <c r="P25" s="21"/>
      <c r="Q25" s="21"/>
      <c r="R25" s="21"/>
    </row>
    <row r="35" spans="1:18" x14ac:dyDescent="0.25">
      <c r="B35" t="s">
        <v>111</v>
      </c>
      <c r="F35">
        <f>2*(2.56*2.44)+2*(2.44*6.09)+(2.56*6.09)</f>
        <v>57.802399999999999</v>
      </c>
      <c r="G35" t="s">
        <v>49</v>
      </c>
    </row>
    <row r="37" spans="1:18" x14ac:dyDescent="0.25">
      <c r="B37" t="s">
        <v>109</v>
      </c>
      <c r="K37" t="s">
        <v>110</v>
      </c>
    </row>
    <row r="38" spans="1:18" x14ac:dyDescent="0.25">
      <c r="B38" t="s">
        <v>51</v>
      </c>
      <c r="C38">
        <f>$F$10/($J$10*F35)</f>
        <v>2.306709294654432E-6</v>
      </c>
      <c r="D38" t="s">
        <v>108</v>
      </c>
      <c r="F38" t="s">
        <v>58</v>
      </c>
      <c r="G38">
        <f>25/B41</f>
        <v>443.58165805306572</v>
      </c>
      <c r="H38" t="s">
        <v>104</v>
      </c>
      <c r="L38" t="s">
        <v>51</v>
      </c>
      <c r="M38">
        <f>$O$10/($S$10*F35)</f>
        <v>1.4599425915534379E-7</v>
      </c>
      <c r="N38" t="s">
        <v>108</v>
      </c>
      <c r="P38" t="s">
        <v>58</v>
      </c>
      <c r="Q38">
        <f>13/L41</f>
        <v>346.97480840630578</v>
      </c>
      <c r="R38" t="s">
        <v>104</v>
      </c>
    </row>
    <row r="39" spans="1:18" x14ac:dyDescent="0.25">
      <c r="B39" t="s">
        <v>52</v>
      </c>
      <c r="C39">
        <f>$F$11/($J$11*F35)</f>
        <v>5.4784345748042765E-2</v>
      </c>
      <c r="D39" t="s">
        <v>108</v>
      </c>
      <c r="F39" t="s">
        <v>59</v>
      </c>
      <c r="G39">
        <f>G38 *9000</f>
        <v>3992234.9224775913</v>
      </c>
      <c r="H39" t="s">
        <v>107</v>
      </c>
      <c r="L39" t="s">
        <v>52</v>
      </c>
      <c r="M39">
        <f>$O$11/($S$11*F35)</f>
        <v>3.6522897165361841E-2</v>
      </c>
      <c r="N39" t="s">
        <v>108</v>
      </c>
      <c r="P39" t="s">
        <v>59</v>
      </c>
      <c r="Q39">
        <f>Q38 *9000</f>
        <v>3122773.2756567518</v>
      </c>
      <c r="R39" t="s">
        <v>107</v>
      </c>
    </row>
    <row r="40" spans="1:18" x14ac:dyDescent="0.25">
      <c r="B40" t="s">
        <v>53</v>
      </c>
      <c r="C40">
        <f>$F$12/($J$12*F35)</f>
        <v>1.5727563372643853E-3</v>
      </c>
      <c r="D40" t="s">
        <v>108</v>
      </c>
      <c r="L40" t="s">
        <v>53</v>
      </c>
      <c r="M40">
        <f>$O$12/($S$12*F35)</f>
        <v>9.4365380235863128E-4</v>
      </c>
      <c r="N40" t="s">
        <v>108</v>
      </c>
    </row>
    <row r="41" spans="1:18" x14ac:dyDescent="0.25">
      <c r="A41" t="s">
        <v>57</v>
      </c>
      <c r="B41">
        <f>SUM(C38:C40)</f>
        <v>5.6359408794601801E-2</v>
      </c>
      <c r="C41" t="s">
        <v>108</v>
      </c>
      <c r="K41" t="s">
        <v>57</v>
      </c>
      <c r="L41">
        <f>SUM(M38:M40)</f>
        <v>3.7466696961979629E-2</v>
      </c>
      <c r="M41" t="s">
        <v>108</v>
      </c>
    </row>
    <row r="59" spans="2:18" x14ac:dyDescent="0.25">
      <c r="B59" t="s">
        <v>118</v>
      </c>
      <c r="F59">
        <f>2*(2.56*2.44)+(2.56*6.09)+(2.44*6.09)</f>
        <v>42.942799999999998</v>
      </c>
      <c r="G59" t="s">
        <v>49</v>
      </c>
    </row>
    <row r="61" spans="2:18" x14ac:dyDescent="0.25">
      <c r="B61" t="s">
        <v>119</v>
      </c>
      <c r="K61" t="s">
        <v>120</v>
      </c>
    </row>
    <row r="62" spans="2:18" x14ac:dyDescent="0.25">
      <c r="B62" t="s">
        <v>51</v>
      </c>
      <c r="C62">
        <f>$F$10/($J$10*F59)</f>
        <v>3.104905440104822E-6</v>
      </c>
      <c r="D62" t="s">
        <v>108</v>
      </c>
      <c r="F62" t="s">
        <v>58</v>
      </c>
      <c r="G62">
        <f>25/B65</f>
        <v>329.54753479857567</v>
      </c>
      <c r="H62" t="s">
        <v>104</v>
      </c>
      <c r="L62" t="s">
        <v>51</v>
      </c>
      <c r="M62">
        <f>$O$10/($S$10*F59)</f>
        <v>1.9651300253827987E-7</v>
      </c>
      <c r="N62" t="s">
        <v>108</v>
      </c>
      <c r="P62" t="s">
        <v>58</v>
      </c>
      <c r="Q62">
        <f>13/L65</f>
        <v>257.77597128199358</v>
      </c>
      <c r="R62" t="s">
        <v>104</v>
      </c>
    </row>
    <row r="63" spans="2:18" x14ac:dyDescent="0.25">
      <c r="B63" t="s">
        <v>52</v>
      </c>
      <c r="C63">
        <f>$F$11/($J$11*F59)</f>
        <v>7.3741504202489511E-2</v>
      </c>
      <c r="D63" t="s">
        <v>108</v>
      </c>
      <c r="F63" t="s">
        <v>59</v>
      </c>
      <c r="G63">
        <f>G62 *9000</f>
        <v>2965927.813187181</v>
      </c>
      <c r="H63" t="s">
        <v>107</v>
      </c>
      <c r="L63" t="s">
        <v>52</v>
      </c>
      <c r="M63">
        <f>$O$11/($S$11*F59)</f>
        <v>4.9161002801659685E-2</v>
      </c>
      <c r="N63" t="s">
        <v>108</v>
      </c>
      <c r="P63" t="s">
        <v>59</v>
      </c>
      <c r="Q63">
        <f>Q62 *9000</f>
        <v>2319983.7415379421</v>
      </c>
      <c r="R63" t="s">
        <v>107</v>
      </c>
    </row>
    <row r="64" spans="2:18" x14ac:dyDescent="0.25">
      <c r="B64" t="s">
        <v>53</v>
      </c>
      <c r="C64">
        <f>$F$12/($J$12*F59)</f>
        <v>2.1169809818896513E-3</v>
      </c>
      <c r="D64" t="s">
        <v>108</v>
      </c>
      <c r="L64" t="s">
        <v>53</v>
      </c>
      <c r="M64">
        <f>$O$12/($S$12*F59)</f>
        <v>1.2701885891337906E-3</v>
      </c>
      <c r="N64" t="s">
        <v>108</v>
      </c>
    </row>
    <row r="65" spans="1:13" x14ac:dyDescent="0.25">
      <c r="A65" t="s">
        <v>57</v>
      </c>
      <c r="B65">
        <f>SUM(C62:C64)</f>
        <v>7.586159008981927E-2</v>
      </c>
      <c r="C65" t="s">
        <v>108</v>
      </c>
      <c r="K65" t="s">
        <v>57</v>
      </c>
      <c r="L65">
        <f>SUM(M62:M64)</f>
        <v>5.0431387903796011E-2</v>
      </c>
      <c r="M65" t="s">
        <v>108</v>
      </c>
    </row>
    <row r="80" spans="1:13" x14ac:dyDescent="0.25">
      <c r="B80" t="s">
        <v>121</v>
      </c>
      <c r="F80">
        <f>2*(2.56*2.44)+(6.09*2.56)</f>
        <v>28.083200000000001</v>
      </c>
      <c r="G80" t="s">
        <v>49</v>
      </c>
    </row>
    <row r="82" spans="1:18" x14ac:dyDescent="0.25">
      <c r="B82" t="s">
        <v>119</v>
      </c>
      <c r="K82" t="s">
        <v>120</v>
      </c>
    </row>
    <row r="83" spans="1:18" x14ac:dyDescent="0.25">
      <c r="B83" t="s">
        <v>51</v>
      </c>
      <c r="C83">
        <f>$F$10/($J$10*F80)</f>
        <v>4.7477970221817073E-6</v>
      </c>
      <c r="D83" t="s">
        <v>108</v>
      </c>
      <c r="F83" t="s">
        <v>58</v>
      </c>
      <c r="G83">
        <f>25/B86</f>
        <v>215.51341154408564</v>
      </c>
      <c r="H83" t="s">
        <v>104</v>
      </c>
      <c r="L83" t="s">
        <v>51</v>
      </c>
      <c r="M83">
        <f>$O$10/($S$10*F80)</f>
        <v>3.0049348241656375E-7</v>
      </c>
      <c r="N83" t="s">
        <v>108</v>
      </c>
      <c r="P83" t="s">
        <v>58</v>
      </c>
      <c r="Q83">
        <f>13/L86</f>
        <v>168.57713415768146</v>
      </c>
      <c r="R83" t="s">
        <v>104</v>
      </c>
    </row>
    <row r="84" spans="1:18" x14ac:dyDescent="0.25">
      <c r="B84" t="s">
        <v>52</v>
      </c>
      <c r="C84">
        <f>$F$11/($J$11*F80)</f>
        <v>0.11276017927681556</v>
      </c>
      <c r="D84" t="s">
        <v>108</v>
      </c>
      <c r="F84" t="s">
        <v>59</v>
      </c>
      <c r="G84">
        <f>G83 *9000</f>
        <v>1939620.7038967707</v>
      </c>
      <c r="H84" t="s">
        <v>107</v>
      </c>
      <c r="L84" t="s">
        <v>52</v>
      </c>
      <c r="M84">
        <f>$O$11/($S$11*F80)</f>
        <v>7.5173452851210368E-2</v>
      </c>
      <c r="N84" t="s">
        <v>108</v>
      </c>
      <c r="P84" t="s">
        <v>59</v>
      </c>
      <c r="Q84">
        <f>Q83 *9000</f>
        <v>1517194.207419133</v>
      </c>
      <c r="R84" t="s">
        <v>107</v>
      </c>
    </row>
    <row r="85" spans="1:18" x14ac:dyDescent="0.25">
      <c r="B85" t="s">
        <v>53</v>
      </c>
      <c r="C85">
        <f>$F$12/($J$12*F80)</f>
        <v>3.2371343333057094E-3</v>
      </c>
      <c r="D85" t="s">
        <v>108</v>
      </c>
      <c r="L85" t="s">
        <v>53</v>
      </c>
      <c r="M85">
        <f>$O$12/($S$12*F80)</f>
        <v>1.9422805999834258E-3</v>
      </c>
      <c r="N85" t="s">
        <v>108</v>
      </c>
    </row>
    <row r="86" spans="1:18" x14ac:dyDescent="0.25">
      <c r="A86" t="s">
        <v>57</v>
      </c>
      <c r="B86">
        <f>SUM(C83:C85)</f>
        <v>0.11600206140714345</v>
      </c>
      <c r="C86" t="s">
        <v>108</v>
      </c>
      <c r="K86" t="s">
        <v>57</v>
      </c>
      <c r="L86">
        <f>SUM(M83:M85)</f>
        <v>7.7116033944676213E-2</v>
      </c>
      <c r="M86" t="s">
        <v>108</v>
      </c>
    </row>
    <row r="96" spans="1:18" x14ac:dyDescent="0.25">
      <c r="B96" t="s">
        <v>122</v>
      </c>
      <c r="F96">
        <f>(2.56*2.44)+(6.09*2.56)</f>
        <v>21.8368</v>
      </c>
      <c r="G96" t="s">
        <v>49</v>
      </c>
    </row>
    <row r="98" spans="1:18" x14ac:dyDescent="0.25">
      <c r="B98" t="s">
        <v>119</v>
      </c>
      <c r="K98" t="s">
        <v>120</v>
      </c>
    </row>
    <row r="99" spans="1:18" x14ac:dyDescent="0.25">
      <c r="B99" t="s">
        <v>51</v>
      </c>
      <c r="C99">
        <f>$F$10/($J$10*F96)</f>
        <v>6.1059007424775299E-6</v>
      </c>
      <c r="D99" t="s">
        <v>108</v>
      </c>
      <c r="F99" t="s">
        <v>58</v>
      </c>
      <c r="G99">
        <f>25/B102</f>
        <v>167.5778851842343</v>
      </c>
      <c r="H99" t="s">
        <v>107</v>
      </c>
      <c r="L99" t="s">
        <v>51</v>
      </c>
      <c r="M99">
        <f>$O$10/($S$10*F96)</f>
        <v>3.8644941408085635E-7</v>
      </c>
      <c r="N99" t="s">
        <v>108</v>
      </c>
      <c r="P99" t="s">
        <v>58</v>
      </c>
      <c r="Q99">
        <f>13/L102</f>
        <v>131.08139966864383</v>
      </c>
      <c r="R99" t="s">
        <v>107</v>
      </c>
    </row>
    <row r="100" spans="1:18" x14ac:dyDescent="0.25">
      <c r="B100" t="s">
        <v>52</v>
      </c>
      <c r="C100">
        <f>$F$11/($J$11*F96)</f>
        <v>0.14501514263384135</v>
      </c>
      <c r="D100" t="s">
        <v>108</v>
      </c>
      <c r="F100" t="s">
        <v>59</v>
      </c>
      <c r="G100">
        <f>G99 *9000</f>
        <v>1508200.9666581086</v>
      </c>
      <c r="H100" t="s">
        <v>104</v>
      </c>
      <c r="L100" t="s">
        <v>52</v>
      </c>
      <c r="M100">
        <f>$O$11/($S$11*F96)</f>
        <v>9.6676761755894236E-2</v>
      </c>
      <c r="N100" t="s">
        <v>108</v>
      </c>
      <c r="P100" t="s">
        <v>59</v>
      </c>
      <c r="Q100">
        <f>Q99 *9000</f>
        <v>1179732.5970177944</v>
      </c>
      <c r="R100" t="s">
        <v>104</v>
      </c>
    </row>
    <row r="101" spans="1:18" x14ac:dyDescent="0.25">
      <c r="B101" t="s">
        <v>53</v>
      </c>
      <c r="C101">
        <f>$F$12/($J$12*F96)</f>
        <v>4.1631141425983158E-3</v>
      </c>
      <c r="D101" t="s">
        <v>108</v>
      </c>
      <c r="L101" t="s">
        <v>53</v>
      </c>
      <c r="M101">
        <f>$O$12/($S$12*F96)</f>
        <v>2.4978684855589896E-3</v>
      </c>
      <c r="N101" t="s">
        <v>108</v>
      </c>
    </row>
    <row r="102" spans="1:18" x14ac:dyDescent="0.25">
      <c r="A102" t="s">
        <v>57</v>
      </c>
      <c r="B102">
        <f>SUM(C99:C101)</f>
        <v>0.14918436267718216</v>
      </c>
      <c r="C102" t="s">
        <v>108</v>
      </c>
      <c r="K102" t="s">
        <v>57</v>
      </c>
      <c r="L102">
        <f>SUM(M99:M101)</f>
        <v>9.9175016690867313E-2</v>
      </c>
      <c r="M102" t="s">
        <v>108</v>
      </c>
    </row>
    <row r="114" spans="1:18" x14ac:dyDescent="0.25">
      <c r="B114" t="s">
        <v>123</v>
      </c>
      <c r="F114">
        <f>2.56*6.09</f>
        <v>15.590400000000001</v>
      </c>
      <c r="G114" t="s">
        <v>49</v>
      </c>
    </row>
    <row r="116" spans="1:18" x14ac:dyDescent="0.25">
      <c r="B116" t="s">
        <v>119</v>
      </c>
      <c r="K116" t="s">
        <v>120</v>
      </c>
    </row>
    <row r="117" spans="1:18" x14ac:dyDescent="0.25">
      <c r="B117" t="s">
        <v>51</v>
      </c>
      <c r="C117">
        <f>$F$10/($J$10*F114)</f>
        <v>8.5522714833059647E-6</v>
      </c>
      <c r="D117" t="s">
        <v>108</v>
      </c>
      <c r="F117" t="s">
        <v>58</v>
      </c>
      <c r="G117">
        <f>25/B120</f>
        <v>119.642358824383</v>
      </c>
      <c r="H117" t="s">
        <v>104</v>
      </c>
      <c r="L117" t="s">
        <v>51</v>
      </c>
      <c r="M117">
        <f>$O$10/($S$10*F114)</f>
        <v>5.4128300527252944E-7</v>
      </c>
      <c r="N117" t="s">
        <v>108</v>
      </c>
      <c r="P117" t="s">
        <v>58</v>
      </c>
      <c r="Q117">
        <f>13/L120</f>
        <v>93.58566517960621</v>
      </c>
      <c r="R117" t="s">
        <v>104</v>
      </c>
    </row>
    <row r="118" spans="1:18" x14ac:dyDescent="0.25">
      <c r="B118" t="s">
        <v>52</v>
      </c>
      <c r="C118">
        <f>$F$11/($J$11*F114)</f>
        <v>0.2031164477285167</v>
      </c>
      <c r="D118" t="s">
        <v>108</v>
      </c>
      <c r="F118" t="s">
        <v>59</v>
      </c>
      <c r="G118">
        <f>G117 *9000</f>
        <v>1076781.229419447</v>
      </c>
      <c r="H118" t="s">
        <v>107</v>
      </c>
      <c r="L118" t="s">
        <v>52</v>
      </c>
      <c r="M118">
        <f>$O$11/($S$11*F114)</f>
        <v>0.13541096515234446</v>
      </c>
      <c r="N118" t="s">
        <v>108</v>
      </c>
      <c r="P118" t="s">
        <v>59</v>
      </c>
      <c r="Q118">
        <f>Q117 *9000</f>
        <v>842270.98661645583</v>
      </c>
      <c r="R118" t="s">
        <v>107</v>
      </c>
    </row>
    <row r="119" spans="1:18" x14ac:dyDescent="0.25">
      <c r="B119" t="s">
        <v>53</v>
      </c>
      <c r="C119">
        <f>$F$12/($J$12*F114)</f>
        <v>5.8310941931631584E-3</v>
      </c>
      <c r="D119" t="s">
        <v>108</v>
      </c>
      <c r="L119" t="s">
        <v>53</v>
      </c>
      <c r="M119">
        <f>$O$12/($S$12*F114)</f>
        <v>3.4986565158978953E-3</v>
      </c>
      <c r="N119" t="s">
        <v>108</v>
      </c>
    </row>
    <row r="120" spans="1:18" x14ac:dyDescent="0.25">
      <c r="A120" t="s">
        <v>57</v>
      </c>
      <c r="B120">
        <f>SUM(C117:C119)</f>
        <v>0.20895609419316316</v>
      </c>
      <c r="C120" t="s">
        <v>108</v>
      </c>
      <c r="K120" t="s">
        <v>57</v>
      </c>
      <c r="L120">
        <f>SUM(M117:M119)</f>
        <v>0.13891016295124764</v>
      </c>
      <c r="M120" t="s">
        <v>108</v>
      </c>
    </row>
    <row r="134" spans="1:18" x14ac:dyDescent="0.25">
      <c r="B134" t="s">
        <v>124</v>
      </c>
      <c r="F134">
        <f>2*(6.09*2.44)+(2.56*6.09)+(2.56*2.44)</f>
        <v>51.555999999999997</v>
      </c>
      <c r="G134" t="s">
        <v>49</v>
      </c>
    </row>
    <row r="136" spans="1:18" x14ac:dyDescent="0.25">
      <c r="B136" t="s">
        <v>119</v>
      </c>
      <c r="K136" t="s">
        <v>120</v>
      </c>
    </row>
    <row r="137" spans="1:18" x14ac:dyDescent="0.25">
      <c r="B137" t="s">
        <v>51</v>
      </c>
      <c r="C137">
        <f>$F$10/($J$10*F134)</f>
        <v>2.5861846018568808E-6</v>
      </c>
      <c r="D137" t="s">
        <v>108</v>
      </c>
      <c r="F137" t="s">
        <v>58</v>
      </c>
      <c r="G137">
        <f>25/B140</f>
        <v>395.64613169321439</v>
      </c>
      <c r="H137" t="s">
        <v>104</v>
      </c>
      <c r="L137" t="s">
        <v>51</v>
      </c>
      <c r="M137">
        <f>$O$10/($S$10*F134)</f>
        <v>1.6368256973777726E-7</v>
      </c>
      <c r="N137" t="s">
        <v>108</v>
      </c>
      <c r="P137" t="s">
        <v>58</v>
      </c>
      <c r="Q137">
        <f>13/L140</f>
        <v>309.47907391726818</v>
      </c>
      <c r="R137" t="s">
        <v>104</v>
      </c>
    </row>
    <row r="138" spans="1:18" x14ac:dyDescent="0.25">
      <c r="B138" t="s">
        <v>52</v>
      </c>
      <c r="C138">
        <f>$F$11/($J$11*F134)</f>
        <v>6.142188429410092E-2</v>
      </c>
      <c r="D138" t="s">
        <v>108</v>
      </c>
      <c r="F138" t="s">
        <v>59</v>
      </c>
      <c r="G138">
        <f>G137 *9000</f>
        <v>3560815.1852389295</v>
      </c>
      <c r="H138" t="s">
        <v>107</v>
      </c>
      <c r="L138" t="s">
        <v>52</v>
      </c>
      <c r="M138">
        <f>$O$11/($S$11*F134)</f>
        <v>4.0947922862733944E-2</v>
      </c>
      <c r="N138" t="s">
        <v>108</v>
      </c>
      <c r="P138" t="s">
        <v>59</v>
      </c>
      <c r="Q138">
        <f>Q137 *9000</f>
        <v>2785311.6652554139</v>
      </c>
      <c r="R138" t="s">
        <v>107</v>
      </c>
    </row>
    <row r="139" spans="1:18" x14ac:dyDescent="0.25">
      <c r="B139" t="s">
        <v>53</v>
      </c>
      <c r="C139">
        <f>$F$12/($J$12*F134)</f>
        <v>1.7633076830842367E-3</v>
      </c>
      <c r="D139" t="s">
        <v>108</v>
      </c>
      <c r="L139" t="s">
        <v>53</v>
      </c>
      <c r="M139">
        <f>$O$12/($S$12*F134)</f>
        <v>1.0579846098505421E-3</v>
      </c>
      <c r="N139" t="s">
        <v>108</v>
      </c>
    </row>
    <row r="140" spans="1:18" x14ac:dyDescent="0.25">
      <c r="A140" t="s">
        <v>57</v>
      </c>
      <c r="B140">
        <f>SUM(C137:C139)</f>
        <v>6.3187778161787014E-2</v>
      </c>
      <c r="C140" t="s">
        <v>108</v>
      </c>
      <c r="K140" t="s">
        <v>57</v>
      </c>
      <c r="L140">
        <f>SUM(M137:M139)</f>
        <v>4.2006071155154222E-2</v>
      </c>
      <c r="M140" t="s">
        <v>108</v>
      </c>
    </row>
    <row r="154" spans="1:18" x14ac:dyDescent="0.25">
      <c r="B154" t="s">
        <v>125</v>
      </c>
      <c r="F154">
        <f>(2.56*2.44)+(2.56*6.09)+(2.44*6.09)</f>
        <v>36.696399999999997</v>
      </c>
      <c r="G154" t="s">
        <v>49</v>
      </c>
    </row>
    <row r="156" spans="1:18" x14ac:dyDescent="0.25">
      <c r="B156" t="s">
        <v>119</v>
      </c>
      <c r="K156" t="s">
        <v>120</v>
      </c>
    </row>
    <row r="157" spans="1:18" x14ac:dyDescent="0.25">
      <c r="B157" t="s">
        <v>51</v>
      </c>
      <c r="C157">
        <f>$F$10/($J$10*F154)</f>
        <v>3.6334172652721619E-6</v>
      </c>
      <c r="D157" t="s">
        <v>108</v>
      </c>
      <c r="F157" t="s">
        <v>58</v>
      </c>
      <c r="G157">
        <f>25/B160</f>
        <v>281.61200843872433</v>
      </c>
      <c r="H157" t="s">
        <v>104</v>
      </c>
      <c r="L157" t="s">
        <v>51</v>
      </c>
      <c r="M157">
        <f>$O$10/($S$10*F154)</f>
        <v>2.2996311805520006E-7</v>
      </c>
      <c r="N157" t="s">
        <v>108</v>
      </c>
      <c r="P157" t="s">
        <v>58</v>
      </c>
      <c r="Q157">
        <f>13/L160</f>
        <v>220.28023679295598</v>
      </c>
      <c r="R157" t="s">
        <v>104</v>
      </c>
    </row>
    <row r="158" spans="1:18" x14ac:dyDescent="0.25">
      <c r="B158" t="s">
        <v>52</v>
      </c>
      <c r="C158">
        <f>$F$11/($J$11*F154)</f>
        <v>8.6293660050213841E-2</v>
      </c>
      <c r="D158" t="s">
        <v>108</v>
      </c>
      <c r="F158" t="s">
        <v>59</v>
      </c>
      <c r="G158">
        <f>G157 *9000</f>
        <v>2534508.0759485192</v>
      </c>
      <c r="H158" t="s">
        <v>107</v>
      </c>
      <c r="L158" t="s">
        <v>52</v>
      </c>
      <c r="M158">
        <f>$O$11/($S$11*F154)</f>
        <v>5.7529106700142559E-2</v>
      </c>
      <c r="N158" t="s">
        <v>108</v>
      </c>
      <c r="P158" t="s">
        <v>59</v>
      </c>
      <c r="Q158">
        <f>Q157 *9000</f>
        <v>1982522.1311366039</v>
      </c>
      <c r="R158" t="s">
        <v>107</v>
      </c>
    </row>
    <row r="159" spans="1:18" x14ac:dyDescent="0.25">
      <c r="B159" t="s">
        <v>53</v>
      </c>
      <c r="C159">
        <f>$F$12/($J$12*F154)</f>
        <v>2.4773299535946554E-3</v>
      </c>
      <c r="D159" t="s">
        <v>108</v>
      </c>
      <c r="L159" t="s">
        <v>53</v>
      </c>
      <c r="M159">
        <f>$O$12/($S$12*F154)</f>
        <v>1.4863979721567934E-3</v>
      </c>
      <c r="N159" t="s">
        <v>108</v>
      </c>
    </row>
    <row r="160" spans="1:18" x14ac:dyDescent="0.25">
      <c r="A160" t="s">
        <v>57</v>
      </c>
      <c r="B160">
        <f>SUM(C157:C159)</f>
        <v>8.877462342107377E-2</v>
      </c>
      <c r="C160" t="s">
        <v>108</v>
      </c>
      <c r="K160" t="s">
        <v>57</v>
      </c>
      <c r="L160">
        <f>SUM(M157:M159)</f>
        <v>5.9015734635417406E-2</v>
      </c>
      <c r="M160" t="s">
        <v>108</v>
      </c>
    </row>
    <row r="175" spans="2:7" x14ac:dyDescent="0.25">
      <c r="B175" t="s">
        <v>126</v>
      </c>
      <c r="F175">
        <f>2*(2.44*6.09)+(2.56*6.09)</f>
        <v>45.309599999999996</v>
      </c>
      <c r="G175" t="s">
        <v>49</v>
      </c>
    </row>
    <row r="177" spans="1:18" x14ac:dyDescent="0.25">
      <c r="B177" t="s">
        <v>119</v>
      </c>
      <c r="K177" t="s">
        <v>120</v>
      </c>
    </row>
    <row r="178" spans="1:18" x14ac:dyDescent="0.25">
      <c r="B178" t="s">
        <v>51</v>
      </c>
      <c r="C178">
        <f>$F$10/($J$10*F175)</f>
        <v>2.9427170695246342E-6</v>
      </c>
      <c r="D178" t="s">
        <v>108</v>
      </c>
      <c r="F178" t="s">
        <v>58</v>
      </c>
      <c r="G178">
        <f>25/B181</f>
        <v>347.71060533336305</v>
      </c>
      <c r="H178" t="s">
        <v>104</v>
      </c>
      <c r="L178" t="s">
        <v>51</v>
      </c>
      <c r="M178">
        <f>$O$10/($S$10*F175)</f>
        <v>1.8624791579269835E-7</v>
      </c>
      <c r="N178" t="s">
        <v>108</v>
      </c>
      <c r="P178" t="s">
        <v>58</v>
      </c>
      <c r="Q178">
        <f>13/L181</f>
        <v>271.98333942823052</v>
      </c>
      <c r="R178" t="s">
        <v>104</v>
      </c>
    </row>
    <row r="179" spans="1:18" x14ac:dyDescent="0.25">
      <c r="B179" t="s">
        <v>52</v>
      </c>
      <c r="C179">
        <f>$F$11/($J$11*F175)</f>
        <v>6.9889530401210057E-2</v>
      </c>
      <c r="D179" t="s">
        <v>108</v>
      </c>
      <c r="F179" t="s">
        <v>59</v>
      </c>
      <c r="G179">
        <f>G178 *9000</f>
        <v>3129395.4480002676</v>
      </c>
      <c r="H179" t="s">
        <v>107</v>
      </c>
      <c r="L179" t="s">
        <v>52</v>
      </c>
      <c r="M179">
        <f>$O$11/($S$11*F175)</f>
        <v>4.6593020267473362E-2</v>
      </c>
      <c r="N179" t="s">
        <v>108</v>
      </c>
      <c r="P179" t="s">
        <v>59</v>
      </c>
      <c r="Q179">
        <f>Q178 *9000</f>
        <v>2447850.0548540745</v>
      </c>
      <c r="R179" t="s">
        <v>107</v>
      </c>
    </row>
    <row r="180" spans="1:18" x14ac:dyDescent="0.25">
      <c r="B180" t="s">
        <v>53</v>
      </c>
      <c r="C180">
        <f>$F$12/($J$12*F175)</f>
        <v>2.006398001948614E-3</v>
      </c>
      <c r="D180" t="s">
        <v>108</v>
      </c>
      <c r="L180" t="s">
        <v>53</v>
      </c>
      <c r="M180">
        <f>$O$12/($S$12*F175)</f>
        <v>1.2038388011691684E-3</v>
      </c>
      <c r="N180" t="s">
        <v>108</v>
      </c>
    </row>
    <row r="181" spans="1:18" x14ac:dyDescent="0.25">
      <c r="A181" t="s">
        <v>57</v>
      </c>
      <c r="B181">
        <f>SUM(C178:C180)</f>
        <v>7.1898871120228192E-2</v>
      </c>
      <c r="C181" t="s">
        <v>108</v>
      </c>
      <c r="K181" t="s">
        <v>57</v>
      </c>
      <c r="L181">
        <f>SUM(M178:M180)</f>
        <v>4.7797045316558325E-2</v>
      </c>
      <c r="M181" t="s">
        <v>108</v>
      </c>
    </row>
    <row r="194" spans="1:18" x14ac:dyDescent="0.25">
      <c r="B194" t="s">
        <v>127</v>
      </c>
      <c r="F194">
        <f>(2.56*6.09)+(6.09*2.44)</f>
        <v>30.45</v>
      </c>
      <c r="G194" t="s">
        <v>49</v>
      </c>
    </row>
    <row r="196" spans="1:18" x14ac:dyDescent="0.25">
      <c r="B196" t="s">
        <v>119</v>
      </c>
      <c r="K196" t="s">
        <v>120</v>
      </c>
    </row>
    <row r="197" spans="1:18" x14ac:dyDescent="0.25">
      <c r="B197" t="s">
        <v>51</v>
      </c>
      <c r="C197">
        <f>$F$10/($J$10*F194)</f>
        <v>4.3787629994526549E-6</v>
      </c>
      <c r="D197" t="s">
        <v>108</v>
      </c>
      <c r="F197" t="s">
        <v>58</v>
      </c>
      <c r="G197">
        <f>25/B200</f>
        <v>233.67648207887305</v>
      </c>
      <c r="H197" t="s">
        <v>104</v>
      </c>
      <c r="L197" t="s">
        <v>51</v>
      </c>
      <c r="M197">
        <f>$O$10/($S$10*F194)</f>
        <v>2.7713689869953511E-7</v>
      </c>
      <c r="N197" t="s">
        <v>108</v>
      </c>
      <c r="P197" t="s">
        <v>58</v>
      </c>
      <c r="Q197">
        <f>13/L200</f>
        <v>182.78450230391837</v>
      </c>
      <c r="R197" t="s">
        <v>104</v>
      </c>
    </row>
    <row r="198" spans="1:18" x14ac:dyDescent="0.25">
      <c r="B198" t="s">
        <v>52</v>
      </c>
      <c r="C198">
        <f>$F$11/($J$11*F194)</f>
        <v>0.10399562123700055</v>
      </c>
      <c r="D198" t="s">
        <v>108</v>
      </c>
      <c r="F198" t="s">
        <v>59</v>
      </c>
      <c r="G198">
        <f>G197 *9000</f>
        <v>2103088.3387098573</v>
      </c>
      <c r="H198" t="s">
        <v>107</v>
      </c>
      <c r="L198" t="s">
        <v>52</v>
      </c>
      <c r="M198">
        <f>$O$11/($S$11*F194)</f>
        <v>6.933041415800037E-2</v>
      </c>
      <c r="N198" t="s">
        <v>108</v>
      </c>
      <c r="P198" t="s">
        <v>59</v>
      </c>
      <c r="Q198">
        <f>Q197 *9000</f>
        <v>1645060.5207352655</v>
      </c>
      <c r="R198" t="s">
        <v>107</v>
      </c>
    </row>
    <row r="199" spans="1:18" x14ac:dyDescent="0.25">
      <c r="B199" t="s">
        <v>53</v>
      </c>
      <c r="C199">
        <f>$F$12/($J$12*F194)</f>
        <v>2.9855202268995371E-3</v>
      </c>
      <c r="D199" t="s">
        <v>108</v>
      </c>
      <c r="L199" t="s">
        <v>53</v>
      </c>
      <c r="M199">
        <f>$O$12/($S$12*F194)</f>
        <v>1.7913121361397225E-3</v>
      </c>
      <c r="N199" t="s">
        <v>108</v>
      </c>
    </row>
    <row r="200" spans="1:18" x14ac:dyDescent="0.25">
      <c r="A200" t="s">
        <v>57</v>
      </c>
      <c r="B200">
        <f>SUM(C197:C199)</f>
        <v>0.10698552022689954</v>
      </c>
      <c r="C200" t="s">
        <v>108</v>
      </c>
      <c r="K200" t="s">
        <v>57</v>
      </c>
      <c r="L200">
        <f>SUM(M197:M199)</f>
        <v>7.1122003431038791E-2</v>
      </c>
      <c r="M200" t="s">
        <v>108</v>
      </c>
    </row>
    <row r="214" spans="1:18" x14ac:dyDescent="0.25">
      <c r="C214" t="s">
        <v>128</v>
      </c>
      <c r="F214">
        <f>2.56*2.44</f>
        <v>6.2464000000000004</v>
      </c>
      <c r="G214" t="s">
        <v>49</v>
      </c>
    </row>
    <row r="216" spans="1:18" x14ac:dyDescent="0.25">
      <c r="B216" t="s">
        <v>119</v>
      </c>
      <c r="K216" t="s">
        <v>120</v>
      </c>
    </row>
    <row r="217" spans="1:18" x14ac:dyDescent="0.25">
      <c r="B217" t="s">
        <v>51</v>
      </c>
      <c r="C217">
        <f>$F$10/($J$10*F214)</f>
        <v>2.1345628415300543E-5</v>
      </c>
      <c r="D217" t="s">
        <v>108</v>
      </c>
      <c r="F217" t="s">
        <v>58</v>
      </c>
      <c r="G217">
        <f>25/B220</f>
        <v>47.935526359851323</v>
      </c>
      <c r="H217" t="s">
        <v>104</v>
      </c>
      <c r="L217" t="s">
        <v>51</v>
      </c>
      <c r="M217">
        <f>$O$10/($S$10*F214)</f>
        <v>1.3509891402088953E-6</v>
      </c>
      <c r="N217" t="s">
        <v>108</v>
      </c>
      <c r="P217" t="s">
        <v>58</v>
      </c>
      <c r="Q217">
        <f>13/L220</f>
        <v>37.495734489037623</v>
      </c>
      <c r="R217" t="s">
        <v>104</v>
      </c>
    </row>
    <row r="218" spans="1:18" x14ac:dyDescent="0.25">
      <c r="B218" t="s">
        <v>52</v>
      </c>
      <c r="C218">
        <f>$F$11/($J$11*F214)</f>
        <v>0.50695867486338797</v>
      </c>
      <c r="D218" t="s">
        <v>108</v>
      </c>
      <c r="F218" t="s">
        <v>59</v>
      </c>
      <c r="G218">
        <f>G217 *9000</f>
        <v>431419.73723866191</v>
      </c>
      <c r="H218" t="s">
        <v>107</v>
      </c>
      <c r="L218" t="s">
        <v>52</v>
      </c>
      <c r="M218">
        <f>$O$11/($S$11*F214)</f>
        <v>0.33797244990892533</v>
      </c>
      <c r="N218" t="s">
        <v>108</v>
      </c>
      <c r="P218" t="s">
        <v>59</v>
      </c>
      <c r="Q218">
        <f>Q217 *9000</f>
        <v>337461.61040133861</v>
      </c>
      <c r="R218" t="s">
        <v>107</v>
      </c>
    </row>
    <row r="219" spans="1:18" x14ac:dyDescent="0.25">
      <c r="B219" t="s">
        <v>53</v>
      </c>
      <c r="C219">
        <f>$F$12/($J$12*F214)</f>
        <v>1.4553837555886736E-2</v>
      </c>
      <c r="D219" t="s">
        <v>108</v>
      </c>
      <c r="L219" t="s">
        <v>53</v>
      </c>
      <c r="M219">
        <f>$O$12/($S$12*F214)</f>
        <v>8.7323025335320405E-3</v>
      </c>
      <c r="N219" t="s">
        <v>108</v>
      </c>
    </row>
    <row r="220" spans="1:18" x14ac:dyDescent="0.25">
      <c r="A220" t="s">
        <v>57</v>
      </c>
      <c r="B220">
        <f>SUM(C217:C219)</f>
        <v>0.52153385804768992</v>
      </c>
      <c r="C220" t="s">
        <v>108</v>
      </c>
      <c r="K220" t="s">
        <v>57</v>
      </c>
      <c r="L220">
        <f>SUM(M217:M219)</f>
        <v>0.34670610343159758</v>
      </c>
      <c r="M220" t="s">
        <v>108</v>
      </c>
    </row>
    <row r="232" spans="1:18" x14ac:dyDescent="0.25">
      <c r="C232" t="s">
        <v>129</v>
      </c>
      <c r="F232">
        <f>6.09 * 2.44</f>
        <v>14.859599999999999</v>
      </c>
      <c r="G232" t="s">
        <v>49</v>
      </c>
    </row>
    <row r="234" spans="1:18" x14ac:dyDescent="0.25">
      <c r="B234" t="s">
        <v>119</v>
      </c>
      <c r="K234" t="s">
        <v>120</v>
      </c>
    </row>
    <row r="235" spans="1:18" x14ac:dyDescent="0.25">
      <c r="B235" t="s">
        <v>51</v>
      </c>
      <c r="C235">
        <f>$F$10/($J$10*F232)</f>
        <v>8.9728749988783912E-6</v>
      </c>
      <c r="D235" t="s">
        <v>108</v>
      </c>
      <c r="F235" t="s">
        <v>58</v>
      </c>
      <c r="G235">
        <f>25/B238</f>
        <v>114.03412325449004</v>
      </c>
      <c r="H235" t="s">
        <v>104</v>
      </c>
      <c r="L235" t="s">
        <v>51</v>
      </c>
      <c r="M235">
        <f>$O$10/($S$10*F232)</f>
        <v>5.6790348094167037E-7</v>
      </c>
      <c r="N235" t="s">
        <v>108</v>
      </c>
      <c r="P235" t="s">
        <v>58</v>
      </c>
      <c r="Q235">
        <f>13/L238</f>
        <v>89.198837124312163</v>
      </c>
      <c r="R235" t="s">
        <v>104</v>
      </c>
    </row>
    <row r="236" spans="1:18" x14ac:dyDescent="0.25">
      <c r="B236" t="s">
        <v>52</v>
      </c>
      <c r="C236">
        <f>$F$11/($J$11*F232)</f>
        <v>0.2131057812233618</v>
      </c>
      <c r="D236" t="s">
        <v>108</v>
      </c>
      <c r="F236" t="s">
        <v>59</v>
      </c>
      <c r="G236">
        <f>G235 *9000</f>
        <v>1026307.1092904104</v>
      </c>
      <c r="H236" t="s">
        <v>107</v>
      </c>
      <c r="L236" t="s">
        <v>52</v>
      </c>
      <c r="M236">
        <f>$O$11/($S$11*F232)</f>
        <v>0.14207052081557453</v>
      </c>
      <c r="N236" t="s">
        <v>108</v>
      </c>
      <c r="P236" t="s">
        <v>59</v>
      </c>
      <c r="Q236">
        <f>Q235 *9000</f>
        <v>802789.5341188095</v>
      </c>
      <c r="R236" t="s">
        <v>107</v>
      </c>
    </row>
    <row r="237" spans="1:18" x14ac:dyDescent="0.25">
      <c r="B237" t="s">
        <v>53</v>
      </c>
      <c r="C237">
        <f>$F$12/($J$12*F232)</f>
        <v>6.1178693174170845E-3</v>
      </c>
      <c r="D237" t="s">
        <v>108</v>
      </c>
      <c r="L237" t="s">
        <v>53</v>
      </c>
      <c r="M237">
        <f>$O$12/($S$12*F232)</f>
        <v>3.6707215904502508E-3</v>
      </c>
      <c r="N237" t="s">
        <v>108</v>
      </c>
    </row>
    <row r="238" spans="1:18" x14ac:dyDescent="0.25">
      <c r="A238" t="s">
        <v>57</v>
      </c>
      <c r="B238">
        <f>SUM(C235:C237)</f>
        <v>0.21923262341577776</v>
      </c>
      <c r="C238" t="s">
        <v>108</v>
      </c>
      <c r="K238" t="s">
        <v>57</v>
      </c>
      <c r="L238">
        <f>SUM(M235:M237)</f>
        <v>0.14574181030950573</v>
      </c>
      <c r="M238" t="s">
        <v>108</v>
      </c>
    </row>
    <row r="250" spans="1:18" x14ac:dyDescent="0.25">
      <c r="C250" t="s">
        <v>130</v>
      </c>
      <c r="F250">
        <f>(6.09*2.44)+(2.56*2.44)</f>
        <v>21.105999999999998</v>
      </c>
      <c r="G250" t="s">
        <v>49</v>
      </c>
    </row>
    <row r="252" spans="1:18" x14ac:dyDescent="0.25">
      <c r="B252" t="s">
        <v>119</v>
      </c>
      <c r="K252" t="s">
        <v>120</v>
      </c>
    </row>
    <row r="253" spans="1:18" x14ac:dyDescent="0.25">
      <c r="B253" t="s">
        <v>51</v>
      </c>
      <c r="C253">
        <f>$F$10/($J$10*F250)</f>
        <v>6.3173189298461741E-6</v>
      </c>
      <c r="D253" t="s">
        <v>108</v>
      </c>
      <c r="F253" t="s">
        <v>58</v>
      </c>
      <c r="G253">
        <f>25/B256</f>
        <v>161.96964961434136</v>
      </c>
      <c r="H253" t="s">
        <v>104</v>
      </c>
      <c r="L253" t="s">
        <v>51</v>
      </c>
      <c r="M253">
        <f>$O$10/($S$10*F250)</f>
        <v>3.9983031201558066E-7</v>
      </c>
      <c r="N253" t="s">
        <v>108</v>
      </c>
      <c r="P253" t="s">
        <v>58</v>
      </c>
      <c r="Q253">
        <f>13/L256</f>
        <v>126.69457161334979</v>
      </c>
      <c r="R253" t="s">
        <v>104</v>
      </c>
    </row>
    <row r="254" spans="1:18" x14ac:dyDescent="0.25">
      <c r="B254" t="s">
        <v>52</v>
      </c>
      <c r="C254">
        <f>$F$11/($J$11*F250)</f>
        <v>0.15003632458384664</v>
      </c>
      <c r="D254" t="s">
        <v>108</v>
      </c>
      <c r="F254" t="s">
        <v>59</v>
      </c>
      <c r="G254">
        <f>G253 *9000</f>
        <v>1457726.8465290724</v>
      </c>
      <c r="H254" t="s">
        <v>107</v>
      </c>
      <c r="L254" t="s">
        <v>52</v>
      </c>
      <c r="M254">
        <f>$O$11/($S$11*F250)</f>
        <v>0.10002421638923109</v>
      </c>
      <c r="N254" t="s">
        <v>108</v>
      </c>
      <c r="P254" t="s">
        <v>59</v>
      </c>
      <c r="Q254">
        <f>Q253 *9000</f>
        <v>1140251.1445201482</v>
      </c>
      <c r="R254" t="s">
        <v>107</v>
      </c>
    </row>
    <row r="255" spans="1:18" x14ac:dyDescent="0.25">
      <c r="B255" t="s">
        <v>53</v>
      </c>
      <c r="C255">
        <f>$F$12/($J$12*F250)</f>
        <v>4.3072629067133E-3</v>
      </c>
      <c r="D255" t="s">
        <v>108</v>
      </c>
      <c r="L255" t="s">
        <v>53</v>
      </c>
      <c r="M255">
        <f>$O$12/($S$12*F250)</f>
        <v>2.5843577440279805E-3</v>
      </c>
      <c r="N255" t="s">
        <v>108</v>
      </c>
    </row>
    <row r="256" spans="1:18" x14ac:dyDescent="0.25">
      <c r="A256" t="s">
        <v>57</v>
      </c>
      <c r="B256">
        <f>SUM(C253:C255)</f>
        <v>0.15434990480948976</v>
      </c>
      <c r="C256" t="s">
        <v>108</v>
      </c>
      <c r="K256" t="s">
        <v>57</v>
      </c>
      <c r="L256">
        <f>SUM(M253:M255)</f>
        <v>0.10260897396357108</v>
      </c>
      <c r="M256" t="s">
        <v>108</v>
      </c>
    </row>
  </sheetData>
  <mergeCells count="26">
    <mergeCell ref="P24:V24"/>
    <mergeCell ref="P25:R25"/>
    <mergeCell ref="E23:K23"/>
    <mergeCell ref="E24:G24"/>
    <mergeCell ref="E14:K14"/>
    <mergeCell ref="E15:G15"/>
    <mergeCell ref="E18:G18"/>
    <mergeCell ref="E20:K20"/>
    <mergeCell ref="E21:G21"/>
    <mergeCell ref="P15:V15"/>
    <mergeCell ref="P16:R16"/>
    <mergeCell ref="P19:R19"/>
    <mergeCell ref="P21:V21"/>
    <mergeCell ref="P22:R22"/>
    <mergeCell ref="L10:N10"/>
    <mergeCell ref="Q10:R10"/>
    <mergeCell ref="L11:N11"/>
    <mergeCell ref="Q11:R11"/>
    <mergeCell ref="L12:N12"/>
    <mergeCell ref="Q12:R12"/>
    <mergeCell ref="C10:E10"/>
    <mergeCell ref="H10:I10"/>
    <mergeCell ref="C11:E11"/>
    <mergeCell ref="H11:I11"/>
    <mergeCell ref="C12:E12"/>
    <mergeCell ref="H12:I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4EE16-04F3-40B2-A526-E3E680FB96AA}">
  <dimension ref="A2:W57"/>
  <sheetViews>
    <sheetView tabSelected="1" topLeftCell="A26" workbookViewId="0">
      <selection activeCell="F36" sqref="F36"/>
    </sheetView>
  </sheetViews>
  <sheetFormatPr defaultRowHeight="15" x14ac:dyDescent="0.25"/>
  <cols>
    <col min="2" max="2" width="12" bestFit="1" customWidth="1"/>
    <col min="12" max="12" width="12" bestFit="1" customWidth="1"/>
  </cols>
  <sheetData>
    <row r="2" spans="1:14" ht="15.75" thickBot="1" x14ac:dyDescent="0.3"/>
    <row r="3" spans="1:14" x14ac:dyDescent="0.25">
      <c r="A3" t="s">
        <v>62</v>
      </c>
      <c r="D3" s="6">
        <v>7</v>
      </c>
      <c r="E3" s="7">
        <v>7</v>
      </c>
      <c r="F3" s="7">
        <v>-5</v>
      </c>
      <c r="G3" s="7">
        <v>-5</v>
      </c>
      <c r="H3" s="8">
        <v>7</v>
      </c>
      <c r="J3" s="6">
        <v>7</v>
      </c>
      <c r="K3" s="7">
        <v>7</v>
      </c>
      <c r="L3" s="7">
        <v>7</v>
      </c>
      <c r="M3" s="7">
        <v>7</v>
      </c>
      <c r="N3" s="8">
        <v>7</v>
      </c>
    </row>
    <row r="4" spans="1:14" x14ac:dyDescent="0.25">
      <c r="A4" t="s">
        <v>63</v>
      </c>
      <c r="D4" s="9">
        <v>-5</v>
      </c>
      <c r="E4" s="5">
        <v>-5</v>
      </c>
      <c r="F4" s="5">
        <v>-5</v>
      </c>
      <c r="G4" s="5">
        <v>-5</v>
      </c>
      <c r="H4" s="10">
        <v>-5</v>
      </c>
      <c r="J4" s="9">
        <v>7</v>
      </c>
      <c r="K4" s="14">
        <v>7</v>
      </c>
      <c r="L4" s="14">
        <v>7</v>
      </c>
      <c r="M4" s="14">
        <v>7</v>
      </c>
      <c r="N4" s="10">
        <v>7</v>
      </c>
    </row>
    <row r="5" spans="1:14" x14ac:dyDescent="0.25">
      <c r="D5" s="9">
        <v>-5</v>
      </c>
      <c r="E5" s="5">
        <v>-5</v>
      </c>
      <c r="F5" s="5">
        <v>-5</v>
      </c>
      <c r="G5" s="5">
        <v>-5</v>
      </c>
      <c r="H5" s="10">
        <v>-5</v>
      </c>
      <c r="J5" s="9">
        <v>7</v>
      </c>
      <c r="K5" s="14">
        <v>7</v>
      </c>
      <c r="L5" s="14">
        <v>7</v>
      </c>
      <c r="M5" s="14">
        <v>7</v>
      </c>
      <c r="N5" s="10">
        <v>7</v>
      </c>
    </row>
    <row r="6" spans="1:14" ht="15.75" thickBot="1" x14ac:dyDescent="0.3">
      <c r="D6" s="11">
        <v>7</v>
      </c>
      <c r="E6" s="12">
        <v>-5</v>
      </c>
      <c r="F6" s="12">
        <v>-5</v>
      </c>
      <c r="G6" s="12">
        <v>-5</v>
      </c>
      <c r="H6" s="13">
        <v>7</v>
      </c>
      <c r="J6" s="11">
        <v>7</v>
      </c>
      <c r="K6" s="12">
        <v>7</v>
      </c>
      <c r="L6" s="12">
        <v>7</v>
      </c>
      <c r="M6" s="12">
        <v>7</v>
      </c>
      <c r="N6" s="13">
        <v>7</v>
      </c>
    </row>
    <row r="8" spans="1:14" x14ac:dyDescent="0.25">
      <c r="D8" t="s">
        <v>60</v>
      </c>
      <c r="J8" t="s">
        <v>61</v>
      </c>
    </row>
    <row r="11" spans="1:14" x14ac:dyDescent="0.25">
      <c r="A11" t="s">
        <v>64</v>
      </c>
    </row>
    <row r="12" spans="1:14" x14ac:dyDescent="0.25">
      <c r="A12" t="s">
        <v>65</v>
      </c>
    </row>
    <row r="13" spans="1:14" x14ac:dyDescent="0.25">
      <c r="A13" t="s">
        <v>66</v>
      </c>
    </row>
    <row r="21" spans="1:23" x14ac:dyDescent="0.25">
      <c r="A21" t="s">
        <v>67</v>
      </c>
    </row>
    <row r="22" spans="1:23" x14ac:dyDescent="0.25">
      <c r="A22" t="s">
        <v>68</v>
      </c>
      <c r="C22">
        <f>5*(6.09*2.44)+4*(2.56*2.44)</f>
        <v>99.283599999999993</v>
      </c>
      <c r="D22" t="s">
        <v>49</v>
      </c>
      <c r="F22" t="s">
        <v>48</v>
      </c>
      <c r="O22" t="s">
        <v>50</v>
      </c>
    </row>
    <row r="23" spans="1:23" x14ac:dyDescent="0.25">
      <c r="F23" s="20" t="s">
        <v>8</v>
      </c>
      <c r="G23" s="20"/>
      <c r="H23" s="20"/>
      <c r="I23" s="1">
        <v>2E-3</v>
      </c>
      <c r="J23" t="s">
        <v>54</v>
      </c>
      <c r="K23" s="20" t="s">
        <v>10</v>
      </c>
      <c r="L23" s="20"/>
      <c r="M23" s="4">
        <v>15</v>
      </c>
      <c r="N23" t="s">
        <v>56</v>
      </c>
      <c r="O23" s="20" t="s">
        <v>8</v>
      </c>
      <c r="P23" s="20"/>
      <c r="Q23" s="20"/>
      <c r="R23" s="1">
        <v>2E-3</v>
      </c>
      <c r="S23" t="s">
        <v>54</v>
      </c>
      <c r="T23" s="20" t="s">
        <v>10</v>
      </c>
      <c r="U23" s="20"/>
      <c r="V23" s="4">
        <v>237</v>
      </c>
      <c r="W23" t="s">
        <v>56</v>
      </c>
    </row>
    <row r="24" spans="1:23" x14ac:dyDescent="0.25">
      <c r="A24" t="s">
        <v>69</v>
      </c>
      <c r="F24" s="20" t="s">
        <v>13</v>
      </c>
      <c r="G24" s="20"/>
      <c r="H24" s="20"/>
      <c r="I24" s="1">
        <v>9.5000000000000001E-2</v>
      </c>
      <c r="J24" t="s">
        <v>55</v>
      </c>
      <c r="K24" s="20" t="s">
        <v>15</v>
      </c>
      <c r="L24" s="20"/>
      <c r="M24" s="4">
        <v>0.03</v>
      </c>
      <c r="N24" t="s">
        <v>56</v>
      </c>
      <c r="O24" s="20" t="s">
        <v>13</v>
      </c>
      <c r="P24" s="20"/>
      <c r="Q24" s="20"/>
      <c r="R24" s="1">
        <v>9.5000000000000001E-2</v>
      </c>
      <c r="S24" t="s">
        <v>54</v>
      </c>
      <c r="T24" s="20" t="s">
        <v>15</v>
      </c>
      <c r="U24" s="20"/>
      <c r="V24" s="4">
        <v>4.4999999999999998E-2</v>
      </c>
      <c r="W24" t="s">
        <v>56</v>
      </c>
    </row>
    <row r="25" spans="1:23" x14ac:dyDescent="0.25">
      <c r="A25" t="s">
        <v>70</v>
      </c>
      <c r="F25" s="20" t="s">
        <v>18</v>
      </c>
      <c r="G25" s="20"/>
      <c r="H25" s="20"/>
      <c r="I25" s="1">
        <v>3.0000000000000001E-3</v>
      </c>
      <c r="J25" t="s">
        <v>54</v>
      </c>
      <c r="K25" s="20" t="s">
        <v>20</v>
      </c>
      <c r="L25" s="20"/>
      <c r="M25" s="4">
        <v>3.3000000000000002E-2</v>
      </c>
      <c r="N25" t="s">
        <v>56</v>
      </c>
      <c r="O25" s="20" t="s">
        <v>18</v>
      </c>
      <c r="P25" s="20"/>
      <c r="Q25" s="20"/>
      <c r="R25" s="1">
        <v>3.0000000000000001E-3</v>
      </c>
      <c r="S25" t="s">
        <v>54</v>
      </c>
      <c r="T25" s="20" t="s">
        <v>20</v>
      </c>
      <c r="U25" s="20"/>
      <c r="V25" s="4">
        <v>5.5E-2</v>
      </c>
      <c r="W25" t="s">
        <v>56</v>
      </c>
    </row>
    <row r="26" spans="1:23" x14ac:dyDescent="0.25">
      <c r="A26" t="s">
        <v>71</v>
      </c>
      <c r="D26">
        <f>4*(2.56*2.44)+4*(6.09*2.44)+(2.44*6.09)</f>
        <v>99.283599999999993</v>
      </c>
      <c r="E26" t="s">
        <v>49</v>
      </c>
    </row>
    <row r="28" spans="1:23" x14ac:dyDescent="0.25">
      <c r="A28" t="s">
        <v>72</v>
      </c>
    </row>
    <row r="29" spans="1:23" x14ac:dyDescent="0.25">
      <c r="A29" t="s">
        <v>73</v>
      </c>
      <c r="D29">
        <f>10*(2.44*6.09)+8*(2.56*2.44)+20*(2.56*6.09)</f>
        <v>510.37519999999995</v>
      </c>
      <c r="E29" t="s">
        <v>49</v>
      </c>
    </row>
    <row r="31" spans="1:23" x14ac:dyDescent="0.25">
      <c r="C31" t="s">
        <v>74</v>
      </c>
      <c r="D31">
        <f>D29+D26</f>
        <v>609.65879999999993</v>
      </c>
      <c r="E31" t="s">
        <v>49</v>
      </c>
    </row>
    <row r="32" spans="1:23" x14ac:dyDescent="0.25">
      <c r="A32" t="s">
        <v>75</v>
      </c>
      <c r="K32" t="s">
        <v>76</v>
      </c>
    </row>
    <row r="33" spans="1:17" x14ac:dyDescent="0.25">
      <c r="A33" s="21" t="s">
        <v>77</v>
      </c>
      <c r="B33" s="21"/>
      <c r="C33" s="21"/>
      <c r="D33" s="21"/>
      <c r="E33" s="21"/>
      <c r="F33" s="21"/>
      <c r="G33" s="21"/>
      <c r="K33" s="21" t="s">
        <v>93</v>
      </c>
      <c r="L33" s="21"/>
      <c r="M33" s="21"/>
      <c r="N33" s="21"/>
      <c r="O33" s="21"/>
      <c r="P33" s="21"/>
      <c r="Q33" s="21"/>
    </row>
    <row r="34" spans="1:17" x14ac:dyDescent="0.25">
      <c r="A34" s="15" t="s">
        <v>82</v>
      </c>
      <c r="B34" s="15">
        <f>0.002/(99.2836*15)</f>
        <v>1.3429542576350306E-6</v>
      </c>
      <c r="C34" s="15" t="s">
        <v>108</v>
      </c>
      <c r="K34" s="15" t="s">
        <v>82</v>
      </c>
      <c r="L34" s="15">
        <f>0.002/(609.6588*237)</f>
        <v>1.3841871166955752E-8</v>
      </c>
      <c r="M34" s="15" t="s">
        <v>108</v>
      </c>
    </row>
    <row r="36" spans="1:17" x14ac:dyDescent="0.25">
      <c r="A36" s="2" t="s">
        <v>78</v>
      </c>
      <c r="B36" s="2"/>
      <c r="C36" s="2"/>
      <c r="D36" s="2"/>
      <c r="E36" s="2"/>
      <c r="F36" s="2"/>
      <c r="G36" s="2"/>
      <c r="H36" s="2"/>
      <c r="K36" s="2" t="s">
        <v>94</v>
      </c>
      <c r="L36" s="2"/>
      <c r="M36" s="2"/>
      <c r="N36" s="2"/>
      <c r="O36" s="2"/>
      <c r="P36" s="2"/>
      <c r="Q36" s="2"/>
    </row>
    <row r="37" spans="1:17" x14ac:dyDescent="0.25">
      <c r="A37" s="15" t="s">
        <v>83</v>
      </c>
      <c r="B37" s="15">
        <f>0.095/(99.2836*0.03)</f>
        <v>3.1895163618831976E-2</v>
      </c>
      <c r="C37" s="15" t="s">
        <v>108</v>
      </c>
      <c r="K37" s="15" t="s">
        <v>83</v>
      </c>
      <c r="L37" s="15">
        <f>0.095/(609.6588*0.045)</f>
        <v>3.4627747702667641E-3</v>
      </c>
      <c r="M37" s="15" t="s">
        <v>108</v>
      </c>
    </row>
    <row r="39" spans="1:17" x14ac:dyDescent="0.25">
      <c r="A39" s="21" t="s">
        <v>79</v>
      </c>
      <c r="B39" s="21"/>
      <c r="C39" s="21"/>
      <c r="D39" s="21"/>
      <c r="E39" s="21"/>
      <c r="F39" s="21"/>
      <c r="G39" s="21"/>
      <c r="K39" s="21" t="s">
        <v>95</v>
      </c>
      <c r="L39" s="21"/>
      <c r="M39" s="21"/>
      <c r="N39" s="21"/>
      <c r="O39" s="21"/>
      <c r="P39" s="21"/>
      <c r="Q39" s="21"/>
    </row>
    <row r="40" spans="1:17" x14ac:dyDescent="0.25">
      <c r="A40" s="15" t="s">
        <v>84</v>
      </c>
      <c r="B40" s="15">
        <f>0.003/(99.2836*0.033)</f>
        <v>9.1565063020570257E-4</v>
      </c>
      <c r="C40" s="15" t="s">
        <v>108</v>
      </c>
      <c r="K40" s="15" t="s">
        <v>96</v>
      </c>
      <c r="L40" s="15">
        <f>0.003/(609.6588*0.055)</f>
        <v>8.9468821815504894E-5</v>
      </c>
      <c r="M40" s="15" t="s">
        <v>108</v>
      </c>
    </row>
    <row r="42" spans="1:17" x14ac:dyDescent="0.25">
      <c r="A42" s="21" t="s">
        <v>35</v>
      </c>
      <c r="B42" s="21"/>
      <c r="C42" s="21"/>
      <c r="D42" s="21"/>
      <c r="E42" s="21"/>
      <c r="F42" s="21"/>
      <c r="G42" s="21"/>
      <c r="K42" s="21" t="s">
        <v>35</v>
      </c>
      <c r="L42" s="21"/>
      <c r="M42" s="21"/>
      <c r="N42" s="21"/>
      <c r="O42" s="21"/>
      <c r="P42" s="21"/>
      <c r="Q42" s="21"/>
    </row>
    <row r="43" spans="1:17" x14ac:dyDescent="0.25">
      <c r="A43" s="15" t="s">
        <v>85</v>
      </c>
      <c r="B43" s="15">
        <f>B34+B37+B40</f>
        <v>3.2812157203295313E-2</v>
      </c>
      <c r="C43" s="15" t="s">
        <v>108</v>
      </c>
      <c r="K43" s="15" t="s">
        <v>97</v>
      </c>
      <c r="L43" s="15">
        <f>L40+L37+L34</f>
        <v>3.5522574339534362E-3</v>
      </c>
      <c r="M43" s="15" t="s">
        <v>108</v>
      </c>
    </row>
    <row r="44" spans="1:17" x14ac:dyDescent="0.25">
      <c r="A44" t="s">
        <v>80</v>
      </c>
      <c r="K44" t="s">
        <v>92</v>
      </c>
      <c r="M44" s="18"/>
    </row>
    <row r="45" spans="1:17" x14ac:dyDescent="0.25">
      <c r="A45" t="s">
        <v>88</v>
      </c>
      <c r="K45" t="s">
        <v>101</v>
      </c>
    </row>
    <row r="46" spans="1:17" x14ac:dyDescent="0.25">
      <c r="A46" s="16" t="s">
        <v>86</v>
      </c>
      <c r="B46">
        <f>25/B43</f>
        <v>761.91272171185562</v>
      </c>
      <c r="C46" t="s">
        <v>104</v>
      </c>
      <c r="K46" s="16" t="s">
        <v>86</v>
      </c>
      <c r="L46">
        <f>13/0.003552257</f>
        <v>3659.6451213974665</v>
      </c>
      <c r="M46" t="s">
        <v>104</v>
      </c>
    </row>
    <row r="48" spans="1:17" x14ac:dyDescent="0.25">
      <c r="A48" t="s">
        <v>89</v>
      </c>
      <c r="K48" t="s">
        <v>99</v>
      </c>
    </row>
    <row r="49" spans="1:13" x14ac:dyDescent="0.25">
      <c r="A49" s="16" t="s">
        <v>87</v>
      </c>
      <c r="B49">
        <f>761.9127217*7200</f>
        <v>5485771.5962399999</v>
      </c>
      <c r="C49" t="s">
        <v>107</v>
      </c>
      <c r="K49" t="s">
        <v>100</v>
      </c>
      <c r="L49">
        <f>3659.645121*7200</f>
        <v>26349444.871199999</v>
      </c>
      <c r="M49" t="s">
        <v>107</v>
      </c>
    </row>
    <row r="50" spans="1:13" x14ac:dyDescent="0.25">
      <c r="A50" t="s">
        <v>81</v>
      </c>
      <c r="K50" t="s">
        <v>98</v>
      </c>
    </row>
    <row r="51" spans="1:13" x14ac:dyDescent="0.25">
      <c r="A51" t="s">
        <v>90</v>
      </c>
      <c r="K51" t="s">
        <v>102</v>
      </c>
    </row>
    <row r="52" spans="1:13" x14ac:dyDescent="0.25">
      <c r="A52" s="16" t="s">
        <v>86</v>
      </c>
      <c r="B52">
        <f>35/B43</f>
        <v>1066.6778103965978</v>
      </c>
      <c r="C52" t="s">
        <v>104</v>
      </c>
      <c r="K52" t="s">
        <v>86</v>
      </c>
      <c r="L52">
        <f>23/0.003552257</f>
        <v>6474.7567532416715</v>
      </c>
      <c r="M52" t="s">
        <v>104</v>
      </c>
    </row>
    <row r="54" spans="1:13" x14ac:dyDescent="0.25">
      <c r="A54" t="s">
        <v>91</v>
      </c>
      <c r="K54" t="s">
        <v>103</v>
      </c>
    </row>
    <row r="55" spans="1:13" x14ac:dyDescent="0.25">
      <c r="A55" s="16" t="s">
        <v>87</v>
      </c>
      <c r="B55">
        <f>1066.67781*3600</f>
        <v>3840040.1159999995</v>
      </c>
      <c r="C55" t="s">
        <v>107</v>
      </c>
      <c r="K55" t="s">
        <v>87</v>
      </c>
      <c r="L55">
        <f>6474.756753 * 3600</f>
        <v>23309124.310799997</v>
      </c>
      <c r="M55" t="s">
        <v>107</v>
      </c>
    </row>
    <row r="56" spans="1:13" x14ac:dyDescent="0.25">
      <c r="A56" t="s">
        <v>105</v>
      </c>
      <c r="C56">
        <f>L52+B52</f>
        <v>7541.4345636382695</v>
      </c>
      <c r="D56" t="s">
        <v>104</v>
      </c>
      <c r="L56" s="17"/>
    </row>
    <row r="57" spans="1:13" x14ac:dyDescent="0.25">
      <c r="A57" t="s">
        <v>106</v>
      </c>
    </row>
  </sheetData>
  <mergeCells count="18">
    <mergeCell ref="A42:G42"/>
    <mergeCell ref="K42:Q42"/>
    <mergeCell ref="A39:G39"/>
    <mergeCell ref="K39:Q39"/>
    <mergeCell ref="F25:H25"/>
    <mergeCell ref="K25:L25"/>
    <mergeCell ref="O25:Q25"/>
    <mergeCell ref="T25:U25"/>
    <mergeCell ref="A33:G33"/>
    <mergeCell ref="K33:Q33"/>
    <mergeCell ref="F23:H23"/>
    <mergeCell ref="K23:L23"/>
    <mergeCell ref="O23:Q23"/>
    <mergeCell ref="T23:U23"/>
    <mergeCell ref="F24:H24"/>
    <mergeCell ref="K24:L24"/>
    <mergeCell ref="O24:Q24"/>
    <mergeCell ref="T24:U2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Planilha1</vt:lpstr>
      <vt:lpstr>Folha1</vt:lpstr>
      <vt:lpstr>Folha2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 leite</dc:creator>
  <dc:description/>
  <cp:lastModifiedBy>rafa leite</cp:lastModifiedBy>
  <cp:revision>1</cp:revision>
  <dcterms:created xsi:type="dcterms:W3CDTF">2022-01-19T18:45:11Z</dcterms:created>
  <dcterms:modified xsi:type="dcterms:W3CDTF">2022-01-22T11:07:01Z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