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https://d.docs.live.net/6da6e6ee203775ab/ÁREA COMERCIAL/COMPIPRO/CLIENTES/Cotizados/EMUSA PERU/BD Cotizaciones/2026/"/>
    </mc:Choice>
  </mc:AlternateContent>
  <xr:revisionPtr revIDLastSave="173" documentId="13_ncr:1_{F55CDECA-6FF7-4714-902F-C2845169BED8}" xr6:coauthVersionLast="47" xr6:coauthVersionMax="47" xr10:uidLastSave="{9D0FD57E-005B-48BE-A197-C5B52E9C95EE}"/>
  <bookViews>
    <workbookView xWindow="-120" yWindow="-120" windowWidth="29040" windowHeight="15720" firstSheet="3" activeTab="3" xr2:uid="{28573135-BB06-4451-8E00-E52951599253}"/>
  </bookViews>
  <sheets>
    <sheet name="ENERO" sheetId="1" r:id="rId1"/>
    <sheet name="FEBRERO" sheetId="2" r:id="rId2"/>
    <sheet name="MARZO" sheetId="3" r:id="rId3"/>
    <sheet name="MAYO"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5" l="1"/>
  <c r="S5" i="5" s="1"/>
  <c r="U5" i="5" s="1"/>
  <c r="X5" i="5"/>
  <c r="AF5" i="5"/>
  <c r="W4" i="5"/>
  <c r="AE5" i="5"/>
  <c r="AE4" i="5"/>
  <c r="S4" i="5"/>
  <c r="T4" i="5" s="1"/>
  <c r="W9" i="5"/>
  <c r="W5" i="5" l="1"/>
  <c r="Y5" i="5" s="1"/>
  <c r="T5" i="5"/>
  <c r="U4" i="5"/>
  <c r="Y4" i="5" s="1"/>
  <c r="AG4" i="5" s="1"/>
  <c r="AH4" i="5" s="1"/>
  <c r="AI4" i="5" s="1"/>
  <c r="J4" i="5" s="1"/>
  <c r="AE9" i="5"/>
  <c r="S9" i="5"/>
  <c r="T9" i="5" s="1"/>
  <c r="J9" i="5"/>
  <c r="J10" i="5" s="1"/>
  <c r="J11" i="5" s="1"/>
  <c r="J12" i="5" s="1"/>
  <c r="AE20" i="5"/>
  <c r="W20" i="5"/>
  <c r="S20" i="5"/>
  <c r="T20" i="5" s="1"/>
  <c r="J18" i="5"/>
  <c r="AE19" i="5"/>
  <c r="W19" i="5"/>
  <c r="S19" i="5"/>
  <c r="T19" i="5" s="1"/>
  <c r="J17" i="5"/>
  <c r="AF16" i="5"/>
  <c r="AE16" i="5"/>
  <c r="V16" i="5"/>
  <c r="Q16" i="5"/>
  <c r="S16" i="5" s="1"/>
  <c r="AF15" i="5"/>
  <c r="AE15" i="5"/>
  <c r="V15" i="5"/>
  <c r="Q15" i="5"/>
  <c r="AF25" i="5"/>
  <c r="AF24" i="5"/>
  <c r="V34" i="5"/>
  <c r="Q25" i="5"/>
  <c r="S25" i="5" s="1"/>
  <c r="Q24" i="5"/>
  <c r="V25" i="5"/>
  <c r="V24" i="5"/>
  <c r="AE25" i="5"/>
  <c r="AE24" i="5"/>
  <c r="W29" i="5"/>
  <c r="AE30" i="5"/>
  <c r="W30" i="5"/>
  <c r="S30" i="5"/>
  <c r="U30" i="5" s="1"/>
  <c r="AE29" i="5"/>
  <c r="S29" i="5"/>
  <c r="T29" i="5" s="1"/>
  <c r="Q6" i="3"/>
  <c r="W6" i="3" s="1"/>
  <c r="Q7" i="3"/>
  <c r="W7" i="3" s="1"/>
  <c r="Q4" i="3"/>
  <c r="W4" i="3" s="1"/>
  <c r="Q5" i="3"/>
  <c r="W5" i="3" s="1"/>
  <c r="V4" i="3"/>
  <c r="AF4" i="3" s="1"/>
  <c r="V5" i="3"/>
  <c r="AF5" i="3" s="1"/>
  <c r="Q8" i="3"/>
  <c r="W8" i="3" s="1"/>
  <c r="AG5" i="5" l="1"/>
  <c r="AH5" i="5" s="1"/>
  <c r="AI5" i="5" s="1"/>
  <c r="J5" i="5" s="1"/>
  <c r="AJ4" i="5"/>
  <c r="AK4" i="5" s="1"/>
  <c r="U9" i="5"/>
  <c r="Y9" i="5" s="1"/>
  <c r="T16" i="5"/>
  <c r="U20" i="5"/>
  <c r="Y20" i="5" s="1"/>
  <c r="AG20" i="5" s="1"/>
  <c r="AH20" i="5" s="1"/>
  <c r="AI20" i="5" s="1"/>
  <c r="U19" i="5"/>
  <c r="Y19" i="5" s="1"/>
  <c r="AG19" i="5" s="1"/>
  <c r="AH19" i="5" s="1"/>
  <c r="AI19" i="5" s="1"/>
  <c r="Y30" i="5"/>
  <c r="AG30" i="5" s="1"/>
  <c r="S15" i="5"/>
  <c r="T15" i="5" s="1"/>
  <c r="U16" i="5"/>
  <c r="S24" i="5"/>
  <c r="U24" i="5" s="1"/>
  <c r="T25" i="5"/>
  <c r="U25" i="5"/>
  <c r="W25" i="5" s="1"/>
  <c r="U29" i="5"/>
  <c r="Y29" i="5" s="1"/>
  <c r="AG29" i="5" s="1"/>
  <c r="AH29" i="5" s="1"/>
  <c r="AI29" i="5" s="1"/>
  <c r="T30" i="5"/>
  <c r="AE8" i="3"/>
  <c r="V8" i="3"/>
  <c r="AF8" i="3" s="1"/>
  <c r="AJ5" i="5" l="1"/>
  <c r="AK5" i="5" s="1"/>
  <c r="AG9" i="5"/>
  <c r="AH9" i="5" s="1"/>
  <c r="AI9" i="5" s="1"/>
  <c r="AJ9" i="5" s="1"/>
  <c r="AK9" i="5" s="1"/>
  <c r="AH30" i="5"/>
  <c r="AI30" i="5" s="1"/>
  <c r="AJ30" i="5" s="1"/>
  <c r="AK30" i="5" s="1"/>
  <c r="AJ19" i="5"/>
  <c r="AK19" i="5" s="1"/>
  <c r="AJ20" i="5"/>
  <c r="AK20" i="5" s="1"/>
  <c r="W16" i="5"/>
  <c r="Y16" i="5" s="1"/>
  <c r="U15" i="5"/>
  <c r="W24" i="5"/>
  <c r="Y24" i="5" s="1"/>
  <c r="AG24" i="5" s="1"/>
  <c r="AH24" i="5" s="1"/>
  <c r="AI24" i="5" s="1"/>
  <c r="Y25" i="5"/>
  <c r="AG25" i="5" s="1"/>
  <c r="AH25" i="5" s="1"/>
  <c r="AI25" i="5" s="1"/>
  <c r="T24" i="5"/>
  <c r="J29" i="5"/>
  <c r="AJ29" i="5"/>
  <c r="AK29" i="5" s="1"/>
  <c r="J30" i="5"/>
  <c r="S8" i="3"/>
  <c r="T8" i="3" s="1"/>
  <c r="AG16" i="5" l="1"/>
  <c r="AH16" i="5" s="1"/>
  <c r="AI16" i="5" s="1"/>
  <c r="W15" i="5"/>
  <c r="Y15" i="5" s="1"/>
  <c r="AJ24" i="5"/>
  <c r="AK24" i="5" s="1"/>
  <c r="G24" i="5"/>
  <c r="J24" i="5" s="1"/>
  <c r="AJ25" i="5"/>
  <c r="AK25" i="5" s="1"/>
  <c r="G25" i="5"/>
  <c r="J25" i="5" s="1"/>
  <c r="U8" i="3"/>
  <c r="Y8" i="3" s="1"/>
  <c r="AG15" i="5" l="1"/>
  <c r="AH15" i="5" s="1"/>
  <c r="AI15" i="5" s="1"/>
  <c r="G16" i="5"/>
  <c r="J16" i="5" s="1"/>
  <c r="AJ16" i="5"/>
  <c r="AK16" i="5" s="1"/>
  <c r="AG8" i="3"/>
  <c r="AH8" i="3" s="1"/>
  <c r="AI8" i="3" s="1"/>
  <c r="G15" i="5" l="1"/>
  <c r="J15" i="5" s="1"/>
  <c r="AJ15" i="5"/>
  <c r="AK15" i="5" s="1"/>
  <c r="AJ8" i="3"/>
  <c r="AK8" i="3" s="1"/>
  <c r="G8" i="3"/>
  <c r="J8" i="3" s="1"/>
  <c r="AE7" i="3"/>
  <c r="V7" i="3"/>
  <c r="AF7" i="3" s="1"/>
  <c r="AE6" i="3"/>
  <c r="V6" i="3"/>
  <c r="AF6" i="3" s="1"/>
  <c r="S7" i="3" l="1"/>
  <c r="T7" i="3" s="1"/>
  <c r="S6" i="3"/>
  <c r="T6" i="3" s="1"/>
  <c r="U7" i="3" l="1"/>
  <c r="Y7" i="3" s="1"/>
  <c r="U6" i="3"/>
  <c r="Y6" i="3" s="1"/>
  <c r="AG6" i="3" s="1"/>
  <c r="AG7" i="3" l="1"/>
  <c r="AH7" i="3" s="1"/>
  <c r="AI7" i="3" s="1"/>
  <c r="AH6" i="3"/>
  <c r="AI6" i="3" s="1"/>
  <c r="G6" i="3" s="1"/>
  <c r="J6" i="3" s="1"/>
  <c r="AJ7" i="3" l="1"/>
  <c r="AK7" i="3" s="1"/>
  <c r="G7" i="3"/>
  <c r="J7" i="3" s="1"/>
  <c r="AJ6" i="3"/>
  <c r="AK6" i="3" s="1"/>
  <c r="AE5" i="3" l="1"/>
  <c r="S5" i="3"/>
  <c r="U5" i="3" s="1"/>
  <c r="AE4" i="3"/>
  <c r="S4" i="3"/>
  <c r="U4" i="3" s="1"/>
  <c r="Y4" i="3" s="1"/>
  <c r="AG4" i="3" l="1"/>
  <c r="T5" i="3"/>
  <c r="AH4" i="3"/>
  <c r="AI4" i="3" s="1"/>
  <c r="J4" i="3" s="1"/>
  <c r="T4" i="3"/>
  <c r="AJ4" i="3" l="1"/>
  <c r="AK4" i="3" s="1"/>
  <c r="Q4" i="2" l="1"/>
  <c r="W4" i="2" s="1"/>
  <c r="AA4" i="2"/>
  <c r="AE4" i="2" s="1"/>
  <c r="V4" i="2"/>
  <c r="AF4" i="2" s="1"/>
  <c r="J4" i="2"/>
  <c r="Q10" i="2"/>
  <c r="S10" i="2" s="1"/>
  <c r="U10" i="2" s="1"/>
  <c r="AA10" i="2"/>
  <c r="AE10" i="2" s="1"/>
  <c r="V10" i="2"/>
  <c r="AF10" i="2" s="1"/>
  <c r="J10" i="2"/>
  <c r="AA24" i="2"/>
  <c r="AE17" i="2"/>
  <c r="AE16" i="2"/>
  <c r="W17" i="2"/>
  <c r="L27" i="2"/>
  <c r="Q16" i="2"/>
  <c r="W16" i="2" s="1"/>
  <c r="V17" i="2"/>
  <c r="AF17" i="2" s="1"/>
  <c r="V16" i="2"/>
  <c r="AF16" i="2" s="1"/>
  <c r="X4" i="1"/>
  <c r="AL4" i="1"/>
  <c r="AE4" i="1"/>
  <c r="V4" i="1"/>
  <c r="AF4" i="1" s="1"/>
  <c r="Q4" i="1"/>
  <c r="W4" i="1" s="1"/>
  <c r="J4" i="1"/>
  <c r="J6" i="1" s="1"/>
  <c r="X16" i="1"/>
  <c r="X14" i="1"/>
  <c r="Q16" i="1"/>
  <c r="W16" i="1" s="1"/>
  <c r="AL16" i="1"/>
  <c r="AE16" i="1"/>
  <c r="V16" i="1"/>
  <c r="J16" i="1"/>
  <c r="AL14" i="1"/>
  <c r="AE14" i="1"/>
  <c r="V14" i="1"/>
  <c r="Q14" i="1"/>
  <c r="S14" i="1" s="1"/>
  <c r="J14" i="1"/>
  <c r="X26" i="1"/>
  <c r="X30" i="1"/>
  <c r="J32" i="1"/>
  <c r="X28" i="1"/>
  <c r="Q30" i="1"/>
  <c r="J30" i="1"/>
  <c r="J7" i="1" l="1"/>
  <c r="J8" i="1"/>
  <c r="W10" i="2"/>
  <c r="Y10" i="2" s="1"/>
  <c r="AG10" i="2" s="1"/>
  <c r="AH10" i="2" s="1"/>
  <c r="AI10" i="2" s="1"/>
  <c r="S4" i="2"/>
  <c r="T4" i="2" s="1"/>
  <c r="T10" i="2"/>
  <c r="S17" i="2"/>
  <c r="T17" i="2" s="1"/>
  <c r="S16" i="2"/>
  <c r="T16" i="2" s="1"/>
  <c r="T14" i="1"/>
  <c r="S4" i="1"/>
  <c r="T4" i="1" s="1"/>
  <c r="S16" i="1"/>
  <c r="T16" i="1" s="1"/>
  <c r="AF16" i="1"/>
  <c r="AF14" i="1"/>
  <c r="U14" i="1"/>
  <c r="W14" i="1"/>
  <c r="AE30" i="1"/>
  <c r="V30" i="1"/>
  <c r="AF30" i="1" s="1"/>
  <c r="W30" i="1"/>
  <c r="Q28" i="1"/>
  <c r="S29" i="1"/>
  <c r="Y14" i="1" l="1"/>
  <c r="AG14" i="1" s="1"/>
  <c r="U4" i="2"/>
  <c r="Y4" i="2" s="1"/>
  <c r="AG4" i="2" s="1"/>
  <c r="AH4" i="2" s="1"/>
  <c r="AI4" i="2" s="1"/>
  <c r="AJ10" i="2"/>
  <c r="AK10" i="2" s="1"/>
  <c r="U17" i="2"/>
  <c r="Y17" i="2" s="1"/>
  <c r="AG17" i="2" s="1"/>
  <c r="AH17" i="2" s="1"/>
  <c r="AI17" i="2" s="1"/>
  <c r="J17" i="2" s="1"/>
  <c r="U16" i="2"/>
  <c r="Y16" i="2" s="1"/>
  <c r="U4" i="1"/>
  <c r="Y4" i="1" s="1"/>
  <c r="U16" i="1"/>
  <c r="Y16" i="1" s="1"/>
  <c r="AH14" i="1"/>
  <c r="AI14" i="1" s="1"/>
  <c r="S30" i="1"/>
  <c r="T30" i="1" s="1"/>
  <c r="AE28" i="1"/>
  <c r="V28" i="1"/>
  <c r="AF28" i="1" s="1"/>
  <c r="S28" i="1"/>
  <c r="U28" i="1" s="1"/>
  <c r="AJ4" i="2" l="1"/>
  <c r="AK4" i="2" s="1"/>
  <c r="AJ17" i="2"/>
  <c r="AK17" i="2" s="1"/>
  <c r="AG16" i="2"/>
  <c r="AH16" i="2" s="1"/>
  <c r="AI16" i="2" s="1"/>
  <c r="J16" i="2" s="1"/>
  <c r="AG4" i="1"/>
  <c r="AH4" i="1" s="1"/>
  <c r="AI4" i="1" s="1"/>
  <c r="AG16" i="1"/>
  <c r="AH16" i="1" s="1"/>
  <c r="AI16" i="1" s="1"/>
  <c r="AJ16" i="1" s="1"/>
  <c r="AK16" i="1" s="1"/>
  <c r="AJ14" i="1"/>
  <c r="AK14" i="1" s="1"/>
  <c r="U30" i="1"/>
  <c r="Y30" i="1" s="1"/>
  <c r="AG30" i="1" s="1"/>
  <c r="W28" i="1"/>
  <c r="Y28" i="1" s="1"/>
  <c r="AG28" i="1" s="1"/>
  <c r="T28" i="1"/>
  <c r="AJ16" i="2" l="1"/>
  <c r="AK16" i="2" s="1"/>
  <c r="AJ4" i="1"/>
  <c r="AK4" i="1" s="1"/>
  <c r="AH30" i="1"/>
  <c r="AI30" i="1" s="1"/>
  <c r="AH28" i="1"/>
  <c r="AI28" i="1" s="1"/>
  <c r="J28" i="1" s="1"/>
  <c r="AJ30" i="1" l="1"/>
  <c r="AK30" i="1" s="1"/>
  <c r="AJ28" i="1"/>
  <c r="AK28" i="1" s="1"/>
  <c r="Q26" i="1" l="1"/>
  <c r="W26" i="1" s="1"/>
  <c r="AL26" i="1"/>
  <c r="AE26" i="1"/>
  <c r="V26" i="1"/>
  <c r="AF26" i="1" s="1"/>
  <c r="J26" i="1"/>
  <c r="X44" i="1"/>
  <c r="Q44" i="1"/>
  <c r="W44" i="1" s="1"/>
  <c r="M46" i="1"/>
  <c r="J46" i="1"/>
  <c r="AL44" i="1"/>
  <c r="AE44" i="1"/>
  <c r="V44" i="1"/>
  <c r="AF44" i="1" s="1"/>
  <c r="J44" i="1"/>
  <c r="Q54" i="1"/>
  <c r="W54" i="1" s="1"/>
  <c r="X54" i="1"/>
  <c r="J56" i="1"/>
  <c r="J47" i="1" l="1"/>
  <c r="J36" i="1"/>
  <c r="J37" i="1" s="1"/>
  <c r="J38" i="1" s="1"/>
  <c r="S26" i="1"/>
  <c r="T26" i="1" s="1"/>
  <c r="J48" i="1"/>
  <c r="J49" i="1" s="1"/>
  <c r="S44" i="1"/>
  <c r="U44" i="1" s="1"/>
  <c r="Y44" i="1" s="1"/>
  <c r="AG44" i="1" s="1"/>
  <c r="AL54" i="1"/>
  <c r="AE54" i="1"/>
  <c r="V54" i="1"/>
  <c r="AF54" i="1" s="1"/>
  <c r="U26" i="1" l="1"/>
  <c r="Y26" i="1" s="1"/>
  <c r="T44" i="1"/>
  <c r="AH44" i="1"/>
  <c r="AI44" i="1" s="1"/>
  <c r="S54" i="1"/>
  <c r="T54" i="1" s="1"/>
  <c r="AG26" i="1" l="1"/>
  <c r="AH26" i="1" s="1"/>
  <c r="AI26" i="1" s="1"/>
  <c r="AJ44" i="1"/>
  <c r="AK44" i="1" s="1"/>
  <c r="U54" i="1"/>
  <c r="Y54" i="1" s="1"/>
  <c r="AG54" i="1" s="1"/>
  <c r="AJ26" i="1" l="1"/>
  <c r="AK26" i="1" s="1"/>
  <c r="AH54" i="1"/>
  <c r="AI54" i="1" s="1"/>
  <c r="J54" i="1" s="1"/>
  <c r="AJ54" i="1" l="1"/>
  <c r="AK54" i="1" s="1"/>
  <c r="Y5" i="3"/>
  <c r="AG5" i="3" s="1"/>
  <c r="AH5" i="3" l="1"/>
  <c r="AI5" i="3" s="1"/>
  <c r="G5" i="3" s="1"/>
  <c r="AJ5" i="3" l="1"/>
  <c r="AK5" i="3" s="1"/>
  <c r="J5" i="3"/>
</calcChain>
</file>

<file path=xl/sharedStrings.xml><?xml version="1.0" encoding="utf-8"?>
<sst xmlns="http://schemas.openxmlformats.org/spreadsheetml/2006/main" count="748" uniqueCount="158">
  <si>
    <t>COTIZACIÓN PROPUESTA_KIT CUMPLEAÑOS_20.01.2026</t>
  </si>
  <si>
    <t>MARGEN GANANCIA, MINIMA - S/.150 - PARA PEDIDOS POCOS COMO 30 -50-100 UNID. DE PRODUCTOS ECONOMICOS (EJM. LAPICEROS, LLAVEROS PLASTICOS)
                                        PROMEDIA - S/.400 A 500 - PARA PEDIDOS MAS DE 150 UNID DE PRODCUCTOS COSTO MEDIO-ALTO (EJM. LAPICEROS METALICOS)</t>
  </si>
  <si>
    <t>Nº</t>
  </si>
  <si>
    <t>Cód. Artíc.</t>
  </si>
  <si>
    <t>Artículo</t>
  </si>
  <si>
    <t>Foto</t>
  </si>
  <si>
    <t>Cant.</t>
  </si>
  <si>
    <t xml:space="preserve">Costo uni. 
NO IGV (S/.) </t>
  </si>
  <si>
    <t>Tiempo Entrega</t>
  </si>
  <si>
    <t>Detalles</t>
  </si>
  <si>
    <t xml:space="preserve">Costo Total. NO IGV (S/.) </t>
  </si>
  <si>
    <t>proveedor</t>
  </si>
  <si>
    <t>Cod. Prod. Prov.</t>
  </si>
  <si>
    <t>Obseraciones</t>
  </si>
  <si>
    <t>costo $</t>
  </si>
  <si>
    <t>COSTO S/.</t>
  </si>
  <si>
    <t>%</t>
  </si>
  <si>
    <t>Resultado</t>
  </si>
  <si>
    <t>Margen</t>
  </si>
  <si>
    <t>Total</t>
  </si>
  <si>
    <t>Cantidad</t>
  </si>
  <si>
    <t>Costo MUESTRA Unidad</t>
  </si>
  <si>
    <t>Movilidad</t>
  </si>
  <si>
    <t>Total Producto</t>
  </si>
  <si>
    <t>Tipo de Impresión</t>
  </si>
  <si>
    <t>Costo impresión</t>
  </si>
  <si>
    <t>Cant Color</t>
  </si>
  <si>
    <t>Cant Lados</t>
  </si>
  <si>
    <t>Cantidad por Millar</t>
  </si>
  <si>
    <t>Costo Impresión</t>
  </si>
  <si>
    <t>Empaq</t>
  </si>
  <si>
    <t>Seguro CRT</t>
  </si>
  <si>
    <t>Costo S/. Sin IGV</t>
  </si>
  <si>
    <t>I.G.V</t>
  </si>
  <si>
    <t>TOTAL</t>
  </si>
  <si>
    <t>COSTO DE BOLSA</t>
  </si>
  <si>
    <t>% utilidad</t>
  </si>
  <si>
    <t>KIT CUMPLEAÑOS  opcion 2</t>
  </si>
  <si>
    <t>20 a 28 Dias utiles
por cada parcial de 50 unidades</t>
  </si>
  <si>
    <r>
      <t>KIT CUMPLEAÑOS  opcion 2</t>
    </r>
    <r>
      <rPr>
        <sz val="16"/>
        <color indexed="8"/>
        <rFont val="Arial"/>
        <family val="2"/>
      </rPr>
      <t xml:space="preserve">
</t>
    </r>
    <r>
      <rPr>
        <b/>
        <sz val="16"/>
        <color rgb="FF000000"/>
        <rFont val="Arial"/>
        <family val="2"/>
      </rPr>
      <t>BOLSA TOCUYO</t>
    </r>
    <r>
      <rPr>
        <sz val="16"/>
        <color indexed="8"/>
        <rFont val="Arial"/>
        <family val="2"/>
      </rPr>
      <t xml:space="preserve">
</t>
    </r>
    <r>
      <rPr>
        <sz val="16"/>
        <color rgb="FF000000"/>
        <rFont val="Arial"/>
        <family val="2"/>
      </rPr>
      <t xml:space="preserve">Material: Tocuyo 100% algodón.
Medidas: 42 x 38 cm
Descripción: Bolsa con asas, sin fuelle.
Color: Natural
</t>
    </r>
    <r>
      <rPr>
        <b/>
        <sz val="16"/>
        <color rgb="FF000000"/>
        <rFont val="Arial"/>
        <family val="2"/>
      </rPr>
      <t xml:space="preserve">MOCHILA CRUZADA
</t>
    </r>
    <r>
      <rPr>
        <sz val="16"/>
        <color rgb="FF000000"/>
        <rFont val="Arial"/>
        <family val="2"/>
      </rPr>
      <t xml:space="preserve">Material: Lona
Medidas: 30 x 20 x 7  cm aprox. 
Modelo: 1 Bolsillo principal, 1 bolsillo delantero (horizontal) con forro, ambos con cierre #8.  Interior principal sin forro. Asa para mano (opcional) y asa cruzada para cuerpo en cinta rigida de color a elegir.
Color a elegir
</t>
    </r>
    <r>
      <rPr>
        <b/>
        <sz val="16"/>
        <color rgb="FFFF0000"/>
        <rFont val="Arial"/>
        <family val="2"/>
      </rPr>
      <t>*Incluye logo a 1 color en cada producto
*Arte y diseño debe ser facilitado por el cliente</t>
    </r>
    <r>
      <rPr>
        <b/>
        <sz val="16"/>
        <color indexed="8"/>
        <rFont val="Arial"/>
        <family val="2"/>
      </rPr>
      <t xml:space="preserve"> 
----------------
 Presentacion del kit: en cajas grupales y  bolsa individual
*incluye armado del kit
*CORTESÏA: 1 tarjeta saludo o con mensaje personalizado de campaña  A5</t>
    </r>
  </si>
  <si>
    <t>pago: 50/50
entrega chorrillos : oficina (pero considerar almacen)
entrega de 50 kits x mes 
Pagop unico en Enero</t>
  </si>
  <si>
    <t xml:space="preserve"> OLAF
/
GUSTAVO
/
RAMACARD o LASER COLRO
/
COMPINA
Serv armado</t>
  </si>
  <si>
    <t>bolsa tocuyo
S/5.90+ igv
/
Mochila cruzada 
S/ 10.50 +igv
/
TARJETA 
S/0.75 INCLYE IGV
/}
Por persona S/60
3 perosnas = S/180
/
bolsita individual
S/1.5</t>
  </si>
  <si>
    <t xml:space="preserve">COTINGENCIA </t>
  </si>
  <si>
    <t>SUB TOTAL</t>
  </si>
  <si>
    <t>IGV</t>
  </si>
  <si>
    <t>COTIZACIÓN PROPUESTA_KIT CUMPLEAÑOS_19.01.202</t>
  </si>
  <si>
    <t>KIT CUMPLEAÑOS  opcion 1</t>
  </si>
  <si>
    <r>
      <t>KIT CUMPLEAÑOS  opcion 1</t>
    </r>
    <r>
      <rPr>
        <sz val="16"/>
        <color indexed="8"/>
        <rFont val="Arial"/>
        <family val="2"/>
      </rPr>
      <t xml:space="preserve">
</t>
    </r>
    <r>
      <rPr>
        <b/>
        <sz val="16"/>
        <color rgb="FF000000"/>
        <rFont val="Arial"/>
        <family val="2"/>
      </rPr>
      <t>BOLSA TOCUYO</t>
    </r>
    <r>
      <rPr>
        <sz val="16"/>
        <color indexed="8"/>
        <rFont val="Arial"/>
        <family val="2"/>
      </rPr>
      <t xml:space="preserve">
</t>
    </r>
    <r>
      <rPr>
        <sz val="16"/>
        <color rgb="FF000000"/>
        <rFont val="Arial"/>
        <family val="2"/>
      </rPr>
      <t xml:space="preserve">Material: Tocuyo 100% algodón.
Medidas: 42 x 38 cm
Descripción: Bolsa con asas, sin fuelle.
Color: Natural
</t>
    </r>
    <r>
      <rPr>
        <b/>
        <sz val="16"/>
        <color rgb="FF000000"/>
        <rFont val="Arial"/>
        <family val="2"/>
      </rPr>
      <t>VELA</t>
    </r>
    <r>
      <rPr>
        <sz val="16"/>
        <color rgb="FF000000"/>
        <rFont val="Arial"/>
        <family val="2"/>
      </rPr>
      <t xml:space="preserve">
Modelo :"Feliz cumpleaños"
Colores: dorado y plateado
Tamaño pequeño.
</t>
    </r>
    <r>
      <rPr>
        <b/>
        <sz val="16"/>
        <color rgb="FF000000"/>
        <rFont val="Arial"/>
        <family val="2"/>
      </rPr>
      <t xml:space="preserve">MOCHILA CRUZADA
</t>
    </r>
    <r>
      <rPr>
        <sz val="16"/>
        <color rgb="FF000000"/>
        <rFont val="Arial"/>
        <family val="2"/>
      </rPr>
      <t xml:space="preserve">Material: Lona
Medidas: 30 x 20 x 7  cm aprox. 
Modelo: 1 Bolsillo principal, 1 bolsillo delantero (horizontal) con forro, ambos con cierre #8.  Interior principal sin forro. Asa para mano (opcional) y asa cruzada para cuerpo en cinta rigida de color a elegir.
Color a elegir
</t>
    </r>
    <r>
      <rPr>
        <b/>
        <sz val="16"/>
        <color rgb="FFFF0000"/>
        <rFont val="Arial"/>
        <family val="2"/>
      </rPr>
      <t>*Incluye logo a 1 color en cada producto
*Arte y diseño debe ser facilitado por el cliente</t>
    </r>
    <r>
      <rPr>
        <b/>
        <sz val="16"/>
        <color indexed="8"/>
        <rFont val="Arial"/>
        <family val="2"/>
      </rPr>
      <t xml:space="preserve"> 
----------------
 Presentacion del kit: en cajas grupales y  bolsa individual
*incluye armado del kit
*CORTESÏA: 1 tarjeta saludo o con mensaje personalizado de campaña </t>
    </r>
  </si>
  <si>
    <t xml:space="preserve"> OLAF
/
GUSTAVO
/
IMPORTACIONES KTK
/
AMACARD o LASER COLRO
/
COMPINA
Serv armado</t>
  </si>
  <si>
    <t>bolsa tocuyo
S/5.90+ igv
/
Mochila cruzada 
S/ 10.50 +igv
/
Velas
S/1.50 INCLUYE IGV
/
TARJETA 
S/0.75 INCLYE IGV
/}
Por persona S/60
3 perosnas = S/180
/
bolsita individual
S/1.5</t>
  </si>
  <si>
    <r>
      <t>KIT CUMPLEAÑOS  opcion 2</t>
    </r>
    <r>
      <rPr>
        <sz val="16"/>
        <color indexed="8"/>
        <rFont val="Arial"/>
        <family val="2"/>
      </rPr>
      <t xml:space="preserve">
</t>
    </r>
    <r>
      <rPr>
        <b/>
        <sz val="16"/>
        <color rgb="FF000000"/>
        <rFont val="Arial"/>
        <family val="2"/>
      </rPr>
      <t>BOLSA TOCUYO</t>
    </r>
    <r>
      <rPr>
        <sz val="16"/>
        <color indexed="8"/>
        <rFont val="Arial"/>
        <family val="2"/>
      </rPr>
      <t xml:space="preserve">
</t>
    </r>
    <r>
      <rPr>
        <sz val="16"/>
        <color rgb="FF000000"/>
        <rFont val="Arial"/>
        <family val="2"/>
      </rPr>
      <t xml:space="preserve">Material: Tocuyo 100% algodón.
Medidas: 42 x 38 cm
Descripción: Bolsa con asas, sin fuelle.
Color: Natural
</t>
    </r>
    <r>
      <rPr>
        <b/>
        <sz val="16"/>
        <color rgb="FF000000"/>
        <rFont val="Arial"/>
        <family val="2"/>
      </rPr>
      <t xml:space="preserve">MOCHILA CRUZADA
</t>
    </r>
    <r>
      <rPr>
        <sz val="16"/>
        <color rgb="FF000000"/>
        <rFont val="Arial"/>
        <family val="2"/>
      </rPr>
      <t xml:space="preserve">Material: Lona
Medidas: 30 x 20 x 7  cm aprox. 
Modelo: 1 Bolsillo principal, 1 bolsillo delantero (horizontal) con forro, ambos con cierre #8.  Interior principal sin forro. Asa para mano (opcional) y asa cruzada para cuerpo en cinta rigida de color a elegir.
Color a elegir
</t>
    </r>
    <r>
      <rPr>
        <b/>
        <sz val="16"/>
        <color rgb="FFFF0000"/>
        <rFont val="Arial"/>
        <family val="2"/>
      </rPr>
      <t>*Incluye logo a 1 color en cada producto
*Arte y diseño debe ser facilitado por el cliente</t>
    </r>
    <r>
      <rPr>
        <b/>
        <sz val="16"/>
        <color indexed="8"/>
        <rFont val="Arial"/>
        <family val="2"/>
      </rPr>
      <t xml:space="preserve"> 
----------------
 Presentacion del kit: en cajas grupales y  bolsa individual
*incluye armado del kit
*CORTESÏA: 1 tarjeta saludo o con mensaje personalizado de campaña </t>
    </r>
  </si>
  <si>
    <r>
      <t>KIT CUMPLEAÑOS  opcion 2</t>
    </r>
    <r>
      <rPr>
        <sz val="16"/>
        <color indexed="8"/>
        <rFont val="Arial"/>
        <family val="2"/>
      </rPr>
      <t xml:space="preserve">
</t>
    </r>
    <r>
      <rPr>
        <b/>
        <sz val="16"/>
        <color rgb="FF000000"/>
        <rFont val="Arial"/>
        <family val="2"/>
      </rPr>
      <t xml:space="preserve">CARTUCHERA ECOLÓGICA
</t>
    </r>
    <r>
      <rPr>
        <sz val="16"/>
        <color rgb="FF000000"/>
        <rFont val="Arial"/>
        <family val="2"/>
      </rPr>
      <t xml:space="preserve">Material : Tocuyo intermedio 
Medidas: 20 cm ancho x 12 cm alto  x 8cm aprox.
Color: Natural cuerpo
Acabado en cosido y con agarradera de cinta rigida
</t>
    </r>
    <r>
      <rPr>
        <b/>
        <sz val="16"/>
        <color rgb="FF000000"/>
        <rFont val="Arial"/>
        <family val="2"/>
      </rPr>
      <t xml:space="preserve">TOMATODO PLASTICO
</t>
    </r>
    <r>
      <rPr>
        <sz val="16"/>
        <color rgb="FF000000"/>
        <rFont val="Arial"/>
        <family val="2"/>
      </rPr>
      <t>Material: Plástico Translucido PP 
Capacidad  600 ML
Modelo: Tomatodo de plástico con Tapa de Plastico y Sujetador.
Libre de BPA, Antigoteo
Presentación: Caja individual.
Color: Rojo, negro, azul, blanco y transparente</t>
    </r>
    <r>
      <rPr>
        <b/>
        <sz val="16"/>
        <color rgb="FF000000"/>
        <rFont val="Arial"/>
        <family val="2"/>
      </rPr>
      <t xml:space="preserve">
CAJA DE PRESENTACIÓN 
</t>
    </r>
    <r>
      <rPr>
        <sz val="16"/>
        <color rgb="FF000000"/>
        <rFont val="Arial"/>
        <family val="2"/>
      </rPr>
      <t xml:space="preserve">Material: Microcorrugado
Modelo: Tipo cajas Maletin.
Medidas: 38 x 33 x 12 cm
Impresión a 1 color por el exterior de la tapa  Serigrafia,
Presentación individual: Caja kit con film
</t>
    </r>
    <r>
      <rPr>
        <sz val="16"/>
        <color rgb="FFFF0000"/>
        <rFont val="Arial"/>
        <family val="2"/>
      </rPr>
      <t xml:space="preserve">*Incluye logo a 1 color en cada producto
*Arte y diseño debe ser facilitado por el cliente 
</t>
    </r>
    <r>
      <rPr>
        <b/>
        <sz val="16"/>
        <color rgb="FF002060"/>
        <rFont val="Arial"/>
        <family val="2"/>
      </rPr>
      <t xml:space="preserve">----------------
 Presentacion del kit: en cajas grupales y  presentacion individual de cada kit
*incluye armado del kit
*CORTESÏA: 1 tarjeta saludo o con mensaje personalizado de campaña y viruta de color crema </t>
    </r>
  </si>
  <si>
    <t xml:space="preserve">EDILVERTO-GUSTAVO-DANTE
/
TIENDA PUBLICITARIA 
/
CYM
/ 
CPMPINA
</t>
  </si>
  <si>
    <r>
      <t xml:space="preserve">
/
edilverto:
Neceser:S/5.50 +IGV
gustavo:S/ 6 .5
/
Tomatodo: 
S/6.95   INCLUIDO IGV
/
/
caja S/3300 INCLUYE IGV
/</t>
    </r>
    <r>
      <rPr>
        <sz val="16"/>
        <color rgb="FF000000"/>
        <rFont val="Arial"/>
        <family val="2"/>
      </rPr>
      <t xml:space="preserve">
TARJETA 
S/0.75 INCLYE IG</t>
    </r>
    <r>
      <rPr>
        <sz val="16"/>
        <color indexed="8"/>
        <rFont val="Arial"/>
        <family val="2"/>
      </rPr>
      <t>V
/}
Por persona S/60
3 perosnas = S/180
/
Viruta : kilo S/20</t>
    </r>
  </si>
  <si>
    <t>Tomatodo
S/150</t>
  </si>
  <si>
    <t>KIT CUMPLEAÑOS  opcion 3</t>
  </si>
  <si>
    <r>
      <t>KIT CUMPLEAÑOS  opcion 3</t>
    </r>
    <r>
      <rPr>
        <sz val="16"/>
        <color indexed="8"/>
        <rFont val="Arial"/>
        <family val="2"/>
      </rPr>
      <t xml:space="preserve">
</t>
    </r>
    <r>
      <rPr>
        <b/>
        <sz val="16"/>
        <color rgb="FF000000"/>
        <rFont val="Arial"/>
        <family val="2"/>
      </rPr>
      <t>BOLSA TOCUYO</t>
    </r>
    <r>
      <rPr>
        <sz val="16"/>
        <color indexed="8"/>
        <rFont val="Arial"/>
        <family val="2"/>
      </rPr>
      <t xml:space="preserve">
</t>
    </r>
    <r>
      <rPr>
        <sz val="16"/>
        <color rgb="FF000000"/>
        <rFont val="Arial"/>
        <family val="2"/>
      </rPr>
      <t xml:space="preserve">Material: Tocuyo 100% algodón.
Medidas: 42 x 38 cm
Descripción: Bolsa con asas, sin fuelle.
Color: Natural
</t>
    </r>
    <r>
      <rPr>
        <b/>
        <sz val="16"/>
        <color rgb="FF000000"/>
        <rFont val="Arial"/>
        <family val="2"/>
      </rPr>
      <t xml:space="preserve">CANGUROS
</t>
    </r>
    <r>
      <rPr>
        <sz val="16"/>
        <color rgb="FF000000"/>
        <rFont val="Arial"/>
        <family val="2"/>
      </rPr>
      <t xml:space="preserve">Material: Kodra
Modelo: Con 2 cierres
Medida: standar
Color:a eleccion
Acabados: 02 compartimiento,  02 cierre de nylon N°5 con 2 jaladores con tope
Presentación: Empaque 25 a 50 unidades
*Incluye 1 logo bordado por 1 lado
</t>
    </r>
    <r>
      <rPr>
        <sz val="16"/>
        <color rgb="FFFF0000"/>
        <rFont val="Arial"/>
        <family val="2"/>
      </rPr>
      <t>*Incluye logo a 1 color en cada producto
*Arte y diseño debe ser facilitado por el cliente</t>
    </r>
    <r>
      <rPr>
        <sz val="16"/>
        <color indexed="8"/>
        <rFont val="Arial"/>
        <family val="2"/>
      </rPr>
      <t xml:space="preserve"> </t>
    </r>
    <r>
      <rPr>
        <b/>
        <u/>
        <sz val="16"/>
        <color indexed="8"/>
        <rFont val="Arial"/>
        <family val="2"/>
      </rPr>
      <t xml:space="preserve">
</t>
    </r>
    <r>
      <rPr>
        <b/>
        <sz val="16"/>
        <color rgb="FF000000"/>
        <rFont val="Arial"/>
        <family val="2"/>
      </rPr>
      <t>------------------------------------</t>
    </r>
    <r>
      <rPr>
        <b/>
        <u/>
        <sz val="16"/>
        <color indexed="8"/>
        <rFont val="Arial"/>
        <family val="2"/>
      </rPr>
      <t xml:space="preserve">
</t>
    </r>
    <r>
      <rPr>
        <b/>
        <sz val="16"/>
        <color rgb="FF000000"/>
        <rFont val="Arial"/>
        <family val="2"/>
      </rPr>
      <t xml:space="preserve"> Presentacion del kit: en cajas grupales y  bolsa individual
*incluye armado del kit
*CORTESÏA: 1 tarjeta saludo o con mensaje personalizado de campaña </t>
    </r>
  </si>
  <si>
    <t>OLAF
/
GUSTAVO
/
COMPINA
Serv armado</t>
  </si>
  <si>
    <t>bolsa tocuyo
S/5.80 + igv
/
CANGURO:
S/9.40
/
TARJETA 
S/0.75 INCLYE IGV
/
Por persona S/60
3 perosnas = S/180
/
Viruta : kilo S/20</t>
  </si>
  <si>
    <t>Yainclye</t>
  </si>
  <si>
    <t>ENTREGA PARCIALES</t>
  </si>
  <si>
    <t>1 Dias utiles
X cada entrega parcial</t>
  </si>
  <si>
    <r>
      <rPr>
        <b/>
        <sz val="18"/>
        <color theme="1"/>
        <rFont val="Calibri"/>
        <family val="2"/>
        <scheme val="minor"/>
      </rPr>
      <t>ENTREGAS PARCIALES-  A CHORRILLOS</t>
    </r>
    <r>
      <rPr>
        <sz val="18"/>
        <color theme="1"/>
        <rFont val="Calibri"/>
        <family val="2"/>
        <scheme val="minor"/>
      </rPr>
      <t xml:space="preserve">
*Movilidad por entrega, en base a 12 entregas parciales de 50 kits x mes
</t>
    </r>
  </si>
  <si>
    <t>COTIZACIÓN PROPUESTA_KIT CUMPLEAÑOS_14.01.202</t>
  </si>
  <si>
    <t xml:space="preserve">KIT CUMPLEAÑOS </t>
  </si>
  <si>
    <r>
      <t xml:space="preserve">KIT CUMPLEAÑOS </t>
    </r>
    <r>
      <rPr>
        <sz val="16"/>
        <color indexed="8"/>
        <rFont val="Arial"/>
        <family val="2"/>
      </rPr>
      <t xml:space="preserve">
</t>
    </r>
    <r>
      <rPr>
        <b/>
        <sz val="16"/>
        <color rgb="FF000000"/>
        <rFont val="Arial"/>
        <family val="2"/>
      </rPr>
      <t>BOLSA TOCUYO</t>
    </r>
    <r>
      <rPr>
        <sz val="16"/>
        <color indexed="8"/>
        <rFont val="Arial"/>
        <family val="2"/>
      </rPr>
      <t xml:space="preserve">
</t>
    </r>
    <r>
      <rPr>
        <sz val="16"/>
        <color rgb="FF000000"/>
        <rFont val="Arial"/>
        <family val="2"/>
      </rPr>
      <t xml:space="preserve">Material: Tocuyo 100% algodón.
Medidas: 42 x 38 cm
Descripción: Bolsa con asas, sin fuelle.
Color: Natural
</t>
    </r>
    <r>
      <rPr>
        <b/>
        <sz val="16"/>
        <color rgb="FF000000"/>
        <rFont val="Arial"/>
        <family val="2"/>
      </rPr>
      <t>VELA</t>
    </r>
    <r>
      <rPr>
        <sz val="16"/>
        <color rgb="FF000000"/>
        <rFont val="Arial"/>
        <family val="2"/>
      </rPr>
      <t xml:space="preserve">
Modelo :"Feliz cumpleaños"
Colores: dorado y plateado
Tamaño pequeño.
</t>
    </r>
    <r>
      <rPr>
        <b/>
        <sz val="16"/>
        <color rgb="FF000000"/>
        <rFont val="Arial"/>
        <family val="2"/>
      </rPr>
      <t xml:space="preserve">MOCHILA CRUZADA
</t>
    </r>
    <r>
      <rPr>
        <sz val="16"/>
        <color rgb="FF000000"/>
        <rFont val="Arial"/>
        <family val="2"/>
      </rPr>
      <t xml:space="preserve">Material: Lona
Medidas: 30 x 20 x 7  cm aprox. 
Modelo: 1 Bolsillo principal, 1 bolsillo delantero (horizontal) con forro, ambos con cierre #8.  Interior principal sin forro. Asa para mano (opcional) y asa cruzada para cuerpo en cinta rigida de color a elegir.
Color a elegir
</t>
    </r>
    <r>
      <rPr>
        <b/>
        <sz val="16"/>
        <color rgb="FFFF0000"/>
        <rFont val="Arial"/>
        <family val="2"/>
      </rPr>
      <t>*Incluye logo a 1 color en cada producto
*Arte y diseño debe ser facilitado por el cliente</t>
    </r>
    <r>
      <rPr>
        <b/>
        <sz val="16"/>
        <color indexed="8"/>
        <rFont val="Arial"/>
        <family val="2"/>
      </rPr>
      <t xml:space="preserve"> 
----------------
 Presentacion del kit: en cajas grupales, no bolsa individual
*incluye armado del kit
*CORTESÏA: 1 tarjeta saludo o con mensaje personalizado de campaña y 1
llavero casco minero a color a selecionar (rojo,verde,amarilllo o azul)</t>
    </r>
  </si>
  <si>
    <t>DANTE - scorpsac 
/
GUSTAVO
/
IMPORTACIONES KTK
/
TIENDA PUBLICITARIA
/
AMACARD o LASER COLRO
/
COMPINA
Serv armado</t>
  </si>
  <si>
    <t>bolsa tocuyo
S/5.90+ igv
/
Mochila cruzada 
S/ 10.50 +igv
/
Velas
S/1.50 INCLUYE IGV
/
llavero
S/1.59
INCLUYE IGV
/
TARJETA 
S/0.75 INCLYE IGV
/}
Por persona S/60
3 perosnas = S/180</t>
  </si>
  <si>
    <t>Hasta 120 o S/90 si es en ofcina</t>
  </si>
  <si>
    <r>
      <t xml:space="preserve">KIT CUMPLEAÑOS </t>
    </r>
    <r>
      <rPr>
        <sz val="16"/>
        <color indexed="8"/>
        <rFont val="Arial"/>
        <family val="2"/>
      </rPr>
      <t xml:space="preserve">
</t>
    </r>
    <r>
      <rPr>
        <b/>
        <sz val="16"/>
        <color rgb="FF000000"/>
        <rFont val="Arial"/>
        <family val="2"/>
      </rPr>
      <t>BOLSA TOCUYO</t>
    </r>
    <r>
      <rPr>
        <sz val="16"/>
        <color indexed="8"/>
        <rFont val="Arial"/>
        <family val="2"/>
      </rPr>
      <t xml:space="preserve">
</t>
    </r>
    <r>
      <rPr>
        <sz val="16"/>
        <color rgb="FF000000"/>
        <rFont val="Arial"/>
        <family val="2"/>
      </rPr>
      <t xml:space="preserve">Material: Tocuyo 100% algodón.
Medidas: 42 x 38 cm
Descripción: Bolsa con asas, sin fuelle.
Color: Natural
</t>
    </r>
    <r>
      <rPr>
        <b/>
        <sz val="16"/>
        <color rgb="FF000000"/>
        <rFont val="Arial"/>
        <family val="2"/>
      </rPr>
      <t xml:space="preserve">2 Chocolates con Leche Hershey's
</t>
    </r>
    <r>
      <rPr>
        <sz val="16"/>
        <color rgb="FF000000"/>
        <rFont val="Arial"/>
        <family val="2"/>
      </rPr>
      <t xml:space="preserve">Sabor:Cookies 'and' Crem
Peso: 20g
</t>
    </r>
    <r>
      <rPr>
        <b/>
        <sz val="16"/>
        <color rgb="FF000000"/>
        <rFont val="Arial"/>
        <family val="2"/>
      </rPr>
      <t>VELA</t>
    </r>
    <r>
      <rPr>
        <sz val="16"/>
        <color rgb="FF000000"/>
        <rFont val="Arial"/>
        <family val="2"/>
      </rPr>
      <t xml:space="preserve">
Modelo :"Feliz cumpleaños"
Colores: dorado y plateado
Tamaño pequeño.
</t>
    </r>
    <r>
      <rPr>
        <b/>
        <sz val="16"/>
        <color rgb="FF000000"/>
        <rFont val="Arial"/>
        <family val="2"/>
      </rPr>
      <t xml:space="preserve">MOCHILA CRUZADA
</t>
    </r>
    <r>
      <rPr>
        <sz val="16"/>
        <color rgb="FF000000"/>
        <rFont val="Arial"/>
        <family val="2"/>
      </rPr>
      <t xml:space="preserve">Material: Lona
Medidas: 30 x 20 x 7  cm aprox. 
Modelo: 1 Bolsillo principal, 1 bolsillo delantero (horizontal) con forro, ambos con cierre #8.  Interior principal sin forro. Asa para mano (opcional) y asa cruzada para cuerpo en cinta rigida de color a elegir.
Color a elegir
</t>
    </r>
    <r>
      <rPr>
        <b/>
        <sz val="16"/>
        <color rgb="FFFF0000"/>
        <rFont val="Arial"/>
        <family val="2"/>
      </rPr>
      <t>*Incluye logo a 1 color en cada producto
*Arte y diseño debe ser facilitado por el cliente</t>
    </r>
    <r>
      <rPr>
        <b/>
        <sz val="16"/>
        <color indexed="8"/>
        <rFont val="Arial"/>
        <family val="2"/>
      </rPr>
      <t xml:space="preserve"> 
----------------
Presentacion del kit: en cajas grupales, no bolsa individual
*incluye armado del kit 
*CORTESÏA: 1 tarjeta saludo o con mensaje personalizado de campaña</t>
    </r>
    <r>
      <rPr>
        <b/>
        <u/>
        <sz val="16"/>
        <color indexed="8"/>
        <rFont val="Arial"/>
        <family val="2"/>
      </rPr>
      <t xml:space="preserve">
</t>
    </r>
  </si>
  <si>
    <t>DANTE - scorpsac 
/
GUSTAVO
/
IMPORTACIONES KTK
/
https://vegastoreperu.com/producto/hersheys-cookies-display-18un-x-20g/
/
AMACARD o LASER COLRO
/
COMPINA
Serv armado</t>
  </si>
  <si>
    <t>bolsa tocuyo
S/5.90+ igv
/
Mochila cruzada 
S/ 10.50 +igv
/
Velas
S/1.50 INCLUYE IGV
/
chocolate
S/32  x Display 18un x 20g
INCLUYE IGV
/
TARJETA 
S/0.75 INCLYE IGV
/}
Por persona S/60
3 perosnas = S/180</t>
  </si>
  <si>
    <t>COTIZACIÓN PROPUESTA_MUG DIA DE LA MUJER_27.02.2026</t>
  </si>
  <si>
    <t>VASO TERMICO</t>
  </si>
  <si>
    <t>imagen referencial</t>
  </si>
  <si>
    <t>5 DE MARZO 
FIN DEL DIA
* SI SE APRUEBA HOY ANTES DE LAS 5 PM</t>
  </si>
  <si>
    <r>
      <rPr>
        <b/>
        <u/>
        <sz val="16"/>
        <color rgb="FF000000"/>
        <rFont val="Arial"/>
        <family val="2"/>
      </rPr>
      <t>VASO TERMICO</t>
    </r>
    <r>
      <rPr>
        <b/>
        <u/>
        <sz val="16"/>
        <color rgb="FFFF0000"/>
        <rFont val="Arial"/>
        <family val="2"/>
      </rPr>
      <t xml:space="preserve">
</t>
    </r>
    <r>
      <rPr>
        <sz val="16"/>
        <color rgb="FF000000"/>
        <rFont val="Arial"/>
        <family val="2"/>
      </rPr>
      <t xml:space="preserve">Modelo: Acero de alta calidad que permite mantener el frío
de sus bebidas y contiene una tapa transparente antiderrames.
Material: Acero inoxidable
Capacidad: 350 ml
Color: Oro rosa
Presentacion: Caja individual blanca
</t>
    </r>
    <r>
      <rPr>
        <b/>
        <sz val="16"/>
        <color rgb="FFFF0000"/>
        <rFont val="Arial"/>
        <family val="2"/>
      </rPr>
      <t>*Incluye 1 logo a 1 color a 1 lado del mug y 1 frase en 1 cara del mug a 1 EN GRABADO  LASER
*Arte y diseño facilitado por el cliente.</t>
    </r>
    <r>
      <rPr>
        <sz val="16"/>
        <color indexed="8"/>
        <rFont val="Arial"/>
        <family val="2"/>
      </rPr>
      <t xml:space="preserve">
</t>
    </r>
  </si>
  <si>
    <t>CASA HUAMANI</t>
  </si>
  <si>
    <t>S/14  incluyen IGVIGV</t>
  </si>
  <si>
    <t xml:space="preserve">GRAVOART </t>
  </si>
  <si>
    <r>
      <rPr>
        <b/>
        <u/>
        <sz val="16"/>
        <color rgb="FF000000"/>
        <rFont val="Arial"/>
        <family val="2"/>
      </rPr>
      <t>VASO TERMICO</t>
    </r>
    <r>
      <rPr>
        <b/>
        <u/>
        <sz val="16"/>
        <color rgb="FFFF0000"/>
        <rFont val="Arial"/>
        <family val="2"/>
      </rPr>
      <t xml:space="preserve">
</t>
    </r>
    <r>
      <rPr>
        <sz val="16"/>
        <color rgb="FF000000"/>
        <rFont val="Arial"/>
        <family val="2"/>
      </rPr>
      <t xml:space="preserve">Modelo: Acero de alta calidad que permite mantener el frío
de sus bebidas y contiene una tapa transparente antiderrames.
Material: Acero inoxidable
Capacidad: 350 ml
Color: Oro rosa
Presentacion: Caja individual blanca
</t>
    </r>
    <r>
      <rPr>
        <b/>
        <sz val="16"/>
        <color rgb="FFFF0000"/>
        <rFont val="Arial"/>
        <family val="2"/>
      </rPr>
      <t>*Incluye 1 logo a 1 color a 1 lado del mug y 1 frase en 1 cara del mug a 1 color
*Arte y diseño facilitado por el cliente.</t>
    </r>
    <r>
      <rPr>
        <sz val="16"/>
        <color indexed="8"/>
        <rFont val="Arial"/>
        <family val="2"/>
      </rPr>
      <t xml:space="preserve">
</t>
    </r>
    <r>
      <rPr>
        <b/>
        <sz val="16"/>
        <color rgb="FF000000"/>
        <rFont val="Arial"/>
        <family val="2"/>
      </rPr>
      <t xml:space="preserve">------------------------------------
+5.50 C/U por grabado de laser por 1 logo  y 1 frase en cada cara </t>
    </r>
  </si>
  <si>
    <t xml:space="preserve">WE CREATE
WILFREDO 
Cel. 932 713 618
precio referencial </t>
  </si>
  <si>
    <r>
      <rPr>
        <b/>
        <u/>
        <sz val="16"/>
        <color rgb="FF000000"/>
        <rFont val="Arial"/>
        <family val="2"/>
      </rPr>
      <t>VASO TERMICO</t>
    </r>
    <r>
      <rPr>
        <b/>
        <u/>
        <sz val="16"/>
        <color rgb="FFFF0000"/>
        <rFont val="Arial"/>
        <family val="2"/>
      </rPr>
      <t xml:space="preserve">
</t>
    </r>
    <r>
      <rPr>
        <sz val="16"/>
        <color rgb="FF000000"/>
        <rFont val="Arial"/>
        <family val="2"/>
      </rPr>
      <t xml:space="preserve">Modelo: Acero de alta calidad que permite mantener el frío
de sus bebidas y contiene una tapa transparente antiderrames.
Material: Acero inoxidable
Capacidad: 350 ml
Color: Blanco
Presentacion: Caja individual blanca
</t>
    </r>
    <r>
      <rPr>
        <b/>
        <sz val="16"/>
        <color rgb="FFFF0000"/>
        <rFont val="Arial"/>
        <family val="2"/>
      </rPr>
      <t>*Incluye1 logo a full color a 1 lado del mug y 1 frase en 1 cara del mug
*Arte y diseño facilitado por el cliente.</t>
    </r>
  </si>
  <si>
    <t>MIGUEL ESCORPSAC</t>
  </si>
  <si>
    <t>S/18.50 incluído IGV</t>
  </si>
  <si>
    <t>YA INCLUYE</t>
  </si>
  <si>
    <r>
      <rPr>
        <b/>
        <u/>
        <sz val="16"/>
        <color rgb="FF000000"/>
        <rFont val="Arial"/>
        <family val="2"/>
      </rPr>
      <t>VASO TERMICO</t>
    </r>
    <r>
      <rPr>
        <b/>
        <u/>
        <sz val="16"/>
        <color rgb="FFFF0000"/>
        <rFont val="Arial"/>
        <family val="2"/>
      </rPr>
      <t xml:space="preserve">
</t>
    </r>
    <r>
      <rPr>
        <sz val="16"/>
        <color rgb="FF000000"/>
        <rFont val="Arial"/>
        <family val="2"/>
      </rPr>
      <t xml:space="preserve">Modelo: Acero de alta calidad que permite mantener el frío
de sus bebidas y contiene una tapa transparente antiderrames.
Material: Acero inoxidable
Capacidad: 350 ml
Colores: Rosado o Oro rosa
Presentacion: Caja individual blanca
</t>
    </r>
    <r>
      <rPr>
        <b/>
        <sz val="16"/>
        <color rgb="FFFF0000"/>
        <rFont val="Arial"/>
        <family val="2"/>
      </rPr>
      <t>*Incluye1 logo a 1 color a 1 lado del mug y 1 frase en 1 cara del mug a 1 color
*Arte y diseño facilitado por el cliente.</t>
    </r>
    <r>
      <rPr>
        <sz val="16"/>
        <color indexed="8"/>
        <rFont val="Arial"/>
        <family val="2"/>
      </rPr>
      <t xml:space="preserve">
</t>
    </r>
    <r>
      <rPr>
        <b/>
        <sz val="16"/>
        <color rgb="FF000000"/>
        <rFont val="Arial"/>
        <family val="2"/>
      </rPr>
      <t xml:space="preserve">------------------------------------
+5.50 C/U por grabado de laser por 1 logo  y 1 frase en cada cara </t>
    </r>
  </si>
  <si>
    <t>S/14 +IGV IGV</t>
  </si>
  <si>
    <t>COGPI-
1414</t>
  </si>
  <si>
    <t>LIBRETA FIBRA DE CAFE</t>
  </si>
  <si>
    <t>*Imagen referencial</t>
  </si>
  <si>
    <t>10 a 12 dias utiles</t>
  </si>
  <si>
    <r>
      <rPr>
        <b/>
        <u/>
        <sz val="16"/>
        <rFont val="Arial"/>
        <family val="2"/>
      </rPr>
      <t>LIBRETA FIBRA DE CAFE</t>
    </r>
    <r>
      <rPr>
        <b/>
        <u/>
        <sz val="16"/>
        <color rgb="FFFF0000"/>
        <rFont val="Arial"/>
        <family val="2"/>
      </rPr>
      <t>- IMPORTACIÓN DIRECTA</t>
    </r>
    <r>
      <rPr>
        <sz val="16"/>
        <rFont val="Arial"/>
        <family val="2"/>
      </rPr>
      <t xml:space="preserve">
Modelo: Block de notas de linea nature
Materual: Fibras de cafe
Medida: 21 cm / 14.7 cm / 1.5 cm | 350 gr
Color: Natural (marron)
Incluye: Interior con 100 hojas de disposición a una raya y distintivo fibra de café en contraportada.
Presentacion: Empaque grupal, no bolsa individual
</t>
    </r>
    <r>
      <rPr>
        <sz val="16"/>
        <color rgb="FFFF0000"/>
        <rFont val="Arial"/>
        <family val="2"/>
      </rPr>
      <t>*Incluye 1 logo a 1 color por 1 lado 
*Arte y diseño facilitado por el cliente</t>
    </r>
  </si>
  <si>
    <t>GLOBAL PROMO ITEMS</t>
  </si>
  <si>
    <t>Referencia 1414
s/39.15 incluye IGV</t>
  </si>
  <si>
    <t>TAMPOGRAFIA AMERICANA
100 a S/.80</t>
  </si>
  <si>
    <t>LIBRETA FIBRA DE PASTO</t>
  </si>
  <si>
    <r>
      <rPr>
        <b/>
        <u/>
        <sz val="16"/>
        <rFont val="Arial"/>
        <family val="2"/>
      </rPr>
      <t>LIBRETA FIBRA DE PASTO</t>
    </r>
    <r>
      <rPr>
        <b/>
        <u/>
        <sz val="16"/>
        <color rgb="FFFF0000"/>
        <rFont val="Arial"/>
        <family val="2"/>
      </rPr>
      <t>- IMPORTACIÓN DIRECTA</t>
    </r>
    <r>
      <rPr>
        <sz val="16"/>
        <rFont val="Arial"/>
        <family val="2"/>
      </rPr>
      <t xml:space="preserve">
Modelo: Block de tapas duras fabricadas a partir de hierbas recicladas.
Materual: Papel de Hierba
Medida: 21 cm / 14 cm / 1.3 cm | 220 gr
Color: Natural 
Incluye: Interior con 80  hojas de disposición a una raya y distintivo Logotipo Grass Paper en contraportada.
Presentacion: Empaque grupal y embolsado individual
</t>
    </r>
    <r>
      <rPr>
        <sz val="16"/>
        <color rgb="FFFF0000"/>
        <rFont val="Arial"/>
        <family val="2"/>
      </rPr>
      <t>*Incluye 1 logo a 1 color por 1 lado 
*Arte y diseño facilitado por el cliente</t>
    </r>
  </si>
  <si>
    <t>Referencia 20943
s/17.17 incluye IGV
muestra S/21.46</t>
  </si>
  <si>
    <t>STICKERS- de COUCHE ADHESIVO</t>
  </si>
  <si>
    <t>5 a 7 días útiles</t>
  </si>
  <si>
    <r>
      <rPr>
        <b/>
        <u/>
        <sz val="16"/>
        <rFont val="Arial"/>
        <family val="2"/>
      </rPr>
      <t>STICKERS- de COUCHE ADHESIVO</t>
    </r>
    <r>
      <rPr>
        <sz val="16"/>
        <rFont val="Arial"/>
        <family val="2"/>
      </rPr>
      <t xml:space="preserve">
Material: Papel couche adhesico de 90 gr
Impresion: Inpresion a full color a un lado 
</t>
    </r>
    <r>
      <rPr>
        <b/>
        <sz val="16"/>
        <rFont val="Arial"/>
        <family val="2"/>
      </rPr>
      <t>Medidas: 7.5 cm de Largo x 3 cm de ancho (Contanto con margen para troquelado)</t>
    </r>
    <r>
      <rPr>
        <sz val="16"/>
        <rFont val="Arial"/>
        <family val="2"/>
      </rPr>
      <t xml:space="preserve">
Acabado:Brilloso y troquelado  segun su forma y base color transparente y corte individual
</t>
    </r>
    <r>
      <rPr>
        <sz val="16"/>
        <color rgb="FFFF0000"/>
        <rFont val="Arial"/>
        <family val="2"/>
      </rPr>
      <t>*Diseño debe ser facilitado por el cliente</t>
    </r>
    <r>
      <rPr>
        <b/>
        <sz val="16"/>
        <color indexed="10"/>
        <rFont val="Arial"/>
        <family val="2"/>
      </rPr>
      <t>.</t>
    </r>
  </si>
  <si>
    <t xml:space="preserve">
Innova graf
/
RED FLOWER
</t>
  </si>
  <si>
    <t>Por 500 unidades: S/180
por 1000 unidades: S/250
+IGV
/
Por 500 unidades: S/55
por 1000 unidades: S/100
+IGV</t>
  </si>
  <si>
    <t>STICKERS- de VINIL ADHESIVO</t>
  </si>
  <si>
    <r>
      <rPr>
        <b/>
        <u/>
        <sz val="16"/>
        <rFont val="Arial"/>
        <family val="2"/>
      </rPr>
      <t>STICKERS- de VINIL ADHESIVO</t>
    </r>
    <r>
      <rPr>
        <sz val="16"/>
        <rFont val="Arial"/>
        <family val="2"/>
      </rPr>
      <t xml:space="preserve">
Material: Vinil adhesivo laminado
Impresion: Inpresion a full color a un lado 
</t>
    </r>
    <r>
      <rPr>
        <b/>
        <sz val="16"/>
        <rFont val="Arial"/>
        <family val="2"/>
      </rPr>
      <t xml:space="preserve">Medidas: 7.5 cm de Largo x 3 cm de ancho (Contanto con margen para troquelado)
</t>
    </r>
    <r>
      <rPr>
        <sz val="16"/>
        <rFont val="Arial"/>
        <family val="2"/>
      </rPr>
      <t>Acabado:Brilloso y troquelado  segun su forma y base color transparente y corte individual</t>
    </r>
    <r>
      <rPr>
        <b/>
        <sz val="16"/>
        <color indexed="10"/>
        <rFont val="Arial"/>
        <family val="2"/>
      </rPr>
      <t xml:space="preserve"> 
</t>
    </r>
    <r>
      <rPr>
        <sz val="16"/>
        <color rgb="FFFF0000"/>
        <rFont val="Arial"/>
        <family val="2"/>
      </rPr>
      <t>*Diseño debe ser facilitado por el cliente.</t>
    </r>
  </si>
  <si>
    <t>RedFlower</t>
  </si>
  <si>
    <t>Por 500 unidades: S/65
por 1000 unidades: S/110
+IGV</t>
  </si>
  <si>
    <t>STICKERS- de VINIL ADHESIVO TROQUELADO</t>
  </si>
  <si>
    <t>*Imagen Referencial</t>
  </si>
  <si>
    <t>Lunes a las 5pm</t>
  </si>
  <si>
    <r>
      <rPr>
        <b/>
        <u/>
        <sz val="16"/>
        <color rgb="FF000000"/>
        <rFont val="Arial"/>
        <family val="2"/>
      </rPr>
      <t xml:space="preserve">STICKERS- de VINIL ADHESIVO TROQUELADO
</t>
    </r>
    <r>
      <rPr>
        <sz val="16"/>
        <color rgb="FF000000"/>
        <rFont val="Arial"/>
        <family val="2"/>
      </rPr>
      <t xml:space="preserve">Material: Vinil arclad adhesivo laminado - ALTA CALIDAD
Impresion: Impresion a full color a un lado 
</t>
    </r>
    <r>
      <rPr>
        <b/>
        <sz val="16"/>
        <color rgb="FF000000"/>
        <rFont val="Arial"/>
        <family val="2"/>
      </rPr>
      <t xml:space="preserve">Medidas: 7.5 cm de Largo x 3 cm de ancho (Contanto con margen para troquelado)
</t>
    </r>
    <r>
      <rPr>
        <sz val="16"/>
        <color rgb="FF000000"/>
        <rFont val="Arial"/>
        <family val="2"/>
      </rPr>
      <t xml:space="preserve">Acabado:Brilloso y troquelado  segun su forma y base color transparente y corte individual
</t>
    </r>
    <r>
      <rPr>
        <sz val="16"/>
        <color rgb="FFFF0000"/>
        <rFont val="Arial"/>
        <family val="2"/>
      </rPr>
      <t>*Diseño debe ser facilitado por el cliente.</t>
    </r>
  </si>
  <si>
    <t xml:space="preserve">
mario</t>
  </si>
  <si>
    <t xml:space="preserve">S/63 +IGV
</t>
  </si>
  <si>
    <t>Tiempo 
Entrega</t>
  </si>
  <si>
    <t xml:space="preserve">Costo Total. 
NO IGV (S/.) </t>
  </si>
  <si>
    <t xml:space="preserve">50/50, chorrillos </t>
  </si>
  <si>
    <t xml:space="preserve"> COEF- JC320 </t>
  </si>
  <si>
    <t>SET HERRAMIENTA EN FORMA DE LLANTA</t>
  </si>
  <si>
    <t>Imagen Referencial</t>
  </si>
  <si>
    <t>7 a 9 dias 
utiles</t>
  </si>
  <si>
    <r>
      <rPr>
        <b/>
        <u/>
        <sz val="15"/>
        <color rgb="FF000000"/>
        <rFont val="Arial"/>
        <family val="2"/>
      </rPr>
      <t xml:space="preserve">SET HERRAMIENTA EN FORMA DE LLANTA
</t>
    </r>
    <r>
      <rPr>
        <sz val="15"/>
        <color rgb="FF000000"/>
        <rFont val="Arial"/>
        <family val="2"/>
      </rPr>
      <t xml:space="preserve">Material: Plástico PP
Medida: Ancho: 16.3 cm. / Alto: 5.9 cm. / Largo: 16.3 cm.
Descripción:
Vasos hexagonales para destornillador (5 piezas)
Puntas adaptadoras para destornillador (10 piezas)
Un alicate de punta fina.
Un mango de destornillador.
Llave allen para destornillador (3 tamaños)
Dos destornilladores con punta de estrella y punta plana.
Una wincha.
Presentación: Bolsa plástica y caja blanca.
</t>
    </r>
    <r>
      <rPr>
        <sz val="15"/>
        <color rgb="FFFF0000"/>
        <rFont val="Arial"/>
        <family val="2"/>
      </rPr>
      <t>*Incluye 1 logo a 1 color por 1 lado en Set Herramientas
*Arte y diseño facilitado por el cliente</t>
    </r>
  </si>
  <si>
    <t>EYF 
/
PROMOS MERCH
/
TIENDA PUBLICITARIA</t>
  </si>
  <si>
    <t xml:space="preserve"> JC320
/
HE-04</t>
  </si>
  <si>
    <t>EYF
100 und a S/.2700 +IGV
/
PROMOS MERCH
100 und a S/.25.50 +IGV
/
TIENDA PUBLICITARIA
100 und a S/.29.50 Incluido IGV</t>
  </si>
  <si>
    <t>WE CREATE
Cel.963 258 869
325 und a S/.295.50 +IGV
1 logo 1 color
/
GRAMPHOS 
Cel. 994 228 471
325 und a S/.200 +IGV
1 logo 1 color</t>
  </si>
  <si>
    <t>KITS  DIA DEL PADRE-  PISCO Y SACACORCHO</t>
  </si>
  <si>
    <t>La tarjeta se le pUEDE DAR COMO cortesia SI SE BUSCA BAJAR PRECIO o dar un plus ya para cerrar venta
Si se quita moño permite ajustar precio</t>
  </si>
  <si>
    <t>PROMOS MERCH
/
LAS RIBERAS PISCO Y VINOS
Giovani
Cel.980996026
/
INNOVAGRAF
Cel.966760501
/
C&amp;M CAJAS
Cesar
Cel.998523957
/
COMPINA</t>
  </si>
  <si>
    <t>ACP-01</t>
  </si>
  <si>
    <t xml:space="preserve">PROMOS MERCH
Set de vinos
100 und a S/.27.50 +IGV
/
LAS RIBERAS PISCO Y VINOS
Pisco 
325 und a S/.24.00 incluido IGV
Incluye logo de 1 hasta 2 colores
Entrega caja grupal
Costo adicional bolsita tocuyo con logo full color
S/.29.00
Tiempo 5 a 7 dias
/
INNOVAGRAF
Precio ref.
Tarjeta 
Couche
10 x 10 cm
325 und S/.100 +IGV
Impresion tira y retira
</t>
  </si>
  <si>
    <t>C&amp;M CAJAS
Caja
325und a S/.1270 +IGV
A-22 (45X33X15) 
 impreso en tapa a un color
Tiempo 4 dias
 Costo adicional
Impresión en la pestaña de adelante seria + S/. 80.00
/
COMPINA
Viruta 1kilo
Color natural
S/. 25 +IGV 
3 a 5 kilos para las 325 cajas
Precio ref.
Moño S/.1.00 +IGV C/U 
- Ref proy Smart Fit x dia dle Padre , moño x S/35 x ciento, base 1mil 
SERIVICIO DE ARMADO
S/.1.20 +IGV C/U
(Ref 2 personas x 2 dias= S60*2*2 = S/240)</t>
  </si>
  <si>
    <t>WE CREATE
Cel.963 258 869
Precio ref.
325 und a S/.295.50 +IGV
1 logo 1 color
/
GRAMPHOS 
Cel. 994 228 471
325 und a S/.160 +IGV
1 logo 1 color</t>
  </si>
  <si>
    <t>COTIZACIÓN PROPUESTA_EMUSA_PELOTA ANTI ESTRES_05.05.2026</t>
  </si>
  <si>
    <t>50/50, DETALLAR DISTRITO</t>
  </si>
  <si>
    <t>COEF-SFPU-7B
LCPU-7B</t>
  </si>
  <si>
    <t>PELOTA 
ANTIESTRÉS</t>
  </si>
  <si>
    <t>5 a 7dias 
utiles</t>
  </si>
  <si>
    <r>
      <rPr>
        <b/>
        <u/>
        <sz val="16"/>
        <rFont val="Arial"/>
        <family val="2"/>
      </rPr>
      <t xml:space="preserve">PELOTA ANTIESTRES </t>
    </r>
    <r>
      <rPr>
        <sz val="16"/>
        <rFont val="Arial"/>
        <family val="2"/>
      </rPr>
      <t xml:space="preserve">
Material: Espuma de Goma 
Medidas: Diámetro: 6.3 cm. 
Color: Blanco
Presentacion: Grupal 
</t>
    </r>
    <r>
      <rPr>
        <sz val="16"/>
        <color rgb="FFFF0000"/>
        <rFont val="Arial"/>
        <family val="2"/>
      </rPr>
      <t xml:space="preserve">*Incluye 1 logo a full color ambos lados
*Arte y diseño facilitado por el cliente
</t>
    </r>
    <r>
      <rPr>
        <b/>
        <sz val="16"/>
        <color theme="1"/>
        <rFont val="Arial"/>
        <family val="2"/>
      </rPr>
      <t>*No incluye desarrollo de MUESTAR FISICA</t>
    </r>
  </si>
  <si>
    <t>EYF 
/
CHIPER</t>
  </si>
  <si>
    <t xml:space="preserve">
EYF
100A S/200 + IGV
/ 
CHIPER 
100 A S/190
INCLUIDO IGV </t>
  </si>
  <si>
    <t xml:space="preserve">IMPRESIÓN UV
Cel. 936 512 939
250 a s/170
100 a s/80
1 logo full color 
por ambos lados
</t>
  </si>
  <si>
    <t>SUBTOTAL</t>
  </si>
  <si>
    <t>50/50, CHORRILLOS</t>
  </si>
  <si>
    <t>COIF-FB-4009-AM</t>
  </si>
  <si>
    <t>7 a 9
días útiles</t>
  </si>
  <si>
    <r>
      <rPr>
        <b/>
        <u/>
        <sz val="16"/>
        <rFont val="Arial"/>
        <family val="2"/>
      </rPr>
      <t xml:space="preserve">PELOTA ANTIESTRES </t>
    </r>
    <r>
      <rPr>
        <sz val="16"/>
        <rFont val="Arial"/>
        <family val="2"/>
      </rPr>
      <t xml:space="preserve">
Material: Espuma de Goma 
Medidas: 6.3 cm. 
Color: Blanco
Presentacion: Empaque grupal
</t>
    </r>
    <r>
      <rPr>
        <sz val="16"/>
        <color rgb="FFFF0000"/>
        <rFont val="Arial"/>
        <family val="2"/>
      </rPr>
      <t xml:space="preserve">*Incluye 1 logo a full color ambos lados
*Arte y diseño facilitado por el cliente
</t>
    </r>
    <r>
      <rPr>
        <b/>
        <sz val="16"/>
        <color theme="1"/>
        <rFont val="Arial"/>
        <family val="2"/>
      </rPr>
      <t>*No incluye desarrollo de MUESTAR FISICA</t>
    </r>
  </si>
  <si>
    <r>
      <t xml:space="preserve">IMPORTACIONES FACUNDO
/
</t>
    </r>
    <r>
      <rPr>
        <b/>
        <sz val="16"/>
        <rFont val="Arial"/>
        <family val="2"/>
      </rPr>
      <t>EYF</t>
    </r>
  </si>
  <si>
    <t>FB-4009-AM
/
SFPU-7B</t>
  </si>
  <si>
    <t>1000 a 500 a S/. 1800
+ IGV
/
EYF
1000 a 500 a S/. 1800
+ IGV</t>
  </si>
  <si>
    <t xml:space="preserve">IMPRESIÓN UV
Cel. 936 512 939
1000 a S/. 450
500 a S/. 225
1 logo full color 
por ambos lados
</t>
  </si>
  <si>
    <t>5 a 7
días útiles</t>
  </si>
  <si>
    <t>COTIZACIÓN PROPUESTA_EMUSA_PELOTA ANTI ESTRES_06.05.2026</t>
  </si>
  <si>
    <t xml:space="preserve">IGV </t>
  </si>
  <si>
    <r>
      <t xml:space="preserve">10a 12 dias 
utiles producción 
+
2  días serv armado.
</t>
    </r>
    <r>
      <rPr>
        <b/>
        <sz val="16"/>
        <color rgb="FF000000"/>
        <rFont val="Arial"/>
        <family val="2"/>
      </rPr>
      <t>(en menos tiempo previa coordinacion)</t>
    </r>
  </si>
  <si>
    <r>
      <rPr>
        <b/>
        <u/>
        <sz val="14"/>
        <color rgb="FF000000"/>
        <rFont val="Arial"/>
        <family val="2"/>
      </rPr>
      <t xml:space="preserve">KITS  DIA DEL PADRE-  PISCO Y SACACORCHO
</t>
    </r>
    <r>
      <rPr>
        <b/>
        <sz val="14"/>
        <color rgb="FF000000"/>
        <rFont val="Arial"/>
        <family val="2"/>
      </rPr>
      <t>SET DE VINOS</t>
    </r>
    <r>
      <rPr>
        <sz val="14"/>
        <color rgb="FF000000"/>
        <rFont val="Arial"/>
        <family val="2"/>
      </rPr>
      <t xml:space="preserve">
Material : Biocuero / Medidas : 14.8 cm de diametro x 4.5 cm de alto
Contiene : 01 Sacacorcho , 01 Tapón,  01 Anillo antigoteo, 01 Pico Vertidor
</t>
    </r>
    <r>
      <rPr>
        <b/>
        <sz val="14"/>
        <color rgb="FF000000"/>
        <rFont val="Arial"/>
        <family val="2"/>
      </rPr>
      <t xml:space="preserve">PISCO </t>
    </r>
    <r>
      <rPr>
        <sz val="14"/>
        <color rgb="FF000000"/>
        <rFont val="Arial"/>
        <family val="2"/>
      </rPr>
      <t xml:space="preserve">
Material pavonado /Contenido:Quebranta o acholado
Capacidad 500ml / Medida:32 cm x 6.5 cm diametro
</t>
    </r>
    <r>
      <rPr>
        <b/>
        <sz val="14"/>
        <color rgb="FF000000"/>
        <rFont val="Arial"/>
        <family val="2"/>
      </rPr>
      <t>TARJETA</t>
    </r>
    <r>
      <rPr>
        <sz val="14"/>
        <color rgb="FF000000"/>
        <rFont val="Arial"/>
        <family val="2"/>
      </rPr>
      <t xml:space="preserve">
Material couche 300 gr. / Medida 10 x 10 cm
Incluye impresion full color tira y retira
</t>
    </r>
    <r>
      <rPr>
        <b/>
        <sz val="14"/>
        <color rgb="FF000000"/>
        <rFont val="Arial"/>
        <family val="2"/>
      </rPr>
      <t>CAJA ESTUCHE</t>
    </r>
    <r>
      <rPr>
        <sz val="14"/>
        <color rgb="FF000000"/>
        <rFont val="Arial"/>
        <family val="2"/>
      </rPr>
      <t xml:space="preserve">
Material: Microcorrugado
Medida:45 x 33 x 15 cm  Aprox.
**Incluye </t>
    </r>
    <r>
      <rPr>
        <b/>
        <sz val="14"/>
        <color rgb="FF000000"/>
        <rFont val="Arial"/>
        <family val="2"/>
      </rPr>
      <t>SERVICIO ARMADO</t>
    </r>
    <r>
      <rPr>
        <sz val="14"/>
        <color rgb="FF000000"/>
        <rFont val="Arial"/>
        <family val="2"/>
      </rPr>
      <t xml:space="preserve"> con productos Set vino y Pisco dentro de la caja + viruta, tarjeta y moño
Presentacion Grupal: Cajas grupales
</t>
    </r>
    <r>
      <rPr>
        <sz val="14"/>
        <color rgb="FFFF0000"/>
        <rFont val="Arial"/>
        <family val="2"/>
      </rPr>
      <t>*Incluye 1 logo a 1 color por 1 lado en el set de vinos estuche, pisco y caja estuche
*Arte y diseño facilitado por el cliente
+S/,0,90 en caso desean vaya otro logo a 1 color en lado frontal de caja</t>
    </r>
  </si>
  <si>
    <t>COTIZACIÓN PROPUESTA_EMUSA_SET HERRAMIENTA EN FORMA LLANTA Y KITS PISCO SACACORCHO_29.05.2026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</si>
</sst>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quot;S/.&quot;\ #,##0.00"/>
    <numFmt numFmtId="165" formatCode="[$$-2C0A]\ #,##0.00"/>
    <numFmt numFmtId="166" formatCode="[$S/.-280A]\ #,##0.00"/>
    <numFmt numFmtId="167" formatCode="_ * #,##0.00_ ;_ * \-#,##0.00_ ;_ * &quot;-&quot;??_ ;_ @_ "/>
    <numFmt numFmtId="168" formatCode="_-[$$-409]* #,##0.00_ ;_-[$$-409]* \-#,##0.00\ ;_-[$$-409]* &quot;-&quot;??_ ;_-@_ "/>
    <numFmt numFmtId="169" formatCode="_ &quot;S/.&quot;\ * #,##0.00_ ;_ &quot;S/.&quot;\ * \-#,##0.00_ ;_ &quot;S/.&quot;\ * &quot;-&quot;??_ ;_ @_ "/>
    <numFmt numFmtId="170" formatCode="_(* #,##0_);_(* \(#,##0\);_(* &quot;-&quot;??_);_(@_)"/>
    <numFmt numFmtId="171" formatCode="&quot;S/. &quot;#,##0.00"/>
  </numFmts>
  <fonts count="67" x14ac:knownFonts="1">
    <font>
      <sz val="11"/>
      <color theme="1"/>
      <name val="Calibri"/>
      <family val="2"/>
      <scheme val="minor"/>
    </font>
    <font>
      <sz val="11"/>
      <color theme="1"/>
      <name val="Calibri"/>
      <family val="2"/>
      <scheme val="minor"/>
    </font>
    <font>
      <sz val="14"/>
      <color theme="1"/>
      <name val="Arial"/>
      <family val="2"/>
    </font>
    <font>
      <sz val="10"/>
      <name val="Arial"/>
      <family val="2"/>
    </font>
    <font>
      <b/>
      <sz val="16"/>
      <color indexed="8"/>
      <name val="Arial"/>
      <family val="2"/>
    </font>
    <font>
      <b/>
      <sz val="14"/>
      <color indexed="8"/>
      <name val="Arial"/>
      <family val="2"/>
    </font>
    <font>
      <b/>
      <sz val="10"/>
      <name val="Arial"/>
      <family val="2"/>
    </font>
    <font>
      <sz val="16"/>
      <name val="Arial"/>
      <family val="2"/>
    </font>
    <font>
      <sz val="11"/>
      <color theme="1"/>
      <name val="Arial"/>
      <family val="2"/>
    </font>
    <font>
      <b/>
      <sz val="14"/>
      <color indexed="9"/>
      <name val="Arial"/>
      <family val="2"/>
    </font>
    <font>
      <b/>
      <sz val="16"/>
      <name val="Arial"/>
      <family val="2"/>
    </font>
    <font>
      <b/>
      <sz val="16"/>
      <color indexed="9"/>
      <name val="Arial"/>
      <family val="2"/>
    </font>
    <font>
      <sz val="14"/>
      <color indexed="8"/>
      <name val="Arial"/>
      <family val="2"/>
    </font>
    <font>
      <b/>
      <sz val="14"/>
      <name val="Arial"/>
      <family val="2"/>
    </font>
    <font>
      <b/>
      <sz val="18"/>
      <name val="Arial"/>
      <family val="2"/>
    </font>
    <font>
      <sz val="16"/>
      <color indexed="8"/>
      <name val="Arial"/>
      <family val="2"/>
    </font>
    <font>
      <b/>
      <u/>
      <sz val="16"/>
      <color indexed="8"/>
      <name val="Arial"/>
      <family val="2"/>
    </font>
    <font>
      <sz val="16"/>
      <color rgb="FFFF0000"/>
      <name val="Arial"/>
      <family val="2"/>
    </font>
    <font>
      <b/>
      <sz val="16"/>
      <color indexed="63"/>
      <name val="Arial"/>
      <family val="2"/>
    </font>
    <font>
      <sz val="16"/>
      <color indexed="63"/>
      <name val="Arial"/>
      <family val="2"/>
    </font>
    <font>
      <b/>
      <sz val="16"/>
      <color indexed="10"/>
      <name val="Arial"/>
      <family val="2"/>
    </font>
    <font>
      <sz val="16"/>
      <color theme="1"/>
      <name val="Arial"/>
      <family val="2"/>
    </font>
    <font>
      <sz val="16"/>
      <color indexed="10"/>
      <name val="Arial"/>
      <family val="2"/>
    </font>
    <font>
      <b/>
      <sz val="16"/>
      <color rgb="FFFF0000"/>
      <name val="Arial"/>
      <family val="2"/>
    </font>
    <font>
      <b/>
      <sz val="14"/>
      <color indexed="10"/>
      <name val="Arial"/>
      <family val="2"/>
    </font>
    <font>
      <b/>
      <sz val="16"/>
      <color rgb="FF000000"/>
      <name val="Arial"/>
      <family val="2"/>
    </font>
    <font>
      <sz val="16"/>
      <color rgb="FF000000"/>
      <name val="Arial"/>
      <family val="2"/>
    </font>
    <font>
      <sz val="8"/>
      <name val="Calibri"/>
      <family val="2"/>
      <scheme val="minor"/>
    </font>
    <font>
      <sz val="11"/>
      <color indexed="8"/>
      <name val="Calibri"/>
      <family val="2"/>
    </font>
    <font>
      <sz val="11"/>
      <color indexed="52"/>
      <name val="Tahoma"/>
      <family val="2"/>
      <charset val="1"/>
    </font>
    <font>
      <sz val="11"/>
      <color rgb="FF000000"/>
      <name val="Calibri"/>
      <family val="2"/>
      <scheme val="minor"/>
    </font>
    <font>
      <sz val="16"/>
      <color theme="1"/>
      <name val="Calibri"/>
      <family val="2"/>
      <scheme val="minor"/>
    </font>
    <font>
      <b/>
      <sz val="16"/>
      <color theme="1"/>
      <name val="Calibri"/>
      <family val="2"/>
      <scheme val="minor"/>
    </font>
    <font>
      <sz val="18"/>
      <color theme="1"/>
      <name val="Calibri"/>
      <family val="2"/>
      <scheme val="minor"/>
    </font>
    <font>
      <b/>
      <sz val="18"/>
      <color theme="1"/>
      <name val="Calibri"/>
      <family val="2"/>
      <scheme val="minor"/>
    </font>
    <font>
      <b/>
      <sz val="10"/>
      <color rgb="FFFF0000"/>
      <name val="Arial"/>
      <family val="2"/>
    </font>
    <font>
      <sz val="14"/>
      <name val="Arial"/>
      <family val="2"/>
    </font>
    <font>
      <b/>
      <sz val="16"/>
      <color rgb="FF002060"/>
      <name val="Arial"/>
      <family val="2"/>
    </font>
    <font>
      <b/>
      <sz val="16"/>
      <color theme="1"/>
      <name val="Arial"/>
      <family val="2"/>
    </font>
    <font>
      <b/>
      <u/>
      <sz val="16"/>
      <color rgb="FF000000"/>
      <name val="Arial"/>
      <family val="2"/>
    </font>
    <font>
      <b/>
      <u/>
      <sz val="16"/>
      <color rgb="FFFF0000"/>
      <name val="Arial"/>
      <family val="2"/>
    </font>
    <font>
      <sz val="16"/>
      <color rgb="FFC00000"/>
      <name val="Calibri"/>
      <family val="2"/>
      <scheme val="minor"/>
    </font>
    <font>
      <b/>
      <sz val="11"/>
      <color rgb="FFFF0000"/>
      <name val="Calibri"/>
      <family val="2"/>
      <scheme val="minor"/>
    </font>
    <font>
      <sz val="11"/>
      <color theme="1"/>
      <name val="Calibri"/>
      <family val="2"/>
    </font>
    <font>
      <b/>
      <u/>
      <sz val="16"/>
      <name val="Arial"/>
      <family val="2"/>
    </font>
    <font>
      <b/>
      <sz val="16"/>
      <color rgb="FF333333"/>
      <name val="Arial"/>
      <family val="2"/>
    </font>
    <font>
      <sz val="16"/>
      <color rgb="FF333333"/>
      <name val="Arial"/>
      <family val="2"/>
    </font>
    <font>
      <b/>
      <sz val="16"/>
      <color rgb="FFFFFFFF"/>
      <name val="Arial"/>
      <family val="2"/>
    </font>
    <font>
      <sz val="11"/>
      <color indexed="60"/>
      <name val="Calibri"/>
      <family val="2"/>
    </font>
    <font>
      <b/>
      <sz val="11"/>
      <color indexed="8"/>
      <name val="Calibri"/>
      <family val="2"/>
    </font>
    <font>
      <sz val="14"/>
      <color indexed="10"/>
      <name val="Arial"/>
      <family val="2"/>
    </font>
    <font>
      <sz val="16"/>
      <color rgb="FF000000"/>
      <name val="Calibri"/>
      <family val="2"/>
      <scheme val="minor"/>
    </font>
    <font>
      <b/>
      <sz val="12"/>
      <name val="Arial"/>
      <family val="2"/>
    </font>
    <font>
      <b/>
      <sz val="11"/>
      <name val="Arial"/>
      <family val="2"/>
    </font>
    <font>
      <sz val="12"/>
      <name val="Arial"/>
      <family val="2"/>
    </font>
    <font>
      <b/>
      <sz val="16"/>
      <name val="Calibri"/>
      <family val="2"/>
      <scheme val="minor"/>
    </font>
    <font>
      <b/>
      <u/>
      <sz val="14"/>
      <name val="Arial"/>
      <family val="2"/>
    </font>
    <font>
      <b/>
      <sz val="11"/>
      <color rgb="FFFF0000"/>
      <name val="Arial"/>
      <family val="2"/>
    </font>
    <font>
      <sz val="18"/>
      <color rgb="FFFF0000"/>
      <name val="Calibri"/>
      <family val="2"/>
      <scheme val="minor"/>
    </font>
    <font>
      <sz val="15"/>
      <name val="Arial"/>
      <family val="2"/>
    </font>
    <font>
      <b/>
      <u/>
      <sz val="15"/>
      <color rgb="FF000000"/>
      <name val="Arial"/>
      <family val="2"/>
    </font>
    <font>
      <sz val="15"/>
      <color rgb="FF000000"/>
      <name val="Arial"/>
      <family val="2"/>
    </font>
    <font>
      <sz val="15"/>
      <color rgb="FFFF0000"/>
      <name val="Arial"/>
      <family val="2"/>
    </font>
    <font>
      <b/>
      <u/>
      <sz val="14"/>
      <color rgb="FF000000"/>
      <name val="Arial"/>
      <family val="2"/>
    </font>
    <font>
      <sz val="14"/>
      <color rgb="FF000000"/>
      <name val="Arial"/>
      <family val="2"/>
    </font>
    <font>
      <sz val="14"/>
      <color rgb="FFFF0000"/>
      <name val="Arial"/>
      <family val="2"/>
    </font>
    <font>
      <b/>
      <sz val="14"/>
      <color rgb="FF000000"/>
      <name val="Arial"/>
      <family val="2"/>
    </font>
  </fonts>
  <fills count="23">
    <fill>
      <patternFill patternType="none"/>
    </fill>
    <fill>
      <patternFill patternType="gray125"/>
    </fill>
    <fill>
      <patternFill patternType="solid">
        <fgColor indexed="9"/>
        <bgColor indexed="8"/>
      </patternFill>
    </fill>
    <fill>
      <patternFill patternType="solid">
        <fgColor indexed="51"/>
        <bgColor indexed="64"/>
      </patternFill>
    </fill>
    <fill>
      <patternFill patternType="solid">
        <fgColor indexed="9"/>
        <bgColor indexed="64"/>
      </patternFill>
    </fill>
    <fill>
      <patternFill patternType="solid">
        <fgColor indexed="56"/>
        <bgColor indexed="64"/>
      </patternFill>
    </fill>
    <fill>
      <patternFill patternType="solid">
        <fgColor indexed="13"/>
        <bgColor indexed="64"/>
      </patternFill>
    </fill>
    <fill>
      <patternFill patternType="solid">
        <fgColor indexed="10"/>
        <bgColor indexed="64"/>
      </patternFill>
    </fill>
    <fill>
      <patternFill patternType="solid">
        <fgColor indexed="5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indexed="55"/>
        <bgColor indexed="64"/>
      </patternFill>
    </fill>
    <fill>
      <patternFill patternType="solid">
        <fgColor indexed="22"/>
        <bgColor indexed="64"/>
      </patternFill>
    </fill>
    <fill>
      <patternFill patternType="solid">
        <fgColor indexed="10"/>
        <bgColor indexed="8"/>
      </patternFill>
    </fill>
    <fill>
      <patternFill patternType="solid">
        <fgColor theme="0" tint="-0.14999847407452621"/>
        <bgColor indexed="8"/>
      </patternFill>
    </fill>
    <fill>
      <patternFill patternType="solid">
        <fgColor rgb="FFFFFFFF"/>
        <bgColor rgb="FF000000"/>
      </patternFill>
    </fill>
    <fill>
      <patternFill patternType="solid">
        <fgColor rgb="FFFFFF00"/>
        <bgColor rgb="FF000000"/>
      </patternFill>
    </fill>
    <fill>
      <patternFill patternType="solid">
        <fgColor rgb="FFFF0000"/>
        <bgColor rgb="FF000000"/>
      </patternFill>
    </fill>
    <fill>
      <patternFill patternType="solid">
        <fgColor theme="0" tint="-0.14999847407452621"/>
        <bgColor rgb="FF000000"/>
      </patternFill>
    </fill>
    <fill>
      <patternFill patternType="solid">
        <fgColor indexed="9"/>
        <bgColor indexed="26"/>
      </patternFill>
    </fill>
    <fill>
      <patternFill patternType="solid">
        <fgColor theme="0" tint="-0.14999847407452621"/>
        <bgColor indexed="31"/>
      </patternFill>
    </fill>
  </fills>
  <borders count="5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bottom style="double">
        <color indexed="52"/>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000000"/>
      </left>
      <right style="thin">
        <color indexed="64"/>
      </right>
      <top style="medium">
        <color indexed="64"/>
      </top>
      <bottom style="medium">
        <color rgb="FF000000"/>
      </bottom>
      <diagonal/>
    </border>
    <border>
      <left style="thin">
        <color indexed="64"/>
      </left>
      <right style="thin">
        <color indexed="64"/>
      </right>
      <top style="medium">
        <color indexed="64"/>
      </top>
      <bottom style="medium">
        <color rgb="FF000000"/>
      </bottom>
      <diagonal/>
    </border>
    <border>
      <left style="thin">
        <color indexed="64"/>
      </left>
      <right style="medium">
        <color rgb="FF000000"/>
      </right>
      <top style="medium">
        <color indexed="64"/>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style="medium">
        <color rgb="FF000000"/>
      </right>
      <top/>
      <bottom style="thin">
        <color rgb="FF000000"/>
      </bottom>
      <diagonal/>
    </border>
    <border>
      <left style="medium">
        <color rgb="FF000000"/>
      </left>
      <right style="thin">
        <color indexed="64"/>
      </right>
      <top/>
      <bottom style="medium">
        <color rgb="FF000000"/>
      </bottom>
      <diagonal/>
    </border>
    <border>
      <left style="thin">
        <color indexed="64"/>
      </left>
      <right/>
      <top/>
      <bottom style="medium">
        <color rgb="FF000000"/>
      </bottom>
      <diagonal/>
    </border>
    <border>
      <left/>
      <right style="thin">
        <color indexed="64"/>
      </right>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bottom style="medium">
        <color rgb="FF000000"/>
      </bottom>
      <diagonal/>
    </border>
  </borders>
  <cellStyleXfs count="32">
    <xf numFmtId="0" fontId="0" fillId="0" borderId="0"/>
    <xf numFmtId="0" fontId="3" fillId="0" borderId="0"/>
    <xf numFmtId="0" fontId="1" fillId="0" borderId="0"/>
    <xf numFmtId="0" fontId="1" fillId="0" borderId="0"/>
    <xf numFmtId="0" fontId="3" fillId="0" borderId="0"/>
    <xf numFmtId="0" fontId="1" fillId="0" borderId="0"/>
    <xf numFmtId="168" fontId="28" fillId="0" borderId="0" applyFont="0" applyFill="0" applyBorder="0" applyAlignment="0" applyProtection="0"/>
    <xf numFmtId="0" fontId="28" fillId="0" borderId="0"/>
    <xf numFmtId="0" fontId="28" fillId="0" borderId="0"/>
    <xf numFmtId="0" fontId="3" fillId="0" borderId="0"/>
    <xf numFmtId="0" fontId="3" fillId="0" borderId="0"/>
    <xf numFmtId="0" fontId="3" fillId="0" borderId="0"/>
    <xf numFmtId="0" fontId="28" fillId="0" borderId="0"/>
    <xf numFmtId="168" fontId="28" fillId="0" borderId="0" applyFont="0" applyFill="0" applyBorder="0" applyAlignment="0" applyProtection="0"/>
    <xf numFmtId="0" fontId="1" fillId="0" borderId="0"/>
    <xf numFmtId="168" fontId="28" fillId="0" borderId="0" applyFont="0" applyFill="0" applyBorder="0" applyAlignment="0" applyProtection="0"/>
    <xf numFmtId="0" fontId="29" fillId="0" borderId="4" applyProtection="0">
      <alignment vertical="center"/>
    </xf>
    <xf numFmtId="0" fontId="1" fillId="0" borderId="0"/>
    <xf numFmtId="0" fontId="1" fillId="0" borderId="0"/>
    <xf numFmtId="0" fontId="1" fillId="0" borderId="0"/>
    <xf numFmtId="168" fontId="28" fillId="0" borderId="0" applyFont="0" applyFill="0" applyBorder="0" applyAlignment="0" applyProtection="0"/>
    <xf numFmtId="168" fontId="28" fillId="0" borderId="0" applyFont="0" applyFill="0" applyBorder="0" applyAlignment="0" applyProtection="0"/>
    <xf numFmtId="0" fontId="1" fillId="0" borderId="0"/>
    <xf numFmtId="167" fontId="1" fillId="0" borderId="0" applyFont="0" applyFill="0" applyBorder="0" applyAlignment="0" applyProtection="0"/>
    <xf numFmtId="0" fontId="30" fillId="0" borderId="0"/>
    <xf numFmtId="0" fontId="28" fillId="0" borderId="0"/>
    <xf numFmtId="0" fontId="28" fillId="0" borderId="0"/>
    <xf numFmtId="0" fontId="1" fillId="0" borderId="0"/>
    <xf numFmtId="0" fontId="1" fillId="0" borderId="0"/>
    <xf numFmtId="169" fontId="28" fillId="0" borderId="0" applyFont="0" applyFill="0" applyBorder="0" applyAlignment="0" applyProtection="0"/>
    <xf numFmtId="168" fontId="28" fillId="0" borderId="0" applyFont="0" applyFill="0" applyBorder="0" applyAlignment="0" applyProtection="0"/>
    <xf numFmtId="43" fontId="1" fillId="0" borderId="0" applyFont="0" applyFill="0" applyBorder="0" applyAlignment="0" applyProtection="0"/>
  </cellStyleXfs>
  <cellXfs count="305">
    <xf numFmtId="0" fontId="0" fillId="0" borderId="0" xfId="0"/>
    <xf numFmtId="0" fontId="2" fillId="0" borderId="0" xfId="0" applyFont="1"/>
    <xf numFmtId="0" fontId="5" fillId="0" borderId="0" xfId="1" applyFont="1" applyAlignment="1">
      <alignment vertical="center" wrapText="1"/>
    </xf>
    <xf numFmtId="0" fontId="3" fillId="0" borderId="0" xfId="1"/>
    <xf numFmtId="0" fontId="7" fillId="0" borderId="0" xfId="1" applyFont="1"/>
    <xf numFmtId="0" fontId="8" fillId="0" borderId="0" xfId="0" applyFont="1"/>
    <xf numFmtId="0" fontId="5" fillId="3" borderId="1" xfId="1" applyFont="1" applyFill="1" applyBorder="1" applyAlignment="1">
      <alignment horizontal="center" vertical="center" wrapText="1"/>
    </xf>
    <xf numFmtId="0" fontId="5" fillId="3" borderId="1" xfId="2" applyFont="1" applyFill="1" applyBorder="1" applyAlignment="1">
      <alignment horizontal="center" vertical="center" wrapText="1"/>
    </xf>
    <xf numFmtId="9" fontId="9" fillId="7" borderId="0" xfId="1" applyNumberFormat="1" applyFont="1" applyFill="1" applyAlignment="1">
      <alignment horizontal="center" vertical="center" wrapText="1"/>
    </xf>
    <xf numFmtId="0" fontId="5" fillId="8" borderId="3" xfId="0" applyFont="1" applyFill="1" applyBorder="1" applyAlignment="1">
      <alignment horizontal="center" wrapText="1"/>
    </xf>
    <xf numFmtId="0" fontId="12" fillId="0" borderId="0" xfId="1" applyFont="1"/>
    <xf numFmtId="166" fontId="24" fillId="4" borderId="0" xfId="1" applyNumberFormat="1" applyFont="1" applyFill="1" applyAlignment="1">
      <alignment horizontal="center" vertical="center"/>
    </xf>
    <xf numFmtId="0" fontId="10" fillId="11" borderId="1" xfId="1" applyFont="1" applyFill="1" applyBorder="1" applyAlignment="1">
      <alignment horizontal="center" vertical="center"/>
    </xf>
    <xf numFmtId="166" fontId="15" fillId="6" borderId="1" xfId="1" applyNumberFormat="1" applyFont="1" applyFill="1" applyBorder="1" applyAlignment="1">
      <alignment horizontal="center" vertical="center"/>
    </xf>
    <xf numFmtId="164" fontId="18" fillId="6" borderId="1" xfId="1" applyNumberFormat="1" applyFont="1" applyFill="1" applyBorder="1" applyAlignment="1">
      <alignment horizontal="center" vertical="center"/>
    </xf>
    <xf numFmtId="164" fontId="17" fillId="6" borderId="1" xfId="1" applyNumberFormat="1" applyFont="1" applyFill="1" applyBorder="1" applyAlignment="1">
      <alignment horizontal="center" vertical="center"/>
    </xf>
    <xf numFmtId="164" fontId="15" fillId="4" borderId="1" xfId="1" applyNumberFormat="1" applyFont="1" applyFill="1" applyBorder="1" applyAlignment="1">
      <alignment horizontal="center" vertical="center"/>
    </xf>
    <xf numFmtId="164" fontId="20" fillId="4" borderId="1" xfId="1" applyNumberFormat="1" applyFont="1" applyFill="1" applyBorder="1" applyAlignment="1">
      <alignment horizontal="center" vertical="center"/>
    </xf>
    <xf numFmtId="164" fontId="22" fillId="4" borderId="1" xfId="1" applyNumberFormat="1" applyFont="1" applyFill="1" applyBorder="1" applyAlignment="1">
      <alignment horizontal="center" vertical="center"/>
    </xf>
    <xf numFmtId="166" fontId="15" fillId="4" borderId="1" xfId="3" applyNumberFormat="1" applyFont="1" applyFill="1" applyBorder="1" applyAlignment="1">
      <alignment horizontal="center" vertical="center"/>
    </xf>
    <xf numFmtId="164" fontId="19" fillId="9" borderId="1" xfId="1" applyNumberFormat="1" applyFont="1" applyFill="1" applyBorder="1" applyAlignment="1">
      <alignment horizontal="center" vertical="center"/>
    </xf>
    <xf numFmtId="164" fontId="15" fillId="0" borderId="1" xfId="1" applyNumberFormat="1" applyFont="1" applyBorder="1" applyAlignment="1">
      <alignment horizontal="center" vertical="center"/>
    </xf>
    <xf numFmtId="164" fontId="23" fillId="4" borderId="1" xfId="1" applyNumberFormat="1" applyFont="1" applyFill="1" applyBorder="1" applyAlignment="1">
      <alignment horizontal="center" vertical="center"/>
    </xf>
    <xf numFmtId="164" fontId="11" fillId="7" borderId="1" xfId="1" applyNumberFormat="1" applyFont="1" applyFill="1" applyBorder="1" applyAlignment="1">
      <alignment horizontal="center" vertical="center"/>
    </xf>
    <xf numFmtId="166" fontId="20" fillId="4" borderId="1" xfId="1" applyNumberFormat="1" applyFont="1" applyFill="1" applyBorder="1" applyAlignment="1">
      <alignment horizontal="center" vertical="center"/>
    </xf>
    <xf numFmtId="0" fontId="10" fillId="6" borderId="6" xfId="1" applyFont="1" applyFill="1" applyBorder="1" applyAlignment="1">
      <alignment horizontal="center" vertical="center" wrapText="1"/>
    </xf>
    <xf numFmtId="0" fontId="11" fillId="5" borderId="6" xfId="1" applyFont="1" applyFill="1" applyBorder="1" applyAlignment="1">
      <alignment horizontal="center" vertical="center" wrapText="1"/>
    </xf>
    <xf numFmtId="0" fontId="10" fillId="3" borderId="6" xfId="1" applyFont="1" applyFill="1" applyBorder="1" applyAlignment="1">
      <alignment horizontal="center" vertical="center" wrapText="1"/>
    </xf>
    <xf numFmtId="0" fontId="11" fillId="7" borderId="6" xfId="1" applyFont="1" applyFill="1" applyBorder="1" applyAlignment="1">
      <alignment horizontal="center" vertical="center" wrapText="1"/>
    </xf>
    <xf numFmtId="9" fontId="11" fillId="7" borderId="8" xfId="1" applyNumberFormat="1" applyFont="1" applyFill="1" applyBorder="1" applyAlignment="1">
      <alignment horizontal="center" vertical="center"/>
    </xf>
    <xf numFmtId="0" fontId="9" fillId="5" borderId="7" xfId="1" applyFont="1" applyFill="1" applyBorder="1" applyAlignment="1">
      <alignment horizontal="center" vertical="center" wrapText="1"/>
    </xf>
    <xf numFmtId="0" fontId="9" fillId="5" borderId="6" xfId="1" applyFont="1" applyFill="1" applyBorder="1" applyAlignment="1">
      <alignment horizontal="center" vertical="center" wrapText="1"/>
    </xf>
    <xf numFmtId="164" fontId="21" fillId="4" borderId="1" xfId="1" applyNumberFormat="1" applyFont="1" applyFill="1" applyBorder="1" applyAlignment="1">
      <alignment horizontal="center" vertical="center" wrapText="1"/>
    </xf>
    <xf numFmtId="166" fontId="15" fillId="4" borderId="9" xfId="1" applyNumberFormat="1" applyFont="1" applyFill="1" applyBorder="1" applyAlignment="1">
      <alignment horizontal="center" vertical="center"/>
    </xf>
    <xf numFmtId="164" fontId="15" fillId="11" borderId="1" xfId="1" applyNumberFormat="1" applyFont="1" applyFill="1" applyBorder="1" applyAlignment="1">
      <alignment horizontal="center" vertical="center"/>
    </xf>
    <xf numFmtId="0" fontId="15" fillId="11" borderId="1" xfId="1" applyFont="1" applyFill="1" applyBorder="1" applyAlignment="1">
      <alignment horizontal="center" vertical="center"/>
    </xf>
    <xf numFmtId="0" fontId="31" fillId="0" borderId="1" xfId="0" applyFont="1" applyBorder="1" applyAlignment="1">
      <alignment horizontal="center" vertical="center" wrapText="1"/>
    </xf>
    <xf numFmtId="0" fontId="33" fillId="0" borderId="1" xfId="0" applyFont="1" applyBorder="1" applyAlignment="1">
      <alignment horizontal="center" vertical="center"/>
    </xf>
    <xf numFmtId="0" fontId="33" fillId="0" borderId="1" xfId="0" applyFont="1" applyBorder="1" applyAlignment="1">
      <alignment horizontal="left" vertical="center" wrapText="1"/>
    </xf>
    <xf numFmtId="0" fontId="32" fillId="0" borderId="0" xfId="0" applyFont="1" applyAlignment="1">
      <alignment vertical="center"/>
    </xf>
    <xf numFmtId="0" fontId="33" fillId="0" borderId="0" xfId="0" applyFont="1" applyAlignment="1">
      <alignment horizontal="center" vertical="center"/>
    </xf>
    <xf numFmtId="0" fontId="32" fillId="0" borderId="0" xfId="0" applyFont="1" applyAlignment="1">
      <alignment horizontal="center" vertical="center" wrapText="1"/>
    </xf>
    <xf numFmtId="0" fontId="14" fillId="0" borderId="0" xfId="1" applyFont="1" applyAlignment="1">
      <alignment horizontal="center" vertical="center" wrapText="1"/>
    </xf>
    <xf numFmtId="164" fontId="14" fillId="0" borderId="0" xfId="1" applyNumberFormat="1" applyFont="1" applyAlignment="1">
      <alignment horizontal="center" vertical="center" wrapText="1"/>
    </xf>
    <xf numFmtId="0" fontId="31" fillId="0" borderId="0" xfId="0" applyFont="1" applyAlignment="1">
      <alignment horizontal="center" vertical="center" wrapText="1"/>
    </xf>
    <xf numFmtId="0" fontId="34" fillId="12" borderId="1" xfId="0" applyFont="1" applyFill="1" applyBorder="1" applyAlignment="1">
      <alignment horizontal="center" vertical="center" wrapText="1"/>
    </xf>
    <xf numFmtId="0" fontId="31" fillId="0" borderId="0" xfId="0" applyFont="1"/>
    <xf numFmtId="0" fontId="35" fillId="0" borderId="0" xfId="1" applyFont="1" applyAlignment="1">
      <alignment vertical="center" wrapText="1"/>
    </xf>
    <xf numFmtId="166" fontId="15" fillId="4" borderId="1" xfId="1" applyNumberFormat="1" applyFont="1" applyFill="1" applyBorder="1" applyAlignment="1">
      <alignment horizontal="center" vertical="center"/>
    </xf>
    <xf numFmtId="164" fontId="15" fillId="13" borderId="1" xfId="1" applyNumberFormat="1" applyFont="1" applyFill="1" applyBorder="1" applyAlignment="1">
      <alignment horizontal="center" vertical="center"/>
    </xf>
    <xf numFmtId="0" fontId="15" fillId="14" borderId="1" xfId="1" applyFont="1" applyFill="1" applyBorder="1" applyAlignment="1">
      <alignment horizontal="center" vertical="center"/>
    </xf>
    <xf numFmtId="0" fontId="36" fillId="4" borderId="0" xfId="1" applyFont="1" applyFill="1"/>
    <xf numFmtId="0" fontId="33" fillId="0" borderId="0" xfId="0" applyFont="1" applyAlignment="1">
      <alignment horizontal="left" vertical="center" wrapText="1"/>
    </xf>
    <xf numFmtId="0" fontId="10" fillId="4" borderId="0" xfId="1" applyFont="1" applyFill="1" applyAlignment="1">
      <alignment horizontal="center" vertical="center" wrapText="1"/>
    </xf>
    <xf numFmtId="0" fontId="4" fillId="0" borderId="0" xfId="1" applyFont="1" applyAlignment="1">
      <alignment horizontal="center" vertical="center" wrapText="1"/>
    </xf>
    <xf numFmtId="0" fontId="13" fillId="0" borderId="0" xfId="1" applyFont="1" applyAlignment="1">
      <alignment horizontal="center" wrapText="1"/>
    </xf>
    <xf numFmtId="0" fontId="4" fillId="10" borderId="0" xfId="1" applyFont="1" applyFill="1" applyAlignment="1">
      <alignment horizontal="center" vertical="center" wrapText="1"/>
    </xf>
    <xf numFmtId="0" fontId="16" fillId="4" borderId="0" xfId="1" applyFont="1" applyFill="1" applyAlignment="1">
      <alignment horizontal="left" vertical="center" wrapText="1"/>
    </xf>
    <xf numFmtId="165" fontId="13" fillId="4" borderId="0" xfId="1" applyNumberFormat="1" applyFont="1" applyFill="1" applyAlignment="1">
      <alignment horizontal="center" vertical="center" wrapText="1"/>
    </xf>
    <xf numFmtId="0" fontId="10" fillId="0" borderId="1" xfId="1" applyFont="1" applyBorder="1" applyAlignment="1">
      <alignment horizontal="center" vertical="center" wrapText="1"/>
    </xf>
    <xf numFmtId="164" fontId="10" fillId="0" borderId="1" xfId="17" applyNumberFormat="1" applyFont="1" applyBorder="1" applyAlignment="1">
      <alignment horizontal="center" vertical="center" wrapText="1"/>
    </xf>
    <xf numFmtId="164" fontId="7" fillId="0" borderId="0" xfId="0" applyNumberFormat="1" applyFont="1" applyAlignment="1">
      <alignment horizontal="center" vertical="center"/>
    </xf>
    <xf numFmtId="169" fontId="7" fillId="0" borderId="1" xfId="1" applyNumberFormat="1" applyFont="1" applyBorder="1" applyAlignment="1">
      <alignment vertical="center" wrapText="1"/>
    </xf>
    <xf numFmtId="166" fontId="21" fillId="9" borderId="1" xfId="1" applyNumberFormat="1" applyFont="1" applyFill="1" applyBorder="1" applyAlignment="1">
      <alignment horizontal="center" vertical="center"/>
    </xf>
    <xf numFmtId="164" fontId="18" fillId="9" borderId="1" xfId="1" applyNumberFormat="1" applyFont="1" applyFill="1" applyBorder="1" applyAlignment="1">
      <alignment horizontal="center" vertical="center"/>
    </xf>
    <xf numFmtId="164" fontId="21" fillId="9" borderId="1" xfId="1" applyNumberFormat="1" applyFont="1" applyFill="1" applyBorder="1" applyAlignment="1">
      <alignment horizontal="center" vertical="center"/>
    </xf>
    <xf numFmtId="164" fontId="26" fillId="0" borderId="1" xfId="1" applyNumberFormat="1" applyFont="1" applyBorder="1" applyAlignment="1">
      <alignment horizontal="center" vertical="center"/>
    </xf>
    <xf numFmtId="164" fontId="23" fillId="0" borderId="1" xfId="1" applyNumberFormat="1" applyFont="1" applyBorder="1" applyAlignment="1">
      <alignment horizontal="center" vertical="center"/>
    </xf>
    <xf numFmtId="0" fontId="26" fillId="11" borderId="1" xfId="1" applyFont="1" applyFill="1" applyBorder="1" applyAlignment="1">
      <alignment horizontal="center" vertical="center"/>
    </xf>
    <xf numFmtId="164" fontId="21" fillId="11" borderId="1" xfId="1" applyNumberFormat="1" applyFont="1" applyFill="1" applyBorder="1" applyAlignment="1">
      <alignment horizontal="center" vertical="center"/>
    </xf>
    <xf numFmtId="164" fontId="22" fillId="0" borderId="1" xfId="1" applyNumberFormat="1" applyFont="1" applyBorder="1" applyAlignment="1">
      <alignment horizontal="center" vertical="center"/>
    </xf>
    <xf numFmtId="164" fontId="21" fillId="0" borderId="1" xfId="1" applyNumberFormat="1" applyFont="1" applyBorder="1" applyAlignment="1">
      <alignment horizontal="center" vertical="center"/>
    </xf>
    <xf numFmtId="164" fontId="11" fillId="15" borderId="1" xfId="1" applyNumberFormat="1" applyFont="1" applyFill="1" applyBorder="1" applyAlignment="1">
      <alignment horizontal="center" vertical="center"/>
    </xf>
    <xf numFmtId="166" fontId="21" fillId="0" borderId="1" xfId="2" applyNumberFormat="1" applyFont="1" applyBorder="1" applyAlignment="1">
      <alignment horizontal="center" vertical="center"/>
    </xf>
    <xf numFmtId="166" fontId="23" fillId="0" borderId="1" xfId="1" applyNumberFormat="1" applyFont="1" applyBorder="1" applyAlignment="1">
      <alignment horizontal="center" vertical="center"/>
    </xf>
    <xf numFmtId="166" fontId="31" fillId="0" borderId="0" xfId="0" applyNumberFormat="1" applyFont="1" applyAlignment="1">
      <alignment horizontal="center" vertical="center"/>
    </xf>
    <xf numFmtId="166" fontId="41" fillId="0" borderId="0" xfId="0" applyNumberFormat="1" applyFont="1" applyAlignment="1">
      <alignment horizontal="center" vertical="center"/>
    </xf>
    <xf numFmtId="2" fontId="32" fillId="0" borderId="0" xfId="0" applyNumberFormat="1" applyFont="1" applyAlignment="1">
      <alignment horizontal="center" vertical="center"/>
    </xf>
    <xf numFmtId="0" fontId="31" fillId="0" borderId="0" xfId="17" applyFont="1"/>
    <xf numFmtId="164" fontId="7" fillId="10" borderId="1" xfId="1" applyNumberFormat="1" applyFont="1" applyFill="1" applyBorder="1" applyAlignment="1">
      <alignment horizontal="center" vertical="center" wrapText="1"/>
    </xf>
    <xf numFmtId="164" fontId="15" fillId="16" borderId="1" xfId="1" applyNumberFormat="1" applyFont="1" applyFill="1" applyBorder="1" applyAlignment="1">
      <alignment horizontal="center" vertical="center"/>
    </xf>
    <xf numFmtId="0" fontId="15" fillId="0" borderId="1" xfId="1" applyFont="1" applyBorder="1" applyAlignment="1">
      <alignment horizontal="left" vertical="center" wrapText="1"/>
    </xf>
    <xf numFmtId="0" fontId="7" fillId="0" borderId="1" xfId="0" applyFont="1" applyBorder="1" applyAlignment="1">
      <alignment horizontal="center" vertical="center"/>
    </xf>
    <xf numFmtId="167" fontId="23" fillId="0" borderId="1" xfId="1" applyNumberFormat="1" applyFont="1" applyBorder="1" applyAlignment="1">
      <alignment horizontal="center"/>
    </xf>
    <xf numFmtId="0" fontId="42" fillId="0" borderId="1" xfId="0" applyFont="1" applyBorder="1" applyAlignment="1">
      <alignment horizontal="center" vertical="center" wrapText="1"/>
    </xf>
    <xf numFmtId="164" fontId="14" fillId="10" borderId="1" xfId="1" applyNumberFormat="1" applyFont="1" applyFill="1" applyBorder="1" applyAlignment="1">
      <alignment horizontal="center" vertical="center" wrapText="1"/>
    </xf>
    <xf numFmtId="0" fontId="15" fillId="10" borderId="1" xfId="1" applyFont="1" applyFill="1" applyBorder="1" applyAlignment="1">
      <alignment horizontal="center" vertical="center" wrapText="1"/>
    </xf>
    <xf numFmtId="166" fontId="21" fillId="0" borderId="1" xfId="1" applyNumberFormat="1" applyFont="1" applyBorder="1" applyAlignment="1">
      <alignment horizontal="center" vertical="center"/>
    </xf>
    <xf numFmtId="166" fontId="26" fillId="18" borderId="1" xfId="1" applyNumberFormat="1" applyFont="1" applyFill="1" applyBorder="1" applyAlignment="1">
      <alignment horizontal="center" vertical="center"/>
    </xf>
    <xf numFmtId="164" fontId="45" fillId="18" borderId="1" xfId="1" applyNumberFormat="1" applyFont="1" applyFill="1" applyBorder="1" applyAlignment="1">
      <alignment horizontal="center" vertical="center"/>
    </xf>
    <xf numFmtId="164" fontId="46" fillId="18" borderId="1" xfId="1" applyNumberFormat="1" applyFont="1" applyFill="1" applyBorder="1" applyAlignment="1">
      <alignment horizontal="center" vertical="center"/>
    </xf>
    <xf numFmtId="164" fontId="26" fillId="18" borderId="1" xfId="1" applyNumberFormat="1" applyFont="1" applyFill="1" applyBorder="1" applyAlignment="1">
      <alignment horizontal="center" vertical="center"/>
    </xf>
    <xf numFmtId="164" fontId="23" fillId="17" borderId="1" xfId="1" applyNumberFormat="1" applyFont="1" applyFill="1" applyBorder="1" applyAlignment="1">
      <alignment horizontal="center" vertical="center"/>
    </xf>
    <xf numFmtId="164" fontId="17" fillId="17" borderId="1" xfId="1" applyNumberFormat="1" applyFont="1" applyFill="1" applyBorder="1" applyAlignment="1">
      <alignment horizontal="center" vertical="center"/>
    </xf>
    <xf numFmtId="164" fontId="21" fillId="10" borderId="1" xfId="1" applyNumberFormat="1" applyFont="1" applyFill="1" applyBorder="1" applyAlignment="1">
      <alignment horizontal="center" vertical="center"/>
    </xf>
    <xf numFmtId="164" fontId="47" fillId="19" borderId="1" xfId="1" applyNumberFormat="1" applyFont="1" applyFill="1" applyBorder="1" applyAlignment="1">
      <alignment horizontal="center" vertical="center"/>
    </xf>
    <xf numFmtId="166" fontId="26" fillId="17" borderId="1" xfId="2" applyNumberFormat="1" applyFont="1" applyFill="1" applyBorder="1" applyAlignment="1">
      <alignment horizontal="center" vertical="center"/>
    </xf>
    <xf numFmtId="166" fontId="23" fillId="17" borderId="1" xfId="1" applyNumberFormat="1" applyFont="1" applyFill="1" applyBorder="1" applyAlignment="1">
      <alignment horizontal="center" vertical="center"/>
    </xf>
    <xf numFmtId="164" fontId="43" fillId="0" borderId="0" xfId="0" applyNumberFormat="1" applyFont="1"/>
    <xf numFmtId="0" fontId="10" fillId="0" borderId="1" xfId="0" applyFont="1" applyBorder="1" applyAlignment="1">
      <alignment horizontal="center" vertical="center" wrapText="1"/>
    </xf>
    <xf numFmtId="170" fontId="10" fillId="0" borderId="1" xfId="20" applyNumberFormat="1" applyFont="1" applyFill="1" applyBorder="1" applyAlignment="1">
      <alignment horizontal="center" vertical="center" wrapText="1"/>
    </xf>
    <xf numFmtId="49" fontId="7" fillId="10" borderId="1" xfId="1" applyNumberFormat="1" applyFont="1" applyFill="1" applyBorder="1" applyAlignment="1">
      <alignment horizontal="center" vertical="center" wrapText="1"/>
    </xf>
    <xf numFmtId="0" fontId="10" fillId="20" borderId="1" xfId="1" applyFont="1" applyFill="1" applyBorder="1" applyAlignment="1">
      <alignment horizontal="center" vertical="center"/>
    </xf>
    <xf numFmtId="0" fontId="26" fillId="20" borderId="1" xfId="1" applyFont="1" applyFill="1" applyBorder="1" applyAlignment="1">
      <alignment horizontal="center" vertical="center"/>
    </xf>
    <xf numFmtId="164" fontId="26" fillId="20" borderId="1" xfId="1" applyNumberFormat="1" applyFont="1" applyFill="1" applyBorder="1" applyAlignment="1">
      <alignment horizontal="center" vertical="center"/>
    </xf>
    <xf numFmtId="3" fontId="14" fillId="0" borderId="1" xfId="1" applyNumberFormat="1" applyFont="1" applyBorder="1" applyAlignment="1">
      <alignment horizontal="center" vertical="center" wrapText="1"/>
    </xf>
    <xf numFmtId="0" fontId="7" fillId="0" borderId="1" xfId="14" applyFont="1" applyBorder="1" applyAlignment="1">
      <alignment horizontal="center" vertical="center" wrapText="1"/>
    </xf>
    <xf numFmtId="164" fontId="14" fillId="0" borderId="18" xfId="1" applyNumberFormat="1" applyFont="1" applyBorder="1" applyAlignment="1">
      <alignment horizontal="center" vertical="center" wrapText="1"/>
    </xf>
    <xf numFmtId="166" fontId="48" fillId="0" borderId="0" xfId="14" applyNumberFormat="1" applyFont="1" applyAlignment="1">
      <alignment horizontal="center" vertical="center"/>
    </xf>
    <xf numFmtId="166" fontId="3" fillId="0" borderId="0" xfId="9" applyNumberFormat="1" applyAlignment="1">
      <alignment horizontal="center" vertical="center"/>
    </xf>
    <xf numFmtId="166" fontId="48" fillId="0" borderId="0" xfId="9" applyNumberFormat="1" applyFont="1" applyAlignment="1">
      <alignment horizontal="center" vertical="center"/>
    </xf>
    <xf numFmtId="2" fontId="49" fillId="0" borderId="0" xfId="9" applyNumberFormat="1" applyFont="1" applyAlignment="1">
      <alignment horizontal="center" vertical="center"/>
    </xf>
    <xf numFmtId="0" fontId="10" fillId="0" borderId="17" xfId="1" applyFont="1" applyBorder="1" applyAlignment="1">
      <alignment horizontal="center" vertical="center"/>
    </xf>
    <xf numFmtId="0" fontId="7" fillId="0" borderId="1" xfId="0" applyFont="1" applyBorder="1" applyAlignment="1">
      <alignment horizontal="left" vertical="center" wrapText="1"/>
    </xf>
    <xf numFmtId="0" fontId="50" fillId="0" borderId="1" xfId="1" applyFont="1" applyBorder="1" applyAlignment="1">
      <alignment horizontal="center"/>
    </xf>
    <xf numFmtId="0" fontId="7" fillId="0" borderId="1" xfId="17" applyFont="1" applyBorder="1" applyAlignment="1">
      <alignment horizontal="center" vertical="center" wrapText="1"/>
    </xf>
    <xf numFmtId="166" fontId="48" fillId="0" borderId="0" xfId="17" applyNumberFormat="1" applyFont="1" applyAlignment="1">
      <alignment horizontal="center" vertical="center"/>
    </xf>
    <xf numFmtId="0" fontId="51" fillId="0" borderId="1" xfId="0" applyFont="1" applyBorder="1" applyAlignment="1">
      <alignment horizontal="center" vertical="center" wrapText="1"/>
    </xf>
    <xf numFmtId="0" fontId="10" fillId="22" borderId="1" xfId="1" applyFont="1" applyFill="1" applyBorder="1" applyAlignment="1">
      <alignment horizontal="center" vertical="center"/>
    </xf>
    <xf numFmtId="164" fontId="19" fillId="6" borderId="1" xfId="1" applyNumberFormat="1" applyFont="1" applyFill="1" applyBorder="1" applyAlignment="1">
      <alignment horizontal="center" vertical="center"/>
    </xf>
    <xf numFmtId="171" fontId="15" fillId="21" borderId="1" xfId="1" applyNumberFormat="1" applyFont="1" applyFill="1" applyBorder="1" applyAlignment="1">
      <alignment horizontal="center" vertical="center"/>
    </xf>
    <xf numFmtId="166" fontId="15" fillId="4" borderId="1" xfId="2" applyNumberFormat="1" applyFont="1" applyFill="1" applyBorder="1" applyAlignment="1">
      <alignment horizontal="center" vertical="center"/>
    </xf>
    <xf numFmtId="2" fontId="10" fillId="20" borderId="1" xfId="1" applyNumberFormat="1" applyFont="1" applyFill="1" applyBorder="1" applyAlignment="1">
      <alignment horizontal="center" vertical="center"/>
    </xf>
    <xf numFmtId="0" fontId="34" fillId="12" borderId="15" xfId="0" applyFont="1" applyFill="1" applyBorder="1" applyAlignment="1">
      <alignment horizontal="center" vertical="center" wrapText="1"/>
    </xf>
    <xf numFmtId="0" fontId="14" fillId="0" borderId="23" xfId="1" applyFont="1" applyBorder="1" applyAlignment="1">
      <alignment horizontal="center" vertical="center" wrapText="1"/>
    </xf>
    <xf numFmtId="164" fontId="14" fillId="10" borderId="23" xfId="1" applyNumberFormat="1" applyFont="1" applyFill="1" applyBorder="1" applyAlignment="1">
      <alignment horizontal="center" vertical="center" wrapText="1"/>
    </xf>
    <xf numFmtId="0" fontId="15" fillId="10" borderId="23" xfId="1" applyFont="1" applyFill="1" applyBorder="1" applyAlignment="1">
      <alignment horizontal="center" vertical="center" wrapText="1"/>
    </xf>
    <xf numFmtId="164" fontId="14" fillId="10" borderId="24" xfId="1" applyNumberFormat="1" applyFont="1" applyFill="1" applyBorder="1" applyAlignment="1">
      <alignment horizontal="center" vertical="center" wrapText="1"/>
    </xf>
    <xf numFmtId="0" fontId="14" fillId="0" borderId="26" xfId="1" applyFont="1" applyBorder="1" applyAlignment="1">
      <alignment horizontal="center" vertical="center" wrapText="1"/>
    </xf>
    <xf numFmtId="164" fontId="14" fillId="10" borderId="26" xfId="1" applyNumberFormat="1" applyFont="1" applyFill="1" applyBorder="1" applyAlignment="1">
      <alignment horizontal="center" vertical="center" wrapText="1"/>
    </xf>
    <xf numFmtId="0" fontId="15" fillId="10" borderId="26" xfId="1" applyFont="1" applyFill="1" applyBorder="1" applyAlignment="1">
      <alignment horizontal="center" vertical="center" wrapText="1"/>
    </xf>
    <xf numFmtId="164" fontId="14" fillId="10" borderId="27" xfId="1" applyNumberFormat="1" applyFont="1" applyFill="1" applyBorder="1" applyAlignment="1">
      <alignment horizontal="center" vertical="center" wrapText="1"/>
    </xf>
    <xf numFmtId="0" fontId="5" fillId="3" borderId="25" xfId="1" applyFont="1" applyFill="1" applyBorder="1" applyAlignment="1">
      <alignment horizontal="center" vertical="center" wrapText="1"/>
    </xf>
    <xf numFmtId="0" fontId="5" fillId="3" borderId="26" xfId="1" applyFont="1" applyFill="1" applyBorder="1" applyAlignment="1">
      <alignment horizontal="center" vertical="center" wrapText="1"/>
    </xf>
    <xf numFmtId="0" fontId="5" fillId="3" borderId="26" xfId="2" applyFont="1" applyFill="1" applyBorder="1" applyAlignment="1">
      <alignment horizontal="center" vertical="center" wrapText="1"/>
    </xf>
    <xf numFmtId="0" fontId="5" fillId="3" borderId="27" xfId="2" applyFont="1" applyFill="1" applyBorder="1" applyAlignment="1">
      <alignment horizontal="center" vertical="center" wrapText="1"/>
    </xf>
    <xf numFmtId="0" fontId="10" fillId="20" borderId="1" xfId="31" applyNumberFormat="1" applyFont="1" applyFill="1" applyBorder="1" applyAlignment="1">
      <alignment horizontal="center" vertical="center"/>
    </xf>
    <xf numFmtId="164" fontId="14" fillId="10" borderId="28" xfId="1" applyNumberFormat="1" applyFont="1" applyFill="1" applyBorder="1" applyAlignment="1">
      <alignment horizontal="center" vertical="center" wrapText="1"/>
    </xf>
    <xf numFmtId="164" fontId="14" fillId="10" borderId="0" xfId="1" applyNumberFormat="1" applyFont="1" applyFill="1" applyAlignment="1">
      <alignment horizontal="center" vertical="center" wrapText="1"/>
    </xf>
    <xf numFmtId="0" fontId="15" fillId="10" borderId="0" xfId="1" applyFont="1" applyFill="1" applyAlignment="1">
      <alignment horizontal="center" vertical="center" wrapText="1"/>
    </xf>
    <xf numFmtId="164" fontId="14" fillId="10" borderId="18" xfId="1" applyNumberFormat="1" applyFont="1" applyFill="1" applyBorder="1" applyAlignment="1">
      <alignment horizontal="center" vertical="center" wrapText="1"/>
    </xf>
    <xf numFmtId="49" fontId="7" fillId="10" borderId="2" xfId="1" applyNumberFormat="1" applyFont="1" applyFill="1" applyBorder="1" applyAlignment="1">
      <alignment horizontal="center" vertical="center" wrapText="1"/>
    </xf>
    <xf numFmtId="49" fontId="54" fillId="17" borderId="14" xfId="1" applyNumberFormat="1" applyFont="1" applyFill="1" applyBorder="1" applyAlignment="1">
      <alignment horizontal="center" vertical="center" wrapText="1"/>
    </xf>
    <xf numFmtId="49" fontId="54" fillId="17" borderId="0" xfId="1" applyNumberFormat="1" applyFont="1" applyFill="1" applyAlignment="1">
      <alignment horizontal="center" vertical="center" wrapText="1"/>
    </xf>
    <xf numFmtId="49" fontId="54" fillId="17" borderId="2" xfId="1" applyNumberFormat="1" applyFont="1" applyFill="1" applyBorder="1" applyAlignment="1">
      <alignment horizontal="center" vertical="center" wrapText="1"/>
    </xf>
    <xf numFmtId="166" fontId="21" fillId="0" borderId="32" xfId="1" applyNumberFormat="1" applyFont="1" applyBorder="1" applyAlignment="1">
      <alignment horizontal="center" vertical="center"/>
    </xf>
    <xf numFmtId="0" fontId="10" fillId="20" borderId="32" xfId="31" applyNumberFormat="1" applyFont="1" applyFill="1" applyBorder="1" applyAlignment="1">
      <alignment horizontal="center" vertical="center"/>
    </xf>
    <xf numFmtId="166" fontId="26" fillId="18" borderId="32" xfId="1" applyNumberFormat="1" applyFont="1" applyFill="1" applyBorder="1" applyAlignment="1">
      <alignment horizontal="center" vertical="center"/>
    </xf>
    <xf numFmtId="164" fontId="45" fillId="18" borderId="32" xfId="1" applyNumberFormat="1" applyFont="1" applyFill="1" applyBorder="1" applyAlignment="1">
      <alignment horizontal="center" vertical="center"/>
    </xf>
    <xf numFmtId="164" fontId="46" fillId="18" borderId="32" xfId="1" applyNumberFormat="1" applyFont="1" applyFill="1" applyBorder="1" applyAlignment="1">
      <alignment horizontal="center" vertical="center"/>
    </xf>
    <xf numFmtId="0" fontId="10" fillId="11" borderId="32" xfId="1" applyFont="1" applyFill="1" applyBorder="1" applyAlignment="1">
      <alignment horizontal="center" vertical="center"/>
    </xf>
    <xf numFmtId="164" fontId="26" fillId="18" borderId="32" xfId="1" applyNumberFormat="1" applyFont="1" applyFill="1" applyBorder="1" applyAlignment="1">
      <alignment horizontal="center" vertical="center"/>
    </xf>
    <xf numFmtId="164" fontId="21" fillId="0" borderId="32" xfId="1" applyNumberFormat="1" applyFont="1" applyBorder="1" applyAlignment="1">
      <alignment horizontal="center" vertical="center"/>
    </xf>
    <xf numFmtId="164" fontId="23" fillId="17" borderId="32" xfId="1" applyNumberFormat="1" applyFont="1" applyFill="1" applyBorder="1" applyAlignment="1">
      <alignment horizontal="center" vertical="center"/>
    </xf>
    <xf numFmtId="164" fontId="7" fillId="10" borderId="32" xfId="1" applyNumberFormat="1" applyFont="1" applyFill="1" applyBorder="1" applyAlignment="1">
      <alignment horizontal="center" vertical="center" wrapText="1"/>
    </xf>
    <xf numFmtId="164" fontId="21" fillId="11" borderId="32" xfId="1" applyNumberFormat="1" applyFont="1" applyFill="1" applyBorder="1" applyAlignment="1">
      <alignment horizontal="center" vertical="center"/>
    </xf>
    <xf numFmtId="0" fontId="26" fillId="20" borderId="32" xfId="1" applyFont="1" applyFill="1" applyBorder="1" applyAlignment="1">
      <alignment horizontal="center" vertical="center"/>
    </xf>
    <xf numFmtId="164" fontId="17" fillId="17" borderId="32" xfId="1" applyNumberFormat="1" applyFont="1" applyFill="1" applyBorder="1" applyAlignment="1">
      <alignment horizontal="center" vertical="center"/>
    </xf>
    <xf numFmtId="164" fontId="26" fillId="20" borderId="32" xfId="1" applyNumberFormat="1" applyFont="1" applyFill="1" applyBorder="1" applyAlignment="1">
      <alignment horizontal="center" vertical="center"/>
    </xf>
    <xf numFmtId="164" fontId="21" fillId="10" borderId="32" xfId="1" applyNumberFormat="1" applyFont="1" applyFill="1" applyBorder="1" applyAlignment="1">
      <alignment horizontal="center" vertical="center"/>
    </xf>
    <xf numFmtId="164" fontId="26" fillId="0" borderId="32" xfId="1" applyNumberFormat="1" applyFont="1" applyBorder="1" applyAlignment="1">
      <alignment horizontal="center" vertical="center"/>
    </xf>
    <xf numFmtId="164" fontId="47" fillId="19" borderId="32" xfId="1" applyNumberFormat="1" applyFont="1" applyFill="1" applyBorder="1" applyAlignment="1">
      <alignment horizontal="center" vertical="center"/>
    </xf>
    <xf numFmtId="166" fontId="26" fillId="17" borderId="32" xfId="2" applyNumberFormat="1" applyFont="1" applyFill="1" applyBorder="1" applyAlignment="1">
      <alignment horizontal="center" vertical="center"/>
    </xf>
    <xf numFmtId="166" fontId="23" fillId="17" borderId="14" xfId="1" applyNumberFormat="1" applyFont="1" applyFill="1" applyBorder="1" applyAlignment="1">
      <alignment horizontal="center" vertical="center"/>
    </xf>
    <xf numFmtId="0" fontId="5" fillId="3" borderId="33" xfId="1" applyFont="1" applyFill="1" applyBorder="1" applyAlignment="1">
      <alignment horizontal="center" vertical="center" wrapText="1"/>
    </xf>
    <xf numFmtId="0" fontId="5" fillId="3" borderId="15" xfId="1" applyFont="1" applyFill="1" applyBorder="1" applyAlignment="1">
      <alignment horizontal="center" vertical="center" wrapText="1"/>
    </xf>
    <xf numFmtId="0" fontId="5" fillId="3" borderId="15" xfId="2" applyFont="1" applyFill="1" applyBorder="1" applyAlignment="1">
      <alignment horizontal="center" vertical="center" wrapText="1"/>
    </xf>
    <xf numFmtId="0" fontId="5" fillId="3" borderId="34" xfId="2" applyFont="1" applyFill="1" applyBorder="1" applyAlignment="1">
      <alignment horizontal="center" vertical="center" wrapText="1"/>
    </xf>
    <xf numFmtId="170" fontId="52" fillId="0" borderId="0" xfId="20" applyNumberFormat="1" applyFont="1" applyFill="1" applyBorder="1" applyAlignment="1">
      <alignment horizontal="center" vertical="center" wrapText="1"/>
    </xf>
    <xf numFmtId="170" fontId="53" fillId="0" borderId="0" xfId="20" applyNumberFormat="1" applyFont="1" applyFill="1" applyBorder="1" applyAlignment="1">
      <alignment horizontal="center" vertical="center" wrapText="1"/>
    </xf>
    <xf numFmtId="0" fontId="23" fillId="0" borderId="0" xfId="0" applyFont="1" applyAlignment="1">
      <alignment horizontal="center" wrapText="1"/>
    </xf>
    <xf numFmtId="0" fontId="7" fillId="0" borderId="0" xfId="1" applyFont="1" applyAlignment="1">
      <alignment horizontal="left" vertical="center" wrapText="1"/>
    </xf>
    <xf numFmtId="0" fontId="5" fillId="3" borderId="35" xfId="1" applyFont="1" applyFill="1" applyBorder="1" applyAlignment="1">
      <alignment horizontal="center" vertical="center" wrapText="1"/>
    </xf>
    <xf numFmtId="0" fontId="5" fillId="3" borderId="36" xfId="1" applyFont="1" applyFill="1" applyBorder="1" applyAlignment="1">
      <alignment horizontal="center" vertical="center" wrapText="1"/>
    </xf>
    <xf numFmtId="0" fontId="5" fillId="3" borderId="36" xfId="2" applyFont="1" applyFill="1" applyBorder="1" applyAlignment="1">
      <alignment horizontal="center" vertical="center" wrapText="1"/>
    </xf>
    <xf numFmtId="0" fontId="5" fillId="3" borderId="37" xfId="2" applyFont="1" applyFill="1" applyBorder="1" applyAlignment="1">
      <alignment horizontal="center" vertical="center" wrapText="1"/>
    </xf>
    <xf numFmtId="164" fontId="10" fillId="10" borderId="1" xfId="1" applyNumberFormat="1" applyFont="1" applyFill="1" applyBorder="1" applyAlignment="1">
      <alignment horizontal="center" vertical="center" wrapText="1"/>
    </xf>
    <xf numFmtId="164" fontId="10" fillId="0" borderId="1" xfId="1" applyNumberFormat="1" applyFont="1" applyBorder="1" applyAlignment="1">
      <alignment horizontal="center" vertical="center"/>
    </xf>
    <xf numFmtId="0" fontId="55" fillId="12" borderId="1" xfId="1" applyFont="1" applyFill="1" applyBorder="1" applyAlignment="1">
      <alignment horizontal="center" vertical="center"/>
    </xf>
    <xf numFmtId="0" fontId="55" fillId="12" borderId="1" xfId="1" applyFont="1" applyFill="1" applyBorder="1" applyAlignment="1">
      <alignment horizontal="center" vertical="center" wrapText="1"/>
    </xf>
    <xf numFmtId="49" fontId="54" fillId="17" borderId="1" xfId="1" applyNumberFormat="1" applyFont="1" applyFill="1" applyBorder="1" applyAlignment="1">
      <alignment vertical="center" wrapText="1"/>
    </xf>
    <xf numFmtId="49" fontId="54" fillId="17" borderId="1" xfId="1" applyNumberFormat="1" applyFont="1" applyFill="1" applyBorder="1" applyAlignment="1">
      <alignment horizontal="center" vertical="center" wrapText="1"/>
    </xf>
    <xf numFmtId="164" fontId="7" fillId="10" borderId="3" xfId="1" applyNumberFormat="1" applyFont="1" applyFill="1" applyBorder="1" applyAlignment="1">
      <alignment horizontal="center" vertical="center" wrapText="1"/>
    </xf>
    <xf numFmtId="0" fontId="23" fillId="0" borderId="1" xfId="0" applyFont="1" applyBorder="1" applyAlignment="1">
      <alignment horizontal="center" wrapText="1"/>
    </xf>
    <xf numFmtId="0" fontId="7" fillId="0" borderId="1" xfId="1" applyFont="1" applyBorder="1" applyAlignment="1">
      <alignment horizontal="left" vertical="center" wrapText="1"/>
    </xf>
    <xf numFmtId="49" fontId="7" fillId="10" borderId="3" xfId="1" applyNumberFormat="1" applyFont="1" applyFill="1" applyBorder="1" applyAlignment="1">
      <alignment horizontal="center" vertical="center" wrapText="1"/>
    </xf>
    <xf numFmtId="0" fontId="10" fillId="0" borderId="22" xfId="0" applyFont="1" applyBorder="1" applyAlignment="1">
      <alignment horizontal="center" vertical="center" wrapText="1"/>
    </xf>
    <xf numFmtId="170" fontId="52" fillId="0" borderId="23" xfId="20" applyNumberFormat="1" applyFont="1" applyFill="1" applyBorder="1" applyAlignment="1">
      <alignment horizontal="center" vertical="center" wrapText="1"/>
    </xf>
    <xf numFmtId="170" fontId="53" fillId="0" borderId="23" xfId="20" applyNumberFormat="1" applyFont="1" applyFill="1" applyBorder="1" applyAlignment="1">
      <alignment horizontal="center" vertical="center" wrapText="1"/>
    </xf>
    <xf numFmtId="0" fontId="23" fillId="0" borderId="23" xfId="0" applyFont="1" applyBorder="1" applyAlignment="1">
      <alignment horizontal="center" wrapText="1"/>
    </xf>
    <xf numFmtId="0" fontId="7" fillId="0" borderId="23" xfId="1" applyFont="1" applyBorder="1" applyAlignment="1">
      <alignment horizontal="left" vertical="center" wrapText="1"/>
    </xf>
    <xf numFmtId="0" fontId="10" fillId="0" borderId="0" xfId="0" applyFont="1" applyAlignment="1">
      <alignment horizontal="center" vertical="center" wrapText="1"/>
    </xf>
    <xf numFmtId="164" fontId="14" fillId="0" borderId="1" xfId="1" applyNumberFormat="1" applyFont="1" applyBorder="1" applyAlignment="1">
      <alignment horizontal="center" vertical="center" wrapText="1"/>
    </xf>
    <xf numFmtId="49" fontId="15" fillId="4" borderId="0" xfId="1" applyNumberFormat="1" applyFont="1" applyFill="1" applyAlignment="1">
      <alignment horizontal="center" vertical="center" wrapText="1"/>
    </xf>
    <xf numFmtId="164" fontId="14" fillId="0" borderId="15" xfId="1" applyNumberFormat="1" applyFont="1" applyBorder="1" applyAlignment="1">
      <alignment horizontal="center" vertical="center" wrapText="1"/>
    </xf>
    <xf numFmtId="0" fontId="14" fillId="0" borderId="1" xfId="1" applyFont="1" applyBorder="1" applyAlignment="1">
      <alignment horizontal="center" vertical="center" wrapText="1"/>
    </xf>
    <xf numFmtId="0" fontId="21" fillId="0" borderId="1" xfId="0" applyFont="1" applyBorder="1" applyAlignment="1">
      <alignment horizontal="center" vertical="center" wrapText="1"/>
    </xf>
    <xf numFmtId="49" fontId="3" fillId="17" borderId="1" xfId="1" applyNumberFormat="1" applyFill="1" applyBorder="1" applyAlignment="1">
      <alignment vertical="center" wrapText="1"/>
    </xf>
    <xf numFmtId="49" fontId="3" fillId="17" borderId="1" xfId="1" applyNumberFormat="1" applyFill="1" applyBorder="1" applyAlignment="1">
      <alignment horizontal="left" vertical="center" wrapText="1"/>
    </xf>
    <xf numFmtId="0" fontId="58" fillId="0" borderId="0" xfId="0" applyFont="1" applyAlignment="1">
      <alignment horizontal="left" vertical="center" wrapText="1"/>
    </xf>
    <xf numFmtId="0" fontId="5" fillId="3" borderId="41" xfId="1" applyFont="1" applyFill="1" applyBorder="1" applyAlignment="1">
      <alignment horizontal="center" vertical="center" wrapText="1"/>
    </xf>
    <xf numFmtId="0" fontId="5" fillId="3" borderId="42" xfId="1" applyFont="1" applyFill="1" applyBorder="1" applyAlignment="1">
      <alignment horizontal="center" vertical="center" wrapText="1"/>
    </xf>
    <xf numFmtId="0" fontId="5" fillId="3" borderId="42" xfId="2" applyFont="1" applyFill="1" applyBorder="1" applyAlignment="1">
      <alignment horizontal="center" vertical="center" wrapText="1"/>
    </xf>
    <xf numFmtId="0" fontId="5" fillId="3" borderId="43" xfId="2" applyFont="1" applyFill="1" applyBorder="1" applyAlignment="1">
      <alignment horizontal="center" vertical="center" wrapText="1"/>
    </xf>
    <xf numFmtId="0" fontId="56" fillId="0" borderId="47" xfId="0" applyFont="1" applyBorder="1" applyAlignment="1">
      <alignment horizontal="center" vertical="center" wrapText="1"/>
    </xf>
    <xf numFmtId="170" fontId="13" fillId="0" borderId="48" xfId="20" applyNumberFormat="1" applyFont="1" applyFill="1" applyBorder="1" applyAlignment="1">
      <alignment horizontal="center" vertical="center" wrapText="1"/>
    </xf>
    <xf numFmtId="0" fontId="57" fillId="0" borderId="48" xfId="0" applyFont="1" applyBorder="1" applyAlignment="1">
      <alignment horizontal="center" wrapText="1"/>
    </xf>
    <xf numFmtId="0" fontId="14" fillId="0" borderId="48" xfId="1" applyFont="1" applyBorder="1" applyAlignment="1">
      <alignment horizontal="center" vertical="center" wrapText="1"/>
    </xf>
    <xf numFmtId="164" fontId="14" fillId="10" borderId="48" xfId="1" applyNumberFormat="1" applyFont="1" applyFill="1" applyBorder="1" applyAlignment="1">
      <alignment horizontal="center" vertical="center" wrapText="1"/>
    </xf>
    <xf numFmtId="0" fontId="15" fillId="10" borderId="48" xfId="1" applyFont="1" applyFill="1" applyBorder="1" applyAlignment="1">
      <alignment horizontal="center" vertical="center" wrapText="1"/>
    </xf>
    <xf numFmtId="0" fontId="59" fillId="0" borderId="48" xfId="1" applyFont="1" applyBorder="1" applyAlignment="1">
      <alignment horizontal="left" vertical="center" wrapText="1"/>
    </xf>
    <xf numFmtId="164" fontId="14" fillId="10" borderId="49" xfId="1" applyNumberFormat="1" applyFont="1" applyFill="1" applyBorder="1" applyAlignment="1">
      <alignment horizontal="center" vertical="center" wrapText="1"/>
    </xf>
    <xf numFmtId="0" fontId="13" fillId="0" borderId="50" xfId="0" applyFont="1" applyBorder="1" applyAlignment="1">
      <alignment horizontal="center" vertical="center" wrapText="1"/>
    </xf>
    <xf numFmtId="0" fontId="57" fillId="0" borderId="53" xfId="0" applyFont="1" applyBorder="1" applyAlignment="1">
      <alignment horizontal="center" wrapText="1"/>
    </xf>
    <xf numFmtId="0" fontId="14" fillId="0" borderId="53" xfId="1" applyFont="1" applyBorder="1" applyAlignment="1">
      <alignment horizontal="center" vertical="center" wrapText="1"/>
    </xf>
    <xf numFmtId="164" fontId="14" fillId="10" borderId="53" xfId="1" applyNumberFormat="1" applyFont="1" applyFill="1" applyBorder="1" applyAlignment="1">
      <alignment horizontal="center" vertical="center" wrapText="1"/>
    </xf>
    <xf numFmtId="0" fontId="15" fillId="10" borderId="53" xfId="1" applyFont="1" applyFill="1" applyBorder="1" applyAlignment="1">
      <alignment horizontal="center" vertical="center" wrapText="1"/>
    </xf>
    <xf numFmtId="164" fontId="14" fillId="10" borderId="54" xfId="1" applyNumberFormat="1" applyFont="1" applyFill="1" applyBorder="1" applyAlignment="1">
      <alignment horizontal="center" vertical="center" wrapText="1"/>
    </xf>
    <xf numFmtId="170" fontId="13" fillId="0" borderId="51" xfId="20" applyNumberFormat="1" applyFont="1" applyFill="1" applyBorder="1" applyAlignment="1">
      <alignment horizontal="center" vertical="center" wrapText="1"/>
    </xf>
    <xf numFmtId="170" fontId="13" fillId="0" borderId="52" xfId="20" applyNumberFormat="1" applyFont="1" applyFill="1" applyBorder="1" applyAlignment="1">
      <alignment horizontal="center" vertical="center" wrapText="1"/>
    </xf>
    <xf numFmtId="0" fontId="4" fillId="2" borderId="44" xfId="1" applyFont="1" applyFill="1" applyBorder="1" applyAlignment="1">
      <alignment horizontal="center" vertical="center" wrapText="1"/>
    </xf>
    <xf numFmtId="0" fontId="4" fillId="2" borderId="45" xfId="1" applyFont="1" applyFill="1" applyBorder="1" applyAlignment="1">
      <alignment horizontal="center" vertical="center" wrapText="1"/>
    </xf>
    <xf numFmtId="0" fontId="4" fillId="2" borderId="46" xfId="1" applyFont="1" applyFill="1" applyBorder="1" applyAlignment="1">
      <alignment horizontal="center" vertical="center" wrapText="1"/>
    </xf>
    <xf numFmtId="0" fontId="5" fillId="0" borderId="0" xfId="2" applyFont="1" applyAlignment="1">
      <alignment horizontal="left" vertical="center" wrapText="1"/>
    </xf>
    <xf numFmtId="0" fontId="5" fillId="0" borderId="10" xfId="2" applyFont="1" applyBorder="1" applyAlignment="1">
      <alignment horizontal="left" vertical="center" wrapText="1"/>
    </xf>
    <xf numFmtId="49" fontId="54" fillId="17" borderId="11" xfId="1" applyNumberFormat="1" applyFont="1" applyFill="1" applyBorder="1" applyAlignment="1">
      <alignment horizontal="center" vertical="center" wrapText="1"/>
    </xf>
    <xf numFmtId="49" fontId="54" fillId="17" borderId="12" xfId="1" applyNumberFormat="1" applyFont="1" applyFill="1" applyBorder="1" applyAlignment="1">
      <alignment horizontal="center" vertical="center" wrapText="1"/>
    </xf>
    <xf numFmtId="49" fontId="54" fillId="17" borderId="13" xfId="1" applyNumberFormat="1" applyFont="1" applyFill="1" applyBorder="1" applyAlignment="1">
      <alignment horizontal="center" vertical="center" wrapText="1"/>
    </xf>
    <xf numFmtId="49" fontId="54" fillId="17" borderId="19" xfId="1" applyNumberFormat="1" applyFont="1" applyFill="1" applyBorder="1" applyAlignment="1">
      <alignment horizontal="center" vertical="center" wrapText="1"/>
    </xf>
    <xf numFmtId="49" fontId="54" fillId="17" borderId="20" xfId="1" applyNumberFormat="1" applyFont="1" applyFill="1" applyBorder="1" applyAlignment="1">
      <alignment horizontal="center" vertical="center" wrapText="1"/>
    </xf>
    <xf numFmtId="49" fontId="54" fillId="17" borderId="21" xfId="1" applyNumberFormat="1" applyFont="1" applyFill="1" applyBorder="1" applyAlignment="1">
      <alignment horizontal="center" vertical="center" wrapText="1"/>
    </xf>
    <xf numFmtId="164" fontId="7" fillId="10" borderId="3" xfId="1" applyNumberFormat="1" applyFont="1" applyFill="1" applyBorder="1" applyAlignment="1">
      <alignment horizontal="center" vertical="center" wrapText="1"/>
    </xf>
    <xf numFmtId="164" fontId="7" fillId="10" borderId="15" xfId="1" applyNumberFormat="1" applyFont="1" applyFill="1" applyBorder="1" applyAlignment="1">
      <alignment horizontal="center" vertical="center" wrapText="1"/>
    </xf>
    <xf numFmtId="0" fontId="4" fillId="2" borderId="38" xfId="1" applyFont="1" applyFill="1" applyBorder="1" applyAlignment="1">
      <alignment horizontal="center" vertical="center" wrapText="1"/>
    </xf>
    <xf numFmtId="0" fontId="4" fillId="2" borderId="39" xfId="1" applyFont="1" applyFill="1" applyBorder="1" applyAlignment="1">
      <alignment horizontal="center" vertical="center" wrapText="1"/>
    </xf>
    <xf numFmtId="0" fontId="4" fillId="2" borderId="40" xfId="1" applyFont="1" applyFill="1" applyBorder="1" applyAlignment="1">
      <alignment horizontal="center" vertical="center" wrapText="1"/>
    </xf>
    <xf numFmtId="0" fontId="5" fillId="0" borderId="0" xfId="2" applyFont="1" applyAlignment="1">
      <alignment horizontal="center" vertical="center" wrapText="1"/>
    </xf>
    <xf numFmtId="0" fontId="5" fillId="0" borderId="10" xfId="2" applyFont="1" applyBorder="1" applyAlignment="1">
      <alignment horizontal="center" vertical="center" wrapText="1"/>
    </xf>
    <xf numFmtId="0" fontId="10" fillId="0" borderId="17" xfId="0" applyFont="1" applyBorder="1" applyAlignment="1">
      <alignment horizontal="center" vertical="center" wrapText="1"/>
    </xf>
    <xf numFmtId="0" fontId="10" fillId="0" borderId="25" xfId="0" applyFont="1" applyBorder="1" applyAlignment="1">
      <alignment horizontal="center" vertical="center" wrapText="1"/>
    </xf>
    <xf numFmtId="170" fontId="52" fillId="0" borderId="1" xfId="20" applyNumberFormat="1" applyFont="1" applyFill="1" applyBorder="1" applyAlignment="1">
      <alignment horizontal="center" vertical="center" wrapText="1"/>
    </xf>
    <xf numFmtId="170" fontId="52" fillId="0" borderId="26" xfId="20" applyNumberFormat="1" applyFont="1" applyFill="1" applyBorder="1" applyAlignment="1">
      <alignment horizontal="center" vertical="center" wrapText="1"/>
    </xf>
    <xf numFmtId="170" fontId="53" fillId="0" borderId="1" xfId="20" applyNumberFormat="1" applyFont="1" applyFill="1" applyBorder="1" applyAlignment="1">
      <alignment horizontal="center" vertical="center" wrapText="1"/>
    </xf>
    <xf numFmtId="170" fontId="53" fillId="0" borderId="26" xfId="20" applyNumberFormat="1" applyFont="1" applyFill="1" applyBorder="1" applyAlignment="1">
      <alignment horizontal="center" vertical="center" wrapText="1"/>
    </xf>
    <xf numFmtId="0" fontId="23" fillId="0" borderId="1" xfId="0" applyFont="1" applyBorder="1" applyAlignment="1">
      <alignment horizontal="center" wrapText="1"/>
    </xf>
    <xf numFmtId="0" fontId="23" fillId="0" borderId="26" xfId="0" applyFont="1" applyBorder="1" applyAlignment="1">
      <alignment horizontal="center" wrapText="1"/>
    </xf>
    <xf numFmtId="0" fontId="7" fillId="0" borderId="1" xfId="1" applyFont="1" applyBorder="1" applyAlignment="1">
      <alignment horizontal="left" vertical="center" wrapText="1"/>
    </xf>
    <xf numFmtId="0" fontId="7" fillId="0" borderId="26" xfId="1" applyFont="1" applyBorder="1" applyAlignment="1">
      <alignment horizontal="left" vertical="center" wrapText="1"/>
    </xf>
    <xf numFmtId="49" fontId="7" fillId="10" borderId="3" xfId="1" applyNumberFormat="1" applyFont="1" applyFill="1" applyBorder="1" applyAlignment="1">
      <alignment horizontal="center" vertical="center" wrapText="1"/>
    </xf>
    <xf numFmtId="49" fontId="7" fillId="10" borderId="15" xfId="1" applyNumberFormat="1" applyFont="1" applyFill="1" applyBorder="1" applyAlignment="1">
      <alignment horizontal="center" vertical="center" wrapText="1"/>
    </xf>
    <xf numFmtId="49" fontId="54" fillId="17" borderId="3" xfId="1" applyNumberFormat="1" applyFont="1" applyFill="1" applyBorder="1" applyAlignment="1">
      <alignment horizontal="center" vertical="center" wrapText="1"/>
    </xf>
    <xf numFmtId="49" fontId="54" fillId="17" borderId="15" xfId="1" applyNumberFormat="1" applyFont="1" applyFill="1" applyBorder="1" applyAlignment="1">
      <alignment horizontal="center" vertical="center" wrapText="1"/>
    </xf>
    <xf numFmtId="0" fontId="4" fillId="2" borderId="29" xfId="1" applyFont="1" applyFill="1" applyBorder="1" applyAlignment="1">
      <alignment horizontal="center" vertical="center" wrapText="1"/>
    </xf>
    <xf numFmtId="0" fontId="4" fillId="2" borderId="30" xfId="1" applyFont="1" applyFill="1" applyBorder="1" applyAlignment="1">
      <alignment horizontal="center" vertical="center" wrapText="1"/>
    </xf>
    <xf numFmtId="0" fontId="4" fillId="2" borderId="31" xfId="1" applyFont="1" applyFill="1" applyBorder="1" applyAlignment="1">
      <alignment horizontal="center" vertical="center" wrapText="1"/>
    </xf>
    <xf numFmtId="0" fontId="10" fillId="0" borderId="22" xfId="0" applyFont="1" applyBorder="1" applyAlignment="1">
      <alignment horizontal="center" vertical="center" wrapText="1"/>
    </xf>
    <xf numFmtId="170" fontId="52" fillId="0" borderId="23" xfId="20" applyNumberFormat="1" applyFont="1" applyFill="1" applyBorder="1" applyAlignment="1">
      <alignment horizontal="center" vertical="center" wrapText="1"/>
    </xf>
    <xf numFmtId="170" fontId="53" fillId="0" borderId="23" xfId="20" applyNumberFormat="1" applyFont="1" applyFill="1" applyBorder="1" applyAlignment="1">
      <alignment horizontal="center" vertical="center" wrapText="1"/>
    </xf>
    <xf numFmtId="0" fontId="23" fillId="0" borderId="23" xfId="0" applyFont="1" applyBorder="1" applyAlignment="1">
      <alignment horizontal="center" wrapText="1"/>
    </xf>
    <xf numFmtId="0" fontId="7" fillId="0" borderId="23" xfId="1" applyFont="1" applyBorder="1" applyAlignment="1">
      <alignment horizontal="left"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0" xfId="0" applyFont="1" applyAlignment="1">
      <alignment horizontal="center" vertical="center" wrapText="1"/>
    </xf>
    <xf numFmtId="0" fontId="10" fillId="0" borderId="2" xfId="0" applyFont="1" applyBorder="1" applyAlignment="1">
      <alignment horizontal="center" vertical="center" wrapText="1"/>
    </xf>
    <xf numFmtId="0" fontId="12" fillId="0" borderId="0" xfId="1" applyFont="1" applyAlignment="1">
      <alignment horizontal="left" vertical="top" wrapText="1"/>
    </xf>
    <xf numFmtId="0" fontId="12" fillId="0" borderId="2" xfId="1" applyFont="1" applyBorder="1" applyAlignment="1">
      <alignment horizontal="left" vertical="top"/>
    </xf>
    <xf numFmtId="0" fontId="32" fillId="0" borderId="5" xfId="0" applyFont="1" applyBorder="1" applyAlignment="1">
      <alignment horizontal="center" vertical="center" wrapText="1"/>
    </xf>
    <xf numFmtId="0" fontId="32" fillId="0" borderId="16" xfId="0" applyFont="1" applyBorder="1" applyAlignment="1">
      <alignment horizontal="center" vertical="center" wrapText="1"/>
    </xf>
    <xf numFmtId="0" fontId="32" fillId="0" borderId="9" xfId="0" applyFont="1" applyBorder="1" applyAlignment="1">
      <alignment horizontal="center" vertical="center" wrapText="1"/>
    </xf>
    <xf numFmtId="49" fontId="15" fillId="4" borderId="1" xfId="1" applyNumberFormat="1" applyFont="1" applyFill="1" applyBorder="1" applyAlignment="1">
      <alignment horizontal="center" vertical="center" wrapText="1"/>
    </xf>
    <xf numFmtId="164" fontId="14" fillId="0" borderId="1" xfId="1" applyNumberFormat="1" applyFont="1" applyBorder="1" applyAlignment="1">
      <alignment horizontal="center" vertical="center" wrapText="1"/>
    </xf>
    <xf numFmtId="0" fontId="4" fillId="10" borderId="1" xfId="1" applyFont="1" applyFill="1" applyBorder="1" applyAlignment="1">
      <alignment horizontal="center" vertical="center" wrapText="1"/>
    </xf>
    <xf numFmtId="165" fontId="13" fillId="4" borderId="1" xfId="1" applyNumberFormat="1" applyFont="1" applyFill="1" applyBorder="1" applyAlignment="1">
      <alignment horizontal="center" vertical="center" wrapText="1"/>
    </xf>
    <xf numFmtId="49" fontId="15" fillId="4" borderId="11" xfId="1" applyNumberFormat="1" applyFont="1" applyFill="1" applyBorder="1" applyAlignment="1">
      <alignment horizontal="center" vertical="center" wrapText="1"/>
    </xf>
    <xf numFmtId="49" fontId="15" fillId="4" borderId="12" xfId="1" applyNumberFormat="1" applyFont="1" applyFill="1" applyBorder="1" applyAlignment="1">
      <alignment horizontal="center" vertical="center" wrapText="1"/>
    </xf>
    <xf numFmtId="49" fontId="15" fillId="4" borderId="13" xfId="1" applyNumberFormat="1" applyFont="1" applyFill="1" applyBorder="1" applyAlignment="1">
      <alignment horizontal="center" vertical="center" wrapText="1"/>
    </xf>
    <xf numFmtId="49" fontId="15" fillId="4" borderId="14" xfId="1" applyNumberFormat="1" applyFont="1" applyFill="1" applyBorder="1" applyAlignment="1">
      <alignment horizontal="center" vertical="center" wrapText="1"/>
    </xf>
    <xf numFmtId="49" fontId="15" fillId="4" borderId="0" xfId="1" applyNumberFormat="1" applyFont="1" applyFill="1" applyAlignment="1">
      <alignment horizontal="center" vertical="center" wrapText="1"/>
    </xf>
    <xf numFmtId="49" fontId="15" fillId="4" borderId="2" xfId="1" applyNumberFormat="1" applyFont="1" applyFill="1" applyBorder="1" applyAlignment="1">
      <alignment horizontal="center" vertical="center" wrapText="1"/>
    </xf>
    <xf numFmtId="164" fontId="14" fillId="0" borderId="3" xfId="1" applyNumberFormat="1" applyFont="1" applyBorder="1" applyAlignment="1">
      <alignment horizontal="center" vertical="center" wrapText="1"/>
    </xf>
    <xf numFmtId="164" fontId="14" fillId="0" borderId="15" xfId="1" applyNumberFormat="1" applyFont="1" applyBorder="1" applyAlignment="1">
      <alignment horizontal="center" vertical="center" wrapText="1"/>
    </xf>
    <xf numFmtId="0" fontId="14" fillId="0" borderId="3" xfId="1" applyFont="1" applyBorder="1" applyAlignment="1">
      <alignment horizontal="center" vertical="center" wrapText="1"/>
    </xf>
    <xf numFmtId="0" fontId="14" fillId="0" borderId="15" xfId="1" applyFont="1" applyBorder="1" applyAlignment="1">
      <alignment horizontal="center" vertical="center" wrapText="1"/>
    </xf>
    <xf numFmtId="0" fontId="16" fillId="4" borderId="1" xfId="1" applyFont="1" applyFill="1" applyBorder="1" applyAlignment="1">
      <alignment horizontal="left" vertical="center" wrapText="1"/>
    </xf>
    <xf numFmtId="0" fontId="15" fillId="4" borderId="1" xfId="1" applyFont="1" applyFill="1" applyBorder="1" applyAlignment="1">
      <alignment horizontal="left" vertical="center" wrapText="1"/>
    </xf>
    <xf numFmtId="0" fontId="4" fillId="2" borderId="1" xfId="1" applyFont="1" applyFill="1" applyBorder="1" applyAlignment="1">
      <alignment horizontal="center" vertical="center" wrapText="1"/>
    </xf>
    <xf numFmtId="0" fontId="6" fillId="0" borderId="0" xfId="1" applyFont="1" applyAlignment="1">
      <alignment horizontal="left" vertical="center" wrapText="1"/>
    </xf>
    <xf numFmtId="0" fontId="10"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13" fillId="0" borderId="1" xfId="1" applyFont="1" applyBorder="1" applyAlignment="1">
      <alignment horizontal="center" wrapText="1"/>
    </xf>
    <xf numFmtId="0" fontId="14" fillId="0" borderId="1" xfId="1" applyFont="1" applyBorder="1" applyAlignment="1">
      <alignment horizontal="center" vertical="center" wrapText="1"/>
    </xf>
    <xf numFmtId="0" fontId="7" fillId="4" borderId="1" xfId="1" applyFont="1" applyFill="1" applyBorder="1" applyAlignment="1">
      <alignment horizontal="center" vertical="center" wrapText="1"/>
    </xf>
    <xf numFmtId="0" fontId="38"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3" fillId="0" borderId="3" xfId="1" applyFont="1" applyBorder="1" applyAlignment="1">
      <alignment horizontal="center" vertical="center" wrapText="1"/>
    </xf>
    <xf numFmtId="0" fontId="23" fillId="0" borderId="15" xfId="1" applyFont="1" applyBorder="1" applyAlignment="1">
      <alignment horizontal="center" vertical="center" wrapText="1"/>
    </xf>
    <xf numFmtId="49" fontId="7" fillId="17" borderId="5" xfId="1" applyNumberFormat="1" applyFont="1" applyFill="1" applyBorder="1" applyAlignment="1">
      <alignment horizontal="center" vertical="center" wrapText="1"/>
    </xf>
    <xf numFmtId="49" fontId="7" fillId="17" borderId="16" xfId="1" applyNumberFormat="1" applyFont="1" applyFill="1" applyBorder="1" applyAlignment="1">
      <alignment horizontal="center" vertical="center" wrapText="1"/>
    </xf>
    <xf numFmtId="49" fontId="7" fillId="17" borderId="9" xfId="1" applyNumberFormat="1" applyFont="1" applyFill="1" applyBorder="1" applyAlignment="1">
      <alignment horizontal="center" vertical="center" wrapText="1"/>
    </xf>
    <xf numFmtId="170" fontId="10" fillId="0" borderId="1" xfId="6" applyNumberFormat="1" applyFont="1" applyFill="1" applyBorder="1" applyAlignment="1">
      <alignment horizontal="center" vertical="center" wrapText="1"/>
    </xf>
    <xf numFmtId="170" fontId="10" fillId="0" borderId="1" xfId="30" applyNumberFormat="1" applyFont="1" applyFill="1" applyBorder="1" applyAlignment="1">
      <alignment horizontal="center" vertical="center" wrapText="1"/>
    </xf>
    <xf numFmtId="49" fontId="7" fillId="4" borderId="5" xfId="1" applyNumberFormat="1" applyFont="1" applyFill="1" applyBorder="1" applyAlignment="1">
      <alignment horizontal="center" vertical="center" wrapText="1"/>
    </xf>
    <xf numFmtId="49" fontId="7" fillId="4" borderId="16" xfId="1" applyNumberFormat="1" applyFont="1" applyFill="1" applyBorder="1" applyAlignment="1">
      <alignment horizontal="center" vertical="center" wrapText="1"/>
    </xf>
    <xf numFmtId="49" fontId="7" fillId="4" borderId="9" xfId="1" applyNumberFormat="1" applyFont="1" applyFill="1" applyBorder="1" applyAlignment="1">
      <alignment horizontal="center" vertical="center" wrapText="1"/>
    </xf>
    <xf numFmtId="0" fontId="36" fillId="0" borderId="53" xfId="1" applyFont="1" applyBorder="1" applyAlignment="1">
      <alignment horizontal="left" vertical="center" wrapText="1"/>
    </xf>
  </cellXfs>
  <cellStyles count="32">
    <cellStyle name="Excel Built-in Explanatory Text" xfId="16" xr:uid="{00000000-0005-0000-0000-000000000000}"/>
    <cellStyle name="Millares" xfId="31" builtinId="3"/>
    <cellStyle name="Millares 2 2 3 2 2 2 2 2 2" xfId="6" xr:uid="{00000000-0005-0000-0000-000001000000}"/>
    <cellStyle name="Millares 2 2 3 2 2 2 2 2 2 2" xfId="13" xr:uid="{00000000-0005-0000-0000-000002000000}"/>
    <cellStyle name="Millares 2 2 3 2 2 2 2 2 2 2 2" xfId="20" xr:uid="{00000000-0005-0000-0000-000003000000}"/>
    <cellStyle name="Millares 2 2 3 2 2 2 2 2 2 2 2 2" xfId="30" xr:uid="{A8574D32-9AF1-462D-B733-5DF028BAAA9C}"/>
    <cellStyle name="Millares 2 2 3 4 2 2 2 2 2" xfId="15" xr:uid="{00000000-0005-0000-0000-000004000000}"/>
    <cellStyle name="Millares 2 2 3 4 4" xfId="21" xr:uid="{00000000-0005-0000-0000-000005000000}"/>
    <cellStyle name="Millares 5 2 2 2 2 2 2 2 2" xfId="23" xr:uid="{00000000-0005-0000-0000-000006000000}"/>
    <cellStyle name="Moneda 3 2 2" xfId="29" xr:uid="{94C801C6-BE94-4CF0-911F-6763FF3D4F4E}"/>
    <cellStyle name="Normal" xfId="0" builtinId="0"/>
    <cellStyle name="Normal 10 2" xfId="9" xr:uid="{00000000-0005-0000-0000-000008000000}"/>
    <cellStyle name="Normal 10 2 2" xfId="11" xr:uid="{00000000-0005-0000-0000-000009000000}"/>
    <cellStyle name="Normal 14 2 2 2 2 2 2 2 2" xfId="22" xr:uid="{00000000-0005-0000-0000-00000A000000}"/>
    <cellStyle name="Normal 16" xfId="24" xr:uid="{00000000-0005-0000-0000-00000B000000}"/>
    <cellStyle name="Normal 19" xfId="27" xr:uid="{3A6C4045-11FD-41AC-995F-3F20E5C88813}"/>
    <cellStyle name="Normal 2 2" xfId="1" xr:uid="{09907240-16AE-4506-A21A-115A058FB8C3}"/>
    <cellStyle name="Normal 2 2 6 2" xfId="25" xr:uid="{00000000-0005-0000-0000-00000D000000}"/>
    <cellStyle name="Normal 2 2 6 2 3" xfId="10" xr:uid="{00000000-0005-0000-0000-00000E000000}"/>
    <cellStyle name="Normal 2 3 2" xfId="14" xr:uid="{00000000-0005-0000-0000-00000F000000}"/>
    <cellStyle name="Normal 2 3 2 2" xfId="12" xr:uid="{00000000-0005-0000-0000-000010000000}"/>
    <cellStyle name="Normal 2 3 2 2 4" xfId="17" xr:uid="{00000000-0005-0000-0000-000011000000}"/>
    <cellStyle name="Normal 3 2 2 2 2" xfId="8" xr:uid="{00000000-0005-0000-0000-000012000000}"/>
    <cellStyle name="Normal 3 3 2" xfId="3" xr:uid="{5BB4D56B-65B0-46FF-A490-644CFF77B1E6}"/>
    <cellStyle name="Normal 3 3 2 5" xfId="18" xr:uid="{00000000-0005-0000-0000-000014000000}"/>
    <cellStyle name="Normal 3 3 2 5 2" xfId="26" xr:uid="{00000000-0005-0000-0000-000015000000}"/>
    <cellStyle name="Normal 3 4" xfId="5" xr:uid="{00000000-0005-0000-0000-000016000000}"/>
    <cellStyle name="Normal 3 4 2" xfId="2" xr:uid="{F3CDDAE3-7103-4D6E-A2F8-A9929FB40D39}"/>
    <cellStyle name="Normal 3 4 2 2 3" xfId="7" xr:uid="{00000000-0005-0000-0000-000018000000}"/>
    <cellStyle name="Normal 3 4 2 4" xfId="19" xr:uid="{00000000-0005-0000-0000-000019000000}"/>
    <cellStyle name="Normal 3 4 2 5" xfId="28" xr:uid="{08AFAF64-49BF-4245-BB92-45C4D32DF63D}"/>
    <cellStyle name="Normal 4 2" xfId="4" xr:uid="{00000000-0005-0000-0000-00001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s>
</file>

<file path=xl/drawings/_rels/drawing4.xml.rels><?xml version="1.0" encoding="UTF-8" standalone="yes"?>
<Relationships xmlns="http://schemas.openxmlformats.org/package/2006/relationships"><Relationship Id="rId8" Type="http://schemas.openxmlformats.org/officeDocument/2006/relationships/image" Target="../media/image28.png"/><Relationship Id="rId3" Type="http://schemas.openxmlformats.org/officeDocument/2006/relationships/image" Target="../media/image23.png"/><Relationship Id="rId7" Type="http://schemas.openxmlformats.org/officeDocument/2006/relationships/image" Target="../media/image27.png"/><Relationship Id="rId2" Type="http://schemas.openxmlformats.org/officeDocument/2006/relationships/image" Target="../media/image22.png"/><Relationship Id="rId1" Type="http://schemas.openxmlformats.org/officeDocument/2006/relationships/image" Target="../media/image21.jpg"/><Relationship Id="rId6" Type="http://schemas.openxmlformats.org/officeDocument/2006/relationships/image" Target="../media/image26.png"/><Relationship Id="rId5" Type="http://schemas.openxmlformats.org/officeDocument/2006/relationships/image" Target="../media/image25.png"/><Relationship Id="rId10" Type="http://schemas.openxmlformats.org/officeDocument/2006/relationships/image" Target="../media/image30.png"/><Relationship Id="rId4" Type="http://schemas.openxmlformats.org/officeDocument/2006/relationships/image" Target="../media/image24.png"/><Relationship Id="rId9"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4</xdr:col>
      <xdr:colOff>62119</xdr:colOff>
      <xdr:row>53</xdr:row>
      <xdr:rowOff>2465719</xdr:rowOff>
    </xdr:from>
    <xdr:to>
      <xdr:col>4</xdr:col>
      <xdr:colOff>4375257</xdr:colOff>
      <xdr:row>54</xdr:row>
      <xdr:rowOff>2422663</xdr:rowOff>
    </xdr:to>
    <xdr:grpSp>
      <xdr:nvGrpSpPr>
        <xdr:cNvPr id="12" name="Grupo 11">
          <a:extLst>
            <a:ext uri="{FF2B5EF4-FFF2-40B4-BE49-F238E27FC236}">
              <a16:creationId xmlns:a16="http://schemas.microsoft.com/office/drawing/2014/main" id="{2A252924-A4A8-C628-398F-68BECC3C6D8E}"/>
            </a:ext>
          </a:extLst>
        </xdr:cNvPr>
        <xdr:cNvGrpSpPr/>
      </xdr:nvGrpSpPr>
      <xdr:grpSpPr>
        <a:xfrm>
          <a:off x="2353268" y="72950719"/>
          <a:ext cx="4313138" cy="5157079"/>
          <a:chOff x="13003695" y="1643"/>
          <a:chExt cx="10291142" cy="12298108"/>
        </a:xfrm>
      </xdr:grpSpPr>
      <xdr:pic>
        <xdr:nvPicPr>
          <xdr:cNvPr id="23" name="Imagen 22">
            <a:extLst>
              <a:ext uri="{FF2B5EF4-FFF2-40B4-BE49-F238E27FC236}">
                <a16:creationId xmlns:a16="http://schemas.microsoft.com/office/drawing/2014/main" id="{8BF4F3FC-F05E-43DE-9175-F2FC2A189032}"/>
              </a:ext>
            </a:extLst>
          </xdr:cNvPr>
          <xdr:cNvPicPr>
            <a:picLocks noChangeAspect="1"/>
          </xdr:cNvPicPr>
        </xdr:nvPicPr>
        <xdr:blipFill rotWithShape="1">
          <a:blip xmlns:r="http://schemas.openxmlformats.org/officeDocument/2006/relationships" r:embed="rId1"/>
          <a:srcRect l="2943" t="3037" r="28128"/>
          <a:stretch/>
        </xdr:blipFill>
        <xdr:spPr>
          <a:xfrm>
            <a:off x="13003697" y="1643"/>
            <a:ext cx="10291140" cy="12298108"/>
          </a:xfrm>
          <a:prstGeom prst="rect">
            <a:avLst/>
          </a:prstGeom>
        </xdr:spPr>
      </xdr:pic>
      <xdr:pic>
        <xdr:nvPicPr>
          <xdr:cNvPr id="6" name="Imagen 5">
            <a:extLst>
              <a:ext uri="{FF2B5EF4-FFF2-40B4-BE49-F238E27FC236}">
                <a16:creationId xmlns:a16="http://schemas.microsoft.com/office/drawing/2014/main" id="{AB3B9444-ACCC-4970-8C74-32995065CC2A}"/>
              </a:ext>
            </a:extLst>
          </xdr:cNvPr>
          <xdr:cNvPicPr>
            <a:picLocks noChangeAspect="1"/>
          </xdr:cNvPicPr>
        </xdr:nvPicPr>
        <xdr:blipFill rotWithShape="1">
          <a:blip xmlns:r="http://schemas.openxmlformats.org/officeDocument/2006/relationships" r:embed="rId1"/>
          <a:srcRect l="26609" t="44106" r="52172" b="39894"/>
          <a:stretch/>
        </xdr:blipFill>
        <xdr:spPr>
          <a:xfrm flipH="1">
            <a:off x="13120246" y="5176627"/>
            <a:ext cx="3126684" cy="2029241"/>
          </a:xfrm>
          <a:prstGeom prst="rect">
            <a:avLst/>
          </a:prstGeom>
        </xdr:spPr>
      </xdr:pic>
      <xdr:pic>
        <xdr:nvPicPr>
          <xdr:cNvPr id="9" name="Imagen 8">
            <a:extLst>
              <a:ext uri="{FF2B5EF4-FFF2-40B4-BE49-F238E27FC236}">
                <a16:creationId xmlns:a16="http://schemas.microsoft.com/office/drawing/2014/main" id="{935E0E9B-1288-46A7-99F5-50B0A34F1E02}"/>
              </a:ext>
            </a:extLst>
          </xdr:cNvPr>
          <xdr:cNvPicPr>
            <a:picLocks noChangeAspect="1"/>
          </xdr:cNvPicPr>
        </xdr:nvPicPr>
        <xdr:blipFill rotWithShape="1">
          <a:blip xmlns:r="http://schemas.openxmlformats.org/officeDocument/2006/relationships" r:embed="rId1"/>
          <a:srcRect l="26609" t="45680" r="55213" b="39894"/>
          <a:stretch/>
        </xdr:blipFill>
        <xdr:spPr>
          <a:xfrm flipH="1">
            <a:off x="13003695" y="6791742"/>
            <a:ext cx="2119375" cy="1449456"/>
          </a:xfrm>
          <a:prstGeom prst="rect">
            <a:avLst/>
          </a:prstGeom>
        </xdr:spPr>
      </xdr:pic>
      <xdr:pic>
        <xdr:nvPicPr>
          <xdr:cNvPr id="11" name="Imagen 10">
            <a:extLst>
              <a:ext uri="{FF2B5EF4-FFF2-40B4-BE49-F238E27FC236}">
                <a16:creationId xmlns:a16="http://schemas.microsoft.com/office/drawing/2014/main" id="{9BD4EB83-1164-4986-9D50-D2BF51CBFCC1}"/>
              </a:ext>
            </a:extLst>
          </xdr:cNvPr>
          <xdr:cNvPicPr>
            <a:picLocks noChangeAspect="1"/>
          </xdr:cNvPicPr>
        </xdr:nvPicPr>
        <xdr:blipFill rotWithShape="1">
          <a:blip xmlns:r="http://schemas.openxmlformats.org/officeDocument/2006/relationships" r:embed="rId1"/>
          <a:srcRect l="41234" t="23760" r="49223" b="57486"/>
          <a:stretch/>
        </xdr:blipFill>
        <xdr:spPr>
          <a:xfrm flipH="1">
            <a:off x="13003697" y="6771032"/>
            <a:ext cx="455543" cy="1884294"/>
          </a:xfrm>
          <a:prstGeom prst="rect">
            <a:avLst/>
          </a:prstGeom>
        </xdr:spPr>
      </xdr:pic>
    </xdr:grpSp>
    <xdr:clientData/>
  </xdr:twoCellAnchor>
  <xdr:twoCellAnchor editAs="oneCell">
    <xdr:from>
      <xdr:col>4</xdr:col>
      <xdr:colOff>393424</xdr:colOff>
      <xdr:row>53</xdr:row>
      <xdr:rowOff>82413</xdr:rowOff>
    </xdr:from>
    <xdr:to>
      <xdr:col>4</xdr:col>
      <xdr:colOff>1905000</xdr:colOff>
      <xdr:row>53</xdr:row>
      <xdr:rowOff>2164995</xdr:rowOff>
    </xdr:to>
    <xdr:pic>
      <xdr:nvPicPr>
        <xdr:cNvPr id="2" name="Imagen 1">
          <a:extLst>
            <a:ext uri="{FF2B5EF4-FFF2-40B4-BE49-F238E27FC236}">
              <a16:creationId xmlns:a16="http://schemas.microsoft.com/office/drawing/2014/main" id="{FFDB58D2-E4FB-A651-82F4-FBD3B9E618E6}"/>
            </a:ext>
          </a:extLst>
        </xdr:cNvPr>
        <xdr:cNvPicPr>
          <a:picLocks noChangeAspect="1"/>
        </xdr:cNvPicPr>
      </xdr:nvPicPr>
      <xdr:blipFill rotWithShape="1">
        <a:blip xmlns:r="http://schemas.openxmlformats.org/officeDocument/2006/relationships" r:embed="rId2"/>
        <a:srcRect r="61111" b="5967"/>
        <a:stretch/>
      </xdr:blipFill>
      <xdr:spPr>
        <a:xfrm>
          <a:off x="2671141" y="1221272"/>
          <a:ext cx="1511576" cy="2082582"/>
        </a:xfrm>
        <a:prstGeom prst="rect">
          <a:avLst/>
        </a:prstGeom>
      </xdr:spPr>
    </xdr:pic>
    <xdr:clientData/>
  </xdr:twoCellAnchor>
  <xdr:twoCellAnchor editAs="oneCell">
    <xdr:from>
      <xdr:col>4</xdr:col>
      <xdr:colOff>2360543</xdr:colOff>
      <xdr:row>53</xdr:row>
      <xdr:rowOff>2961033</xdr:rowOff>
    </xdr:from>
    <xdr:to>
      <xdr:col>4</xdr:col>
      <xdr:colOff>3934240</xdr:colOff>
      <xdr:row>53</xdr:row>
      <xdr:rowOff>3593524</xdr:rowOff>
    </xdr:to>
    <xdr:pic>
      <xdr:nvPicPr>
        <xdr:cNvPr id="22" name="Imagen 21">
          <a:extLst>
            <a:ext uri="{FF2B5EF4-FFF2-40B4-BE49-F238E27FC236}">
              <a16:creationId xmlns:a16="http://schemas.microsoft.com/office/drawing/2014/main" id="{C8769F3A-55E0-1CA0-CF80-D803B0E11918}"/>
            </a:ext>
          </a:extLst>
        </xdr:cNvPr>
        <xdr:cNvPicPr>
          <a:picLocks noChangeAspect="1"/>
        </xdr:cNvPicPr>
      </xdr:nvPicPr>
      <xdr:blipFill>
        <a:blip xmlns:r="http://schemas.openxmlformats.org/officeDocument/2006/relationships" r:embed="rId3"/>
        <a:stretch>
          <a:fillRect/>
        </a:stretch>
      </xdr:blipFill>
      <xdr:spPr>
        <a:xfrm>
          <a:off x="4638260" y="4099892"/>
          <a:ext cx="1573697" cy="632491"/>
        </a:xfrm>
        <a:prstGeom prst="rect">
          <a:avLst/>
        </a:prstGeom>
      </xdr:spPr>
    </xdr:pic>
    <xdr:clientData/>
  </xdr:twoCellAnchor>
  <xdr:twoCellAnchor editAs="oneCell">
    <xdr:from>
      <xdr:col>4</xdr:col>
      <xdr:colOff>2008534</xdr:colOff>
      <xdr:row>53</xdr:row>
      <xdr:rowOff>41413</xdr:rowOff>
    </xdr:from>
    <xdr:to>
      <xdr:col>4</xdr:col>
      <xdr:colOff>3685762</xdr:colOff>
      <xdr:row>53</xdr:row>
      <xdr:rowOff>1345924</xdr:rowOff>
    </xdr:to>
    <xdr:pic>
      <xdr:nvPicPr>
        <xdr:cNvPr id="29" name="Imagen 28">
          <a:extLst>
            <a:ext uri="{FF2B5EF4-FFF2-40B4-BE49-F238E27FC236}">
              <a16:creationId xmlns:a16="http://schemas.microsoft.com/office/drawing/2014/main" id="{0D73A970-1D26-52EA-EF82-BFE46F3CC09B}"/>
            </a:ext>
          </a:extLst>
        </xdr:cNvPr>
        <xdr:cNvPicPr>
          <a:picLocks noChangeAspect="1"/>
        </xdr:cNvPicPr>
      </xdr:nvPicPr>
      <xdr:blipFill>
        <a:blip xmlns:r="http://schemas.openxmlformats.org/officeDocument/2006/relationships" r:embed="rId4"/>
        <a:stretch>
          <a:fillRect/>
        </a:stretch>
      </xdr:blipFill>
      <xdr:spPr>
        <a:xfrm>
          <a:off x="4286251" y="1180272"/>
          <a:ext cx="1677228" cy="1304511"/>
        </a:xfrm>
        <a:prstGeom prst="rect">
          <a:avLst/>
        </a:prstGeom>
      </xdr:spPr>
    </xdr:pic>
    <xdr:clientData/>
  </xdr:twoCellAnchor>
  <xdr:twoCellAnchor editAs="oneCell">
    <xdr:from>
      <xdr:col>4</xdr:col>
      <xdr:colOff>2650435</xdr:colOff>
      <xdr:row>53</xdr:row>
      <xdr:rowOff>1449455</xdr:rowOff>
    </xdr:from>
    <xdr:to>
      <xdr:col>4</xdr:col>
      <xdr:colOff>4443769</xdr:colOff>
      <xdr:row>53</xdr:row>
      <xdr:rowOff>2739830</xdr:rowOff>
    </xdr:to>
    <xdr:pic>
      <xdr:nvPicPr>
        <xdr:cNvPr id="30" name="Imagen 29">
          <a:extLst>
            <a:ext uri="{FF2B5EF4-FFF2-40B4-BE49-F238E27FC236}">
              <a16:creationId xmlns:a16="http://schemas.microsoft.com/office/drawing/2014/main" id="{B156B5C1-4CDB-F1D0-545A-BE18A9920CC9}"/>
            </a:ext>
          </a:extLst>
        </xdr:cNvPr>
        <xdr:cNvPicPr>
          <a:picLocks noChangeAspect="1"/>
        </xdr:cNvPicPr>
      </xdr:nvPicPr>
      <xdr:blipFill rotWithShape="1">
        <a:blip xmlns:r="http://schemas.openxmlformats.org/officeDocument/2006/relationships" r:embed="rId5"/>
        <a:srcRect l="4391" b="4968"/>
        <a:stretch/>
      </xdr:blipFill>
      <xdr:spPr>
        <a:xfrm>
          <a:off x="4928152" y="2588314"/>
          <a:ext cx="1793334" cy="1290375"/>
        </a:xfrm>
        <a:prstGeom prst="rect">
          <a:avLst/>
        </a:prstGeom>
      </xdr:spPr>
    </xdr:pic>
    <xdr:clientData/>
  </xdr:twoCellAnchor>
  <xdr:twoCellAnchor editAs="oneCell">
    <xdr:from>
      <xdr:col>4</xdr:col>
      <xdr:colOff>2947780</xdr:colOff>
      <xdr:row>53</xdr:row>
      <xdr:rowOff>3258379</xdr:rowOff>
    </xdr:from>
    <xdr:to>
      <xdr:col>4</xdr:col>
      <xdr:colOff>4521477</xdr:colOff>
      <xdr:row>53</xdr:row>
      <xdr:rowOff>3890870</xdr:rowOff>
    </xdr:to>
    <xdr:pic>
      <xdr:nvPicPr>
        <xdr:cNvPr id="31" name="Imagen 30">
          <a:extLst>
            <a:ext uri="{FF2B5EF4-FFF2-40B4-BE49-F238E27FC236}">
              <a16:creationId xmlns:a16="http://schemas.microsoft.com/office/drawing/2014/main" id="{DD38C4B6-D096-42A3-B994-27CCEB422A8E}"/>
            </a:ext>
          </a:extLst>
        </xdr:cNvPr>
        <xdr:cNvPicPr>
          <a:picLocks noChangeAspect="1"/>
        </xdr:cNvPicPr>
      </xdr:nvPicPr>
      <xdr:blipFill>
        <a:blip xmlns:r="http://schemas.openxmlformats.org/officeDocument/2006/relationships" r:embed="rId3"/>
        <a:stretch>
          <a:fillRect/>
        </a:stretch>
      </xdr:blipFill>
      <xdr:spPr>
        <a:xfrm>
          <a:off x="5225497" y="4397238"/>
          <a:ext cx="1573697" cy="632491"/>
        </a:xfrm>
        <a:prstGeom prst="rect">
          <a:avLst/>
        </a:prstGeom>
      </xdr:spPr>
    </xdr:pic>
    <xdr:clientData/>
  </xdr:twoCellAnchor>
  <xdr:twoCellAnchor>
    <xdr:from>
      <xdr:col>4</xdr:col>
      <xdr:colOff>300245</xdr:colOff>
      <xdr:row>43</xdr:row>
      <xdr:rowOff>3778249</xdr:rowOff>
    </xdr:from>
    <xdr:to>
      <xdr:col>4</xdr:col>
      <xdr:colOff>3810001</xdr:colOff>
      <xdr:row>44</xdr:row>
      <xdr:rowOff>2321062</xdr:rowOff>
    </xdr:to>
    <xdr:grpSp>
      <xdr:nvGrpSpPr>
        <xdr:cNvPr id="3" name="Grupo 2">
          <a:extLst>
            <a:ext uri="{FF2B5EF4-FFF2-40B4-BE49-F238E27FC236}">
              <a16:creationId xmlns:a16="http://schemas.microsoft.com/office/drawing/2014/main" id="{EA9ED353-7E61-4817-BFF9-B4B9A39FCB43}"/>
            </a:ext>
          </a:extLst>
        </xdr:cNvPr>
        <xdr:cNvGrpSpPr/>
      </xdr:nvGrpSpPr>
      <xdr:grpSpPr>
        <a:xfrm>
          <a:off x="2591394" y="62472844"/>
          <a:ext cx="3509756" cy="3742948"/>
          <a:chOff x="13003695" y="1643"/>
          <a:chExt cx="10291142" cy="12298108"/>
        </a:xfrm>
      </xdr:grpSpPr>
      <xdr:pic>
        <xdr:nvPicPr>
          <xdr:cNvPr id="4" name="Imagen 3">
            <a:extLst>
              <a:ext uri="{FF2B5EF4-FFF2-40B4-BE49-F238E27FC236}">
                <a16:creationId xmlns:a16="http://schemas.microsoft.com/office/drawing/2014/main" id="{F736C32F-22E1-8D3A-3C32-F65793A71F59}"/>
              </a:ext>
            </a:extLst>
          </xdr:cNvPr>
          <xdr:cNvPicPr>
            <a:picLocks noChangeAspect="1"/>
          </xdr:cNvPicPr>
        </xdr:nvPicPr>
        <xdr:blipFill rotWithShape="1">
          <a:blip xmlns:r="http://schemas.openxmlformats.org/officeDocument/2006/relationships" r:embed="rId1"/>
          <a:srcRect l="2943" t="3037" r="28128"/>
          <a:stretch/>
        </xdr:blipFill>
        <xdr:spPr>
          <a:xfrm>
            <a:off x="13003697" y="1643"/>
            <a:ext cx="10291140" cy="12298108"/>
          </a:xfrm>
          <a:prstGeom prst="rect">
            <a:avLst/>
          </a:prstGeom>
        </xdr:spPr>
      </xdr:pic>
      <xdr:pic>
        <xdr:nvPicPr>
          <xdr:cNvPr id="5" name="Imagen 4">
            <a:extLst>
              <a:ext uri="{FF2B5EF4-FFF2-40B4-BE49-F238E27FC236}">
                <a16:creationId xmlns:a16="http://schemas.microsoft.com/office/drawing/2014/main" id="{ED5391B0-05A1-6BD6-A6CD-8EF4AD3964D0}"/>
              </a:ext>
            </a:extLst>
          </xdr:cNvPr>
          <xdr:cNvPicPr>
            <a:picLocks noChangeAspect="1"/>
          </xdr:cNvPicPr>
        </xdr:nvPicPr>
        <xdr:blipFill rotWithShape="1">
          <a:blip xmlns:r="http://schemas.openxmlformats.org/officeDocument/2006/relationships" r:embed="rId1"/>
          <a:srcRect l="26609" t="44106" r="52172" b="39894"/>
          <a:stretch/>
        </xdr:blipFill>
        <xdr:spPr>
          <a:xfrm flipH="1">
            <a:off x="13120246" y="5176627"/>
            <a:ext cx="3126684" cy="2029241"/>
          </a:xfrm>
          <a:prstGeom prst="rect">
            <a:avLst/>
          </a:prstGeom>
        </xdr:spPr>
      </xdr:pic>
      <xdr:pic>
        <xdr:nvPicPr>
          <xdr:cNvPr id="7" name="Imagen 6">
            <a:extLst>
              <a:ext uri="{FF2B5EF4-FFF2-40B4-BE49-F238E27FC236}">
                <a16:creationId xmlns:a16="http://schemas.microsoft.com/office/drawing/2014/main" id="{69E9CCFD-2ED1-3FAD-0010-A321300ECD7A}"/>
              </a:ext>
            </a:extLst>
          </xdr:cNvPr>
          <xdr:cNvPicPr>
            <a:picLocks noChangeAspect="1"/>
          </xdr:cNvPicPr>
        </xdr:nvPicPr>
        <xdr:blipFill rotWithShape="1">
          <a:blip xmlns:r="http://schemas.openxmlformats.org/officeDocument/2006/relationships" r:embed="rId1"/>
          <a:srcRect l="26609" t="45680" r="55213" b="39894"/>
          <a:stretch/>
        </xdr:blipFill>
        <xdr:spPr>
          <a:xfrm flipH="1">
            <a:off x="13003695" y="6791742"/>
            <a:ext cx="2119375" cy="1449456"/>
          </a:xfrm>
          <a:prstGeom prst="rect">
            <a:avLst/>
          </a:prstGeom>
        </xdr:spPr>
      </xdr:pic>
      <xdr:pic>
        <xdr:nvPicPr>
          <xdr:cNvPr id="8" name="Imagen 7">
            <a:extLst>
              <a:ext uri="{FF2B5EF4-FFF2-40B4-BE49-F238E27FC236}">
                <a16:creationId xmlns:a16="http://schemas.microsoft.com/office/drawing/2014/main" id="{87778EF6-22D0-0C7C-BFC0-EDAAAE05787D}"/>
              </a:ext>
            </a:extLst>
          </xdr:cNvPr>
          <xdr:cNvPicPr>
            <a:picLocks noChangeAspect="1"/>
          </xdr:cNvPicPr>
        </xdr:nvPicPr>
        <xdr:blipFill rotWithShape="1">
          <a:blip xmlns:r="http://schemas.openxmlformats.org/officeDocument/2006/relationships" r:embed="rId1"/>
          <a:srcRect l="41234" t="23760" r="49223" b="57486"/>
          <a:stretch/>
        </xdr:blipFill>
        <xdr:spPr>
          <a:xfrm flipH="1">
            <a:off x="13003697" y="6771032"/>
            <a:ext cx="455543" cy="1884294"/>
          </a:xfrm>
          <a:prstGeom prst="rect">
            <a:avLst/>
          </a:prstGeom>
        </xdr:spPr>
      </xdr:pic>
    </xdr:grpSp>
    <xdr:clientData/>
  </xdr:twoCellAnchor>
  <xdr:oneCellAnchor>
    <xdr:from>
      <xdr:col>4</xdr:col>
      <xdr:colOff>393424</xdr:colOff>
      <xdr:row>43</xdr:row>
      <xdr:rowOff>82413</xdr:rowOff>
    </xdr:from>
    <xdr:ext cx="1511576" cy="2082582"/>
    <xdr:pic>
      <xdr:nvPicPr>
        <xdr:cNvPr id="10" name="Imagen 9">
          <a:extLst>
            <a:ext uri="{FF2B5EF4-FFF2-40B4-BE49-F238E27FC236}">
              <a16:creationId xmlns:a16="http://schemas.microsoft.com/office/drawing/2014/main" id="{CE1F2309-AF94-4459-B185-D35A5D10087F}"/>
            </a:ext>
          </a:extLst>
        </xdr:cNvPr>
        <xdr:cNvPicPr>
          <a:picLocks noChangeAspect="1"/>
        </xdr:cNvPicPr>
      </xdr:nvPicPr>
      <xdr:blipFill rotWithShape="1">
        <a:blip xmlns:r="http://schemas.openxmlformats.org/officeDocument/2006/relationships" r:embed="rId2"/>
        <a:srcRect r="61111" b="5967"/>
        <a:stretch/>
      </xdr:blipFill>
      <xdr:spPr>
        <a:xfrm>
          <a:off x="2679424" y="2352538"/>
          <a:ext cx="1511576" cy="2082582"/>
        </a:xfrm>
        <a:prstGeom prst="rect">
          <a:avLst/>
        </a:prstGeom>
      </xdr:spPr>
    </xdr:pic>
    <xdr:clientData/>
  </xdr:oneCellAnchor>
  <xdr:oneCellAnchor>
    <xdr:from>
      <xdr:col>4</xdr:col>
      <xdr:colOff>2008534</xdr:colOff>
      <xdr:row>43</xdr:row>
      <xdr:rowOff>41413</xdr:rowOff>
    </xdr:from>
    <xdr:ext cx="1677228" cy="1304511"/>
    <xdr:pic>
      <xdr:nvPicPr>
        <xdr:cNvPr id="14" name="Imagen 13">
          <a:extLst>
            <a:ext uri="{FF2B5EF4-FFF2-40B4-BE49-F238E27FC236}">
              <a16:creationId xmlns:a16="http://schemas.microsoft.com/office/drawing/2014/main" id="{D307FCE8-33B6-410B-AFB0-EFE441016683}"/>
            </a:ext>
          </a:extLst>
        </xdr:cNvPr>
        <xdr:cNvPicPr>
          <a:picLocks noChangeAspect="1"/>
        </xdr:cNvPicPr>
      </xdr:nvPicPr>
      <xdr:blipFill>
        <a:blip xmlns:r="http://schemas.openxmlformats.org/officeDocument/2006/relationships" r:embed="rId4"/>
        <a:stretch>
          <a:fillRect/>
        </a:stretch>
      </xdr:blipFill>
      <xdr:spPr>
        <a:xfrm>
          <a:off x="4294534" y="2311538"/>
          <a:ext cx="1677228" cy="1304511"/>
        </a:xfrm>
        <a:prstGeom prst="rect">
          <a:avLst/>
        </a:prstGeom>
      </xdr:spPr>
    </xdr:pic>
    <xdr:clientData/>
  </xdr:oneCellAnchor>
  <xdr:oneCellAnchor>
    <xdr:from>
      <xdr:col>4</xdr:col>
      <xdr:colOff>2650435</xdr:colOff>
      <xdr:row>43</xdr:row>
      <xdr:rowOff>1449455</xdr:rowOff>
    </xdr:from>
    <xdr:ext cx="1793334" cy="1290375"/>
    <xdr:pic>
      <xdr:nvPicPr>
        <xdr:cNvPr id="15" name="Imagen 14">
          <a:extLst>
            <a:ext uri="{FF2B5EF4-FFF2-40B4-BE49-F238E27FC236}">
              <a16:creationId xmlns:a16="http://schemas.microsoft.com/office/drawing/2014/main" id="{9E40E5EF-DED9-44D5-88BB-782D468C31D2}"/>
            </a:ext>
          </a:extLst>
        </xdr:cNvPr>
        <xdr:cNvPicPr>
          <a:picLocks noChangeAspect="1"/>
        </xdr:cNvPicPr>
      </xdr:nvPicPr>
      <xdr:blipFill rotWithShape="1">
        <a:blip xmlns:r="http://schemas.openxmlformats.org/officeDocument/2006/relationships" r:embed="rId5"/>
        <a:srcRect l="4391" b="4968"/>
        <a:stretch/>
      </xdr:blipFill>
      <xdr:spPr>
        <a:xfrm>
          <a:off x="4936435" y="3719580"/>
          <a:ext cx="1793334" cy="1290375"/>
        </a:xfrm>
        <a:prstGeom prst="rect">
          <a:avLst/>
        </a:prstGeom>
      </xdr:spPr>
    </xdr:pic>
    <xdr:clientData/>
  </xdr:oneCellAnchor>
  <xdr:twoCellAnchor editAs="oneCell">
    <xdr:from>
      <xdr:col>4</xdr:col>
      <xdr:colOff>2000250</xdr:colOff>
      <xdr:row>43</xdr:row>
      <xdr:rowOff>2936875</xdr:rowOff>
    </xdr:from>
    <xdr:to>
      <xdr:col>4</xdr:col>
      <xdr:colOff>4708872</xdr:colOff>
      <xdr:row>43</xdr:row>
      <xdr:rowOff>4429125</xdr:rowOff>
    </xdr:to>
    <xdr:pic>
      <xdr:nvPicPr>
        <xdr:cNvPr id="17" name="Imagen 16" descr="LLAVERO CASCO MINERO DESTAPADOR - MERCH Perú">
          <a:extLst>
            <a:ext uri="{FF2B5EF4-FFF2-40B4-BE49-F238E27FC236}">
              <a16:creationId xmlns:a16="http://schemas.microsoft.com/office/drawing/2014/main" id="{62CD7152-84B9-6E0E-3B54-301CB9981688}"/>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204" t="23978" r="4871" b="26397"/>
        <a:stretch/>
      </xdr:blipFill>
      <xdr:spPr bwMode="auto">
        <a:xfrm>
          <a:off x="4286250" y="4064000"/>
          <a:ext cx="2708622" cy="149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275819</xdr:colOff>
      <xdr:row>25</xdr:row>
      <xdr:rowOff>3272691</xdr:rowOff>
    </xdr:from>
    <xdr:to>
      <xdr:col>4</xdr:col>
      <xdr:colOff>4274039</xdr:colOff>
      <xdr:row>26</xdr:row>
      <xdr:rowOff>2295768</xdr:rowOff>
    </xdr:to>
    <xdr:grpSp>
      <xdr:nvGrpSpPr>
        <xdr:cNvPr id="13" name="Grupo 12">
          <a:extLst>
            <a:ext uri="{FF2B5EF4-FFF2-40B4-BE49-F238E27FC236}">
              <a16:creationId xmlns:a16="http://schemas.microsoft.com/office/drawing/2014/main" id="{7CBB1AEA-6734-40CF-887A-5CE2E4A5224B}"/>
            </a:ext>
          </a:extLst>
        </xdr:cNvPr>
        <xdr:cNvGrpSpPr/>
      </xdr:nvGrpSpPr>
      <xdr:grpSpPr>
        <a:xfrm>
          <a:off x="2566968" y="32877421"/>
          <a:ext cx="3998220" cy="4223212"/>
          <a:chOff x="13003695" y="1643"/>
          <a:chExt cx="10291142" cy="12166581"/>
        </a:xfrm>
      </xdr:grpSpPr>
      <xdr:pic>
        <xdr:nvPicPr>
          <xdr:cNvPr id="16" name="Imagen 15">
            <a:extLst>
              <a:ext uri="{FF2B5EF4-FFF2-40B4-BE49-F238E27FC236}">
                <a16:creationId xmlns:a16="http://schemas.microsoft.com/office/drawing/2014/main" id="{5F4A54EF-CD79-0A0F-63B4-C823CE8F23BC}"/>
              </a:ext>
            </a:extLst>
          </xdr:cNvPr>
          <xdr:cNvPicPr>
            <a:picLocks noChangeAspect="1"/>
          </xdr:cNvPicPr>
        </xdr:nvPicPr>
        <xdr:blipFill rotWithShape="1">
          <a:blip xmlns:r="http://schemas.openxmlformats.org/officeDocument/2006/relationships" r:embed="rId1"/>
          <a:srcRect l="2943" t="3037" r="28128" b="1037"/>
          <a:stretch/>
        </xdr:blipFill>
        <xdr:spPr>
          <a:xfrm>
            <a:off x="13003698" y="1643"/>
            <a:ext cx="10291139" cy="12166581"/>
          </a:xfrm>
          <a:prstGeom prst="rect">
            <a:avLst/>
          </a:prstGeom>
        </xdr:spPr>
      </xdr:pic>
      <xdr:pic>
        <xdr:nvPicPr>
          <xdr:cNvPr id="18" name="Imagen 17">
            <a:extLst>
              <a:ext uri="{FF2B5EF4-FFF2-40B4-BE49-F238E27FC236}">
                <a16:creationId xmlns:a16="http://schemas.microsoft.com/office/drawing/2014/main" id="{FC705409-0B00-8726-5B7A-C11308CD7A93}"/>
              </a:ext>
            </a:extLst>
          </xdr:cNvPr>
          <xdr:cNvPicPr>
            <a:picLocks noChangeAspect="1"/>
          </xdr:cNvPicPr>
        </xdr:nvPicPr>
        <xdr:blipFill rotWithShape="1">
          <a:blip xmlns:r="http://schemas.openxmlformats.org/officeDocument/2006/relationships" r:embed="rId1"/>
          <a:srcRect l="26609" t="44106" r="52172" b="39894"/>
          <a:stretch/>
        </xdr:blipFill>
        <xdr:spPr>
          <a:xfrm flipH="1">
            <a:off x="13120246" y="5176627"/>
            <a:ext cx="3126684" cy="2029241"/>
          </a:xfrm>
          <a:prstGeom prst="rect">
            <a:avLst/>
          </a:prstGeom>
        </xdr:spPr>
      </xdr:pic>
      <xdr:pic>
        <xdr:nvPicPr>
          <xdr:cNvPr id="19" name="Imagen 18">
            <a:extLst>
              <a:ext uri="{FF2B5EF4-FFF2-40B4-BE49-F238E27FC236}">
                <a16:creationId xmlns:a16="http://schemas.microsoft.com/office/drawing/2014/main" id="{2AB20B44-ED34-15DD-03B7-1F0A3935AF13}"/>
              </a:ext>
            </a:extLst>
          </xdr:cNvPr>
          <xdr:cNvPicPr>
            <a:picLocks noChangeAspect="1"/>
          </xdr:cNvPicPr>
        </xdr:nvPicPr>
        <xdr:blipFill rotWithShape="1">
          <a:blip xmlns:r="http://schemas.openxmlformats.org/officeDocument/2006/relationships" r:embed="rId1"/>
          <a:srcRect l="26609" t="45680" r="55213" b="39894"/>
          <a:stretch/>
        </xdr:blipFill>
        <xdr:spPr>
          <a:xfrm flipH="1">
            <a:off x="13003695" y="6791742"/>
            <a:ext cx="2119375" cy="1449456"/>
          </a:xfrm>
          <a:prstGeom prst="rect">
            <a:avLst/>
          </a:prstGeom>
        </xdr:spPr>
      </xdr:pic>
      <xdr:pic>
        <xdr:nvPicPr>
          <xdr:cNvPr id="20" name="Imagen 19">
            <a:extLst>
              <a:ext uri="{FF2B5EF4-FFF2-40B4-BE49-F238E27FC236}">
                <a16:creationId xmlns:a16="http://schemas.microsoft.com/office/drawing/2014/main" id="{243B395B-1422-6CB5-5FC6-8745553EFE1C}"/>
              </a:ext>
            </a:extLst>
          </xdr:cNvPr>
          <xdr:cNvPicPr>
            <a:picLocks noChangeAspect="1"/>
          </xdr:cNvPicPr>
        </xdr:nvPicPr>
        <xdr:blipFill rotWithShape="1">
          <a:blip xmlns:r="http://schemas.openxmlformats.org/officeDocument/2006/relationships" r:embed="rId1"/>
          <a:srcRect l="41234" t="23760" r="49223" b="57486"/>
          <a:stretch/>
        </xdr:blipFill>
        <xdr:spPr>
          <a:xfrm flipH="1">
            <a:off x="13003697" y="6771032"/>
            <a:ext cx="455543" cy="1884294"/>
          </a:xfrm>
          <a:prstGeom prst="rect">
            <a:avLst/>
          </a:prstGeom>
        </xdr:spPr>
      </xdr:pic>
    </xdr:grpSp>
    <xdr:clientData/>
  </xdr:twoCellAnchor>
  <xdr:oneCellAnchor>
    <xdr:from>
      <xdr:col>4</xdr:col>
      <xdr:colOff>295731</xdr:colOff>
      <xdr:row>25</xdr:row>
      <xdr:rowOff>326642</xdr:rowOff>
    </xdr:from>
    <xdr:ext cx="1658115" cy="2284477"/>
    <xdr:pic>
      <xdr:nvPicPr>
        <xdr:cNvPr id="21" name="Imagen 20">
          <a:extLst>
            <a:ext uri="{FF2B5EF4-FFF2-40B4-BE49-F238E27FC236}">
              <a16:creationId xmlns:a16="http://schemas.microsoft.com/office/drawing/2014/main" id="{9EE92836-FEFD-47B9-A870-25E3DB405E25}"/>
            </a:ext>
          </a:extLst>
        </xdr:cNvPr>
        <xdr:cNvPicPr>
          <a:picLocks noChangeAspect="1"/>
        </xdr:cNvPicPr>
      </xdr:nvPicPr>
      <xdr:blipFill rotWithShape="1">
        <a:blip xmlns:r="http://schemas.openxmlformats.org/officeDocument/2006/relationships" r:embed="rId2"/>
        <a:srcRect r="61111" b="5967"/>
        <a:stretch/>
      </xdr:blipFill>
      <xdr:spPr>
        <a:xfrm>
          <a:off x="2567077" y="1450104"/>
          <a:ext cx="1658115" cy="2284477"/>
        </a:xfrm>
        <a:prstGeom prst="rect">
          <a:avLst/>
        </a:prstGeom>
      </xdr:spPr>
    </xdr:pic>
    <xdr:clientData/>
  </xdr:oneCellAnchor>
  <xdr:oneCellAnchor>
    <xdr:from>
      <xdr:col>4</xdr:col>
      <xdr:colOff>2008533</xdr:colOff>
      <xdr:row>25</xdr:row>
      <xdr:rowOff>41413</xdr:rowOff>
    </xdr:from>
    <xdr:ext cx="1777043" cy="1382145"/>
    <xdr:pic>
      <xdr:nvPicPr>
        <xdr:cNvPr id="24" name="Imagen 23">
          <a:extLst>
            <a:ext uri="{FF2B5EF4-FFF2-40B4-BE49-F238E27FC236}">
              <a16:creationId xmlns:a16="http://schemas.microsoft.com/office/drawing/2014/main" id="{8DFBA848-B468-4A69-A231-C64306C1666F}"/>
            </a:ext>
          </a:extLst>
        </xdr:cNvPr>
        <xdr:cNvPicPr>
          <a:picLocks noChangeAspect="1"/>
        </xdr:cNvPicPr>
      </xdr:nvPicPr>
      <xdr:blipFill>
        <a:blip xmlns:r="http://schemas.openxmlformats.org/officeDocument/2006/relationships" r:embed="rId4"/>
        <a:stretch>
          <a:fillRect/>
        </a:stretch>
      </xdr:blipFill>
      <xdr:spPr>
        <a:xfrm>
          <a:off x="4279879" y="1164875"/>
          <a:ext cx="1777043" cy="1382145"/>
        </a:xfrm>
        <a:prstGeom prst="rect">
          <a:avLst/>
        </a:prstGeom>
      </xdr:spPr>
    </xdr:pic>
    <xdr:clientData/>
  </xdr:oneCellAnchor>
  <xdr:oneCellAnchor>
    <xdr:from>
      <xdr:col>4</xdr:col>
      <xdr:colOff>2528319</xdr:colOff>
      <xdr:row>25</xdr:row>
      <xdr:rowOff>1513191</xdr:rowOff>
    </xdr:from>
    <xdr:ext cx="2112065" cy="1519715"/>
    <xdr:pic>
      <xdr:nvPicPr>
        <xdr:cNvPr id="25" name="Imagen 24">
          <a:extLst>
            <a:ext uri="{FF2B5EF4-FFF2-40B4-BE49-F238E27FC236}">
              <a16:creationId xmlns:a16="http://schemas.microsoft.com/office/drawing/2014/main" id="{7BFCD46E-0EBC-417C-9EC6-056324FF8934}"/>
            </a:ext>
          </a:extLst>
        </xdr:cNvPr>
        <xdr:cNvPicPr>
          <a:picLocks noChangeAspect="1"/>
        </xdr:cNvPicPr>
      </xdr:nvPicPr>
      <xdr:blipFill rotWithShape="1">
        <a:blip xmlns:r="http://schemas.openxmlformats.org/officeDocument/2006/relationships" r:embed="rId5"/>
        <a:srcRect l="4391" b="4968"/>
        <a:stretch/>
      </xdr:blipFill>
      <xdr:spPr>
        <a:xfrm>
          <a:off x="4799665" y="2636653"/>
          <a:ext cx="2112065" cy="1519715"/>
        </a:xfrm>
        <a:prstGeom prst="rect">
          <a:avLst/>
        </a:prstGeom>
      </xdr:spPr>
    </xdr:pic>
    <xdr:clientData/>
  </xdr:oneCellAnchor>
  <xdr:oneCellAnchor>
    <xdr:from>
      <xdr:col>4</xdr:col>
      <xdr:colOff>293078</xdr:colOff>
      <xdr:row>27</xdr:row>
      <xdr:rowOff>2792513</xdr:rowOff>
    </xdr:from>
    <xdr:ext cx="2588846" cy="1823449"/>
    <xdr:pic>
      <xdr:nvPicPr>
        <xdr:cNvPr id="28" name="Imagen 27">
          <a:extLst>
            <a:ext uri="{FF2B5EF4-FFF2-40B4-BE49-F238E27FC236}">
              <a16:creationId xmlns:a16="http://schemas.microsoft.com/office/drawing/2014/main" id="{0C0F98ED-5B53-466F-95ED-5993444119DA}"/>
            </a:ext>
          </a:extLst>
        </xdr:cNvPr>
        <xdr:cNvPicPr>
          <a:picLocks noChangeAspect="1"/>
        </xdr:cNvPicPr>
      </xdr:nvPicPr>
      <xdr:blipFill rotWithShape="1">
        <a:blip xmlns:r="http://schemas.openxmlformats.org/officeDocument/2006/relationships" r:embed="rId7"/>
        <a:srcRect l="56610" t="51724" r="14962" b="8374"/>
        <a:stretch/>
      </xdr:blipFill>
      <xdr:spPr>
        <a:xfrm>
          <a:off x="2564424" y="11804628"/>
          <a:ext cx="2588846" cy="1823449"/>
        </a:xfrm>
        <a:prstGeom prst="rect">
          <a:avLst/>
        </a:prstGeom>
      </xdr:spPr>
    </xdr:pic>
    <xdr:clientData/>
  </xdr:oneCellAnchor>
  <xdr:twoCellAnchor editAs="oneCell">
    <xdr:from>
      <xdr:col>4</xdr:col>
      <xdr:colOff>146539</xdr:colOff>
      <xdr:row>27</xdr:row>
      <xdr:rowOff>122116</xdr:rowOff>
    </xdr:from>
    <xdr:to>
      <xdr:col>4</xdr:col>
      <xdr:colOff>2295769</xdr:colOff>
      <xdr:row>27</xdr:row>
      <xdr:rowOff>2227032</xdr:rowOff>
    </xdr:to>
    <xdr:pic>
      <xdr:nvPicPr>
        <xdr:cNvPr id="32" name="Imagen 31">
          <a:extLst>
            <a:ext uri="{FF2B5EF4-FFF2-40B4-BE49-F238E27FC236}">
              <a16:creationId xmlns:a16="http://schemas.microsoft.com/office/drawing/2014/main" id="{5C861407-33B5-119E-D19A-3B5CB8908039}"/>
            </a:ext>
          </a:extLst>
        </xdr:cNvPr>
        <xdr:cNvPicPr>
          <a:picLocks noChangeAspect="1"/>
        </xdr:cNvPicPr>
      </xdr:nvPicPr>
      <xdr:blipFill>
        <a:blip xmlns:r="http://schemas.openxmlformats.org/officeDocument/2006/relationships" r:embed="rId8"/>
        <a:stretch>
          <a:fillRect/>
        </a:stretch>
      </xdr:blipFill>
      <xdr:spPr>
        <a:xfrm>
          <a:off x="2417885" y="10453078"/>
          <a:ext cx="2149230" cy="2104916"/>
        </a:xfrm>
        <a:prstGeom prst="rect">
          <a:avLst/>
        </a:prstGeom>
      </xdr:spPr>
    </xdr:pic>
    <xdr:clientData/>
  </xdr:twoCellAnchor>
  <xdr:twoCellAnchor editAs="oneCell">
    <xdr:from>
      <xdr:col>4</xdr:col>
      <xdr:colOff>341921</xdr:colOff>
      <xdr:row>28</xdr:row>
      <xdr:rowOff>24423</xdr:rowOff>
    </xdr:from>
    <xdr:to>
      <xdr:col>4</xdr:col>
      <xdr:colOff>2705038</xdr:colOff>
      <xdr:row>28</xdr:row>
      <xdr:rowOff>2540001</xdr:rowOff>
    </xdr:to>
    <xdr:pic>
      <xdr:nvPicPr>
        <xdr:cNvPr id="33" name="Imagen 32">
          <a:extLst>
            <a:ext uri="{FF2B5EF4-FFF2-40B4-BE49-F238E27FC236}">
              <a16:creationId xmlns:a16="http://schemas.microsoft.com/office/drawing/2014/main" id="{2915450B-AD72-4DBC-0AC6-28E141D06260}"/>
            </a:ext>
          </a:extLst>
        </xdr:cNvPr>
        <xdr:cNvPicPr>
          <a:picLocks noChangeAspect="1"/>
        </xdr:cNvPicPr>
      </xdr:nvPicPr>
      <xdr:blipFill>
        <a:blip xmlns:r="http://schemas.openxmlformats.org/officeDocument/2006/relationships" r:embed="rId9"/>
        <a:stretch>
          <a:fillRect/>
        </a:stretch>
      </xdr:blipFill>
      <xdr:spPr>
        <a:xfrm>
          <a:off x="2613267" y="14238654"/>
          <a:ext cx="2363117" cy="2515578"/>
        </a:xfrm>
        <a:prstGeom prst="rect">
          <a:avLst/>
        </a:prstGeom>
      </xdr:spPr>
    </xdr:pic>
    <xdr:clientData/>
  </xdr:twoCellAnchor>
  <xdr:oneCellAnchor>
    <xdr:from>
      <xdr:col>4</xdr:col>
      <xdr:colOff>2914862</xdr:colOff>
      <xdr:row>27</xdr:row>
      <xdr:rowOff>918658</xdr:rowOff>
    </xdr:from>
    <xdr:ext cx="1658115" cy="2284477"/>
    <xdr:pic>
      <xdr:nvPicPr>
        <xdr:cNvPr id="34" name="Imagen 33">
          <a:extLst>
            <a:ext uri="{FF2B5EF4-FFF2-40B4-BE49-F238E27FC236}">
              <a16:creationId xmlns:a16="http://schemas.microsoft.com/office/drawing/2014/main" id="{450545CF-B3B3-498D-92ED-D93F67E4071F}"/>
            </a:ext>
          </a:extLst>
        </xdr:cNvPr>
        <xdr:cNvPicPr>
          <a:picLocks noChangeAspect="1"/>
        </xdr:cNvPicPr>
      </xdr:nvPicPr>
      <xdr:blipFill rotWithShape="1">
        <a:blip xmlns:r="http://schemas.openxmlformats.org/officeDocument/2006/relationships" r:embed="rId2"/>
        <a:srcRect r="61111" b="5967"/>
        <a:stretch/>
      </xdr:blipFill>
      <xdr:spPr>
        <a:xfrm>
          <a:off x="5186208" y="11249620"/>
          <a:ext cx="1658115" cy="2284477"/>
        </a:xfrm>
        <a:prstGeom prst="rect">
          <a:avLst/>
        </a:prstGeom>
      </xdr:spPr>
    </xdr:pic>
    <xdr:clientData/>
  </xdr:oneCellAnchor>
  <xdr:oneCellAnchor>
    <xdr:from>
      <xdr:col>4</xdr:col>
      <xdr:colOff>158406</xdr:colOff>
      <xdr:row>29</xdr:row>
      <xdr:rowOff>1988720</xdr:rowOff>
    </xdr:from>
    <xdr:ext cx="2056156" cy="4083468"/>
    <xdr:pic>
      <xdr:nvPicPr>
        <xdr:cNvPr id="35" name="Imagen 34">
          <a:extLst>
            <a:ext uri="{FF2B5EF4-FFF2-40B4-BE49-F238E27FC236}">
              <a16:creationId xmlns:a16="http://schemas.microsoft.com/office/drawing/2014/main" id="{3A71CC7A-522E-4E57-8521-56394944AFF4}"/>
            </a:ext>
          </a:extLst>
        </xdr:cNvPr>
        <xdr:cNvPicPr>
          <a:picLocks noChangeAspect="1"/>
        </xdr:cNvPicPr>
      </xdr:nvPicPr>
      <xdr:blipFill rotWithShape="1">
        <a:blip xmlns:r="http://schemas.openxmlformats.org/officeDocument/2006/relationships" r:embed="rId1"/>
        <a:srcRect l="2987" t="3037" r="54897"/>
        <a:stretch/>
      </xdr:blipFill>
      <xdr:spPr>
        <a:xfrm>
          <a:off x="2444406" y="20562470"/>
          <a:ext cx="2056156" cy="4083468"/>
        </a:xfrm>
        <a:prstGeom prst="rect">
          <a:avLst/>
        </a:prstGeom>
      </xdr:spPr>
    </xdr:pic>
    <xdr:clientData/>
  </xdr:oneCellAnchor>
  <xdr:oneCellAnchor>
    <xdr:from>
      <xdr:col>4</xdr:col>
      <xdr:colOff>2571749</xdr:colOff>
      <xdr:row>29</xdr:row>
      <xdr:rowOff>3118486</xdr:rowOff>
    </xdr:from>
    <xdr:ext cx="1952626" cy="2690241"/>
    <xdr:pic>
      <xdr:nvPicPr>
        <xdr:cNvPr id="36" name="Imagen 35">
          <a:extLst>
            <a:ext uri="{FF2B5EF4-FFF2-40B4-BE49-F238E27FC236}">
              <a16:creationId xmlns:a16="http://schemas.microsoft.com/office/drawing/2014/main" id="{F90155E8-FEAF-49F9-AD67-76AB7580ED5B}"/>
            </a:ext>
          </a:extLst>
        </xdr:cNvPr>
        <xdr:cNvPicPr>
          <a:picLocks noChangeAspect="1"/>
        </xdr:cNvPicPr>
      </xdr:nvPicPr>
      <xdr:blipFill rotWithShape="1">
        <a:blip xmlns:r="http://schemas.openxmlformats.org/officeDocument/2006/relationships" r:embed="rId2"/>
        <a:srcRect r="61111" b="5967"/>
        <a:stretch/>
      </xdr:blipFill>
      <xdr:spPr>
        <a:xfrm>
          <a:off x="4857749" y="21692236"/>
          <a:ext cx="1952626" cy="2690241"/>
        </a:xfrm>
        <a:prstGeom prst="rect">
          <a:avLst/>
        </a:prstGeom>
      </xdr:spPr>
    </xdr:pic>
    <xdr:clientData/>
  </xdr:oneCellAnchor>
  <xdr:oneCellAnchor>
    <xdr:from>
      <xdr:col>4</xdr:col>
      <xdr:colOff>1428749</xdr:colOff>
      <xdr:row>29</xdr:row>
      <xdr:rowOff>119063</xdr:rowOff>
    </xdr:from>
    <xdr:ext cx="3281413" cy="1809750"/>
    <xdr:pic>
      <xdr:nvPicPr>
        <xdr:cNvPr id="37" name="Imagen 36">
          <a:extLst>
            <a:ext uri="{FF2B5EF4-FFF2-40B4-BE49-F238E27FC236}">
              <a16:creationId xmlns:a16="http://schemas.microsoft.com/office/drawing/2014/main" id="{859F2C40-32BE-46DA-9AF4-44018BA65777}"/>
            </a:ext>
          </a:extLst>
        </xdr:cNvPr>
        <xdr:cNvPicPr>
          <a:picLocks noChangeAspect="1"/>
        </xdr:cNvPicPr>
      </xdr:nvPicPr>
      <xdr:blipFill>
        <a:blip xmlns:r="http://schemas.openxmlformats.org/officeDocument/2006/relationships" r:embed="rId10"/>
        <a:stretch>
          <a:fillRect/>
        </a:stretch>
      </xdr:blipFill>
      <xdr:spPr>
        <a:xfrm>
          <a:off x="3714749" y="18692813"/>
          <a:ext cx="3281413" cy="1809750"/>
        </a:xfrm>
        <a:prstGeom prst="rect">
          <a:avLst/>
        </a:prstGeom>
      </xdr:spPr>
    </xdr:pic>
    <xdr:clientData/>
  </xdr:oneCellAnchor>
  <xdr:twoCellAnchor>
    <xdr:from>
      <xdr:col>4</xdr:col>
      <xdr:colOff>430279</xdr:colOff>
      <xdr:row>13</xdr:row>
      <xdr:rowOff>2883245</xdr:rowOff>
    </xdr:from>
    <xdr:to>
      <xdr:col>4</xdr:col>
      <xdr:colOff>4428499</xdr:colOff>
      <xdr:row>14</xdr:row>
      <xdr:rowOff>2378919</xdr:rowOff>
    </xdr:to>
    <xdr:grpSp>
      <xdr:nvGrpSpPr>
        <xdr:cNvPr id="38" name="Grupo 37">
          <a:extLst>
            <a:ext uri="{FF2B5EF4-FFF2-40B4-BE49-F238E27FC236}">
              <a16:creationId xmlns:a16="http://schemas.microsoft.com/office/drawing/2014/main" id="{17A29ACF-2196-4314-B142-367840601318}"/>
            </a:ext>
          </a:extLst>
        </xdr:cNvPr>
        <xdr:cNvGrpSpPr/>
      </xdr:nvGrpSpPr>
      <xdr:grpSpPr>
        <a:xfrm>
          <a:off x="2721428" y="14725137"/>
          <a:ext cx="3998220" cy="4695809"/>
          <a:chOff x="13003695" y="1643"/>
          <a:chExt cx="10291142" cy="12166581"/>
        </a:xfrm>
      </xdr:grpSpPr>
      <xdr:pic>
        <xdr:nvPicPr>
          <xdr:cNvPr id="39" name="Imagen 38">
            <a:extLst>
              <a:ext uri="{FF2B5EF4-FFF2-40B4-BE49-F238E27FC236}">
                <a16:creationId xmlns:a16="http://schemas.microsoft.com/office/drawing/2014/main" id="{5E2DA220-5804-D668-A8FE-BE0ABC959661}"/>
              </a:ext>
            </a:extLst>
          </xdr:cNvPr>
          <xdr:cNvPicPr>
            <a:picLocks noChangeAspect="1"/>
          </xdr:cNvPicPr>
        </xdr:nvPicPr>
        <xdr:blipFill rotWithShape="1">
          <a:blip xmlns:r="http://schemas.openxmlformats.org/officeDocument/2006/relationships" r:embed="rId1"/>
          <a:srcRect l="2943" t="3037" r="28128" b="1037"/>
          <a:stretch/>
        </xdr:blipFill>
        <xdr:spPr>
          <a:xfrm>
            <a:off x="13003698" y="1643"/>
            <a:ext cx="10291139" cy="12166581"/>
          </a:xfrm>
          <a:prstGeom prst="rect">
            <a:avLst/>
          </a:prstGeom>
        </xdr:spPr>
      </xdr:pic>
      <xdr:pic>
        <xdr:nvPicPr>
          <xdr:cNvPr id="40" name="Imagen 39">
            <a:extLst>
              <a:ext uri="{FF2B5EF4-FFF2-40B4-BE49-F238E27FC236}">
                <a16:creationId xmlns:a16="http://schemas.microsoft.com/office/drawing/2014/main" id="{682DE162-7630-7FDF-9122-674C8DD7CD8D}"/>
              </a:ext>
            </a:extLst>
          </xdr:cNvPr>
          <xdr:cNvPicPr>
            <a:picLocks noChangeAspect="1"/>
          </xdr:cNvPicPr>
        </xdr:nvPicPr>
        <xdr:blipFill rotWithShape="1">
          <a:blip xmlns:r="http://schemas.openxmlformats.org/officeDocument/2006/relationships" r:embed="rId1"/>
          <a:srcRect l="26609" t="44106" r="52172" b="39894"/>
          <a:stretch/>
        </xdr:blipFill>
        <xdr:spPr>
          <a:xfrm flipH="1">
            <a:off x="13120246" y="5176627"/>
            <a:ext cx="3126684" cy="2029241"/>
          </a:xfrm>
          <a:prstGeom prst="rect">
            <a:avLst/>
          </a:prstGeom>
        </xdr:spPr>
      </xdr:pic>
      <xdr:pic>
        <xdr:nvPicPr>
          <xdr:cNvPr id="41" name="Imagen 40">
            <a:extLst>
              <a:ext uri="{FF2B5EF4-FFF2-40B4-BE49-F238E27FC236}">
                <a16:creationId xmlns:a16="http://schemas.microsoft.com/office/drawing/2014/main" id="{0349890A-2E1D-73ED-90E2-88004EC85DD1}"/>
              </a:ext>
            </a:extLst>
          </xdr:cNvPr>
          <xdr:cNvPicPr>
            <a:picLocks noChangeAspect="1"/>
          </xdr:cNvPicPr>
        </xdr:nvPicPr>
        <xdr:blipFill rotWithShape="1">
          <a:blip xmlns:r="http://schemas.openxmlformats.org/officeDocument/2006/relationships" r:embed="rId1"/>
          <a:srcRect l="26609" t="45680" r="55213" b="39894"/>
          <a:stretch/>
        </xdr:blipFill>
        <xdr:spPr>
          <a:xfrm flipH="1">
            <a:off x="13003695" y="6791742"/>
            <a:ext cx="2119375" cy="1449456"/>
          </a:xfrm>
          <a:prstGeom prst="rect">
            <a:avLst/>
          </a:prstGeom>
        </xdr:spPr>
      </xdr:pic>
      <xdr:pic>
        <xdr:nvPicPr>
          <xdr:cNvPr id="42" name="Imagen 41">
            <a:extLst>
              <a:ext uri="{FF2B5EF4-FFF2-40B4-BE49-F238E27FC236}">
                <a16:creationId xmlns:a16="http://schemas.microsoft.com/office/drawing/2014/main" id="{A8AF2A91-C1B4-1115-C22B-7A241D4075B3}"/>
              </a:ext>
            </a:extLst>
          </xdr:cNvPr>
          <xdr:cNvPicPr>
            <a:picLocks noChangeAspect="1"/>
          </xdr:cNvPicPr>
        </xdr:nvPicPr>
        <xdr:blipFill rotWithShape="1">
          <a:blip xmlns:r="http://schemas.openxmlformats.org/officeDocument/2006/relationships" r:embed="rId1"/>
          <a:srcRect l="41234" t="23760" r="49223" b="57486"/>
          <a:stretch/>
        </xdr:blipFill>
        <xdr:spPr>
          <a:xfrm flipH="1">
            <a:off x="13003697" y="6771032"/>
            <a:ext cx="455543" cy="1884294"/>
          </a:xfrm>
          <a:prstGeom prst="rect">
            <a:avLst/>
          </a:prstGeom>
        </xdr:spPr>
      </xdr:pic>
    </xdr:grpSp>
    <xdr:clientData/>
  </xdr:twoCellAnchor>
  <xdr:oneCellAnchor>
    <xdr:from>
      <xdr:col>4</xdr:col>
      <xdr:colOff>295731</xdr:colOff>
      <xdr:row>13</xdr:row>
      <xdr:rowOff>326642</xdr:rowOff>
    </xdr:from>
    <xdr:ext cx="1658115" cy="2284477"/>
    <xdr:pic>
      <xdr:nvPicPr>
        <xdr:cNvPr id="43" name="Imagen 42">
          <a:extLst>
            <a:ext uri="{FF2B5EF4-FFF2-40B4-BE49-F238E27FC236}">
              <a16:creationId xmlns:a16="http://schemas.microsoft.com/office/drawing/2014/main" id="{08645F71-441B-44BD-AA19-C1232B19B013}"/>
            </a:ext>
          </a:extLst>
        </xdr:cNvPr>
        <xdr:cNvPicPr>
          <a:picLocks noChangeAspect="1"/>
        </xdr:cNvPicPr>
      </xdr:nvPicPr>
      <xdr:blipFill rotWithShape="1">
        <a:blip xmlns:r="http://schemas.openxmlformats.org/officeDocument/2006/relationships" r:embed="rId2"/>
        <a:srcRect r="61111" b="5967"/>
        <a:stretch/>
      </xdr:blipFill>
      <xdr:spPr>
        <a:xfrm>
          <a:off x="2586880" y="3596034"/>
          <a:ext cx="1658115" cy="2284477"/>
        </a:xfrm>
        <a:prstGeom prst="rect">
          <a:avLst/>
        </a:prstGeom>
      </xdr:spPr>
    </xdr:pic>
    <xdr:clientData/>
  </xdr:oneCellAnchor>
  <xdr:oneCellAnchor>
    <xdr:from>
      <xdr:col>4</xdr:col>
      <xdr:colOff>2008533</xdr:colOff>
      <xdr:row>13</xdr:row>
      <xdr:rowOff>41413</xdr:rowOff>
    </xdr:from>
    <xdr:ext cx="1777043" cy="1382145"/>
    <xdr:pic>
      <xdr:nvPicPr>
        <xdr:cNvPr id="44" name="Imagen 43">
          <a:extLst>
            <a:ext uri="{FF2B5EF4-FFF2-40B4-BE49-F238E27FC236}">
              <a16:creationId xmlns:a16="http://schemas.microsoft.com/office/drawing/2014/main" id="{BF548EE5-0161-4EBF-B09F-E354EC53DEB8}"/>
            </a:ext>
          </a:extLst>
        </xdr:cNvPr>
        <xdr:cNvPicPr>
          <a:picLocks noChangeAspect="1"/>
        </xdr:cNvPicPr>
      </xdr:nvPicPr>
      <xdr:blipFill>
        <a:blip xmlns:r="http://schemas.openxmlformats.org/officeDocument/2006/relationships" r:embed="rId4"/>
        <a:stretch>
          <a:fillRect/>
        </a:stretch>
      </xdr:blipFill>
      <xdr:spPr>
        <a:xfrm>
          <a:off x="4299682" y="3310805"/>
          <a:ext cx="1777043" cy="1382145"/>
        </a:xfrm>
        <a:prstGeom prst="rect">
          <a:avLst/>
        </a:prstGeom>
      </xdr:spPr>
    </xdr:pic>
    <xdr:clientData/>
  </xdr:oneCellAnchor>
  <xdr:oneCellAnchor>
    <xdr:from>
      <xdr:col>4</xdr:col>
      <xdr:colOff>2528319</xdr:colOff>
      <xdr:row>13</xdr:row>
      <xdr:rowOff>1513191</xdr:rowOff>
    </xdr:from>
    <xdr:ext cx="2112065" cy="1519715"/>
    <xdr:pic>
      <xdr:nvPicPr>
        <xdr:cNvPr id="45" name="Imagen 44">
          <a:extLst>
            <a:ext uri="{FF2B5EF4-FFF2-40B4-BE49-F238E27FC236}">
              <a16:creationId xmlns:a16="http://schemas.microsoft.com/office/drawing/2014/main" id="{1B9B1615-3266-4F9D-8D2F-9D2EAEF35513}"/>
            </a:ext>
          </a:extLst>
        </xdr:cNvPr>
        <xdr:cNvPicPr>
          <a:picLocks noChangeAspect="1"/>
        </xdr:cNvPicPr>
      </xdr:nvPicPr>
      <xdr:blipFill rotWithShape="1">
        <a:blip xmlns:r="http://schemas.openxmlformats.org/officeDocument/2006/relationships" r:embed="rId5"/>
        <a:srcRect l="4391" b="4968"/>
        <a:stretch/>
      </xdr:blipFill>
      <xdr:spPr>
        <a:xfrm>
          <a:off x="4819468" y="4782583"/>
          <a:ext cx="2112065" cy="1519715"/>
        </a:xfrm>
        <a:prstGeom prst="rect">
          <a:avLst/>
        </a:prstGeom>
      </xdr:spPr>
    </xdr:pic>
    <xdr:clientData/>
  </xdr:oneCellAnchor>
  <xdr:twoCellAnchor>
    <xdr:from>
      <xdr:col>4</xdr:col>
      <xdr:colOff>353049</xdr:colOff>
      <xdr:row>15</xdr:row>
      <xdr:rowOff>2548581</xdr:rowOff>
    </xdr:from>
    <xdr:to>
      <xdr:col>4</xdr:col>
      <xdr:colOff>4351269</xdr:colOff>
      <xdr:row>16</xdr:row>
      <xdr:rowOff>2327433</xdr:rowOff>
    </xdr:to>
    <xdr:grpSp>
      <xdr:nvGrpSpPr>
        <xdr:cNvPr id="46" name="Grupo 45">
          <a:extLst>
            <a:ext uri="{FF2B5EF4-FFF2-40B4-BE49-F238E27FC236}">
              <a16:creationId xmlns:a16="http://schemas.microsoft.com/office/drawing/2014/main" id="{C020AFC0-1F56-496E-9DB3-AC241EE3FBA7}"/>
            </a:ext>
          </a:extLst>
        </xdr:cNvPr>
        <xdr:cNvGrpSpPr/>
      </xdr:nvGrpSpPr>
      <xdr:grpSpPr>
        <a:xfrm>
          <a:off x="2644198" y="22267905"/>
          <a:ext cx="3998220" cy="4978987"/>
          <a:chOff x="13003695" y="1643"/>
          <a:chExt cx="10291142" cy="12166581"/>
        </a:xfrm>
      </xdr:grpSpPr>
      <xdr:pic>
        <xdr:nvPicPr>
          <xdr:cNvPr id="47" name="Imagen 46">
            <a:extLst>
              <a:ext uri="{FF2B5EF4-FFF2-40B4-BE49-F238E27FC236}">
                <a16:creationId xmlns:a16="http://schemas.microsoft.com/office/drawing/2014/main" id="{C03B4A1A-21EF-1EF4-DBA3-BA615DBBD70E}"/>
              </a:ext>
            </a:extLst>
          </xdr:cNvPr>
          <xdr:cNvPicPr>
            <a:picLocks noChangeAspect="1"/>
          </xdr:cNvPicPr>
        </xdr:nvPicPr>
        <xdr:blipFill rotWithShape="1">
          <a:blip xmlns:r="http://schemas.openxmlformats.org/officeDocument/2006/relationships" r:embed="rId1"/>
          <a:srcRect l="2943" t="3037" r="28128" b="1037"/>
          <a:stretch/>
        </xdr:blipFill>
        <xdr:spPr>
          <a:xfrm>
            <a:off x="13003698" y="1643"/>
            <a:ext cx="10291139" cy="12166581"/>
          </a:xfrm>
          <a:prstGeom prst="rect">
            <a:avLst/>
          </a:prstGeom>
        </xdr:spPr>
      </xdr:pic>
      <xdr:pic>
        <xdr:nvPicPr>
          <xdr:cNvPr id="48" name="Imagen 47">
            <a:extLst>
              <a:ext uri="{FF2B5EF4-FFF2-40B4-BE49-F238E27FC236}">
                <a16:creationId xmlns:a16="http://schemas.microsoft.com/office/drawing/2014/main" id="{353704B6-0FA5-6C32-4E75-569141BEE7CE}"/>
              </a:ext>
            </a:extLst>
          </xdr:cNvPr>
          <xdr:cNvPicPr>
            <a:picLocks noChangeAspect="1"/>
          </xdr:cNvPicPr>
        </xdr:nvPicPr>
        <xdr:blipFill rotWithShape="1">
          <a:blip xmlns:r="http://schemas.openxmlformats.org/officeDocument/2006/relationships" r:embed="rId1"/>
          <a:srcRect l="26609" t="44106" r="52172" b="39894"/>
          <a:stretch/>
        </xdr:blipFill>
        <xdr:spPr>
          <a:xfrm flipH="1">
            <a:off x="13120246" y="5176627"/>
            <a:ext cx="3126684" cy="2029241"/>
          </a:xfrm>
          <a:prstGeom prst="rect">
            <a:avLst/>
          </a:prstGeom>
        </xdr:spPr>
      </xdr:pic>
      <xdr:pic>
        <xdr:nvPicPr>
          <xdr:cNvPr id="49" name="Imagen 48">
            <a:extLst>
              <a:ext uri="{FF2B5EF4-FFF2-40B4-BE49-F238E27FC236}">
                <a16:creationId xmlns:a16="http://schemas.microsoft.com/office/drawing/2014/main" id="{6E18B3A1-1FC2-424A-8E25-97C2840161A9}"/>
              </a:ext>
            </a:extLst>
          </xdr:cNvPr>
          <xdr:cNvPicPr>
            <a:picLocks noChangeAspect="1"/>
          </xdr:cNvPicPr>
        </xdr:nvPicPr>
        <xdr:blipFill rotWithShape="1">
          <a:blip xmlns:r="http://schemas.openxmlformats.org/officeDocument/2006/relationships" r:embed="rId1"/>
          <a:srcRect l="26609" t="45680" r="55213" b="39894"/>
          <a:stretch/>
        </xdr:blipFill>
        <xdr:spPr>
          <a:xfrm flipH="1">
            <a:off x="13003695" y="6791742"/>
            <a:ext cx="2119375" cy="1449456"/>
          </a:xfrm>
          <a:prstGeom prst="rect">
            <a:avLst/>
          </a:prstGeom>
        </xdr:spPr>
      </xdr:pic>
      <xdr:pic>
        <xdr:nvPicPr>
          <xdr:cNvPr id="50" name="Imagen 49">
            <a:extLst>
              <a:ext uri="{FF2B5EF4-FFF2-40B4-BE49-F238E27FC236}">
                <a16:creationId xmlns:a16="http://schemas.microsoft.com/office/drawing/2014/main" id="{5B4DABD4-86B4-F281-E5E4-4CA8531A7DBA}"/>
              </a:ext>
            </a:extLst>
          </xdr:cNvPr>
          <xdr:cNvPicPr>
            <a:picLocks noChangeAspect="1"/>
          </xdr:cNvPicPr>
        </xdr:nvPicPr>
        <xdr:blipFill rotWithShape="1">
          <a:blip xmlns:r="http://schemas.openxmlformats.org/officeDocument/2006/relationships" r:embed="rId1"/>
          <a:srcRect l="41234" t="23760" r="49223" b="57486"/>
          <a:stretch/>
        </xdr:blipFill>
        <xdr:spPr>
          <a:xfrm flipH="1">
            <a:off x="13003697" y="6771032"/>
            <a:ext cx="455543" cy="1884294"/>
          </a:xfrm>
          <a:prstGeom prst="rect">
            <a:avLst/>
          </a:prstGeom>
        </xdr:spPr>
      </xdr:pic>
    </xdr:grpSp>
    <xdr:clientData/>
  </xdr:twoCellAnchor>
  <xdr:oneCellAnchor>
    <xdr:from>
      <xdr:col>4</xdr:col>
      <xdr:colOff>1943299</xdr:colOff>
      <xdr:row>15</xdr:row>
      <xdr:rowOff>300898</xdr:rowOff>
    </xdr:from>
    <xdr:ext cx="1658115" cy="2284477"/>
    <xdr:pic>
      <xdr:nvPicPr>
        <xdr:cNvPr id="51" name="Imagen 50">
          <a:extLst>
            <a:ext uri="{FF2B5EF4-FFF2-40B4-BE49-F238E27FC236}">
              <a16:creationId xmlns:a16="http://schemas.microsoft.com/office/drawing/2014/main" id="{678FD2C4-681C-48D3-900F-27E6D3CBA3F2}"/>
            </a:ext>
          </a:extLst>
        </xdr:cNvPr>
        <xdr:cNvPicPr>
          <a:picLocks noChangeAspect="1"/>
        </xdr:cNvPicPr>
      </xdr:nvPicPr>
      <xdr:blipFill rotWithShape="1">
        <a:blip xmlns:r="http://schemas.openxmlformats.org/officeDocument/2006/relationships" r:embed="rId2"/>
        <a:srcRect r="61111" b="5967"/>
        <a:stretch/>
      </xdr:blipFill>
      <xdr:spPr>
        <a:xfrm>
          <a:off x="4234448" y="9285290"/>
          <a:ext cx="1658115" cy="2284477"/>
        </a:xfrm>
        <a:prstGeom prst="rect">
          <a:avLst/>
        </a:prstGeom>
      </xdr:spPr>
    </xdr:pic>
    <xdr:clientData/>
  </xdr:oneCellAnchor>
  <xdr:twoCellAnchor>
    <xdr:from>
      <xdr:col>4</xdr:col>
      <xdr:colOff>1022372</xdr:colOff>
      <xdr:row>3</xdr:row>
      <xdr:rowOff>2162433</xdr:rowOff>
    </xdr:from>
    <xdr:to>
      <xdr:col>4</xdr:col>
      <xdr:colOff>4015945</xdr:colOff>
      <xdr:row>3</xdr:row>
      <xdr:rowOff>5097163</xdr:rowOff>
    </xdr:to>
    <xdr:grpSp>
      <xdr:nvGrpSpPr>
        <xdr:cNvPr id="26" name="Grupo 25">
          <a:extLst>
            <a:ext uri="{FF2B5EF4-FFF2-40B4-BE49-F238E27FC236}">
              <a16:creationId xmlns:a16="http://schemas.microsoft.com/office/drawing/2014/main" id="{6F2F8412-D11B-4C61-999F-A00336CAC696}"/>
            </a:ext>
          </a:extLst>
        </xdr:cNvPr>
        <xdr:cNvGrpSpPr/>
      </xdr:nvGrpSpPr>
      <xdr:grpSpPr>
        <a:xfrm>
          <a:off x="3313521" y="3269392"/>
          <a:ext cx="2993573" cy="2934730"/>
          <a:chOff x="13003695" y="1643"/>
          <a:chExt cx="10291142" cy="12166581"/>
        </a:xfrm>
      </xdr:grpSpPr>
      <xdr:pic>
        <xdr:nvPicPr>
          <xdr:cNvPr id="27" name="Imagen 26">
            <a:extLst>
              <a:ext uri="{FF2B5EF4-FFF2-40B4-BE49-F238E27FC236}">
                <a16:creationId xmlns:a16="http://schemas.microsoft.com/office/drawing/2014/main" id="{BF748586-7ACD-071A-0590-8B68064481DD}"/>
              </a:ext>
            </a:extLst>
          </xdr:cNvPr>
          <xdr:cNvPicPr>
            <a:picLocks noChangeAspect="1"/>
          </xdr:cNvPicPr>
        </xdr:nvPicPr>
        <xdr:blipFill rotWithShape="1">
          <a:blip xmlns:r="http://schemas.openxmlformats.org/officeDocument/2006/relationships" r:embed="rId1"/>
          <a:srcRect l="2943" t="3037" r="28128" b="1037"/>
          <a:stretch/>
        </xdr:blipFill>
        <xdr:spPr>
          <a:xfrm>
            <a:off x="13003698" y="1643"/>
            <a:ext cx="10291139" cy="12166581"/>
          </a:xfrm>
          <a:prstGeom prst="rect">
            <a:avLst/>
          </a:prstGeom>
        </xdr:spPr>
      </xdr:pic>
      <xdr:pic>
        <xdr:nvPicPr>
          <xdr:cNvPr id="52" name="Imagen 51">
            <a:extLst>
              <a:ext uri="{FF2B5EF4-FFF2-40B4-BE49-F238E27FC236}">
                <a16:creationId xmlns:a16="http://schemas.microsoft.com/office/drawing/2014/main" id="{383A85E5-C6FB-7DA2-98B5-272C26BC8B9E}"/>
              </a:ext>
            </a:extLst>
          </xdr:cNvPr>
          <xdr:cNvPicPr>
            <a:picLocks noChangeAspect="1"/>
          </xdr:cNvPicPr>
        </xdr:nvPicPr>
        <xdr:blipFill rotWithShape="1">
          <a:blip xmlns:r="http://schemas.openxmlformats.org/officeDocument/2006/relationships" r:embed="rId1"/>
          <a:srcRect l="26609" t="44106" r="52172" b="39894"/>
          <a:stretch/>
        </xdr:blipFill>
        <xdr:spPr>
          <a:xfrm flipH="1">
            <a:off x="13120246" y="5176627"/>
            <a:ext cx="3126684" cy="2029241"/>
          </a:xfrm>
          <a:prstGeom prst="rect">
            <a:avLst/>
          </a:prstGeom>
        </xdr:spPr>
      </xdr:pic>
      <xdr:pic>
        <xdr:nvPicPr>
          <xdr:cNvPr id="53" name="Imagen 52">
            <a:extLst>
              <a:ext uri="{FF2B5EF4-FFF2-40B4-BE49-F238E27FC236}">
                <a16:creationId xmlns:a16="http://schemas.microsoft.com/office/drawing/2014/main" id="{5838D672-3175-7463-61BC-0643B765C871}"/>
              </a:ext>
            </a:extLst>
          </xdr:cNvPr>
          <xdr:cNvPicPr>
            <a:picLocks noChangeAspect="1"/>
          </xdr:cNvPicPr>
        </xdr:nvPicPr>
        <xdr:blipFill rotWithShape="1">
          <a:blip xmlns:r="http://schemas.openxmlformats.org/officeDocument/2006/relationships" r:embed="rId1"/>
          <a:srcRect l="26609" t="45680" r="55213" b="39894"/>
          <a:stretch/>
        </xdr:blipFill>
        <xdr:spPr>
          <a:xfrm flipH="1">
            <a:off x="13003695" y="6791742"/>
            <a:ext cx="2119375" cy="1449456"/>
          </a:xfrm>
          <a:prstGeom prst="rect">
            <a:avLst/>
          </a:prstGeom>
        </xdr:spPr>
      </xdr:pic>
      <xdr:pic>
        <xdr:nvPicPr>
          <xdr:cNvPr id="54" name="Imagen 53">
            <a:extLst>
              <a:ext uri="{FF2B5EF4-FFF2-40B4-BE49-F238E27FC236}">
                <a16:creationId xmlns:a16="http://schemas.microsoft.com/office/drawing/2014/main" id="{D90EDC4D-B5DD-B6B8-AA4B-7EAF3AD84770}"/>
              </a:ext>
            </a:extLst>
          </xdr:cNvPr>
          <xdr:cNvPicPr>
            <a:picLocks noChangeAspect="1"/>
          </xdr:cNvPicPr>
        </xdr:nvPicPr>
        <xdr:blipFill rotWithShape="1">
          <a:blip xmlns:r="http://schemas.openxmlformats.org/officeDocument/2006/relationships" r:embed="rId1"/>
          <a:srcRect l="41234" t="23760" r="49223" b="57486"/>
          <a:stretch/>
        </xdr:blipFill>
        <xdr:spPr>
          <a:xfrm flipH="1">
            <a:off x="13003697" y="6771032"/>
            <a:ext cx="455543" cy="1884294"/>
          </a:xfrm>
          <a:prstGeom prst="rect">
            <a:avLst/>
          </a:prstGeom>
        </xdr:spPr>
      </xdr:pic>
    </xdr:grpSp>
    <xdr:clientData/>
  </xdr:twoCellAnchor>
  <xdr:oneCellAnchor>
    <xdr:from>
      <xdr:col>4</xdr:col>
      <xdr:colOff>2046273</xdr:colOff>
      <xdr:row>3</xdr:row>
      <xdr:rowOff>275155</xdr:rowOff>
    </xdr:from>
    <xdr:ext cx="1444560" cy="1990251"/>
    <xdr:pic>
      <xdr:nvPicPr>
        <xdr:cNvPr id="55" name="Imagen 54">
          <a:extLst>
            <a:ext uri="{FF2B5EF4-FFF2-40B4-BE49-F238E27FC236}">
              <a16:creationId xmlns:a16="http://schemas.microsoft.com/office/drawing/2014/main" id="{63B78A99-D370-416A-8614-765B6619AFB9}"/>
            </a:ext>
          </a:extLst>
        </xdr:cNvPr>
        <xdr:cNvPicPr>
          <a:picLocks noChangeAspect="1"/>
        </xdr:cNvPicPr>
      </xdr:nvPicPr>
      <xdr:blipFill rotWithShape="1">
        <a:blip xmlns:r="http://schemas.openxmlformats.org/officeDocument/2006/relationships" r:embed="rId2"/>
        <a:srcRect r="61111" b="5967"/>
        <a:stretch/>
      </xdr:blipFill>
      <xdr:spPr>
        <a:xfrm>
          <a:off x="4337422" y="1382114"/>
          <a:ext cx="1444560" cy="199025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566352</xdr:colOff>
      <xdr:row>15</xdr:row>
      <xdr:rowOff>102973</xdr:rowOff>
    </xdr:from>
    <xdr:to>
      <xdr:col>4</xdr:col>
      <xdr:colOff>4213311</xdr:colOff>
      <xdr:row>15</xdr:row>
      <xdr:rowOff>2677298</xdr:rowOff>
    </xdr:to>
    <xdr:pic>
      <xdr:nvPicPr>
        <xdr:cNvPr id="58" name="Imagen 57">
          <a:extLst>
            <a:ext uri="{FF2B5EF4-FFF2-40B4-BE49-F238E27FC236}">
              <a16:creationId xmlns:a16="http://schemas.microsoft.com/office/drawing/2014/main" id="{A1030EE3-39C8-8FAC-A0F4-16CCA555EECB}"/>
            </a:ext>
          </a:extLst>
        </xdr:cNvPr>
        <xdr:cNvPicPr>
          <a:picLocks noChangeAspect="1"/>
        </xdr:cNvPicPr>
      </xdr:nvPicPr>
      <xdr:blipFill rotWithShape="1">
        <a:blip xmlns:r="http://schemas.openxmlformats.org/officeDocument/2006/relationships" r:embed="rId1"/>
        <a:srcRect l="54658" t="11397" r="10927" b="22427"/>
        <a:stretch/>
      </xdr:blipFill>
      <xdr:spPr>
        <a:xfrm>
          <a:off x="2857501" y="1209932"/>
          <a:ext cx="3646959" cy="2574325"/>
        </a:xfrm>
        <a:prstGeom prst="rect">
          <a:avLst/>
        </a:prstGeom>
      </xdr:spPr>
    </xdr:pic>
    <xdr:clientData/>
  </xdr:twoCellAnchor>
  <xdr:twoCellAnchor editAs="oneCell">
    <xdr:from>
      <xdr:col>4</xdr:col>
      <xdr:colOff>334663</xdr:colOff>
      <xdr:row>16</xdr:row>
      <xdr:rowOff>411891</xdr:rowOff>
    </xdr:from>
    <xdr:to>
      <xdr:col>4</xdr:col>
      <xdr:colOff>2531979</xdr:colOff>
      <xdr:row>16</xdr:row>
      <xdr:rowOff>2651554</xdr:rowOff>
    </xdr:to>
    <xdr:pic>
      <xdr:nvPicPr>
        <xdr:cNvPr id="60" name="Imagen 59">
          <a:extLst>
            <a:ext uri="{FF2B5EF4-FFF2-40B4-BE49-F238E27FC236}">
              <a16:creationId xmlns:a16="http://schemas.microsoft.com/office/drawing/2014/main" id="{D4A65EDD-8757-2B7D-1310-1CEB43016C7A}"/>
            </a:ext>
          </a:extLst>
        </xdr:cNvPr>
        <xdr:cNvPicPr>
          <a:picLocks noChangeAspect="1"/>
        </xdr:cNvPicPr>
      </xdr:nvPicPr>
      <xdr:blipFill>
        <a:blip xmlns:r="http://schemas.openxmlformats.org/officeDocument/2006/relationships" r:embed="rId2"/>
        <a:stretch>
          <a:fillRect/>
        </a:stretch>
      </xdr:blipFill>
      <xdr:spPr>
        <a:xfrm>
          <a:off x="2625812" y="4556553"/>
          <a:ext cx="2197316" cy="2239663"/>
        </a:xfrm>
        <a:prstGeom prst="rect">
          <a:avLst/>
        </a:prstGeom>
      </xdr:spPr>
    </xdr:pic>
    <xdr:clientData/>
  </xdr:twoCellAnchor>
  <xdr:twoCellAnchor editAs="oneCell">
    <xdr:from>
      <xdr:col>4</xdr:col>
      <xdr:colOff>2908988</xdr:colOff>
      <xdr:row>16</xdr:row>
      <xdr:rowOff>514866</xdr:rowOff>
    </xdr:from>
    <xdr:to>
      <xdr:col>4</xdr:col>
      <xdr:colOff>4553392</xdr:colOff>
      <xdr:row>16</xdr:row>
      <xdr:rowOff>2831757</xdr:rowOff>
    </xdr:to>
    <xdr:pic>
      <xdr:nvPicPr>
        <xdr:cNvPr id="61" name="Imagen 60">
          <a:extLst>
            <a:ext uri="{FF2B5EF4-FFF2-40B4-BE49-F238E27FC236}">
              <a16:creationId xmlns:a16="http://schemas.microsoft.com/office/drawing/2014/main" id="{727BCC88-2F76-F008-5215-DB09EA638972}"/>
            </a:ext>
          </a:extLst>
        </xdr:cNvPr>
        <xdr:cNvPicPr>
          <a:picLocks noChangeAspect="1"/>
        </xdr:cNvPicPr>
      </xdr:nvPicPr>
      <xdr:blipFill>
        <a:blip xmlns:r="http://schemas.openxmlformats.org/officeDocument/2006/relationships" r:embed="rId3"/>
        <a:stretch>
          <a:fillRect/>
        </a:stretch>
      </xdr:blipFill>
      <xdr:spPr>
        <a:xfrm>
          <a:off x="5200137" y="4659528"/>
          <a:ext cx="1644404" cy="2316891"/>
        </a:xfrm>
        <a:prstGeom prst="rect">
          <a:avLst/>
        </a:prstGeom>
      </xdr:spPr>
    </xdr:pic>
    <xdr:clientData/>
  </xdr:twoCellAnchor>
  <xdr:oneCellAnchor>
    <xdr:from>
      <xdr:col>4</xdr:col>
      <xdr:colOff>1027390</xdr:colOff>
      <xdr:row>9</xdr:row>
      <xdr:rowOff>303653</xdr:rowOff>
    </xdr:from>
    <xdr:ext cx="2569276" cy="2618791"/>
    <xdr:pic>
      <xdr:nvPicPr>
        <xdr:cNvPr id="62" name="Imagen 61">
          <a:extLst>
            <a:ext uri="{FF2B5EF4-FFF2-40B4-BE49-F238E27FC236}">
              <a16:creationId xmlns:a16="http://schemas.microsoft.com/office/drawing/2014/main" id="{DF4BB9AF-539C-49F5-B19D-E1F370736D8F}"/>
            </a:ext>
          </a:extLst>
        </xdr:cNvPr>
        <xdr:cNvPicPr>
          <a:picLocks noChangeAspect="1"/>
        </xdr:cNvPicPr>
      </xdr:nvPicPr>
      <xdr:blipFill>
        <a:blip xmlns:r="http://schemas.openxmlformats.org/officeDocument/2006/relationships" r:embed="rId2"/>
        <a:stretch>
          <a:fillRect/>
        </a:stretch>
      </xdr:blipFill>
      <xdr:spPr>
        <a:xfrm>
          <a:off x="3322049" y="1429335"/>
          <a:ext cx="2569276" cy="2618791"/>
        </a:xfrm>
        <a:prstGeom prst="rect">
          <a:avLst/>
        </a:prstGeom>
      </xdr:spPr>
    </xdr:pic>
    <xdr:clientData/>
  </xdr:oneCellAnchor>
  <xdr:oneCellAnchor>
    <xdr:from>
      <xdr:col>4</xdr:col>
      <xdr:colOff>1027390</xdr:colOff>
      <xdr:row>3</xdr:row>
      <xdr:rowOff>303653</xdr:rowOff>
    </xdr:from>
    <xdr:ext cx="2569276" cy="2618791"/>
    <xdr:pic>
      <xdr:nvPicPr>
        <xdr:cNvPr id="64" name="Imagen 63">
          <a:extLst>
            <a:ext uri="{FF2B5EF4-FFF2-40B4-BE49-F238E27FC236}">
              <a16:creationId xmlns:a16="http://schemas.microsoft.com/office/drawing/2014/main" id="{D6DC6105-8E78-4003-9522-BB39C34689BB}"/>
            </a:ext>
          </a:extLst>
        </xdr:cNvPr>
        <xdr:cNvPicPr>
          <a:picLocks noChangeAspect="1"/>
        </xdr:cNvPicPr>
      </xdr:nvPicPr>
      <xdr:blipFill>
        <a:blip xmlns:r="http://schemas.openxmlformats.org/officeDocument/2006/relationships" r:embed="rId2"/>
        <a:stretch>
          <a:fillRect/>
        </a:stretch>
      </xdr:blipFill>
      <xdr:spPr>
        <a:xfrm>
          <a:off x="3322049" y="2598312"/>
          <a:ext cx="2569276" cy="261879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1818411</xdr:colOff>
      <xdr:row>3</xdr:row>
      <xdr:rowOff>108240</xdr:rowOff>
    </xdr:from>
    <xdr:to>
      <xdr:col>4</xdr:col>
      <xdr:colOff>2919026</xdr:colOff>
      <xdr:row>3</xdr:row>
      <xdr:rowOff>1623579</xdr:rowOff>
    </xdr:to>
    <xdr:pic>
      <xdr:nvPicPr>
        <xdr:cNvPr id="8" name="Imagen 7">
          <a:extLst>
            <a:ext uri="{FF2B5EF4-FFF2-40B4-BE49-F238E27FC236}">
              <a16:creationId xmlns:a16="http://schemas.microsoft.com/office/drawing/2014/main" id="{7DAEC7A4-279E-8EEE-8BA7-28DC00F0FB2F}"/>
            </a:ext>
          </a:extLst>
        </xdr:cNvPr>
        <xdr:cNvPicPr>
          <a:picLocks noChangeAspect="1"/>
        </xdr:cNvPicPr>
      </xdr:nvPicPr>
      <xdr:blipFill>
        <a:blip xmlns:r="http://schemas.openxmlformats.org/officeDocument/2006/relationships" r:embed="rId1"/>
        <a:stretch>
          <a:fillRect/>
        </a:stretch>
      </xdr:blipFill>
      <xdr:spPr>
        <a:xfrm>
          <a:off x="4113070" y="1233922"/>
          <a:ext cx="1100615" cy="1515339"/>
        </a:xfrm>
        <a:prstGeom prst="rect">
          <a:avLst/>
        </a:prstGeom>
      </xdr:spPr>
    </xdr:pic>
    <xdr:clientData/>
  </xdr:twoCellAnchor>
  <xdr:twoCellAnchor editAs="oneCell">
    <xdr:from>
      <xdr:col>4</xdr:col>
      <xdr:colOff>108239</xdr:colOff>
      <xdr:row>3</xdr:row>
      <xdr:rowOff>151536</xdr:rowOff>
    </xdr:from>
    <xdr:to>
      <xdr:col>4</xdr:col>
      <xdr:colOff>1810555</xdr:colOff>
      <xdr:row>3</xdr:row>
      <xdr:rowOff>2532783</xdr:rowOff>
    </xdr:to>
    <xdr:pic>
      <xdr:nvPicPr>
        <xdr:cNvPr id="9" name="Imagen 8">
          <a:extLst>
            <a:ext uri="{FF2B5EF4-FFF2-40B4-BE49-F238E27FC236}">
              <a16:creationId xmlns:a16="http://schemas.microsoft.com/office/drawing/2014/main" id="{C509AE0D-CE7B-DFC7-37C5-46BDA94E3C2A}"/>
            </a:ext>
          </a:extLst>
        </xdr:cNvPr>
        <xdr:cNvPicPr>
          <a:picLocks noChangeAspect="1"/>
        </xdr:cNvPicPr>
      </xdr:nvPicPr>
      <xdr:blipFill>
        <a:blip xmlns:r="http://schemas.openxmlformats.org/officeDocument/2006/relationships" r:embed="rId2"/>
        <a:stretch>
          <a:fillRect/>
        </a:stretch>
      </xdr:blipFill>
      <xdr:spPr>
        <a:xfrm>
          <a:off x="2402898" y="1277218"/>
          <a:ext cx="1702316" cy="2381247"/>
        </a:xfrm>
        <a:prstGeom prst="rect">
          <a:avLst/>
        </a:prstGeom>
      </xdr:spPr>
    </xdr:pic>
    <xdr:clientData/>
  </xdr:twoCellAnchor>
  <xdr:twoCellAnchor editAs="oneCell">
    <xdr:from>
      <xdr:col>4</xdr:col>
      <xdr:colOff>2121477</xdr:colOff>
      <xdr:row>3</xdr:row>
      <xdr:rowOff>1710171</xdr:rowOff>
    </xdr:from>
    <xdr:to>
      <xdr:col>4</xdr:col>
      <xdr:colOff>4695671</xdr:colOff>
      <xdr:row>3</xdr:row>
      <xdr:rowOff>2987387</xdr:rowOff>
    </xdr:to>
    <xdr:pic>
      <xdr:nvPicPr>
        <xdr:cNvPr id="10" name="Imagen 9">
          <a:extLst>
            <a:ext uri="{FF2B5EF4-FFF2-40B4-BE49-F238E27FC236}">
              <a16:creationId xmlns:a16="http://schemas.microsoft.com/office/drawing/2014/main" id="{05B82DDB-5638-2969-F2DF-AA12253CA5D5}"/>
            </a:ext>
          </a:extLst>
        </xdr:cNvPr>
        <xdr:cNvPicPr>
          <a:picLocks noChangeAspect="1"/>
        </xdr:cNvPicPr>
      </xdr:nvPicPr>
      <xdr:blipFill rotWithShape="1">
        <a:blip xmlns:r="http://schemas.openxmlformats.org/officeDocument/2006/relationships" r:embed="rId3"/>
        <a:srcRect l="2246" t="4162" b="5940"/>
        <a:stretch/>
      </xdr:blipFill>
      <xdr:spPr>
        <a:xfrm>
          <a:off x="4416136" y="2835853"/>
          <a:ext cx="2574194" cy="1277216"/>
        </a:xfrm>
        <a:prstGeom prst="rect">
          <a:avLst/>
        </a:prstGeom>
      </xdr:spPr>
    </xdr:pic>
    <xdr:clientData/>
  </xdr:twoCellAnchor>
  <xdr:twoCellAnchor editAs="oneCell">
    <xdr:from>
      <xdr:col>4</xdr:col>
      <xdr:colOff>151537</xdr:colOff>
      <xdr:row>4</xdr:row>
      <xdr:rowOff>216479</xdr:rowOff>
    </xdr:from>
    <xdr:to>
      <xdr:col>4</xdr:col>
      <xdr:colOff>1601932</xdr:colOff>
      <xdr:row>4</xdr:row>
      <xdr:rowOff>2555179</xdr:rowOff>
    </xdr:to>
    <xdr:pic>
      <xdr:nvPicPr>
        <xdr:cNvPr id="14" name="Imagen 13">
          <a:extLst>
            <a:ext uri="{FF2B5EF4-FFF2-40B4-BE49-F238E27FC236}">
              <a16:creationId xmlns:a16="http://schemas.microsoft.com/office/drawing/2014/main" id="{306BAB86-D125-5E5B-A528-C68AEB7D4E30}"/>
            </a:ext>
          </a:extLst>
        </xdr:cNvPr>
        <xdr:cNvPicPr>
          <a:picLocks noChangeAspect="1"/>
        </xdr:cNvPicPr>
      </xdr:nvPicPr>
      <xdr:blipFill>
        <a:blip xmlns:r="http://schemas.openxmlformats.org/officeDocument/2006/relationships" r:embed="rId4"/>
        <a:stretch>
          <a:fillRect/>
        </a:stretch>
      </xdr:blipFill>
      <xdr:spPr>
        <a:xfrm>
          <a:off x="2446196" y="4394490"/>
          <a:ext cx="1450395" cy="2338700"/>
        </a:xfrm>
        <a:prstGeom prst="rect">
          <a:avLst/>
        </a:prstGeom>
      </xdr:spPr>
    </xdr:pic>
    <xdr:clientData/>
  </xdr:twoCellAnchor>
  <xdr:twoCellAnchor editAs="oneCell">
    <xdr:from>
      <xdr:col>4</xdr:col>
      <xdr:colOff>1580285</xdr:colOff>
      <xdr:row>4</xdr:row>
      <xdr:rowOff>261852</xdr:rowOff>
    </xdr:from>
    <xdr:to>
      <xdr:col>4</xdr:col>
      <xdr:colOff>3095626</xdr:colOff>
      <xdr:row>4</xdr:row>
      <xdr:rowOff>2405849</xdr:rowOff>
    </xdr:to>
    <xdr:pic>
      <xdr:nvPicPr>
        <xdr:cNvPr id="15" name="Imagen 14">
          <a:extLst>
            <a:ext uri="{FF2B5EF4-FFF2-40B4-BE49-F238E27FC236}">
              <a16:creationId xmlns:a16="http://schemas.microsoft.com/office/drawing/2014/main" id="{A8635E82-EDBF-53E1-B3E8-85F69282CEA8}"/>
            </a:ext>
          </a:extLst>
        </xdr:cNvPr>
        <xdr:cNvPicPr>
          <a:picLocks noChangeAspect="1"/>
        </xdr:cNvPicPr>
      </xdr:nvPicPr>
      <xdr:blipFill>
        <a:blip xmlns:r="http://schemas.openxmlformats.org/officeDocument/2006/relationships" r:embed="rId5"/>
        <a:stretch>
          <a:fillRect/>
        </a:stretch>
      </xdr:blipFill>
      <xdr:spPr>
        <a:xfrm>
          <a:off x="3874944" y="4439863"/>
          <a:ext cx="1515341" cy="2143997"/>
        </a:xfrm>
        <a:prstGeom prst="rect">
          <a:avLst/>
        </a:prstGeom>
      </xdr:spPr>
    </xdr:pic>
    <xdr:clientData/>
  </xdr:twoCellAnchor>
  <xdr:twoCellAnchor editAs="oneCell">
    <xdr:from>
      <xdr:col>4</xdr:col>
      <xdr:colOff>2835853</xdr:colOff>
      <xdr:row>4</xdr:row>
      <xdr:rowOff>1701438</xdr:rowOff>
    </xdr:from>
    <xdr:to>
      <xdr:col>4</xdr:col>
      <xdr:colOff>4697558</xdr:colOff>
      <xdr:row>4</xdr:row>
      <xdr:rowOff>2852019</xdr:rowOff>
    </xdr:to>
    <xdr:pic>
      <xdr:nvPicPr>
        <xdr:cNvPr id="16" name="Imagen 15">
          <a:extLst>
            <a:ext uri="{FF2B5EF4-FFF2-40B4-BE49-F238E27FC236}">
              <a16:creationId xmlns:a16="http://schemas.microsoft.com/office/drawing/2014/main" id="{5FD6DE4E-05CF-8885-99AE-386B44EDBF69}"/>
            </a:ext>
          </a:extLst>
        </xdr:cNvPr>
        <xdr:cNvPicPr>
          <a:picLocks noChangeAspect="1"/>
        </xdr:cNvPicPr>
      </xdr:nvPicPr>
      <xdr:blipFill rotWithShape="1">
        <a:blip xmlns:r="http://schemas.openxmlformats.org/officeDocument/2006/relationships" r:embed="rId6"/>
        <a:srcRect l="3645" r="1974" b="4319"/>
        <a:stretch/>
      </xdr:blipFill>
      <xdr:spPr>
        <a:xfrm>
          <a:off x="5130512" y="5879449"/>
          <a:ext cx="1861705" cy="1150581"/>
        </a:xfrm>
        <a:prstGeom prst="rect">
          <a:avLst/>
        </a:prstGeom>
      </xdr:spPr>
    </xdr:pic>
    <xdr:clientData/>
  </xdr:twoCellAnchor>
  <xdr:twoCellAnchor editAs="oneCell">
    <xdr:from>
      <xdr:col>4</xdr:col>
      <xdr:colOff>303069</xdr:colOff>
      <xdr:row>6</xdr:row>
      <xdr:rowOff>259773</xdr:rowOff>
    </xdr:from>
    <xdr:to>
      <xdr:col>4</xdr:col>
      <xdr:colOff>4117132</xdr:colOff>
      <xdr:row>6</xdr:row>
      <xdr:rowOff>1710169</xdr:rowOff>
    </xdr:to>
    <xdr:pic>
      <xdr:nvPicPr>
        <xdr:cNvPr id="21" name="Imagen 20" descr="7 Ofertas de trabajo en Emusa S.A.C | Oferta Laboral Computrabajo">
          <a:extLst>
            <a:ext uri="{FF2B5EF4-FFF2-40B4-BE49-F238E27FC236}">
              <a16:creationId xmlns:a16="http://schemas.microsoft.com/office/drawing/2014/main" id="{35ABAD07-1137-920E-2844-3766115964B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597728" y="9633239"/>
          <a:ext cx="3814063" cy="14503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498765</xdr:colOff>
      <xdr:row>7</xdr:row>
      <xdr:rowOff>238991</xdr:rowOff>
    </xdr:from>
    <xdr:to>
      <xdr:col>4</xdr:col>
      <xdr:colOff>4312828</xdr:colOff>
      <xdr:row>7</xdr:row>
      <xdr:rowOff>1689387</xdr:rowOff>
    </xdr:to>
    <xdr:pic>
      <xdr:nvPicPr>
        <xdr:cNvPr id="23" name="Imagen 22" descr="7 Ofertas de trabajo en Emusa S.A.C | Oferta Laboral Computrabajo">
          <a:extLst>
            <a:ext uri="{FF2B5EF4-FFF2-40B4-BE49-F238E27FC236}">
              <a16:creationId xmlns:a16="http://schemas.microsoft.com/office/drawing/2014/main" id="{6D045CB9-2607-464D-97D4-628B499BE48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793424" y="11668991"/>
          <a:ext cx="3814063" cy="14503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477117</xdr:colOff>
      <xdr:row>5</xdr:row>
      <xdr:rowOff>412173</xdr:rowOff>
    </xdr:from>
    <xdr:to>
      <xdr:col>4</xdr:col>
      <xdr:colOff>4291180</xdr:colOff>
      <xdr:row>5</xdr:row>
      <xdr:rowOff>1862569</xdr:rowOff>
    </xdr:to>
    <xdr:pic>
      <xdr:nvPicPr>
        <xdr:cNvPr id="24" name="Imagen 23" descr="7 Ofertas de trabajo en Emusa S.A.C | Oferta Laboral Computrabajo">
          <a:extLst>
            <a:ext uri="{FF2B5EF4-FFF2-40B4-BE49-F238E27FC236}">
              <a16:creationId xmlns:a16="http://schemas.microsoft.com/office/drawing/2014/main" id="{B09F83F8-85FF-4AA3-8444-507A165F0B4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771776" y="7642514"/>
          <a:ext cx="3814063" cy="14503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40821</xdr:colOff>
      <xdr:row>28</xdr:row>
      <xdr:rowOff>95250</xdr:rowOff>
    </xdr:from>
    <xdr:to>
      <xdr:col>4</xdr:col>
      <xdr:colOff>2189722</xdr:colOff>
      <xdr:row>29</xdr:row>
      <xdr:rowOff>816429</xdr:rowOff>
    </xdr:to>
    <xdr:pic>
      <xdr:nvPicPr>
        <xdr:cNvPr id="2" name="Imagen 1">
          <a:extLst>
            <a:ext uri="{FF2B5EF4-FFF2-40B4-BE49-F238E27FC236}">
              <a16:creationId xmlns:a16="http://schemas.microsoft.com/office/drawing/2014/main" id="{9C5EFEF9-4791-4C1A-9F6F-366FE89531D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918" t="5464" r="6557" b="7650"/>
        <a:stretch/>
      </xdr:blipFill>
      <xdr:spPr>
        <a:xfrm>
          <a:off x="2603046" y="1123950"/>
          <a:ext cx="2148901" cy="2107746"/>
        </a:xfrm>
        <a:prstGeom prst="rect">
          <a:avLst/>
        </a:prstGeom>
      </xdr:spPr>
    </xdr:pic>
    <xdr:clientData/>
  </xdr:twoCellAnchor>
  <xdr:twoCellAnchor editAs="oneCell">
    <xdr:from>
      <xdr:col>4</xdr:col>
      <xdr:colOff>2143614</xdr:colOff>
      <xdr:row>28</xdr:row>
      <xdr:rowOff>111578</xdr:rowOff>
    </xdr:from>
    <xdr:to>
      <xdr:col>4</xdr:col>
      <xdr:colOff>4234286</xdr:colOff>
      <xdr:row>29</xdr:row>
      <xdr:rowOff>775607</xdr:rowOff>
    </xdr:to>
    <xdr:pic>
      <xdr:nvPicPr>
        <xdr:cNvPr id="3" name="Imagen 2">
          <a:extLst>
            <a:ext uri="{FF2B5EF4-FFF2-40B4-BE49-F238E27FC236}">
              <a16:creationId xmlns:a16="http://schemas.microsoft.com/office/drawing/2014/main" id="{8E9B132C-E58A-4FF4-BE85-7FB075913A0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918" t="5464" r="6557" b="7650"/>
        <a:stretch/>
      </xdr:blipFill>
      <xdr:spPr>
        <a:xfrm>
          <a:off x="4705839" y="1140278"/>
          <a:ext cx="2090672" cy="2050596"/>
        </a:xfrm>
        <a:prstGeom prst="rect">
          <a:avLst/>
        </a:prstGeom>
      </xdr:spPr>
    </xdr:pic>
    <xdr:clientData/>
  </xdr:twoCellAnchor>
  <xdr:twoCellAnchor editAs="oneCell">
    <xdr:from>
      <xdr:col>4</xdr:col>
      <xdr:colOff>2420275</xdr:colOff>
      <xdr:row>28</xdr:row>
      <xdr:rowOff>557893</xdr:rowOff>
    </xdr:from>
    <xdr:to>
      <xdr:col>4</xdr:col>
      <xdr:colOff>3973285</xdr:colOff>
      <xdr:row>29</xdr:row>
      <xdr:rowOff>456051</xdr:rowOff>
    </xdr:to>
    <xdr:pic>
      <xdr:nvPicPr>
        <xdr:cNvPr id="4" name="Imagen 3">
          <a:extLst>
            <a:ext uri="{FF2B5EF4-FFF2-40B4-BE49-F238E27FC236}">
              <a16:creationId xmlns:a16="http://schemas.microsoft.com/office/drawing/2014/main" id="{D02C8932-9B88-4E05-9193-19011B35C1D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5440" t="12550" r="24462" b="65279"/>
        <a:stretch/>
      </xdr:blipFill>
      <xdr:spPr>
        <a:xfrm>
          <a:off x="4982500" y="1586593"/>
          <a:ext cx="1553010" cy="1284725"/>
        </a:xfrm>
        <a:prstGeom prst="rect">
          <a:avLst/>
        </a:prstGeom>
      </xdr:spPr>
    </xdr:pic>
    <xdr:clientData/>
  </xdr:twoCellAnchor>
  <xdr:twoCellAnchor editAs="oneCell">
    <xdr:from>
      <xdr:col>4</xdr:col>
      <xdr:colOff>209550</xdr:colOff>
      <xdr:row>28</xdr:row>
      <xdr:rowOff>929369</xdr:rowOff>
    </xdr:from>
    <xdr:to>
      <xdr:col>4</xdr:col>
      <xdr:colOff>1918607</xdr:colOff>
      <xdr:row>29</xdr:row>
      <xdr:rowOff>57476</xdr:rowOff>
    </xdr:to>
    <xdr:pic>
      <xdr:nvPicPr>
        <xdr:cNvPr id="5" name="Imagen 4">
          <a:extLst>
            <a:ext uri="{FF2B5EF4-FFF2-40B4-BE49-F238E27FC236}">
              <a16:creationId xmlns:a16="http://schemas.microsoft.com/office/drawing/2014/main" id="{DDC6C6DB-71D4-4E47-A84C-558217CC4BD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4149" t="71533" r="21409" b="19682"/>
        <a:stretch/>
      </xdr:blipFill>
      <xdr:spPr>
        <a:xfrm>
          <a:off x="2781300" y="1963512"/>
          <a:ext cx="1709057" cy="516035"/>
        </a:xfrm>
        <a:prstGeom prst="rect">
          <a:avLst/>
        </a:prstGeom>
      </xdr:spPr>
    </xdr:pic>
    <xdr:clientData/>
  </xdr:twoCellAnchor>
  <xdr:oneCellAnchor>
    <xdr:from>
      <xdr:col>4</xdr:col>
      <xdr:colOff>40821</xdr:colOff>
      <xdr:row>23</xdr:row>
      <xdr:rowOff>95250</xdr:rowOff>
    </xdr:from>
    <xdr:ext cx="2148901" cy="2109107"/>
    <xdr:pic>
      <xdr:nvPicPr>
        <xdr:cNvPr id="6" name="Imagen 5">
          <a:extLst>
            <a:ext uri="{FF2B5EF4-FFF2-40B4-BE49-F238E27FC236}">
              <a16:creationId xmlns:a16="http://schemas.microsoft.com/office/drawing/2014/main" id="{5D4422AC-AA7E-4F47-87EA-BB663734EC9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918" t="5464" r="6557" b="7650"/>
        <a:stretch/>
      </xdr:blipFill>
      <xdr:spPr>
        <a:xfrm>
          <a:off x="2612571" y="1905000"/>
          <a:ext cx="2148901" cy="2109107"/>
        </a:xfrm>
        <a:prstGeom prst="rect">
          <a:avLst/>
        </a:prstGeom>
      </xdr:spPr>
    </xdr:pic>
    <xdr:clientData/>
  </xdr:oneCellAnchor>
  <xdr:oneCellAnchor>
    <xdr:from>
      <xdr:col>4</xdr:col>
      <xdr:colOff>2143614</xdr:colOff>
      <xdr:row>23</xdr:row>
      <xdr:rowOff>111578</xdr:rowOff>
    </xdr:from>
    <xdr:ext cx="2090672" cy="2051957"/>
    <xdr:pic>
      <xdr:nvPicPr>
        <xdr:cNvPr id="7" name="Imagen 6">
          <a:extLst>
            <a:ext uri="{FF2B5EF4-FFF2-40B4-BE49-F238E27FC236}">
              <a16:creationId xmlns:a16="http://schemas.microsoft.com/office/drawing/2014/main" id="{5402286D-D03D-4C76-9203-3F47D60804A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918" t="5464" r="6557" b="7650"/>
        <a:stretch/>
      </xdr:blipFill>
      <xdr:spPr>
        <a:xfrm>
          <a:off x="4715364" y="1921328"/>
          <a:ext cx="2090672" cy="2051957"/>
        </a:xfrm>
        <a:prstGeom prst="rect">
          <a:avLst/>
        </a:prstGeom>
      </xdr:spPr>
    </xdr:pic>
    <xdr:clientData/>
  </xdr:oneCellAnchor>
  <xdr:oneCellAnchor>
    <xdr:from>
      <xdr:col>4</xdr:col>
      <xdr:colOff>2420275</xdr:colOff>
      <xdr:row>23</xdr:row>
      <xdr:rowOff>557893</xdr:rowOff>
    </xdr:from>
    <xdr:ext cx="1553010" cy="1286086"/>
    <xdr:pic>
      <xdr:nvPicPr>
        <xdr:cNvPr id="8" name="Imagen 7">
          <a:extLst>
            <a:ext uri="{FF2B5EF4-FFF2-40B4-BE49-F238E27FC236}">
              <a16:creationId xmlns:a16="http://schemas.microsoft.com/office/drawing/2014/main" id="{E0A4F015-3BE6-46D0-96EB-42749DDFCAE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5440" t="12550" r="24462" b="65279"/>
        <a:stretch/>
      </xdr:blipFill>
      <xdr:spPr>
        <a:xfrm>
          <a:off x="4992025" y="2367643"/>
          <a:ext cx="1553010" cy="1286086"/>
        </a:xfrm>
        <a:prstGeom prst="rect">
          <a:avLst/>
        </a:prstGeom>
      </xdr:spPr>
    </xdr:pic>
    <xdr:clientData/>
  </xdr:oneCellAnchor>
  <xdr:oneCellAnchor>
    <xdr:from>
      <xdr:col>4</xdr:col>
      <xdr:colOff>209550</xdr:colOff>
      <xdr:row>23</xdr:row>
      <xdr:rowOff>929369</xdr:rowOff>
    </xdr:from>
    <xdr:ext cx="1709057" cy="516035"/>
    <xdr:pic>
      <xdr:nvPicPr>
        <xdr:cNvPr id="9" name="Imagen 8">
          <a:extLst>
            <a:ext uri="{FF2B5EF4-FFF2-40B4-BE49-F238E27FC236}">
              <a16:creationId xmlns:a16="http://schemas.microsoft.com/office/drawing/2014/main" id="{E923A633-8963-4A7D-8821-C4AB4AD3CA0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4149" t="71533" r="21409" b="19682"/>
        <a:stretch/>
      </xdr:blipFill>
      <xdr:spPr>
        <a:xfrm>
          <a:off x="2781300" y="2739119"/>
          <a:ext cx="1709057" cy="516035"/>
        </a:xfrm>
        <a:prstGeom prst="rect">
          <a:avLst/>
        </a:prstGeom>
      </xdr:spPr>
    </xdr:pic>
    <xdr:clientData/>
  </xdr:oneCellAnchor>
  <xdr:oneCellAnchor>
    <xdr:from>
      <xdr:col>4</xdr:col>
      <xdr:colOff>40821</xdr:colOff>
      <xdr:row>16</xdr:row>
      <xdr:rowOff>95250</xdr:rowOff>
    </xdr:from>
    <xdr:ext cx="2148901" cy="2109107"/>
    <xdr:pic>
      <xdr:nvPicPr>
        <xdr:cNvPr id="10" name="Imagen 9">
          <a:extLst>
            <a:ext uri="{FF2B5EF4-FFF2-40B4-BE49-F238E27FC236}">
              <a16:creationId xmlns:a16="http://schemas.microsoft.com/office/drawing/2014/main" id="{9F6C5283-BC04-4C6E-8B43-0E714C5BBF5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918" t="5464" r="6557" b="7650"/>
        <a:stretch/>
      </xdr:blipFill>
      <xdr:spPr>
        <a:xfrm>
          <a:off x="2612571" y="6939643"/>
          <a:ext cx="2148901" cy="2109107"/>
        </a:xfrm>
        <a:prstGeom prst="rect">
          <a:avLst/>
        </a:prstGeom>
      </xdr:spPr>
    </xdr:pic>
    <xdr:clientData/>
  </xdr:oneCellAnchor>
  <xdr:oneCellAnchor>
    <xdr:from>
      <xdr:col>4</xdr:col>
      <xdr:colOff>2143614</xdr:colOff>
      <xdr:row>16</xdr:row>
      <xdr:rowOff>111578</xdr:rowOff>
    </xdr:from>
    <xdr:ext cx="2090672" cy="2051957"/>
    <xdr:pic>
      <xdr:nvPicPr>
        <xdr:cNvPr id="11" name="Imagen 10">
          <a:extLst>
            <a:ext uri="{FF2B5EF4-FFF2-40B4-BE49-F238E27FC236}">
              <a16:creationId xmlns:a16="http://schemas.microsoft.com/office/drawing/2014/main" id="{607FDA84-F6D8-4FDA-B79D-8681EA52CC1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918" t="5464" r="6557" b="7650"/>
        <a:stretch/>
      </xdr:blipFill>
      <xdr:spPr>
        <a:xfrm>
          <a:off x="4715364" y="6955971"/>
          <a:ext cx="2090672" cy="2051957"/>
        </a:xfrm>
        <a:prstGeom prst="rect">
          <a:avLst/>
        </a:prstGeom>
      </xdr:spPr>
    </xdr:pic>
    <xdr:clientData/>
  </xdr:oneCellAnchor>
  <xdr:oneCellAnchor>
    <xdr:from>
      <xdr:col>4</xdr:col>
      <xdr:colOff>2420275</xdr:colOff>
      <xdr:row>16</xdr:row>
      <xdr:rowOff>557893</xdr:rowOff>
    </xdr:from>
    <xdr:ext cx="1553010" cy="1286086"/>
    <xdr:pic>
      <xdr:nvPicPr>
        <xdr:cNvPr id="12" name="Imagen 11">
          <a:extLst>
            <a:ext uri="{FF2B5EF4-FFF2-40B4-BE49-F238E27FC236}">
              <a16:creationId xmlns:a16="http://schemas.microsoft.com/office/drawing/2014/main" id="{DB7F73CF-DC66-435F-A8B0-269512D1B03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5440" t="12550" r="24462" b="65279"/>
        <a:stretch/>
      </xdr:blipFill>
      <xdr:spPr>
        <a:xfrm>
          <a:off x="4992025" y="7402286"/>
          <a:ext cx="1553010" cy="1286086"/>
        </a:xfrm>
        <a:prstGeom prst="rect">
          <a:avLst/>
        </a:prstGeom>
      </xdr:spPr>
    </xdr:pic>
    <xdr:clientData/>
  </xdr:oneCellAnchor>
  <xdr:oneCellAnchor>
    <xdr:from>
      <xdr:col>4</xdr:col>
      <xdr:colOff>209550</xdr:colOff>
      <xdr:row>16</xdr:row>
      <xdr:rowOff>929369</xdr:rowOff>
    </xdr:from>
    <xdr:ext cx="1709057" cy="516035"/>
    <xdr:pic>
      <xdr:nvPicPr>
        <xdr:cNvPr id="13" name="Imagen 12">
          <a:extLst>
            <a:ext uri="{FF2B5EF4-FFF2-40B4-BE49-F238E27FC236}">
              <a16:creationId xmlns:a16="http://schemas.microsoft.com/office/drawing/2014/main" id="{CB4A89F5-355E-4469-9702-A2C62F5F1E1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4149" t="71533" r="21409" b="19682"/>
        <a:stretch/>
      </xdr:blipFill>
      <xdr:spPr>
        <a:xfrm>
          <a:off x="2781300" y="7773762"/>
          <a:ext cx="1709057" cy="516035"/>
        </a:xfrm>
        <a:prstGeom prst="rect">
          <a:avLst/>
        </a:prstGeom>
      </xdr:spPr>
    </xdr:pic>
    <xdr:clientData/>
  </xdr:oneCellAnchor>
  <xdr:oneCellAnchor>
    <xdr:from>
      <xdr:col>4</xdr:col>
      <xdr:colOff>40821</xdr:colOff>
      <xdr:row>14</xdr:row>
      <xdr:rowOff>95250</xdr:rowOff>
    </xdr:from>
    <xdr:ext cx="2148901" cy="2109107"/>
    <xdr:pic>
      <xdr:nvPicPr>
        <xdr:cNvPr id="14" name="Imagen 13">
          <a:extLst>
            <a:ext uri="{FF2B5EF4-FFF2-40B4-BE49-F238E27FC236}">
              <a16:creationId xmlns:a16="http://schemas.microsoft.com/office/drawing/2014/main" id="{B7FD7E97-2C91-4BBB-85AC-C4C11A8BE07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918" t="5464" r="6557" b="7650"/>
        <a:stretch/>
      </xdr:blipFill>
      <xdr:spPr>
        <a:xfrm>
          <a:off x="2612571" y="3116036"/>
          <a:ext cx="2148901" cy="2109107"/>
        </a:xfrm>
        <a:prstGeom prst="rect">
          <a:avLst/>
        </a:prstGeom>
      </xdr:spPr>
    </xdr:pic>
    <xdr:clientData/>
  </xdr:oneCellAnchor>
  <xdr:oneCellAnchor>
    <xdr:from>
      <xdr:col>4</xdr:col>
      <xdr:colOff>2143614</xdr:colOff>
      <xdr:row>14</xdr:row>
      <xdr:rowOff>111578</xdr:rowOff>
    </xdr:from>
    <xdr:ext cx="2090672" cy="2051957"/>
    <xdr:pic>
      <xdr:nvPicPr>
        <xdr:cNvPr id="15" name="Imagen 14">
          <a:extLst>
            <a:ext uri="{FF2B5EF4-FFF2-40B4-BE49-F238E27FC236}">
              <a16:creationId xmlns:a16="http://schemas.microsoft.com/office/drawing/2014/main" id="{23172EE3-A7A4-4707-9222-FCAB0169CE1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918" t="5464" r="6557" b="7650"/>
        <a:stretch/>
      </xdr:blipFill>
      <xdr:spPr>
        <a:xfrm>
          <a:off x="4715364" y="3132364"/>
          <a:ext cx="2090672" cy="2051957"/>
        </a:xfrm>
        <a:prstGeom prst="rect">
          <a:avLst/>
        </a:prstGeom>
      </xdr:spPr>
    </xdr:pic>
    <xdr:clientData/>
  </xdr:oneCellAnchor>
  <xdr:oneCellAnchor>
    <xdr:from>
      <xdr:col>4</xdr:col>
      <xdr:colOff>2420275</xdr:colOff>
      <xdr:row>14</xdr:row>
      <xdr:rowOff>557893</xdr:rowOff>
    </xdr:from>
    <xdr:ext cx="1553010" cy="1286086"/>
    <xdr:pic>
      <xdr:nvPicPr>
        <xdr:cNvPr id="16" name="Imagen 15">
          <a:extLst>
            <a:ext uri="{FF2B5EF4-FFF2-40B4-BE49-F238E27FC236}">
              <a16:creationId xmlns:a16="http://schemas.microsoft.com/office/drawing/2014/main" id="{CBB0EED1-4789-47DD-8175-F8AE2770544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5440" t="12550" r="24462" b="65279"/>
        <a:stretch/>
      </xdr:blipFill>
      <xdr:spPr>
        <a:xfrm>
          <a:off x="4992025" y="3578679"/>
          <a:ext cx="1553010" cy="1286086"/>
        </a:xfrm>
        <a:prstGeom prst="rect">
          <a:avLst/>
        </a:prstGeom>
      </xdr:spPr>
    </xdr:pic>
    <xdr:clientData/>
  </xdr:oneCellAnchor>
  <xdr:oneCellAnchor>
    <xdr:from>
      <xdr:col>4</xdr:col>
      <xdr:colOff>209550</xdr:colOff>
      <xdr:row>14</xdr:row>
      <xdr:rowOff>929369</xdr:rowOff>
    </xdr:from>
    <xdr:ext cx="1709057" cy="516035"/>
    <xdr:pic>
      <xdr:nvPicPr>
        <xdr:cNvPr id="17" name="Imagen 16">
          <a:extLst>
            <a:ext uri="{FF2B5EF4-FFF2-40B4-BE49-F238E27FC236}">
              <a16:creationId xmlns:a16="http://schemas.microsoft.com/office/drawing/2014/main" id="{3E570A78-1FFD-44A2-82E3-6AA0C75FDDB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4149" t="71533" r="21409" b="19682"/>
        <a:stretch/>
      </xdr:blipFill>
      <xdr:spPr>
        <a:xfrm>
          <a:off x="2781300" y="3950155"/>
          <a:ext cx="1709057" cy="516035"/>
        </a:xfrm>
        <a:prstGeom prst="rect">
          <a:avLst/>
        </a:prstGeom>
      </xdr:spPr>
    </xdr:pic>
    <xdr:clientData/>
  </xdr:oneCellAnchor>
  <xdr:oneCellAnchor>
    <xdr:from>
      <xdr:col>4</xdr:col>
      <xdr:colOff>40821</xdr:colOff>
      <xdr:row>8</xdr:row>
      <xdr:rowOff>95250</xdr:rowOff>
    </xdr:from>
    <xdr:ext cx="2148901" cy="2106633"/>
    <xdr:pic>
      <xdr:nvPicPr>
        <xdr:cNvPr id="22" name="Imagen 21">
          <a:extLst>
            <a:ext uri="{FF2B5EF4-FFF2-40B4-BE49-F238E27FC236}">
              <a16:creationId xmlns:a16="http://schemas.microsoft.com/office/drawing/2014/main" id="{395DD9B9-ED60-4DDA-8101-06A6792B8D7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918" t="5464" r="6557" b="7650"/>
        <a:stretch/>
      </xdr:blipFill>
      <xdr:spPr>
        <a:xfrm>
          <a:off x="2603912" y="14850341"/>
          <a:ext cx="2148901" cy="2106633"/>
        </a:xfrm>
        <a:prstGeom prst="rect">
          <a:avLst/>
        </a:prstGeom>
      </xdr:spPr>
    </xdr:pic>
    <xdr:clientData/>
  </xdr:oneCellAnchor>
  <xdr:oneCellAnchor>
    <xdr:from>
      <xdr:col>4</xdr:col>
      <xdr:colOff>2143614</xdr:colOff>
      <xdr:row>8</xdr:row>
      <xdr:rowOff>111578</xdr:rowOff>
    </xdr:from>
    <xdr:ext cx="2090672" cy="2049483"/>
    <xdr:pic>
      <xdr:nvPicPr>
        <xdr:cNvPr id="23" name="Imagen 22">
          <a:extLst>
            <a:ext uri="{FF2B5EF4-FFF2-40B4-BE49-F238E27FC236}">
              <a16:creationId xmlns:a16="http://schemas.microsoft.com/office/drawing/2014/main" id="{366FC7EB-29C9-4964-90D2-5E292960512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918" t="5464" r="6557" b="7650"/>
        <a:stretch/>
      </xdr:blipFill>
      <xdr:spPr>
        <a:xfrm>
          <a:off x="4706705" y="14866669"/>
          <a:ext cx="2090672" cy="2049483"/>
        </a:xfrm>
        <a:prstGeom prst="rect">
          <a:avLst/>
        </a:prstGeom>
      </xdr:spPr>
    </xdr:pic>
    <xdr:clientData/>
  </xdr:oneCellAnchor>
  <xdr:oneCellAnchor>
    <xdr:from>
      <xdr:col>4</xdr:col>
      <xdr:colOff>2696128</xdr:colOff>
      <xdr:row>8</xdr:row>
      <xdr:rowOff>679120</xdr:rowOff>
    </xdr:from>
    <xdr:ext cx="1164589" cy="962570"/>
    <xdr:pic>
      <xdr:nvPicPr>
        <xdr:cNvPr id="24" name="Imagen 23">
          <a:extLst>
            <a:ext uri="{FF2B5EF4-FFF2-40B4-BE49-F238E27FC236}">
              <a16:creationId xmlns:a16="http://schemas.microsoft.com/office/drawing/2014/main" id="{A7499912-E3E1-4B5A-85D1-ABBE25F2A6D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5440" t="12550" r="24462" b="65279"/>
        <a:stretch/>
      </xdr:blipFill>
      <xdr:spPr>
        <a:xfrm>
          <a:off x="5267878" y="1522763"/>
          <a:ext cx="1164589" cy="962570"/>
        </a:xfrm>
        <a:prstGeom prst="rect">
          <a:avLst/>
        </a:prstGeom>
      </xdr:spPr>
    </xdr:pic>
    <xdr:clientData/>
  </xdr:oneCellAnchor>
  <xdr:oneCellAnchor>
    <xdr:from>
      <xdr:col>4</xdr:col>
      <xdr:colOff>382732</xdr:colOff>
      <xdr:row>8</xdr:row>
      <xdr:rowOff>929370</xdr:rowOff>
    </xdr:from>
    <xdr:ext cx="1418359" cy="426208"/>
    <xdr:pic>
      <xdr:nvPicPr>
        <xdr:cNvPr id="25" name="Imagen 24">
          <a:extLst>
            <a:ext uri="{FF2B5EF4-FFF2-40B4-BE49-F238E27FC236}">
              <a16:creationId xmlns:a16="http://schemas.microsoft.com/office/drawing/2014/main" id="{D62CA501-E01A-4556-BDA4-774E8557EA5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4149" t="71533" r="21409" b="19682"/>
        <a:stretch/>
      </xdr:blipFill>
      <xdr:spPr>
        <a:xfrm>
          <a:off x="2945823" y="1760643"/>
          <a:ext cx="1418359" cy="426208"/>
        </a:xfrm>
        <a:prstGeom prst="rect">
          <a:avLst/>
        </a:prstGeom>
      </xdr:spPr>
    </xdr:pic>
    <xdr:clientData/>
  </xdr:oneCellAnchor>
  <xdr:twoCellAnchor editAs="oneCell">
    <xdr:from>
      <xdr:col>4</xdr:col>
      <xdr:colOff>495300</xdr:colOff>
      <xdr:row>3</xdr:row>
      <xdr:rowOff>581025</xdr:rowOff>
    </xdr:from>
    <xdr:to>
      <xdr:col>4</xdr:col>
      <xdr:colOff>3495675</xdr:colOff>
      <xdr:row>3</xdr:row>
      <xdr:rowOff>3552825</xdr:rowOff>
    </xdr:to>
    <xdr:pic>
      <xdr:nvPicPr>
        <xdr:cNvPr id="19" name="Imagen 18">
          <a:extLst>
            <a:ext uri="{FF2B5EF4-FFF2-40B4-BE49-F238E27FC236}">
              <a16:creationId xmlns:a16="http://schemas.microsoft.com/office/drawing/2014/main" id="{EEB6E983-9908-F499-4199-73AD11ED9AA1}"/>
            </a:ext>
            <a:ext uri="{147F2762-F138-4A5C-976F-8EAC2B608ADB}">
              <a16:predDERef xmlns:a16="http://schemas.microsoft.com/office/drawing/2014/main" pred="{D62CA501-E01A-4556-BDA4-774E8557EA5D}"/>
            </a:ext>
          </a:extLst>
        </xdr:cNvPr>
        <xdr:cNvPicPr>
          <a:picLocks noChangeAspect="1"/>
        </xdr:cNvPicPr>
      </xdr:nvPicPr>
      <xdr:blipFill>
        <a:blip xmlns:r="http://schemas.openxmlformats.org/officeDocument/2006/relationships" r:embed="rId3"/>
        <a:stretch>
          <a:fillRect/>
        </a:stretch>
      </xdr:blipFill>
      <xdr:spPr>
        <a:xfrm>
          <a:off x="3057525" y="1619250"/>
          <a:ext cx="3000375" cy="2971800"/>
        </a:xfrm>
        <a:prstGeom prst="rect">
          <a:avLst/>
        </a:prstGeom>
      </xdr:spPr>
    </xdr:pic>
    <xdr:clientData/>
  </xdr:twoCellAnchor>
  <xdr:twoCellAnchor editAs="oneCell">
    <xdr:from>
      <xdr:col>4</xdr:col>
      <xdr:colOff>3228975</xdr:colOff>
      <xdr:row>4</xdr:row>
      <xdr:rowOff>2781300</xdr:rowOff>
    </xdr:from>
    <xdr:to>
      <xdr:col>4</xdr:col>
      <xdr:colOff>4086225</xdr:colOff>
      <xdr:row>4</xdr:row>
      <xdr:rowOff>3657600</xdr:rowOff>
    </xdr:to>
    <xdr:pic>
      <xdr:nvPicPr>
        <xdr:cNvPr id="20" name="Imagen 19">
          <a:extLst>
            <a:ext uri="{FF2B5EF4-FFF2-40B4-BE49-F238E27FC236}">
              <a16:creationId xmlns:a16="http://schemas.microsoft.com/office/drawing/2014/main" id="{DCC8E15E-EC07-49CA-8C5B-6B8C66F600BA}"/>
            </a:ext>
            <a:ext uri="{147F2762-F138-4A5C-976F-8EAC2B608ADB}">
              <a16:predDERef xmlns:a16="http://schemas.microsoft.com/office/drawing/2014/main" pred="{EEB6E983-9908-F499-4199-73AD11ED9AA1}"/>
            </a:ext>
          </a:extLst>
        </xdr:cNvPr>
        <xdr:cNvPicPr>
          <a:picLocks noChangeAspect="1"/>
        </xdr:cNvPicPr>
      </xdr:nvPicPr>
      <xdr:blipFill>
        <a:blip xmlns:r="http://schemas.openxmlformats.org/officeDocument/2006/relationships" r:embed="rId4"/>
        <a:stretch>
          <a:fillRect/>
        </a:stretch>
      </xdr:blipFill>
      <xdr:spPr>
        <a:xfrm>
          <a:off x="5791200" y="8601075"/>
          <a:ext cx="857250" cy="876300"/>
        </a:xfrm>
        <a:prstGeom prst="rect">
          <a:avLst/>
        </a:prstGeom>
      </xdr:spPr>
    </xdr:pic>
    <xdr:clientData/>
  </xdr:twoCellAnchor>
  <xdr:twoCellAnchor editAs="oneCell">
    <xdr:from>
      <xdr:col>4</xdr:col>
      <xdr:colOff>180975</xdr:colOff>
      <xdr:row>4</xdr:row>
      <xdr:rowOff>2028825</xdr:rowOff>
    </xdr:from>
    <xdr:to>
      <xdr:col>4</xdr:col>
      <xdr:colOff>2295525</xdr:colOff>
      <xdr:row>4</xdr:row>
      <xdr:rowOff>3514725</xdr:rowOff>
    </xdr:to>
    <xdr:pic>
      <xdr:nvPicPr>
        <xdr:cNvPr id="21" name="Imagen 20">
          <a:extLst>
            <a:ext uri="{FF2B5EF4-FFF2-40B4-BE49-F238E27FC236}">
              <a16:creationId xmlns:a16="http://schemas.microsoft.com/office/drawing/2014/main" id="{C8EA1BB2-EFD2-4B2B-90E4-334171B3A9DF}"/>
            </a:ext>
            <a:ext uri="{147F2762-F138-4A5C-976F-8EAC2B608ADB}">
              <a16:predDERef xmlns:a16="http://schemas.microsoft.com/office/drawing/2014/main" pred="{DCC8E15E-EC07-49CA-8C5B-6B8C66F600BA}"/>
            </a:ext>
          </a:extLst>
        </xdr:cNvPr>
        <xdr:cNvPicPr>
          <a:picLocks noChangeAspect="1"/>
        </xdr:cNvPicPr>
      </xdr:nvPicPr>
      <xdr:blipFill>
        <a:blip xmlns:r="http://schemas.openxmlformats.org/officeDocument/2006/relationships" r:embed="rId5"/>
        <a:stretch>
          <a:fillRect/>
        </a:stretch>
      </xdr:blipFill>
      <xdr:spPr>
        <a:xfrm>
          <a:off x="2743200" y="7848600"/>
          <a:ext cx="2114550" cy="1485900"/>
        </a:xfrm>
        <a:prstGeom prst="rect">
          <a:avLst/>
        </a:prstGeom>
      </xdr:spPr>
    </xdr:pic>
    <xdr:clientData/>
  </xdr:twoCellAnchor>
  <xdr:twoCellAnchor editAs="oneCell">
    <xdr:from>
      <xdr:col>4</xdr:col>
      <xdr:colOff>3223532</xdr:colOff>
      <xdr:row>4</xdr:row>
      <xdr:rowOff>1011010</xdr:rowOff>
    </xdr:from>
    <xdr:to>
      <xdr:col>4</xdr:col>
      <xdr:colOff>4125818</xdr:colOff>
      <xdr:row>4</xdr:row>
      <xdr:rowOff>2138868</xdr:rowOff>
    </xdr:to>
    <xdr:pic>
      <xdr:nvPicPr>
        <xdr:cNvPr id="26" name="Imagen 25">
          <a:extLst>
            <a:ext uri="{FF2B5EF4-FFF2-40B4-BE49-F238E27FC236}">
              <a16:creationId xmlns:a16="http://schemas.microsoft.com/office/drawing/2014/main" id="{9B26D95D-FB09-991B-3E2B-D111FED2F0FB}"/>
            </a:ext>
            <a:ext uri="{147F2762-F138-4A5C-976F-8EAC2B608ADB}">
              <a16:predDERef xmlns:a16="http://schemas.microsoft.com/office/drawing/2014/main" pred="{C8EA1BB2-EFD2-4B2B-90E4-334171B3A9DF}"/>
            </a:ext>
          </a:extLst>
        </xdr:cNvPr>
        <xdr:cNvPicPr>
          <a:picLocks noChangeAspect="1"/>
        </xdr:cNvPicPr>
      </xdr:nvPicPr>
      <xdr:blipFill>
        <a:blip xmlns:r="http://schemas.openxmlformats.org/officeDocument/2006/relationships" r:embed="rId6"/>
        <a:stretch>
          <a:fillRect/>
        </a:stretch>
      </xdr:blipFill>
      <xdr:spPr>
        <a:xfrm>
          <a:off x="5785757" y="6830785"/>
          <a:ext cx="902286" cy="1127858"/>
        </a:xfrm>
        <a:prstGeom prst="rect">
          <a:avLst/>
        </a:prstGeom>
      </xdr:spPr>
    </xdr:pic>
    <xdr:clientData/>
  </xdr:twoCellAnchor>
  <xdr:twoCellAnchor editAs="oneCell">
    <xdr:from>
      <xdr:col>4</xdr:col>
      <xdr:colOff>3192236</xdr:colOff>
      <xdr:row>4</xdr:row>
      <xdr:rowOff>1846489</xdr:rowOff>
    </xdr:from>
    <xdr:to>
      <xdr:col>4</xdr:col>
      <xdr:colOff>4125582</xdr:colOff>
      <xdr:row>4</xdr:row>
      <xdr:rowOff>2758168</xdr:rowOff>
    </xdr:to>
    <xdr:pic>
      <xdr:nvPicPr>
        <xdr:cNvPr id="28" name="Imagen 27">
          <a:extLst>
            <a:ext uri="{FF2B5EF4-FFF2-40B4-BE49-F238E27FC236}">
              <a16:creationId xmlns:a16="http://schemas.microsoft.com/office/drawing/2014/main" id="{FB23A546-EAEF-48C6-AE8E-CEA27363A253}"/>
            </a:ext>
            <a:ext uri="{147F2762-F138-4A5C-976F-8EAC2B608ADB}">
              <a16:predDERef xmlns:a16="http://schemas.microsoft.com/office/drawing/2014/main" pred="{9B26D95D-FB09-991B-3E2B-D111FED2F0FB}"/>
            </a:ext>
          </a:extLst>
        </xdr:cNvPr>
        <xdr:cNvPicPr>
          <a:picLocks noChangeAspect="1"/>
        </xdr:cNvPicPr>
      </xdr:nvPicPr>
      <xdr:blipFill>
        <a:blip xmlns:r="http://schemas.openxmlformats.org/officeDocument/2006/relationships" r:embed="rId7"/>
        <a:stretch>
          <a:fillRect/>
        </a:stretch>
      </xdr:blipFill>
      <xdr:spPr>
        <a:xfrm rot="46498">
          <a:off x="5754461" y="7666264"/>
          <a:ext cx="933346" cy="911679"/>
        </a:xfrm>
        <a:prstGeom prst="rect">
          <a:avLst/>
        </a:prstGeom>
      </xdr:spPr>
    </xdr:pic>
    <xdr:clientData/>
  </xdr:twoCellAnchor>
  <xdr:twoCellAnchor editAs="oneCell">
    <xdr:from>
      <xdr:col>4</xdr:col>
      <xdr:colOff>171450</xdr:colOff>
      <xdr:row>4</xdr:row>
      <xdr:rowOff>104775</xdr:rowOff>
    </xdr:from>
    <xdr:to>
      <xdr:col>4</xdr:col>
      <xdr:colOff>2981325</xdr:colOff>
      <xdr:row>4</xdr:row>
      <xdr:rowOff>1790700</xdr:rowOff>
    </xdr:to>
    <xdr:pic>
      <xdr:nvPicPr>
        <xdr:cNvPr id="30" name="Imagen 29">
          <a:extLst>
            <a:ext uri="{FF2B5EF4-FFF2-40B4-BE49-F238E27FC236}">
              <a16:creationId xmlns:a16="http://schemas.microsoft.com/office/drawing/2014/main" id="{1C09FD01-304F-69E9-CA95-5FB1BEF74AAB}"/>
            </a:ext>
            <a:ext uri="{147F2762-F138-4A5C-976F-8EAC2B608ADB}">
              <a16:predDERef xmlns:a16="http://schemas.microsoft.com/office/drawing/2014/main" pred="{FB23A546-EAEF-48C6-AE8E-CEA27363A253}"/>
            </a:ext>
          </a:extLst>
        </xdr:cNvPr>
        <xdr:cNvPicPr>
          <a:picLocks noChangeAspect="1"/>
        </xdr:cNvPicPr>
      </xdr:nvPicPr>
      <xdr:blipFill>
        <a:blip xmlns:r="http://schemas.openxmlformats.org/officeDocument/2006/relationships" r:embed="rId8"/>
        <a:stretch>
          <a:fillRect/>
        </a:stretch>
      </xdr:blipFill>
      <xdr:spPr>
        <a:xfrm>
          <a:off x="2733675" y="5924550"/>
          <a:ext cx="2809875" cy="1685925"/>
        </a:xfrm>
        <a:prstGeom prst="rect">
          <a:avLst/>
        </a:prstGeom>
      </xdr:spPr>
    </xdr:pic>
    <xdr:clientData/>
  </xdr:twoCellAnchor>
  <xdr:twoCellAnchor editAs="oneCell">
    <xdr:from>
      <xdr:col>4</xdr:col>
      <xdr:colOff>2343150</xdr:colOff>
      <xdr:row>4</xdr:row>
      <xdr:rowOff>1838325</xdr:rowOff>
    </xdr:from>
    <xdr:to>
      <xdr:col>4</xdr:col>
      <xdr:colOff>2771775</xdr:colOff>
      <xdr:row>4</xdr:row>
      <xdr:rowOff>4133850</xdr:rowOff>
    </xdr:to>
    <xdr:pic>
      <xdr:nvPicPr>
        <xdr:cNvPr id="29" name="Imagen 28">
          <a:extLst>
            <a:ext uri="{FF2B5EF4-FFF2-40B4-BE49-F238E27FC236}">
              <a16:creationId xmlns:a16="http://schemas.microsoft.com/office/drawing/2014/main" id="{42DB9C98-7B85-2C37-87ED-6C981AAAE4BF}"/>
            </a:ext>
            <a:ext uri="{147F2762-F138-4A5C-976F-8EAC2B608ADB}">
              <a16:predDERef xmlns:a16="http://schemas.microsoft.com/office/drawing/2014/main" pred="{1C09FD01-304F-69E9-CA95-5FB1BEF74AAB}"/>
            </a:ext>
          </a:extLst>
        </xdr:cNvPr>
        <xdr:cNvPicPr>
          <a:picLocks noChangeAspect="1"/>
        </xdr:cNvPicPr>
      </xdr:nvPicPr>
      <xdr:blipFill>
        <a:blip xmlns:r="http://schemas.openxmlformats.org/officeDocument/2006/relationships" r:embed="rId9"/>
        <a:stretch>
          <a:fillRect/>
        </a:stretch>
      </xdr:blipFill>
      <xdr:spPr>
        <a:xfrm>
          <a:off x="4905375" y="7658100"/>
          <a:ext cx="428625" cy="2295525"/>
        </a:xfrm>
        <a:prstGeom prst="rect">
          <a:avLst/>
        </a:prstGeom>
      </xdr:spPr>
    </xdr:pic>
    <xdr:clientData/>
  </xdr:twoCellAnchor>
  <xdr:twoCellAnchor editAs="oneCell">
    <xdr:from>
      <xdr:col>4</xdr:col>
      <xdr:colOff>180975</xdr:colOff>
      <xdr:row>4</xdr:row>
      <xdr:rowOff>3867150</xdr:rowOff>
    </xdr:from>
    <xdr:to>
      <xdr:col>4</xdr:col>
      <xdr:colOff>1838325</xdr:colOff>
      <xdr:row>4</xdr:row>
      <xdr:rowOff>5019675</xdr:rowOff>
    </xdr:to>
    <xdr:pic>
      <xdr:nvPicPr>
        <xdr:cNvPr id="18" name="Imagen 17">
          <a:extLst>
            <a:ext uri="{FF2B5EF4-FFF2-40B4-BE49-F238E27FC236}">
              <a16:creationId xmlns:a16="http://schemas.microsoft.com/office/drawing/2014/main" id="{66F1D330-2827-A260-6CE4-1B7C1A199BBF}"/>
            </a:ext>
            <a:ext uri="{147F2762-F138-4A5C-976F-8EAC2B608ADB}">
              <a16:predDERef xmlns:a16="http://schemas.microsoft.com/office/drawing/2014/main" pred="{42DB9C98-7B85-2C37-87ED-6C981AAAE4BF}"/>
            </a:ext>
          </a:extLst>
        </xdr:cNvPr>
        <xdr:cNvPicPr>
          <a:picLocks noChangeAspect="1"/>
        </xdr:cNvPicPr>
      </xdr:nvPicPr>
      <xdr:blipFill>
        <a:blip xmlns:r="http://schemas.openxmlformats.org/officeDocument/2006/relationships" r:embed="rId10"/>
        <a:stretch>
          <a:fillRect/>
        </a:stretch>
      </xdr:blipFill>
      <xdr:spPr>
        <a:xfrm>
          <a:off x="2743200" y="9686925"/>
          <a:ext cx="1657350" cy="1152525"/>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175BD-2748-4C91-AE36-D214DB9CFF0B}">
  <dimension ref="A2:AN56"/>
  <sheetViews>
    <sheetView showGridLines="0" topLeftCell="A3" zoomScale="37" zoomScaleNormal="37" workbookViewId="0">
      <selection activeCell="I14" sqref="A9:J15"/>
    </sheetView>
  </sheetViews>
  <sheetFormatPr baseColWidth="10" defaultColWidth="11.42578125" defaultRowHeight="15" x14ac:dyDescent="0.25"/>
  <cols>
    <col min="1" max="1" width="2" customWidth="1"/>
    <col min="2" max="2" width="5.42578125" customWidth="1"/>
    <col min="4" max="4" width="15.42578125" customWidth="1"/>
    <col min="5" max="5" width="71.7109375" customWidth="1"/>
    <col min="6" max="6" width="12.140625" customWidth="1"/>
    <col min="7" max="7" width="25.7109375" customWidth="1"/>
    <col min="8" max="8" width="19.140625" customWidth="1"/>
    <col min="9" max="9" width="117" customWidth="1"/>
    <col min="10" max="10" width="28.5703125" customWidth="1"/>
    <col min="12" max="12" width="37.85546875" customWidth="1"/>
    <col min="13" max="13" width="25.140625" customWidth="1"/>
    <col min="14" max="16" width="16.42578125" customWidth="1"/>
    <col min="17" max="17" width="16.5703125" customWidth="1"/>
    <col min="19" max="19" width="15.7109375" customWidth="1"/>
    <col min="20" max="20" width="34.28515625" customWidth="1"/>
    <col min="21" max="21" width="17.140625" customWidth="1"/>
    <col min="23" max="23" width="19.140625" customWidth="1"/>
    <col min="24" max="24" width="29.7109375" customWidth="1"/>
    <col min="25" max="25" width="24.85546875" customWidth="1"/>
    <col min="26" max="26" width="29.7109375" customWidth="1"/>
    <col min="27" max="27" width="21.140625" customWidth="1"/>
    <col min="31" max="31" width="20.28515625" customWidth="1"/>
    <col min="32" max="32" width="21.42578125" customWidth="1"/>
    <col min="33" max="33" width="20.5703125" customWidth="1"/>
    <col min="34" max="34" width="24.85546875" customWidth="1"/>
    <col min="35" max="35" width="24" customWidth="1"/>
    <col min="36" max="36" width="17.42578125" customWidth="1"/>
    <col min="37" max="37" width="14.5703125" customWidth="1"/>
  </cols>
  <sheetData>
    <row r="2" spans="1:40" s="5" customFormat="1" ht="29.45" customHeight="1" thickBot="1" x14ac:dyDescent="0.35">
      <c r="A2" s="1"/>
      <c r="B2" s="285" t="s">
        <v>0</v>
      </c>
      <c r="C2" s="285"/>
      <c r="D2" s="285"/>
      <c r="E2" s="285"/>
      <c r="F2" s="285"/>
      <c r="G2" s="285"/>
      <c r="H2" s="285"/>
      <c r="I2" s="285"/>
      <c r="J2" s="285"/>
      <c r="K2" s="2"/>
      <c r="L2" s="3"/>
      <c r="M2" s="286" t="s">
        <v>1</v>
      </c>
      <c r="N2" s="286"/>
      <c r="O2" s="286"/>
      <c r="P2" s="286"/>
      <c r="Q2" s="286"/>
      <c r="R2" s="286"/>
      <c r="S2" s="286"/>
      <c r="T2" s="286"/>
      <c r="U2" s="286"/>
      <c r="V2" s="286"/>
      <c r="W2" s="286"/>
      <c r="X2" s="286"/>
      <c r="Y2" s="286"/>
      <c r="Z2" s="286"/>
      <c r="AA2" s="286"/>
      <c r="AB2" s="286"/>
      <c r="AC2" s="286"/>
      <c r="AD2" s="4"/>
      <c r="AE2" s="4"/>
      <c r="AF2" s="4"/>
      <c r="AG2" s="4"/>
      <c r="AH2" s="4"/>
      <c r="AI2" s="4"/>
      <c r="AJ2" s="4"/>
      <c r="AK2" s="4"/>
      <c r="AL2" s="3"/>
    </row>
    <row r="3" spans="1:40" s="1" customFormat="1" ht="45" customHeight="1" x14ac:dyDescent="0.25">
      <c r="B3" s="6" t="s">
        <v>2</v>
      </c>
      <c r="C3" s="6" t="s">
        <v>3</v>
      </c>
      <c r="D3" s="6" t="s">
        <v>4</v>
      </c>
      <c r="E3" s="6" t="s">
        <v>5</v>
      </c>
      <c r="F3" s="6" t="s">
        <v>6</v>
      </c>
      <c r="G3" s="7" t="s">
        <v>7</v>
      </c>
      <c r="H3" s="7" t="s">
        <v>8</v>
      </c>
      <c r="I3" s="7" t="s">
        <v>9</v>
      </c>
      <c r="J3" s="7" t="s">
        <v>10</v>
      </c>
      <c r="K3" s="236"/>
      <c r="L3" s="237"/>
      <c r="M3" s="30" t="s">
        <v>11</v>
      </c>
      <c r="N3" s="31" t="s">
        <v>12</v>
      </c>
      <c r="O3" s="31" t="s">
        <v>13</v>
      </c>
      <c r="P3" s="31" t="s">
        <v>14</v>
      </c>
      <c r="Q3" s="25" t="s">
        <v>15</v>
      </c>
      <c r="R3" s="25" t="s">
        <v>16</v>
      </c>
      <c r="S3" s="25" t="s">
        <v>17</v>
      </c>
      <c r="T3" s="25" t="s">
        <v>18</v>
      </c>
      <c r="U3" s="25" t="s">
        <v>19</v>
      </c>
      <c r="V3" s="25" t="s">
        <v>20</v>
      </c>
      <c r="W3" s="25" t="s">
        <v>21</v>
      </c>
      <c r="X3" s="26" t="s">
        <v>22</v>
      </c>
      <c r="Y3" s="26" t="s">
        <v>23</v>
      </c>
      <c r="Z3" s="27" t="s">
        <v>24</v>
      </c>
      <c r="AA3" s="27" t="s">
        <v>25</v>
      </c>
      <c r="AB3" s="27" t="s">
        <v>26</v>
      </c>
      <c r="AC3" s="27" t="s">
        <v>27</v>
      </c>
      <c r="AD3" s="27" t="s">
        <v>28</v>
      </c>
      <c r="AE3" s="27" t="s">
        <v>29</v>
      </c>
      <c r="AF3" s="26" t="s">
        <v>30</v>
      </c>
      <c r="AG3" s="26" t="s">
        <v>31</v>
      </c>
      <c r="AH3" s="28" t="s">
        <v>19</v>
      </c>
      <c r="AI3" s="28" t="s">
        <v>32</v>
      </c>
      <c r="AJ3" s="28" t="s">
        <v>33</v>
      </c>
      <c r="AK3" s="29" t="s">
        <v>34</v>
      </c>
      <c r="AL3" s="8" t="s">
        <v>35</v>
      </c>
      <c r="AM3" s="9" t="s">
        <v>36</v>
      </c>
    </row>
    <row r="4" spans="1:40" s="10" customFormat="1" ht="409.6" customHeight="1" x14ac:dyDescent="0.25">
      <c r="B4" s="287">
        <v>2</v>
      </c>
      <c r="C4" s="288" t="s">
        <v>37</v>
      </c>
      <c r="D4" s="288"/>
      <c r="E4" s="289"/>
      <c r="F4" s="290">
        <v>600</v>
      </c>
      <c r="G4" s="270">
        <v>28.19</v>
      </c>
      <c r="H4" s="271" t="s">
        <v>38</v>
      </c>
      <c r="I4" s="283" t="s">
        <v>39</v>
      </c>
      <c r="J4" s="270">
        <f>F4*G4</f>
        <v>16914</v>
      </c>
      <c r="K4" s="264" t="s">
        <v>40</v>
      </c>
      <c r="L4" s="265"/>
      <c r="M4" s="272" t="s">
        <v>41</v>
      </c>
      <c r="N4" s="269" t="s">
        <v>42</v>
      </c>
      <c r="O4" s="269"/>
      <c r="P4" s="269"/>
      <c r="Q4" s="33">
        <f>5.9+10.5+0.75+200/600+1.5</f>
        <v>18.983333333333331</v>
      </c>
      <c r="R4" s="12">
        <v>39</v>
      </c>
      <c r="S4" s="13">
        <f>Q4*R4/100</f>
        <v>7.4034999999999993</v>
      </c>
      <c r="T4" s="14">
        <f>S4*V4</f>
        <v>4442.0999999999995</v>
      </c>
      <c r="U4" s="20">
        <f>Q4+S4</f>
        <v>26.386833333333328</v>
      </c>
      <c r="V4" s="12">
        <f>F4</f>
        <v>600</v>
      </c>
      <c r="W4" s="15">
        <f>Q4*5+50</f>
        <v>144.91666666666666</v>
      </c>
      <c r="X4" s="16">
        <f>130+150+130</f>
        <v>410</v>
      </c>
      <c r="Y4" s="17">
        <f>V4*U4+W4+X4</f>
        <v>16387.016666666663</v>
      </c>
      <c r="Z4" s="32" t="s">
        <v>43</v>
      </c>
      <c r="AA4" s="34">
        <v>0</v>
      </c>
      <c r="AB4" s="35">
        <v>1</v>
      </c>
      <c r="AC4" s="35">
        <v>1</v>
      </c>
      <c r="AD4" s="35">
        <v>1</v>
      </c>
      <c r="AE4" s="18">
        <f>AA4*AB4*AC4*AD4</f>
        <v>0</v>
      </c>
      <c r="AF4" s="34">
        <f>V4/25*4.85</f>
        <v>116.39999999999999</v>
      </c>
      <c r="AG4" s="22">
        <f>2.5%*(Y4+AE4+AF4)</f>
        <v>412.58541666666662</v>
      </c>
      <c r="AH4" s="21">
        <f>Y4+AE4+AG4+AF4</f>
        <v>16916.002083333329</v>
      </c>
      <c r="AI4" s="23">
        <f>AH4/V4</f>
        <v>28.19333680555555</v>
      </c>
      <c r="AJ4" s="19">
        <f>AI4*18%</f>
        <v>5.0748006249999991</v>
      </c>
      <c r="AK4" s="24">
        <f>AI4+AJ4</f>
        <v>33.268137430555548</v>
      </c>
      <c r="AL4" s="11">
        <f>2.2*1000</f>
        <v>2200</v>
      </c>
      <c r="AN4" s="10">
        <v>31.09</v>
      </c>
    </row>
    <row r="5" spans="1:40" ht="21" x14ac:dyDescent="0.35">
      <c r="B5" s="287"/>
      <c r="C5" s="288"/>
      <c r="D5" s="288"/>
      <c r="E5" s="289"/>
      <c r="F5" s="290"/>
      <c r="G5" s="270"/>
      <c r="H5" s="271"/>
      <c r="I5" s="283"/>
      <c r="J5" s="270"/>
      <c r="M5" s="272"/>
      <c r="N5" s="269"/>
      <c r="O5" s="269"/>
      <c r="P5" s="269"/>
      <c r="R5">
        <v>1</v>
      </c>
      <c r="AH5" s="46">
        <v>31.09</v>
      </c>
    </row>
    <row r="6" spans="1:40" ht="35.25" customHeight="1" x14ac:dyDescent="0.25">
      <c r="B6" s="40"/>
      <c r="C6" s="41"/>
      <c r="D6" s="41"/>
      <c r="E6" s="40"/>
      <c r="F6" s="42"/>
      <c r="G6" s="43"/>
      <c r="H6" s="44"/>
      <c r="I6" s="45" t="s">
        <v>44</v>
      </c>
      <c r="J6" s="192">
        <f>J4</f>
        <v>16914</v>
      </c>
      <c r="K6" s="39"/>
    </row>
    <row r="7" spans="1:40" ht="35.25" customHeight="1" x14ac:dyDescent="0.25">
      <c r="B7" s="40"/>
      <c r="C7" s="41"/>
      <c r="D7" s="41"/>
      <c r="E7" s="40"/>
      <c r="F7" s="42"/>
      <c r="G7" s="43"/>
      <c r="H7" s="44"/>
      <c r="I7" s="45" t="s">
        <v>45</v>
      </c>
      <c r="J7" s="192">
        <f>J6*18%</f>
        <v>3044.52</v>
      </c>
      <c r="K7" s="39"/>
    </row>
    <row r="8" spans="1:40" ht="35.25" customHeight="1" x14ac:dyDescent="0.25">
      <c r="B8" s="40"/>
      <c r="C8" s="41"/>
      <c r="D8" s="41"/>
      <c r="E8" s="40"/>
      <c r="F8" s="42"/>
      <c r="G8" s="43"/>
      <c r="H8" s="44"/>
      <c r="I8" s="45" t="s">
        <v>34</v>
      </c>
      <c r="J8" s="192">
        <f>SUM(J6:J7)</f>
        <v>19958.52</v>
      </c>
      <c r="K8" s="39"/>
    </row>
    <row r="9" spans="1:40" ht="210.75" customHeight="1" x14ac:dyDescent="0.35">
      <c r="B9" s="53"/>
      <c r="C9" s="54"/>
      <c r="D9" s="54"/>
      <c r="E9" s="55"/>
      <c r="F9" s="42"/>
      <c r="G9" s="43"/>
      <c r="H9" s="56"/>
      <c r="I9" s="57"/>
      <c r="J9" s="43"/>
      <c r="M9" s="58"/>
      <c r="N9" s="193"/>
      <c r="O9" s="193"/>
      <c r="P9" s="193"/>
      <c r="AH9" s="46"/>
    </row>
    <row r="12" spans="1:40" s="5" customFormat="1" ht="29.45" customHeight="1" thickBot="1" x14ac:dyDescent="0.35">
      <c r="A12" s="1"/>
      <c r="B12" s="285" t="s">
        <v>46</v>
      </c>
      <c r="C12" s="285"/>
      <c r="D12" s="285"/>
      <c r="E12" s="285"/>
      <c r="F12" s="285"/>
      <c r="G12" s="285"/>
      <c r="H12" s="285"/>
      <c r="I12" s="285"/>
      <c r="J12" s="285"/>
      <c r="K12" s="2"/>
      <c r="L12" s="3"/>
      <c r="M12" s="286" t="s">
        <v>1</v>
      </c>
      <c r="N12" s="286"/>
      <c r="O12" s="286"/>
      <c r="P12" s="286"/>
      <c r="Q12" s="286"/>
      <c r="R12" s="286"/>
      <c r="S12" s="286"/>
      <c r="T12" s="286"/>
      <c r="U12" s="286"/>
      <c r="V12" s="286"/>
      <c r="W12" s="286"/>
      <c r="X12" s="286"/>
      <c r="Y12" s="286"/>
      <c r="Z12" s="286"/>
      <c r="AA12" s="286"/>
      <c r="AB12" s="286"/>
      <c r="AC12" s="286"/>
      <c r="AD12" s="4"/>
      <c r="AE12" s="4"/>
      <c r="AF12" s="4"/>
      <c r="AG12" s="4"/>
      <c r="AH12" s="4"/>
      <c r="AI12" s="4"/>
      <c r="AJ12" s="4"/>
      <c r="AK12" s="4"/>
      <c r="AL12" s="3"/>
    </row>
    <row r="13" spans="1:40" s="1" customFormat="1" ht="45" customHeight="1" x14ac:dyDescent="0.25">
      <c r="B13" s="6" t="s">
        <v>2</v>
      </c>
      <c r="C13" s="6" t="s">
        <v>3</v>
      </c>
      <c r="D13" s="6" t="s">
        <v>4</v>
      </c>
      <c r="E13" s="6" t="s">
        <v>5</v>
      </c>
      <c r="F13" s="6" t="s">
        <v>6</v>
      </c>
      <c r="G13" s="7" t="s">
        <v>7</v>
      </c>
      <c r="H13" s="7" t="s">
        <v>8</v>
      </c>
      <c r="I13" s="7" t="s">
        <v>9</v>
      </c>
      <c r="J13" s="7" t="s">
        <v>10</v>
      </c>
      <c r="K13" s="236"/>
      <c r="L13" s="237"/>
      <c r="M13" s="30" t="s">
        <v>11</v>
      </c>
      <c r="N13" s="31" t="s">
        <v>12</v>
      </c>
      <c r="O13" s="31" t="s">
        <v>13</v>
      </c>
      <c r="P13" s="31" t="s">
        <v>14</v>
      </c>
      <c r="Q13" s="25" t="s">
        <v>15</v>
      </c>
      <c r="R13" s="25" t="s">
        <v>16</v>
      </c>
      <c r="S13" s="25" t="s">
        <v>17</v>
      </c>
      <c r="T13" s="25" t="s">
        <v>18</v>
      </c>
      <c r="U13" s="25" t="s">
        <v>19</v>
      </c>
      <c r="V13" s="25" t="s">
        <v>20</v>
      </c>
      <c r="W13" s="25" t="s">
        <v>21</v>
      </c>
      <c r="X13" s="26" t="s">
        <v>22</v>
      </c>
      <c r="Y13" s="26" t="s">
        <v>23</v>
      </c>
      <c r="Z13" s="27" t="s">
        <v>24</v>
      </c>
      <c r="AA13" s="27" t="s">
        <v>25</v>
      </c>
      <c r="AB13" s="27" t="s">
        <v>26</v>
      </c>
      <c r="AC13" s="27" t="s">
        <v>27</v>
      </c>
      <c r="AD13" s="27" t="s">
        <v>28</v>
      </c>
      <c r="AE13" s="27" t="s">
        <v>29</v>
      </c>
      <c r="AF13" s="26" t="s">
        <v>30</v>
      </c>
      <c r="AG13" s="26" t="s">
        <v>31</v>
      </c>
      <c r="AH13" s="28" t="s">
        <v>19</v>
      </c>
      <c r="AI13" s="28" t="s">
        <v>32</v>
      </c>
      <c r="AJ13" s="28" t="s">
        <v>33</v>
      </c>
      <c r="AK13" s="29" t="s">
        <v>34</v>
      </c>
      <c r="AL13" s="8" t="s">
        <v>35</v>
      </c>
      <c r="AM13" s="9" t="s">
        <v>36</v>
      </c>
    </row>
    <row r="14" spans="1:40" s="10" customFormat="1" ht="409.6" customHeight="1" x14ac:dyDescent="0.25">
      <c r="B14" s="287">
        <v>1</v>
      </c>
      <c r="C14" s="288" t="s">
        <v>47</v>
      </c>
      <c r="D14" s="288"/>
      <c r="E14" s="289"/>
      <c r="F14" s="290">
        <v>600</v>
      </c>
      <c r="G14" s="270">
        <v>29.89</v>
      </c>
      <c r="H14" s="271" t="s">
        <v>38</v>
      </c>
      <c r="I14" s="283" t="s">
        <v>48</v>
      </c>
      <c r="J14" s="270">
        <f>F14*G14</f>
        <v>17934</v>
      </c>
      <c r="K14" s="264" t="s">
        <v>40</v>
      </c>
      <c r="L14" s="265"/>
      <c r="M14" s="272" t="s">
        <v>49</v>
      </c>
      <c r="N14" s="269" t="s">
        <v>50</v>
      </c>
      <c r="O14" s="269"/>
      <c r="P14" s="269"/>
      <c r="Q14" s="33">
        <f>5.9+10.5+1.5+0.75+200/600+1.5</f>
        <v>20.483333333333331</v>
      </c>
      <c r="R14" s="12">
        <v>36.200000000000003</v>
      </c>
      <c r="S14" s="13">
        <f>Q14*R14/100</f>
        <v>7.4149666666666665</v>
      </c>
      <c r="T14" s="14">
        <f>S14*V14</f>
        <v>4448.9799999999996</v>
      </c>
      <c r="U14" s="20">
        <f>Q14+S14</f>
        <v>27.898299999999999</v>
      </c>
      <c r="V14" s="12">
        <f>F14</f>
        <v>600</v>
      </c>
      <c r="W14" s="15">
        <f>Q14*5+50</f>
        <v>152.41666666666666</v>
      </c>
      <c r="X14" s="16">
        <f>100+120+120+120</f>
        <v>460</v>
      </c>
      <c r="Y14" s="17">
        <f>V14*U14+W14+X14</f>
        <v>17351.396666666667</v>
      </c>
      <c r="Z14" s="32" t="s">
        <v>43</v>
      </c>
      <c r="AA14" s="34">
        <v>0</v>
      </c>
      <c r="AB14" s="35">
        <v>1</v>
      </c>
      <c r="AC14" s="35">
        <v>1</v>
      </c>
      <c r="AD14" s="35">
        <v>1</v>
      </c>
      <c r="AE14" s="18">
        <f>AA14*AB14*AC14*AD14</f>
        <v>0</v>
      </c>
      <c r="AF14" s="34">
        <f>V14/25*4.85</f>
        <v>116.39999999999999</v>
      </c>
      <c r="AG14" s="22">
        <f>2.5%*(Y14+AE14+AF14)</f>
        <v>436.69491666666676</v>
      </c>
      <c r="AH14" s="21">
        <f>Y14+AE14+AG14+AF14</f>
        <v>17904.491583333336</v>
      </c>
      <c r="AI14" s="23">
        <f>AH14/V14</f>
        <v>29.840819305555559</v>
      </c>
      <c r="AJ14" s="19">
        <f>AI14*18%</f>
        <v>5.3713474750000003</v>
      </c>
      <c r="AK14" s="24">
        <f>AI14+AJ14</f>
        <v>35.212166780555563</v>
      </c>
      <c r="AL14" s="11">
        <f>2.2*1000</f>
        <v>2200</v>
      </c>
      <c r="AN14" s="10">
        <v>31.09</v>
      </c>
    </row>
    <row r="15" spans="1:40" ht="210.75" customHeight="1" x14ac:dyDescent="0.35">
      <c r="B15" s="287"/>
      <c r="C15" s="288"/>
      <c r="D15" s="288"/>
      <c r="E15" s="289"/>
      <c r="F15" s="290"/>
      <c r="G15" s="270"/>
      <c r="H15" s="271"/>
      <c r="I15" s="283"/>
      <c r="J15" s="270"/>
      <c r="K15">
        <v>31.9</v>
      </c>
      <c r="M15" s="272"/>
      <c r="N15" s="269"/>
      <c r="O15" s="269"/>
      <c r="P15" s="269"/>
      <c r="AH15" s="46">
        <v>31.09</v>
      </c>
    </row>
    <row r="16" spans="1:40" s="10" customFormat="1" ht="409.6" customHeight="1" x14ac:dyDescent="0.25">
      <c r="B16" s="287">
        <v>2</v>
      </c>
      <c r="C16" s="288" t="s">
        <v>37</v>
      </c>
      <c r="D16" s="288"/>
      <c r="E16" s="289"/>
      <c r="F16" s="290">
        <v>600</v>
      </c>
      <c r="G16" s="270">
        <v>28.19</v>
      </c>
      <c r="H16" s="271" t="s">
        <v>38</v>
      </c>
      <c r="I16" s="283" t="s">
        <v>51</v>
      </c>
      <c r="J16" s="270">
        <f>F16*G16</f>
        <v>16914</v>
      </c>
      <c r="K16" s="264" t="s">
        <v>40</v>
      </c>
      <c r="L16" s="265"/>
      <c r="M16" s="272" t="s">
        <v>49</v>
      </c>
      <c r="N16" s="269" t="s">
        <v>50</v>
      </c>
      <c r="O16" s="269"/>
      <c r="P16" s="269"/>
      <c r="Q16" s="33">
        <f>5.9+10.5+0.75+200/600+1.5</f>
        <v>18.983333333333331</v>
      </c>
      <c r="R16" s="12">
        <v>38</v>
      </c>
      <c r="S16" s="13">
        <f>Q16*R16/100</f>
        <v>7.2136666666666658</v>
      </c>
      <c r="T16" s="14">
        <f>S16*V16</f>
        <v>4328.2</v>
      </c>
      <c r="U16" s="20">
        <f>Q16+S16</f>
        <v>26.196999999999996</v>
      </c>
      <c r="V16" s="12">
        <f>F16</f>
        <v>600</v>
      </c>
      <c r="W16" s="15">
        <f>Q16*5+50</f>
        <v>144.91666666666666</v>
      </c>
      <c r="X16" s="16">
        <f>120+150+120</f>
        <v>390</v>
      </c>
      <c r="Y16" s="17">
        <f>V16*U16+W16+X16</f>
        <v>16253.116666666663</v>
      </c>
      <c r="Z16" s="32" t="s">
        <v>43</v>
      </c>
      <c r="AA16" s="34">
        <v>0</v>
      </c>
      <c r="AB16" s="35">
        <v>1</v>
      </c>
      <c r="AC16" s="35">
        <v>1</v>
      </c>
      <c r="AD16" s="35">
        <v>1</v>
      </c>
      <c r="AE16" s="18">
        <f>AA16*AB16*AC16*AD16</f>
        <v>0</v>
      </c>
      <c r="AF16" s="34">
        <f>V16/25*4.85</f>
        <v>116.39999999999999</v>
      </c>
      <c r="AG16" s="22">
        <f>2.5%*(Y16+AE16+AF16)</f>
        <v>409.23791666666659</v>
      </c>
      <c r="AH16" s="21">
        <f>Y16+AE16+AG16+AF16</f>
        <v>16778.754583333332</v>
      </c>
      <c r="AI16" s="23">
        <f>AH16/V16</f>
        <v>27.964590972222219</v>
      </c>
      <c r="AJ16" s="19">
        <f>AI16*18%</f>
        <v>5.033626374999999</v>
      </c>
      <c r="AK16" s="24">
        <f>AI16+AJ16</f>
        <v>32.998217347222216</v>
      </c>
      <c r="AL16" s="11">
        <f>2.2*1000</f>
        <v>2200</v>
      </c>
      <c r="AN16" s="10">
        <v>31.09</v>
      </c>
    </row>
    <row r="17" spans="1:40" ht="210.75" customHeight="1" x14ac:dyDescent="0.35">
      <c r="B17" s="287"/>
      <c r="C17" s="288"/>
      <c r="D17" s="288"/>
      <c r="E17" s="289"/>
      <c r="F17" s="290"/>
      <c r="G17" s="270"/>
      <c r="H17" s="271"/>
      <c r="I17" s="283"/>
      <c r="J17" s="270"/>
      <c r="K17">
        <v>31.9</v>
      </c>
      <c r="M17" s="272"/>
      <c r="N17" s="269"/>
      <c r="O17" s="269"/>
      <c r="P17" s="269"/>
      <c r="R17">
        <v>1</v>
      </c>
      <c r="AH17" s="46">
        <v>31.09</v>
      </c>
    </row>
    <row r="24" spans="1:40" s="5" customFormat="1" ht="29.45" customHeight="1" thickBot="1" x14ac:dyDescent="0.35">
      <c r="A24" s="1"/>
      <c r="B24" s="285" t="s">
        <v>46</v>
      </c>
      <c r="C24" s="285"/>
      <c r="D24" s="285"/>
      <c r="E24" s="285"/>
      <c r="F24" s="285"/>
      <c r="G24" s="285"/>
      <c r="H24" s="285"/>
      <c r="I24" s="285"/>
      <c r="J24" s="285"/>
      <c r="K24" s="2"/>
      <c r="L24" s="3"/>
      <c r="M24" s="286" t="s">
        <v>1</v>
      </c>
      <c r="N24" s="286"/>
      <c r="O24" s="286"/>
      <c r="P24" s="286"/>
      <c r="Q24" s="286"/>
      <c r="R24" s="286"/>
      <c r="S24" s="286"/>
      <c r="T24" s="286"/>
      <c r="U24" s="286"/>
      <c r="V24" s="286"/>
      <c r="W24" s="286"/>
      <c r="X24" s="286"/>
      <c r="Y24" s="286"/>
      <c r="Z24" s="286"/>
      <c r="AA24" s="286"/>
      <c r="AB24" s="286"/>
      <c r="AC24" s="286"/>
      <c r="AD24" s="4"/>
      <c r="AE24" s="4"/>
      <c r="AF24" s="4"/>
      <c r="AG24" s="4"/>
      <c r="AH24" s="4"/>
      <c r="AI24" s="4"/>
      <c r="AJ24" s="4"/>
      <c r="AK24" s="4"/>
      <c r="AL24" s="3"/>
    </row>
    <row r="25" spans="1:40" s="1" customFormat="1" ht="45" customHeight="1" x14ac:dyDescent="0.25">
      <c r="B25" s="6" t="s">
        <v>2</v>
      </c>
      <c r="C25" s="6" t="s">
        <v>3</v>
      </c>
      <c r="D25" s="6" t="s">
        <v>4</v>
      </c>
      <c r="E25" s="6" t="s">
        <v>5</v>
      </c>
      <c r="F25" s="6" t="s">
        <v>6</v>
      </c>
      <c r="G25" s="7" t="s">
        <v>7</v>
      </c>
      <c r="H25" s="7" t="s">
        <v>8</v>
      </c>
      <c r="I25" s="7" t="s">
        <v>9</v>
      </c>
      <c r="J25" s="7" t="s">
        <v>10</v>
      </c>
      <c r="K25" s="236"/>
      <c r="L25" s="237"/>
      <c r="M25" s="30" t="s">
        <v>11</v>
      </c>
      <c r="N25" s="31" t="s">
        <v>12</v>
      </c>
      <c r="O25" s="31" t="s">
        <v>13</v>
      </c>
      <c r="P25" s="31" t="s">
        <v>14</v>
      </c>
      <c r="Q25" s="25" t="s">
        <v>15</v>
      </c>
      <c r="R25" s="25" t="s">
        <v>16</v>
      </c>
      <c r="S25" s="25" t="s">
        <v>17</v>
      </c>
      <c r="T25" s="25" t="s">
        <v>18</v>
      </c>
      <c r="U25" s="25" t="s">
        <v>19</v>
      </c>
      <c r="V25" s="25" t="s">
        <v>20</v>
      </c>
      <c r="W25" s="25" t="s">
        <v>21</v>
      </c>
      <c r="X25" s="26" t="s">
        <v>22</v>
      </c>
      <c r="Y25" s="26" t="s">
        <v>23</v>
      </c>
      <c r="Z25" s="27" t="s">
        <v>24</v>
      </c>
      <c r="AA25" s="27" t="s">
        <v>25</v>
      </c>
      <c r="AB25" s="27" t="s">
        <v>26</v>
      </c>
      <c r="AC25" s="27" t="s">
        <v>27</v>
      </c>
      <c r="AD25" s="27" t="s">
        <v>28</v>
      </c>
      <c r="AE25" s="27" t="s">
        <v>29</v>
      </c>
      <c r="AF25" s="26" t="s">
        <v>30</v>
      </c>
      <c r="AG25" s="26" t="s">
        <v>31</v>
      </c>
      <c r="AH25" s="28" t="s">
        <v>19</v>
      </c>
      <c r="AI25" s="28" t="s">
        <v>32</v>
      </c>
      <c r="AJ25" s="28" t="s">
        <v>33</v>
      </c>
      <c r="AK25" s="29" t="s">
        <v>34</v>
      </c>
      <c r="AL25" s="8" t="s">
        <v>35</v>
      </c>
      <c r="AM25" s="9" t="s">
        <v>36</v>
      </c>
    </row>
    <row r="26" spans="1:40" s="10" customFormat="1" ht="409.6" customHeight="1" x14ac:dyDescent="0.25">
      <c r="B26" s="287">
        <v>1</v>
      </c>
      <c r="C26" s="288" t="s">
        <v>47</v>
      </c>
      <c r="D26" s="288"/>
      <c r="E26" s="289"/>
      <c r="F26" s="290">
        <v>600</v>
      </c>
      <c r="G26" s="270">
        <v>30.19</v>
      </c>
      <c r="H26" s="271" t="s">
        <v>38</v>
      </c>
      <c r="I26" s="283" t="s">
        <v>48</v>
      </c>
      <c r="J26" s="270">
        <f>F26*G26</f>
        <v>18114</v>
      </c>
      <c r="K26" s="264" t="s">
        <v>40</v>
      </c>
      <c r="L26" s="265"/>
      <c r="M26" s="272" t="s">
        <v>49</v>
      </c>
      <c r="N26" s="269" t="s">
        <v>50</v>
      </c>
      <c r="O26" s="269"/>
      <c r="P26" s="269"/>
      <c r="Q26" s="33">
        <f>5.9+10.5+1.5+0.75+200/600+1.5</f>
        <v>20.483333333333331</v>
      </c>
      <c r="R26" s="12">
        <v>36</v>
      </c>
      <c r="S26" s="13">
        <f>Q26*R26/100</f>
        <v>7.3739999999999988</v>
      </c>
      <c r="T26" s="14">
        <f>S26*V26</f>
        <v>4424.3999999999996</v>
      </c>
      <c r="U26" s="20">
        <f>Q26+S26</f>
        <v>27.85733333333333</v>
      </c>
      <c r="V26" s="12">
        <f>F26</f>
        <v>600</v>
      </c>
      <c r="W26" s="15">
        <f>Q26*5+50</f>
        <v>152.41666666666666</v>
      </c>
      <c r="X26" s="16">
        <f>120+120+150+150</f>
        <v>540</v>
      </c>
      <c r="Y26" s="17">
        <f>V26*U26+W26+X26</f>
        <v>17406.816666666666</v>
      </c>
      <c r="Z26" s="32" t="s">
        <v>43</v>
      </c>
      <c r="AA26" s="34">
        <v>60</v>
      </c>
      <c r="AB26" s="35">
        <v>1</v>
      </c>
      <c r="AC26" s="35">
        <v>1</v>
      </c>
      <c r="AD26" s="35">
        <v>1</v>
      </c>
      <c r="AE26" s="18">
        <f>AA26*AB26*AC26*AD26</f>
        <v>60</v>
      </c>
      <c r="AF26" s="34">
        <f>V26/25*4.85</f>
        <v>116.39999999999999</v>
      </c>
      <c r="AG26" s="22">
        <f>3%*(Y26+AE26+AF26)</f>
        <v>527.49649999999997</v>
      </c>
      <c r="AH26" s="21">
        <f>Y26+AE26+AG26+AF26</f>
        <v>18110.713166666668</v>
      </c>
      <c r="AI26" s="23">
        <f>AH26/V26</f>
        <v>30.184521944444448</v>
      </c>
      <c r="AJ26" s="19">
        <f>AI26*18%</f>
        <v>5.4332139500000007</v>
      </c>
      <c r="AK26" s="24">
        <f>AI26+AJ26</f>
        <v>35.617735894444451</v>
      </c>
      <c r="AL26" s="11">
        <f>2.2*1000</f>
        <v>2200</v>
      </c>
      <c r="AN26" s="10">
        <v>31.09</v>
      </c>
    </row>
    <row r="27" spans="1:40" ht="210.75" customHeight="1" x14ac:dyDescent="0.35">
      <c r="B27" s="287"/>
      <c r="C27" s="288"/>
      <c r="D27" s="288"/>
      <c r="E27" s="289"/>
      <c r="F27" s="290"/>
      <c r="G27" s="270"/>
      <c r="H27" s="271"/>
      <c r="I27" s="283"/>
      <c r="J27" s="270"/>
      <c r="K27">
        <v>31.9</v>
      </c>
      <c r="M27" s="272"/>
      <c r="N27" s="269"/>
      <c r="O27" s="269"/>
      <c r="P27" s="269"/>
      <c r="R27">
        <v>1</v>
      </c>
      <c r="AH27" s="46">
        <v>31.09</v>
      </c>
    </row>
    <row r="28" spans="1:40" s="10" customFormat="1" ht="409.6" customHeight="1" x14ac:dyDescent="0.25">
      <c r="B28" s="291">
        <v>3</v>
      </c>
      <c r="C28" s="288" t="s">
        <v>37</v>
      </c>
      <c r="D28" s="288"/>
      <c r="E28" s="289"/>
      <c r="F28" s="281">
        <v>600</v>
      </c>
      <c r="G28" s="279">
        <v>29.29</v>
      </c>
      <c r="H28" s="271" t="s">
        <v>38</v>
      </c>
      <c r="I28" s="283" t="s">
        <v>52</v>
      </c>
      <c r="J28" s="270">
        <f>F28*G28</f>
        <v>17574</v>
      </c>
      <c r="K28" s="47"/>
      <c r="M28" s="272" t="s">
        <v>53</v>
      </c>
      <c r="N28" s="273" t="s">
        <v>54</v>
      </c>
      <c r="O28" s="274"/>
      <c r="P28" s="275"/>
      <c r="Q28" s="48">
        <f>6.5+(6.95/1.15)+((3300/600)/1.15)+0.75+200/600+((20*30)/600)</f>
        <v>19.409420289855074</v>
      </c>
      <c r="R28" s="12">
        <v>40.5</v>
      </c>
      <c r="S28" s="13">
        <f>Q28*R28/100</f>
        <v>7.8608152173913046</v>
      </c>
      <c r="T28" s="14">
        <f>S28*V28</f>
        <v>4716.489130434783</v>
      </c>
      <c r="U28" s="20">
        <f>Q28+S28</f>
        <v>27.27023550724638</v>
      </c>
      <c r="V28" s="12">
        <f>F28</f>
        <v>600</v>
      </c>
      <c r="W28" s="15">
        <f>Q28*2</f>
        <v>38.818840579710148</v>
      </c>
      <c r="X28" s="16">
        <f>120+120+150</f>
        <v>390</v>
      </c>
      <c r="Y28" s="17">
        <f>V28*U28+W28+X28</f>
        <v>16790.96014492754</v>
      </c>
      <c r="Z28" s="32" t="s">
        <v>55</v>
      </c>
      <c r="AA28" s="49">
        <v>150</v>
      </c>
      <c r="AB28" s="50">
        <v>1</v>
      </c>
      <c r="AC28" s="50">
        <v>1</v>
      </c>
      <c r="AD28" s="50">
        <v>1</v>
      </c>
      <c r="AE28" s="18">
        <f>AA28*AB28*AC28*AD28</f>
        <v>150</v>
      </c>
      <c r="AF28" s="34">
        <f>V28/25*4.85</f>
        <v>116.39999999999999</v>
      </c>
      <c r="AG28" s="22">
        <f>3%*(Y28+AE28+AF28)</f>
        <v>511.72080434782623</v>
      </c>
      <c r="AH28" s="21">
        <f>Y28+AE28+AG28+AF28</f>
        <v>17569.080949275369</v>
      </c>
      <c r="AI28" s="23">
        <f>AH28/V28</f>
        <v>29.281801582125613</v>
      </c>
      <c r="AJ28" s="19">
        <f>AI28*18%</f>
        <v>5.2707242847826103</v>
      </c>
      <c r="AK28" s="24">
        <f>AI28+AJ28</f>
        <v>34.552525866908226</v>
      </c>
    </row>
    <row r="29" spans="1:40" s="10" customFormat="1" ht="239.25" customHeight="1" x14ac:dyDescent="0.25">
      <c r="B29" s="291"/>
      <c r="C29" s="288"/>
      <c r="D29" s="288"/>
      <c r="E29" s="289"/>
      <c r="F29" s="282"/>
      <c r="G29" s="280"/>
      <c r="H29" s="271"/>
      <c r="I29" s="284"/>
      <c r="J29" s="270"/>
      <c r="K29" s="51"/>
      <c r="M29" s="272"/>
      <c r="N29" s="276"/>
      <c r="O29" s="277"/>
      <c r="P29" s="278"/>
      <c r="Q29"/>
      <c r="R29"/>
      <c r="S29">
        <f>3300/600</f>
        <v>5.5</v>
      </c>
      <c r="T29"/>
      <c r="U29"/>
      <c r="V29"/>
      <c r="W29"/>
      <c r="X29"/>
      <c r="Y29"/>
      <c r="Z29"/>
      <c r="AA29"/>
      <c r="AB29"/>
      <c r="AC29"/>
      <c r="AD29"/>
      <c r="AE29"/>
      <c r="AF29"/>
      <c r="AG29"/>
      <c r="AH29"/>
      <c r="AI29"/>
      <c r="AJ29"/>
    </row>
    <row r="30" spans="1:40" s="10" customFormat="1" ht="408.75" customHeight="1" x14ac:dyDescent="0.25">
      <c r="B30" s="291">
        <v>3</v>
      </c>
      <c r="C30" s="288" t="s">
        <v>56</v>
      </c>
      <c r="D30" s="288"/>
      <c r="E30" s="289"/>
      <c r="F30" s="281">
        <v>600</v>
      </c>
      <c r="G30" s="279">
        <v>27.29</v>
      </c>
      <c r="H30" s="271" t="s">
        <v>38</v>
      </c>
      <c r="I30" s="283" t="s">
        <v>57</v>
      </c>
      <c r="J30" s="270">
        <f>F30*G30</f>
        <v>16374</v>
      </c>
      <c r="K30" s="47"/>
      <c r="M30" s="272" t="s">
        <v>58</v>
      </c>
      <c r="N30" s="269" t="s">
        <v>59</v>
      </c>
      <c r="O30" s="269"/>
      <c r="P30" s="269"/>
      <c r="Q30" s="48">
        <f>5.9+9.4+0.75+1.5+200/600</f>
        <v>17.883333333333333</v>
      </c>
      <c r="R30" s="12">
        <v>42</v>
      </c>
      <c r="S30" s="13">
        <f>Q30*R30/100</f>
        <v>7.5110000000000001</v>
      </c>
      <c r="T30" s="14">
        <f>S30*V30</f>
        <v>4506.6000000000004</v>
      </c>
      <c r="U30" s="20">
        <f>Q30+S30</f>
        <v>25.394333333333332</v>
      </c>
      <c r="V30" s="12">
        <f>F30</f>
        <v>600</v>
      </c>
      <c r="W30" s="15">
        <f>Q30*2</f>
        <v>35.766666666666666</v>
      </c>
      <c r="X30" s="16">
        <f>120+120+150</f>
        <v>390</v>
      </c>
      <c r="Y30" s="17">
        <f>V30*U30+W30+X30</f>
        <v>15662.366666666665</v>
      </c>
      <c r="Z30" s="32" t="s">
        <v>60</v>
      </c>
      <c r="AA30" s="49">
        <v>0</v>
      </c>
      <c r="AB30" s="50">
        <v>1</v>
      </c>
      <c r="AC30" s="50">
        <v>1</v>
      </c>
      <c r="AD30" s="50">
        <v>1</v>
      </c>
      <c r="AE30" s="18">
        <f>AA30*AB30*AC30*AD30</f>
        <v>0</v>
      </c>
      <c r="AF30" s="34">
        <f>V30/25*4.85</f>
        <v>116.39999999999999</v>
      </c>
      <c r="AG30" s="22">
        <f>3%*(Y30+AE30+AF30)</f>
        <v>473.36299999999994</v>
      </c>
      <c r="AH30" s="21">
        <f>Y30+AE30+AG30+AF30</f>
        <v>16252.129666666664</v>
      </c>
      <c r="AI30" s="23">
        <f>AH30/V30</f>
        <v>27.086882777777774</v>
      </c>
      <c r="AJ30" s="19">
        <f>AI30*18%</f>
        <v>4.8756388999999993</v>
      </c>
      <c r="AK30" s="24">
        <f>AI30+AJ30</f>
        <v>31.962521677777772</v>
      </c>
    </row>
    <row r="31" spans="1:40" s="10" customFormat="1" ht="69" customHeight="1" x14ac:dyDescent="0.25">
      <c r="B31" s="291"/>
      <c r="C31" s="288"/>
      <c r="D31" s="288"/>
      <c r="E31" s="289"/>
      <c r="F31" s="282"/>
      <c r="G31" s="280"/>
      <c r="H31" s="271"/>
      <c r="I31" s="284"/>
      <c r="J31" s="270"/>
      <c r="K31" s="51"/>
      <c r="M31" s="272"/>
      <c r="N31" s="269"/>
      <c r="O31" s="269"/>
      <c r="P31" s="269"/>
      <c r="Q31"/>
      <c r="R31"/>
      <c r="S31"/>
      <c r="T31"/>
      <c r="U31"/>
      <c r="V31"/>
      <c r="W31"/>
      <c r="X31"/>
      <c r="Y31"/>
      <c r="Z31"/>
      <c r="AA31"/>
      <c r="AB31"/>
      <c r="AC31"/>
      <c r="AD31"/>
      <c r="AE31"/>
      <c r="AF31"/>
      <c r="AG31"/>
      <c r="AH31"/>
      <c r="AI31"/>
      <c r="AJ31"/>
      <c r="AM31"/>
    </row>
    <row r="32" spans="1:40" ht="104.25" customHeight="1" x14ac:dyDescent="0.25">
      <c r="B32" s="37">
        <v>4</v>
      </c>
      <c r="C32" s="266" t="s">
        <v>61</v>
      </c>
      <c r="D32" s="267"/>
      <c r="E32" s="268"/>
      <c r="F32" s="195">
        <v>12</v>
      </c>
      <c r="G32" s="192">
        <v>95</v>
      </c>
      <c r="H32" s="36" t="s">
        <v>62</v>
      </c>
      <c r="I32" s="38" t="s">
        <v>63</v>
      </c>
      <c r="J32" s="192">
        <f>F32*G32</f>
        <v>1140</v>
      </c>
      <c r="K32" s="39"/>
      <c r="AK32" s="10"/>
      <c r="AL32" s="10"/>
    </row>
    <row r="33" spans="1:40" ht="104.25" customHeight="1" x14ac:dyDescent="0.25">
      <c r="B33" s="40"/>
      <c r="C33" s="41"/>
      <c r="D33" s="41"/>
      <c r="E33" s="40"/>
      <c r="F33" s="42"/>
      <c r="G33" s="43"/>
      <c r="H33" s="44"/>
      <c r="I33" s="52"/>
      <c r="J33" s="43"/>
      <c r="K33" s="39"/>
      <c r="AK33" s="10"/>
      <c r="AL33" s="10"/>
    </row>
    <row r="34" spans="1:40" ht="104.25" customHeight="1" x14ac:dyDescent="0.25">
      <c r="B34" s="40"/>
      <c r="C34" s="41"/>
      <c r="D34" s="41"/>
      <c r="E34" s="40"/>
      <c r="F34" s="42"/>
      <c r="G34" s="43"/>
      <c r="H34" s="44"/>
      <c r="I34" s="52"/>
      <c r="J34" s="43"/>
      <c r="K34" s="39"/>
      <c r="AK34" s="10"/>
      <c r="AL34" s="10"/>
    </row>
    <row r="36" spans="1:40" ht="35.25" customHeight="1" x14ac:dyDescent="0.25">
      <c r="B36" s="40"/>
      <c r="C36" s="41"/>
      <c r="D36" s="41"/>
      <c r="E36" s="40"/>
      <c r="F36" s="42"/>
      <c r="G36" s="43"/>
      <c r="H36" s="44"/>
      <c r="I36" s="45" t="s">
        <v>44</v>
      </c>
      <c r="J36" s="192">
        <f>SUM(J26:J27)</f>
        <v>18114</v>
      </c>
      <c r="K36" s="39"/>
    </row>
    <row r="37" spans="1:40" ht="35.25" customHeight="1" x14ac:dyDescent="0.25">
      <c r="B37" s="40"/>
      <c r="C37" s="41"/>
      <c r="D37" s="41"/>
      <c r="E37" s="40"/>
      <c r="F37" s="42"/>
      <c r="G37" s="43"/>
      <c r="H37" s="44"/>
      <c r="I37" s="45" t="s">
        <v>45</v>
      </c>
      <c r="J37" s="192">
        <f>J36*18%</f>
        <v>3260.52</v>
      </c>
      <c r="K37" s="39"/>
    </row>
    <row r="38" spans="1:40" ht="35.25" customHeight="1" x14ac:dyDescent="0.25">
      <c r="B38" s="40"/>
      <c r="C38" s="41"/>
      <c r="D38" s="41"/>
      <c r="E38" s="40"/>
      <c r="F38" s="42"/>
      <c r="G38" s="43"/>
      <c r="H38" s="44"/>
      <c r="I38" s="45" t="s">
        <v>34</v>
      </c>
      <c r="J38" s="192">
        <f>SUM(J36:J37)</f>
        <v>21374.52</v>
      </c>
      <c r="K38" s="39"/>
    </row>
    <row r="42" spans="1:40" s="5" customFormat="1" ht="29.45" customHeight="1" thickBot="1" x14ac:dyDescent="0.35">
      <c r="A42" s="1"/>
      <c r="B42" s="285" t="s">
        <v>64</v>
      </c>
      <c r="C42" s="285"/>
      <c r="D42" s="285"/>
      <c r="E42" s="285"/>
      <c r="F42" s="285"/>
      <c r="G42" s="285"/>
      <c r="H42" s="285"/>
      <c r="I42" s="285"/>
      <c r="J42" s="285"/>
      <c r="K42" s="2"/>
      <c r="L42" s="3"/>
      <c r="M42" s="286" t="s">
        <v>1</v>
      </c>
      <c r="N42" s="286"/>
      <c r="O42" s="286"/>
      <c r="P42" s="286"/>
      <c r="Q42" s="286"/>
      <c r="R42" s="286"/>
      <c r="S42" s="286"/>
      <c r="T42" s="286"/>
      <c r="U42" s="286"/>
      <c r="V42" s="286"/>
      <c r="W42" s="286"/>
      <c r="X42" s="286"/>
      <c r="Y42" s="286"/>
      <c r="Z42" s="286"/>
      <c r="AA42" s="286"/>
      <c r="AB42" s="286"/>
      <c r="AC42" s="286"/>
      <c r="AD42" s="4"/>
      <c r="AE42" s="4"/>
      <c r="AF42" s="4"/>
      <c r="AG42" s="4"/>
      <c r="AH42" s="4"/>
      <c r="AI42" s="4"/>
      <c r="AJ42" s="4"/>
      <c r="AK42" s="4"/>
      <c r="AL42" s="3"/>
    </row>
    <row r="43" spans="1:40" s="1" customFormat="1" ht="45" customHeight="1" x14ac:dyDescent="0.25">
      <c r="B43" s="6" t="s">
        <v>2</v>
      </c>
      <c r="C43" s="6" t="s">
        <v>3</v>
      </c>
      <c r="D43" s="6" t="s">
        <v>4</v>
      </c>
      <c r="E43" s="6" t="s">
        <v>5</v>
      </c>
      <c r="F43" s="6" t="s">
        <v>6</v>
      </c>
      <c r="G43" s="7" t="s">
        <v>7</v>
      </c>
      <c r="H43" s="7" t="s">
        <v>8</v>
      </c>
      <c r="I43" s="7" t="s">
        <v>9</v>
      </c>
      <c r="J43" s="7" t="s">
        <v>10</v>
      </c>
      <c r="K43" s="236"/>
      <c r="L43" s="237"/>
      <c r="M43" s="30" t="s">
        <v>11</v>
      </c>
      <c r="N43" s="31" t="s">
        <v>12</v>
      </c>
      <c r="O43" s="31" t="s">
        <v>13</v>
      </c>
      <c r="P43" s="31" t="s">
        <v>14</v>
      </c>
      <c r="Q43" s="25" t="s">
        <v>15</v>
      </c>
      <c r="R43" s="25" t="s">
        <v>16</v>
      </c>
      <c r="S43" s="25" t="s">
        <v>17</v>
      </c>
      <c r="T43" s="25" t="s">
        <v>18</v>
      </c>
      <c r="U43" s="25" t="s">
        <v>19</v>
      </c>
      <c r="V43" s="25" t="s">
        <v>20</v>
      </c>
      <c r="W43" s="25" t="s">
        <v>21</v>
      </c>
      <c r="X43" s="26" t="s">
        <v>22</v>
      </c>
      <c r="Y43" s="26" t="s">
        <v>23</v>
      </c>
      <c r="Z43" s="27" t="s">
        <v>24</v>
      </c>
      <c r="AA43" s="27" t="s">
        <v>25</v>
      </c>
      <c r="AB43" s="27" t="s">
        <v>26</v>
      </c>
      <c r="AC43" s="27" t="s">
        <v>27</v>
      </c>
      <c r="AD43" s="27" t="s">
        <v>28</v>
      </c>
      <c r="AE43" s="27" t="s">
        <v>29</v>
      </c>
      <c r="AF43" s="26" t="s">
        <v>30</v>
      </c>
      <c r="AG43" s="26" t="s">
        <v>31</v>
      </c>
      <c r="AH43" s="28" t="s">
        <v>19</v>
      </c>
      <c r="AI43" s="28" t="s">
        <v>32</v>
      </c>
      <c r="AJ43" s="28" t="s">
        <v>33</v>
      </c>
      <c r="AK43" s="29" t="s">
        <v>34</v>
      </c>
      <c r="AL43" s="8" t="s">
        <v>35</v>
      </c>
      <c r="AM43" s="9" t="s">
        <v>36</v>
      </c>
    </row>
    <row r="44" spans="1:40" s="10" customFormat="1" ht="409.6" customHeight="1" x14ac:dyDescent="0.25">
      <c r="B44" s="287">
        <v>1</v>
      </c>
      <c r="C44" s="288" t="s">
        <v>65</v>
      </c>
      <c r="D44" s="288"/>
      <c r="E44" s="289"/>
      <c r="F44" s="290">
        <v>600</v>
      </c>
      <c r="G44" s="270">
        <v>31.09</v>
      </c>
      <c r="H44" s="271" t="s">
        <v>38</v>
      </c>
      <c r="I44" s="283" t="s">
        <v>66</v>
      </c>
      <c r="J44" s="270">
        <f>F44*G44</f>
        <v>18654</v>
      </c>
      <c r="K44" s="264" t="s">
        <v>40</v>
      </c>
      <c r="L44" s="265"/>
      <c r="M44" s="272" t="s">
        <v>67</v>
      </c>
      <c r="N44" s="269" t="s">
        <v>68</v>
      </c>
      <c r="O44" s="269"/>
      <c r="P44" s="269"/>
      <c r="Q44" s="33">
        <f>5.9+10.5+1.5+(1.59/1.1)+0.75+200/600</f>
        <v>20.428787878787876</v>
      </c>
      <c r="R44" s="12">
        <v>40.6</v>
      </c>
      <c r="S44" s="13">
        <f>Q44*R44/100</f>
        <v>8.2940878787878791</v>
      </c>
      <c r="T44" s="14">
        <f>S44*V44</f>
        <v>4976.4527272727273</v>
      </c>
      <c r="U44" s="20">
        <f>Q44+S44</f>
        <v>28.722875757575757</v>
      </c>
      <c r="V44" s="12">
        <f>F44</f>
        <v>600</v>
      </c>
      <c r="W44" s="15">
        <f>Q44*5+50</f>
        <v>152.14393939393938</v>
      </c>
      <c r="X44" s="16">
        <f>120+120+150+150</f>
        <v>540</v>
      </c>
      <c r="Y44" s="17">
        <f>V44*U44+W44+X44</f>
        <v>17925.869393939392</v>
      </c>
      <c r="Z44" s="32" t="s">
        <v>43</v>
      </c>
      <c r="AA44" s="34">
        <v>60</v>
      </c>
      <c r="AB44" s="35">
        <v>1</v>
      </c>
      <c r="AC44" s="35">
        <v>1</v>
      </c>
      <c r="AD44" s="35">
        <v>1</v>
      </c>
      <c r="AE44" s="18">
        <f>AA44*AB44*AC44*AD44</f>
        <v>60</v>
      </c>
      <c r="AF44" s="34">
        <f>V44/25*4.85</f>
        <v>116.39999999999999</v>
      </c>
      <c r="AG44" s="22">
        <f>3%*(Y44+AE44+AF44)</f>
        <v>543.06808181818178</v>
      </c>
      <c r="AH44" s="21">
        <f>Y44+AE44+AG44+AF44</f>
        <v>18645.337475757577</v>
      </c>
      <c r="AI44" s="23">
        <f>AH44/V44</f>
        <v>31.075562459595961</v>
      </c>
      <c r="AJ44" s="19">
        <f>AI44*18%</f>
        <v>5.5936012427272725</v>
      </c>
      <c r="AK44" s="24">
        <f>AI44+AJ44</f>
        <v>36.669163702323232</v>
      </c>
      <c r="AL44" s="11">
        <f>2.2*1000</f>
        <v>2200</v>
      </c>
      <c r="AN44" s="10">
        <v>31.09</v>
      </c>
    </row>
    <row r="45" spans="1:40" ht="210.75" customHeight="1" x14ac:dyDescent="0.25">
      <c r="B45" s="287"/>
      <c r="C45" s="288"/>
      <c r="D45" s="288"/>
      <c r="E45" s="289"/>
      <c r="F45" s="290"/>
      <c r="G45" s="270"/>
      <c r="H45" s="271"/>
      <c r="I45" s="283"/>
      <c r="J45" s="270"/>
      <c r="K45">
        <v>31.9</v>
      </c>
      <c r="M45" s="272"/>
      <c r="N45" s="269"/>
      <c r="O45" s="269"/>
      <c r="P45" s="269"/>
      <c r="R45">
        <v>1</v>
      </c>
    </row>
    <row r="46" spans="1:40" ht="104.25" customHeight="1" x14ac:dyDescent="0.25">
      <c r="B46" s="37">
        <v>2</v>
      </c>
      <c r="C46" s="266" t="s">
        <v>61</v>
      </c>
      <c r="D46" s="268"/>
      <c r="E46" s="37"/>
      <c r="F46" s="195">
        <v>12</v>
      </c>
      <c r="G46" s="192">
        <v>150</v>
      </c>
      <c r="H46" s="36" t="s">
        <v>62</v>
      </c>
      <c r="I46" s="38" t="s">
        <v>63</v>
      </c>
      <c r="J46" s="192">
        <f>F46*G46</f>
        <v>1800</v>
      </c>
      <c r="K46" s="39" t="s">
        <v>69</v>
      </c>
      <c r="M46">
        <f>500/150</f>
        <v>3.3333333333333335</v>
      </c>
    </row>
    <row r="47" spans="1:40" ht="35.25" customHeight="1" x14ac:dyDescent="0.25">
      <c r="B47" s="40"/>
      <c r="C47" s="41"/>
      <c r="D47" s="41"/>
      <c r="E47" s="40"/>
      <c r="F47" s="42"/>
      <c r="G47" s="43"/>
      <c r="H47" s="44"/>
      <c r="I47" s="45" t="s">
        <v>44</v>
      </c>
      <c r="J47" s="192">
        <f>SUM(J44:J46)</f>
        <v>20454</v>
      </c>
      <c r="K47" s="39"/>
    </row>
    <row r="48" spans="1:40" ht="35.25" customHeight="1" x14ac:dyDescent="0.25">
      <c r="B48" s="40"/>
      <c r="C48" s="41"/>
      <c r="D48" s="41"/>
      <c r="E48" s="40"/>
      <c r="F48" s="42"/>
      <c r="G48" s="43"/>
      <c r="H48" s="44"/>
      <c r="I48" s="45" t="s">
        <v>45</v>
      </c>
      <c r="J48" s="192">
        <f>J47*18%</f>
        <v>3681.72</v>
      </c>
      <c r="K48" s="39"/>
    </row>
    <row r="49" spans="1:39" ht="35.25" customHeight="1" x14ac:dyDescent="0.25">
      <c r="B49" s="40"/>
      <c r="C49" s="41"/>
      <c r="D49" s="41"/>
      <c r="E49" s="40"/>
      <c r="F49" s="42"/>
      <c r="G49" s="43"/>
      <c r="H49" s="44"/>
      <c r="I49" s="45" t="s">
        <v>34</v>
      </c>
      <c r="J49" s="192">
        <f>SUM(J47:J48)</f>
        <v>24135.72</v>
      </c>
      <c r="K49" s="39"/>
    </row>
    <row r="52" spans="1:39" s="5" customFormat="1" ht="29.45" customHeight="1" thickBot="1" x14ac:dyDescent="0.35">
      <c r="A52" s="1"/>
      <c r="B52" s="285" t="s">
        <v>64</v>
      </c>
      <c r="C52" s="285"/>
      <c r="D52" s="285"/>
      <c r="E52" s="285"/>
      <c r="F52" s="285"/>
      <c r="G52" s="285"/>
      <c r="H52" s="285"/>
      <c r="I52" s="285"/>
      <c r="J52" s="285"/>
      <c r="K52" s="2"/>
      <c r="L52" s="3"/>
      <c r="M52" s="286" t="s">
        <v>1</v>
      </c>
      <c r="N52" s="286"/>
      <c r="O52" s="286"/>
      <c r="P52" s="286"/>
      <c r="Q52" s="286"/>
      <c r="R52" s="286"/>
      <c r="S52" s="286"/>
      <c r="T52" s="286"/>
      <c r="U52" s="286"/>
      <c r="V52" s="286"/>
      <c r="W52" s="286"/>
      <c r="X52" s="286"/>
      <c r="Y52" s="286"/>
      <c r="Z52" s="286"/>
      <c r="AA52" s="286"/>
      <c r="AB52" s="286"/>
      <c r="AC52" s="286"/>
      <c r="AD52" s="4"/>
      <c r="AE52" s="4"/>
      <c r="AF52" s="4"/>
      <c r="AG52" s="4"/>
      <c r="AH52" s="4"/>
      <c r="AI52" s="4"/>
      <c r="AJ52" s="4"/>
      <c r="AK52" s="4"/>
      <c r="AL52" s="3"/>
    </row>
    <row r="53" spans="1:39" s="1" customFormat="1" ht="45" customHeight="1" x14ac:dyDescent="0.25">
      <c r="B53" s="6" t="s">
        <v>2</v>
      </c>
      <c r="C53" s="6" t="s">
        <v>3</v>
      </c>
      <c r="D53" s="6" t="s">
        <v>4</v>
      </c>
      <c r="E53" s="6" t="s">
        <v>5</v>
      </c>
      <c r="F53" s="6" t="s">
        <v>6</v>
      </c>
      <c r="G53" s="7" t="s">
        <v>7</v>
      </c>
      <c r="H53" s="7" t="s">
        <v>8</v>
      </c>
      <c r="I53" s="7" t="s">
        <v>9</v>
      </c>
      <c r="J53" s="7" t="s">
        <v>10</v>
      </c>
      <c r="K53" s="236"/>
      <c r="L53" s="237"/>
      <c r="M53" s="30" t="s">
        <v>11</v>
      </c>
      <c r="N53" s="31" t="s">
        <v>12</v>
      </c>
      <c r="O53" s="31" t="s">
        <v>13</v>
      </c>
      <c r="P53" s="31" t="s">
        <v>14</v>
      </c>
      <c r="Q53" s="25" t="s">
        <v>15</v>
      </c>
      <c r="R53" s="25" t="s">
        <v>16</v>
      </c>
      <c r="S53" s="25" t="s">
        <v>17</v>
      </c>
      <c r="T53" s="25" t="s">
        <v>18</v>
      </c>
      <c r="U53" s="25" t="s">
        <v>19</v>
      </c>
      <c r="V53" s="25" t="s">
        <v>20</v>
      </c>
      <c r="W53" s="25" t="s">
        <v>21</v>
      </c>
      <c r="X53" s="26" t="s">
        <v>22</v>
      </c>
      <c r="Y53" s="26" t="s">
        <v>23</v>
      </c>
      <c r="Z53" s="27" t="s">
        <v>24</v>
      </c>
      <c r="AA53" s="27" t="s">
        <v>25</v>
      </c>
      <c r="AB53" s="27" t="s">
        <v>26</v>
      </c>
      <c r="AC53" s="27" t="s">
        <v>27</v>
      </c>
      <c r="AD53" s="27" t="s">
        <v>28</v>
      </c>
      <c r="AE53" s="27" t="s">
        <v>29</v>
      </c>
      <c r="AF53" s="26" t="s">
        <v>30</v>
      </c>
      <c r="AG53" s="26" t="s">
        <v>31</v>
      </c>
      <c r="AH53" s="28" t="s">
        <v>19</v>
      </c>
      <c r="AI53" s="28" t="s">
        <v>32</v>
      </c>
      <c r="AJ53" s="28" t="s">
        <v>33</v>
      </c>
      <c r="AK53" s="29" t="s">
        <v>34</v>
      </c>
      <c r="AL53" s="8" t="s">
        <v>35</v>
      </c>
      <c r="AM53" s="9" t="s">
        <v>36</v>
      </c>
    </row>
    <row r="54" spans="1:39" s="10" customFormat="1" ht="409.6" customHeight="1" x14ac:dyDescent="0.25">
      <c r="B54" s="287">
        <v>1</v>
      </c>
      <c r="C54" s="288" t="s">
        <v>65</v>
      </c>
      <c r="D54" s="288"/>
      <c r="E54" s="289"/>
      <c r="F54" s="290">
        <v>600</v>
      </c>
      <c r="G54" s="270">
        <v>32.9</v>
      </c>
      <c r="H54" s="271" t="s">
        <v>38</v>
      </c>
      <c r="I54" s="283" t="s">
        <v>70</v>
      </c>
      <c r="J54" s="270">
        <f>F54*G54</f>
        <v>19740</v>
      </c>
      <c r="K54" s="264" t="s">
        <v>40</v>
      </c>
      <c r="L54" s="265"/>
      <c r="M54" s="272" t="s">
        <v>71</v>
      </c>
      <c r="N54" s="269" t="s">
        <v>72</v>
      </c>
      <c r="O54" s="269"/>
      <c r="P54" s="269"/>
      <c r="Q54" s="33">
        <f>5.9+10.5+(1.5/1.1)+0.75+((32/1.1*2)/18)+200/600</f>
        <v>22.079292929292926</v>
      </c>
      <c r="R54" s="12">
        <v>35</v>
      </c>
      <c r="S54" s="13">
        <f>Q54*R54/100</f>
        <v>7.7277525252525239</v>
      </c>
      <c r="T54" s="14">
        <f>S54*V54</f>
        <v>4636.6515151515141</v>
      </c>
      <c r="U54" s="20">
        <f>Q54+S54</f>
        <v>29.807045454545449</v>
      </c>
      <c r="V54" s="12">
        <f>F54</f>
        <v>600</v>
      </c>
      <c r="W54" s="15">
        <f>Q54*2+50</f>
        <v>94.158585858585852</v>
      </c>
      <c r="X54" s="16">
        <f>120+120+150+150</f>
        <v>540</v>
      </c>
      <c r="Y54" s="17">
        <f>V54*U54+W54+X54</f>
        <v>18518.385858585854</v>
      </c>
      <c r="Z54" s="32" t="s">
        <v>43</v>
      </c>
      <c r="AA54" s="34">
        <v>60</v>
      </c>
      <c r="AB54" s="35">
        <v>1</v>
      </c>
      <c r="AC54" s="35">
        <v>1</v>
      </c>
      <c r="AD54" s="35">
        <v>1</v>
      </c>
      <c r="AE54" s="18">
        <f>AA54*AB54*AC54*AD54</f>
        <v>60</v>
      </c>
      <c r="AF54" s="34">
        <f>V54/25*4.85</f>
        <v>116.39999999999999</v>
      </c>
      <c r="AG54" s="22">
        <f>2%*(Y54+AE54+AF54)</f>
        <v>373.89571717171714</v>
      </c>
      <c r="AH54" s="21">
        <f>Y54+AE54+AG54+AF54</f>
        <v>19068.681575757571</v>
      </c>
      <c r="AI54" s="23">
        <f>AH54/V54</f>
        <v>31.781135959595954</v>
      </c>
      <c r="AJ54" s="19">
        <f>AI54*18%</f>
        <v>5.7206044727272714</v>
      </c>
      <c r="AK54" s="24">
        <f>AI54+AJ54</f>
        <v>37.501740432323224</v>
      </c>
      <c r="AL54" s="11">
        <f>2.2*1000</f>
        <v>2200</v>
      </c>
    </row>
    <row r="55" spans="1:39" ht="210.75" customHeight="1" x14ac:dyDescent="0.25">
      <c r="B55" s="287"/>
      <c r="C55" s="288"/>
      <c r="D55" s="288"/>
      <c r="E55" s="289"/>
      <c r="F55" s="290"/>
      <c r="G55" s="270"/>
      <c r="H55" s="271"/>
      <c r="I55" s="283"/>
      <c r="J55" s="270"/>
      <c r="K55">
        <v>31.9</v>
      </c>
      <c r="M55" s="272"/>
      <c r="N55" s="269"/>
      <c r="O55" s="269"/>
      <c r="P55" s="269"/>
    </row>
    <row r="56" spans="1:39" ht="104.25" customHeight="1" x14ac:dyDescent="0.25">
      <c r="B56" s="37">
        <v>2</v>
      </c>
      <c r="C56" s="266" t="s">
        <v>61</v>
      </c>
      <c r="D56" s="268"/>
      <c r="E56" s="37"/>
      <c r="F56" s="195">
        <v>12</v>
      </c>
      <c r="G56" s="192">
        <v>150</v>
      </c>
      <c r="H56" s="36" t="s">
        <v>62</v>
      </c>
      <c r="I56" s="38" t="s">
        <v>63</v>
      </c>
      <c r="J56" s="192">
        <f>F56*G56</f>
        <v>1800</v>
      </c>
      <c r="K56" s="39" t="s">
        <v>69</v>
      </c>
    </row>
  </sheetData>
  <mergeCells count="104">
    <mergeCell ref="B2:J2"/>
    <mergeCell ref="M2:AC2"/>
    <mergeCell ref="K3:L3"/>
    <mergeCell ref="B4:B5"/>
    <mergeCell ref="C4:D5"/>
    <mergeCell ref="E4:E5"/>
    <mergeCell ref="F4:F5"/>
    <mergeCell ref="G4:G5"/>
    <mergeCell ref="H4:H5"/>
    <mergeCell ref="I4:I5"/>
    <mergeCell ref="J4:J5"/>
    <mergeCell ref="K4:L4"/>
    <mergeCell ref="M4:M5"/>
    <mergeCell ref="N4:P5"/>
    <mergeCell ref="B28:B29"/>
    <mergeCell ref="C28:D29"/>
    <mergeCell ref="E28:E29"/>
    <mergeCell ref="J54:J55"/>
    <mergeCell ref="C46:D46"/>
    <mergeCell ref="B42:J42"/>
    <mergeCell ref="M42:AC42"/>
    <mergeCell ref="K43:L43"/>
    <mergeCell ref="B44:B45"/>
    <mergeCell ref="C44:D45"/>
    <mergeCell ref="E44:E45"/>
    <mergeCell ref="F44:F45"/>
    <mergeCell ref="G44:G45"/>
    <mergeCell ref="H44:H45"/>
    <mergeCell ref="I44:I45"/>
    <mergeCell ref="J44:J45"/>
    <mergeCell ref="K44:L44"/>
    <mergeCell ref="M44:M45"/>
    <mergeCell ref="N44:P45"/>
    <mergeCell ref="B30:B31"/>
    <mergeCell ref="C30:D31"/>
    <mergeCell ref="E30:E31"/>
    <mergeCell ref="I30:I31"/>
    <mergeCell ref="M30:M31"/>
    <mergeCell ref="C56:D56"/>
    <mergeCell ref="M52:AC52"/>
    <mergeCell ref="I54:I55"/>
    <mergeCell ref="H54:H55"/>
    <mergeCell ref="B52:J52"/>
    <mergeCell ref="N54:P55"/>
    <mergeCell ref="M54:M55"/>
    <mergeCell ref="K53:L53"/>
    <mergeCell ref="K54:L54"/>
    <mergeCell ref="G54:G55"/>
    <mergeCell ref="F54:F55"/>
    <mergeCell ref="E54:E55"/>
    <mergeCell ref="C54:D55"/>
    <mergeCell ref="B54:B55"/>
    <mergeCell ref="J16:J17"/>
    <mergeCell ref="K16:L16"/>
    <mergeCell ref="M16:M17"/>
    <mergeCell ref="N16:P17"/>
    <mergeCell ref="M24:AC24"/>
    <mergeCell ref="K25:L25"/>
    <mergeCell ref="M26:M27"/>
    <mergeCell ref="N26:P27"/>
    <mergeCell ref="B16:B17"/>
    <mergeCell ref="C16:D17"/>
    <mergeCell ref="E16:E17"/>
    <mergeCell ref="F16:F17"/>
    <mergeCell ref="G16:G17"/>
    <mergeCell ref="H16:H17"/>
    <mergeCell ref="I16:I17"/>
    <mergeCell ref="B24:J24"/>
    <mergeCell ref="B26:B27"/>
    <mergeCell ref="C26:D27"/>
    <mergeCell ref="E26:E27"/>
    <mergeCell ref="F26:F27"/>
    <mergeCell ref="G26:G27"/>
    <mergeCell ref="H26:H27"/>
    <mergeCell ref="I26:I27"/>
    <mergeCell ref="J26:J27"/>
    <mergeCell ref="B12:J12"/>
    <mergeCell ref="M12:AC12"/>
    <mergeCell ref="K13:L13"/>
    <mergeCell ref="B14:B15"/>
    <mergeCell ref="C14:D15"/>
    <mergeCell ref="E14:E15"/>
    <mergeCell ref="F14:F15"/>
    <mergeCell ref="G14:G15"/>
    <mergeCell ref="H14:H15"/>
    <mergeCell ref="I14:I15"/>
    <mergeCell ref="J14:J15"/>
    <mergeCell ref="K14:L14"/>
    <mergeCell ref="M14:M15"/>
    <mergeCell ref="N14:P15"/>
    <mergeCell ref="K26:L26"/>
    <mergeCell ref="C32:E32"/>
    <mergeCell ref="N30:P31"/>
    <mergeCell ref="J30:J31"/>
    <mergeCell ref="H30:H31"/>
    <mergeCell ref="M28:M29"/>
    <mergeCell ref="N28:P29"/>
    <mergeCell ref="J28:J29"/>
    <mergeCell ref="H28:H29"/>
    <mergeCell ref="G28:G29"/>
    <mergeCell ref="F28:F29"/>
    <mergeCell ref="I28:I29"/>
    <mergeCell ref="G30:G31"/>
    <mergeCell ref="F30:F31"/>
  </mergeCells>
  <phoneticPr fontId="27" type="noConversion"/>
  <pageMargins left="0.7" right="0.7"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1EAAF-E218-4D4D-B700-993410E803C0}">
  <dimension ref="A2:IS27"/>
  <sheetViews>
    <sheetView showGridLines="0" topLeftCell="A10" zoomScale="44" zoomScaleNormal="44" workbookViewId="0">
      <selection activeCell="A5" sqref="A5"/>
    </sheetView>
  </sheetViews>
  <sheetFormatPr baseColWidth="10" defaultColWidth="11.42578125" defaultRowHeight="15" x14ac:dyDescent="0.25"/>
  <cols>
    <col min="1" max="1" width="2" customWidth="1"/>
    <col min="2" max="2" width="5.42578125" customWidth="1"/>
    <col min="4" max="4" width="15.42578125" customWidth="1"/>
    <col min="5" max="5" width="71.7109375" customWidth="1"/>
    <col min="6" max="6" width="12.140625" customWidth="1"/>
    <col min="7" max="7" width="25.7109375" customWidth="1"/>
    <col min="8" max="8" width="26.85546875" customWidth="1"/>
    <col min="9" max="9" width="117" customWidth="1"/>
    <col min="10" max="10" width="28.5703125" customWidth="1"/>
    <col min="12" max="12" width="37.85546875" customWidth="1"/>
    <col min="13" max="13" width="25.140625" customWidth="1"/>
    <col min="14" max="16" width="16.42578125" customWidth="1"/>
    <col min="17" max="17" width="16.5703125" customWidth="1"/>
    <col min="19" max="19" width="15.7109375" customWidth="1"/>
    <col min="20" max="20" width="34.28515625" customWidth="1"/>
    <col min="21" max="21" width="17.140625" customWidth="1"/>
    <col min="23" max="23" width="19.140625" customWidth="1"/>
    <col min="24" max="24" width="29.7109375" customWidth="1"/>
    <col min="25" max="25" width="24.85546875" customWidth="1"/>
    <col min="26" max="26" width="29.7109375" customWidth="1"/>
    <col min="27" max="27" width="21.140625" customWidth="1"/>
    <col min="31" max="31" width="20.28515625" customWidth="1"/>
    <col min="32" max="32" width="21.42578125" customWidth="1"/>
    <col min="33" max="33" width="20.5703125" customWidth="1"/>
    <col min="34" max="34" width="24.85546875" customWidth="1"/>
    <col min="35" max="35" width="24" customWidth="1"/>
    <col min="36" max="36" width="17.42578125" customWidth="1"/>
    <col min="37" max="37" width="14.5703125" customWidth="1"/>
  </cols>
  <sheetData>
    <row r="2" spans="1:253" s="5" customFormat="1" ht="29.45" customHeight="1" thickBot="1" x14ac:dyDescent="0.35">
      <c r="A2" s="1"/>
      <c r="B2" s="285" t="s">
        <v>73</v>
      </c>
      <c r="C2" s="285"/>
      <c r="D2" s="285"/>
      <c r="E2" s="285"/>
      <c r="F2" s="285"/>
      <c r="G2" s="285"/>
      <c r="H2" s="285"/>
      <c r="I2" s="285"/>
      <c r="J2" s="285"/>
      <c r="K2" s="2"/>
      <c r="L2" s="3"/>
      <c r="M2" s="286" t="s">
        <v>1</v>
      </c>
      <c r="N2" s="286"/>
      <c r="O2" s="286"/>
      <c r="P2" s="286"/>
      <c r="Q2" s="286"/>
      <c r="R2" s="286"/>
      <c r="S2" s="286"/>
      <c r="T2" s="286"/>
      <c r="U2" s="286"/>
      <c r="V2" s="286"/>
      <c r="W2" s="286"/>
      <c r="X2" s="286"/>
      <c r="Y2" s="286"/>
      <c r="Z2" s="286"/>
      <c r="AA2" s="286"/>
      <c r="AB2" s="286"/>
      <c r="AC2" s="286"/>
      <c r="AD2" s="4"/>
      <c r="AE2" s="4"/>
      <c r="AF2" s="4"/>
      <c r="AG2" s="4"/>
      <c r="AH2" s="4"/>
      <c r="AI2" s="4"/>
      <c r="AJ2" s="4"/>
      <c r="AK2" s="4"/>
    </row>
    <row r="3" spans="1:253" s="1" customFormat="1" ht="45" customHeight="1" x14ac:dyDescent="0.25">
      <c r="B3" s="6" t="s">
        <v>2</v>
      </c>
      <c r="C3" s="6" t="s">
        <v>3</v>
      </c>
      <c r="D3" s="6" t="s">
        <v>4</v>
      </c>
      <c r="E3" s="6" t="s">
        <v>5</v>
      </c>
      <c r="F3" s="6" t="s">
        <v>6</v>
      </c>
      <c r="G3" s="7" t="s">
        <v>7</v>
      </c>
      <c r="H3" s="7" t="s">
        <v>8</v>
      </c>
      <c r="I3" s="7" t="s">
        <v>9</v>
      </c>
      <c r="J3" s="7" t="s">
        <v>10</v>
      </c>
      <c r="K3" s="236"/>
      <c r="L3" s="237"/>
      <c r="M3" s="30" t="s">
        <v>11</v>
      </c>
      <c r="N3" s="31" t="s">
        <v>12</v>
      </c>
      <c r="O3" s="31" t="s">
        <v>13</v>
      </c>
      <c r="P3" s="31" t="s">
        <v>14</v>
      </c>
      <c r="Q3" s="25" t="s">
        <v>15</v>
      </c>
      <c r="R3" s="25" t="s">
        <v>16</v>
      </c>
      <c r="S3" s="25" t="s">
        <v>17</v>
      </c>
      <c r="T3" s="25" t="s">
        <v>18</v>
      </c>
      <c r="U3" s="25" t="s">
        <v>19</v>
      </c>
      <c r="V3" s="25" t="s">
        <v>20</v>
      </c>
      <c r="W3" s="25" t="s">
        <v>21</v>
      </c>
      <c r="X3" s="26" t="s">
        <v>22</v>
      </c>
      <c r="Y3" s="26" t="s">
        <v>23</v>
      </c>
      <c r="Z3" s="27" t="s">
        <v>24</v>
      </c>
      <c r="AA3" s="27" t="s">
        <v>25</v>
      </c>
      <c r="AB3" s="27" t="s">
        <v>26</v>
      </c>
      <c r="AC3" s="27" t="s">
        <v>27</v>
      </c>
      <c r="AD3" s="27" t="s">
        <v>28</v>
      </c>
      <c r="AE3" s="27" t="s">
        <v>29</v>
      </c>
      <c r="AF3" s="26" t="s">
        <v>30</v>
      </c>
      <c r="AG3" s="26" t="s">
        <v>31</v>
      </c>
      <c r="AH3" s="28" t="s">
        <v>19</v>
      </c>
      <c r="AI3" s="28" t="s">
        <v>32</v>
      </c>
      <c r="AJ3" s="28" t="s">
        <v>33</v>
      </c>
      <c r="AK3" s="29" t="s">
        <v>34</v>
      </c>
    </row>
    <row r="4" spans="1:253" s="46" customFormat="1" ht="296.25" customHeight="1" x14ac:dyDescent="0.35">
      <c r="B4" s="82">
        <v>1</v>
      </c>
      <c r="C4" s="292" t="s">
        <v>74</v>
      </c>
      <c r="D4" s="292"/>
      <c r="E4" s="83" t="s">
        <v>75</v>
      </c>
      <c r="F4" s="59">
        <v>102</v>
      </c>
      <c r="G4" s="60">
        <v>24.99</v>
      </c>
      <c r="H4" s="84" t="s">
        <v>76</v>
      </c>
      <c r="I4" s="81" t="s">
        <v>77</v>
      </c>
      <c r="J4" s="60">
        <f>F4*G4</f>
        <v>2548.98</v>
      </c>
      <c r="K4" s="61"/>
      <c r="M4" s="196" t="s">
        <v>78</v>
      </c>
      <c r="N4" s="293" t="s">
        <v>79</v>
      </c>
      <c r="O4" s="293"/>
      <c r="P4" s="293"/>
      <c r="Q4" s="62">
        <f>15/1.15</f>
        <v>13.043478260869566</v>
      </c>
      <c r="R4" s="12">
        <v>45.3</v>
      </c>
      <c r="S4" s="63">
        <f t="shared" ref="S4" si="0">Q4*R4/100</f>
        <v>5.9086956521739138</v>
      </c>
      <c r="T4" s="64">
        <f t="shared" ref="T4" si="1">S4*V4</f>
        <v>602.68695652173926</v>
      </c>
      <c r="U4" s="20">
        <f t="shared" ref="U4" si="2">Q4+S4</f>
        <v>18.952173913043481</v>
      </c>
      <c r="V4" s="12">
        <f>F4</f>
        <v>102</v>
      </c>
      <c r="W4" s="65">
        <f>Q4*2</f>
        <v>26.086956521739133</v>
      </c>
      <c r="X4" s="66">
        <v>120</v>
      </c>
      <c r="Y4" s="67">
        <f t="shared" ref="Y4" si="3">V4*U4+W4+X4</f>
        <v>2079.2086956521744</v>
      </c>
      <c r="Z4" s="79" t="s">
        <v>80</v>
      </c>
      <c r="AA4" s="80">
        <f>4*108</f>
        <v>432</v>
      </c>
      <c r="AB4" s="68">
        <v>1</v>
      </c>
      <c r="AC4" s="68">
        <v>1</v>
      </c>
      <c r="AD4" s="68">
        <v>1</v>
      </c>
      <c r="AE4" s="18">
        <f>AA4*AB4*AC4*AD4</f>
        <v>432</v>
      </c>
      <c r="AF4" s="69">
        <f>V4/45*4.85</f>
        <v>10.993333333333332</v>
      </c>
      <c r="AG4" s="70">
        <f>1%*(Y4+AE4+AF4)</f>
        <v>25.222020289855077</v>
      </c>
      <c r="AH4" s="71">
        <f t="shared" ref="AH4" si="4">Y4+AE4+AG4+AF4</f>
        <v>2547.4240492753629</v>
      </c>
      <c r="AI4" s="72">
        <f t="shared" ref="AI4" si="5">AH4/V4</f>
        <v>24.97474558113101</v>
      </c>
      <c r="AJ4" s="73">
        <f t="shared" ref="AJ4" si="6">AI4*18%</f>
        <v>4.4954542046035817</v>
      </c>
      <c r="AK4" s="74">
        <f t="shared" ref="AK4" si="7">AI4+AJ4</f>
        <v>29.470199785734593</v>
      </c>
      <c r="AL4" s="75"/>
      <c r="AM4" s="75"/>
      <c r="AN4" s="76"/>
      <c r="AP4" s="77"/>
      <c r="AQ4" s="77"/>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78"/>
      <c r="DJ4" s="78"/>
      <c r="DK4" s="78"/>
      <c r="DL4" s="78"/>
      <c r="DM4" s="78"/>
      <c r="DN4" s="78"/>
      <c r="DO4" s="78"/>
      <c r="DP4" s="78"/>
      <c r="DQ4" s="78"/>
      <c r="DR4" s="78"/>
      <c r="DS4" s="78"/>
      <c r="DT4" s="78"/>
      <c r="DU4" s="78"/>
      <c r="DV4" s="78"/>
      <c r="DW4" s="78"/>
      <c r="DX4" s="78"/>
      <c r="DY4" s="78"/>
      <c r="DZ4" s="78"/>
      <c r="EA4" s="78"/>
      <c r="EB4" s="78"/>
      <c r="EC4" s="78"/>
      <c r="ED4" s="78"/>
      <c r="EE4" s="78"/>
      <c r="EF4" s="78"/>
      <c r="EG4" s="78"/>
      <c r="EH4" s="78"/>
      <c r="EI4" s="78"/>
      <c r="EJ4" s="78"/>
      <c r="EK4" s="78"/>
      <c r="EL4" s="78"/>
      <c r="EM4" s="78"/>
      <c r="EN4" s="78"/>
      <c r="EO4" s="78"/>
      <c r="EP4" s="78"/>
      <c r="EQ4" s="78"/>
      <c r="ER4" s="78"/>
      <c r="ES4" s="78"/>
      <c r="ET4" s="78"/>
      <c r="EU4" s="78"/>
      <c r="EV4" s="78"/>
      <c r="EW4" s="78"/>
      <c r="EX4" s="78"/>
      <c r="EY4" s="78"/>
      <c r="EZ4" s="78"/>
      <c r="FA4" s="78"/>
      <c r="FB4" s="78"/>
      <c r="FC4" s="78"/>
      <c r="FD4" s="78"/>
      <c r="FE4" s="78"/>
      <c r="FF4" s="78"/>
      <c r="FG4" s="78"/>
      <c r="FH4" s="78"/>
      <c r="FI4" s="78"/>
      <c r="FJ4" s="78"/>
      <c r="FK4" s="78"/>
      <c r="FL4" s="78"/>
      <c r="FM4" s="78"/>
      <c r="FN4" s="78"/>
      <c r="FO4" s="78"/>
      <c r="FP4" s="78"/>
      <c r="FQ4" s="78"/>
      <c r="FR4" s="78"/>
      <c r="FS4" s="78"/>
      <c r="FT4" s="78"/>
      <c r="FU4" s="78"/>
      <c r="FV4" s="78"/>
      <c r="FW4" s="78"/>
      <c r="FX4" s="78"/>
      <c r="FY4" s="78"/>
      <c r="FZ4" s="78"/>
      <c r="GA4" s="78"/>
      <c r="GB4" s="78"/>
      <c r="GC4" s="78"/>
      <c r="GD4" s="78"/>
      <c r="GE4" s="78"/>
      <c r="GF4" s="78"/>
      <c r="GG4" s="78"/>
      <c r="GH4" s="78"/>
      <c r="GI4" s="78"/>
      <c r="GJ4" s="78"/>
      <c r="GK4" s="78"/>
      <c r="GL4" s="78"/>
      <c r="GM4" s="78"/>
      <c r="GN4" s="78"/>
      <c r="GO4" s="78"/>
      <c r="GP4" s="78"/>
      <c r="GQ4" s="78"/>
      <c r="GR4" s="78"/>
      <c r="GS4" s="78"/>
      <c r="GT4" s="78"/>
      <c r="GU4" s="78"/>
      <c r="GV4" s="78"/>
      <c r="GW4" s="78"/>
      <c r="GX4" s="78"/>
      <c r="GY4" s="78"/>
      <c r="GZ4" s="78"/>
      <c r="HA4" s="78"/>
      <c r="HB4" s="78"/>
      <c r="HC4" s="78"/>
      <c r="HD4" s="78"/>
      <c r="HE4" s="78"/>
      <c r="HF4" s="78"/>
      <c r="HG4" s="78"/>
      <c r="HH4" s="78"/>
      <c r="HI4" s="78"/>
      <c r="HJ4" s="78"/>
      <c r="HK4" s="78"/>
      <c r="HL4" s="78"/>
      <c r="HM4" s="78"/>
      <c r="HN4" s="78"/>
      <c r="HO4" s="78"/>
      <c r="HP4" s="78"/>
      <c r="HQ4" s="78"/>
      <c r="HR4" s="78"/>
      <c r="HS4" s="78"/>
      <c r="HT4" s="78"/>
      <c r="HU4" s="78"/>
      <c r="HV4" s="78"/>
      <c r="HW4" s="78"/>
      <c r="HX4" s="78"/>
      <c r="HY4" s="78"/>
      <c r="HZ4" s="78"/>
      <c r="IA4" s="78"/>
      <c r="IB4" s="78"/>
      <c r="IC4" s="78"/>
      <c r="ID4" s="78"/>
      <c r="IE4" s="78"/>
      <c r="IF4" s="78"/>
      <c r="IG4" s="78"/>
      <c r="IH4" s="78"/>
      <c r="II4" s="78"/>
      <c r="IJ4" s="78"/>
      <c r="IK4" s="78"/>
      <c r="IL4" s="78"/>
      <c r="IM4" s="78"/>
      <c r="IN4" s="78"/>
      <c r="IO4" s="78"/>
      <c r="IP4" s="78"/>
      <c r="IQ4" s="78"/>
      <c r="IR4" s="78"/>
      <c r="IS4" s="78"/>
    </row>
    <row r="8" spans="1:253" s="5" customFormat="1" ht="29.45" customHeight="1" thickBot="1" x14ac:dyDescent="0.35">
      <c r="A8" s="1"/>
      <c r="B8" s="285" t="s">
        <v>73</v>
      </c>
      <c r="C8" s="285"/>
      <c r="D8" s="285"/>
      <c r="E8" s="285"/>
      <c r="F8" s="285"/>
      <c r="G8" s="285"/>
      <c r="H8" s="285"/>
      <c r="I8" s="285"/>
      <c r="J8" s="285"/>
      <c r="K8" s="2"/>
      <c r="L8" s="3"/>
      <c r="M8" s="286" t="s">
        <v>1</v>
      </c>
      <c r="N8" s="286"/>
      <c r="O8" s="286"/>
      <c r="P8" s="286"/>
      <c r="Q8" s="286"/>
      <c r="R8" s="286"/>
      <c r="S8" s="286"/>
      <c r="T8" s="286"/>
      <c r="U8" s="286"/>
      <c r="V8" s="286"/>
      <c r="W8" s="286"/>
      <c r="X8" s="286"/>
      <c r="Y8" s="286"/>
      <c r="Z8" s="286"/>
      <c r="AA8" s="286"/>
      <c r="AB8" s="286"/>
      <c r="AC8" s="286"/>
      <c r="AD8" s="4"/>
      <c r="AE8" s="4"/>
      <c r="AF8" s="4"/>
      <c r="AG8" s="4"/>
      <c r="AH8" s="4"/>
      <c r="AI8" s="4"/>
      <c r="AJ8" s="4"/>
      <c r="AK8" s="4"/>
    </row>
    <row r="9" spans="1:253" s="1" customFormat="1" ht="45" customHeight="1" x14ac:dyDescent="0.25">
      <c r="B9" s="6" t="s">
        <v>2</v>
      </c>
      <c r="C9" s="6" t="s">
        <v>3</v>
      </c>
      <c r="D9" s="6" t="s">
        <v>4</v>
      </c>
      <c r="E9" s="6" t="s">
        <v>5</v>
      </c>
      <c r="F9" s="6" t="s">
        <v>6</v>
      </c>
      <c r="G9" s="7" t="s">
        <v>7</v>
      </c>
      <c r="H9" s="7" t="s">
        <v>8</v>
      </c>
      <c r="I9" s="7" t="s">
        <v>9</v>
      </c>
      <c r="J9" s="7" t="s">
        <v>10</v>
      </c>
      <c r="K9" s="236"/>
      <c r="L9" s="237"/>
      <c r="M9" s="30" t="s">
        <v>11</v>
      </c>
      <c r="N9" s="31" t="s">
        <v>12</v>
      </c>
      <c r="O9" s="31" t="s">
        <v>13</v>
      </c>
      <c r="P9" s="31" t="s">
        <v>14</v>
      </c>
      <c r="Q9" s="25" t="s">
        <v>15</v>
      </c>
      <c r="R9" s="25" t="s">
        <v>16</v>
      </c>
      <c r="S9" s="25" t="s">
        <v>17</v>
      </c>
      <c r="T9" s="25" t="s">
        <v>18</v>
      </c>
      <c r="U9" s="25" t="s">
        <v>19</v>
      </c>
      <c r="V9" s="25" t="s">
        <v>20</v>
      </c>
      <c r="W9" s="25" t="s">
        <v>21</v>
      </c>
      <c r="X9" s="26" t="s">
        <v>22</v>
      </c>
      <c r="Y9" s="26" t="s">
        <v>23</v>
      </c>
      <c r="Z9" s="27" t="s">
        <v>24</v>
      </c>
      <c r="AA9" s="27" t="s">
        <v>25</v>
      </c>
      <c r="AB9" s="27" t="s">
        <v>26</v>
      </c>
      <c r="AC9" s="27" t="s">
        <v>27</v>
      </c>
      <c r="AD9" s="27" t="s">
        <v>28</v>
      </c>
      <c r="AE9" s="27" t="s">
        <v>29</v>
      </c>
      <c r="AF9" s="26" t="s">
        <v>30</v>
      </c>
      <c r="AG9" s="26" t="s">
        <v>31</v>
      </c>
      <c r="AH9" s="28" t="s">
        <v>19</v>
      </c>
      <c r="AI9" s="28" t="s">
        <v>32</v>
      </c>
      <c r="AJ9" s="28" t="s">
        <v>33</v>
      </c>
      <c r="AK9" s="29" t="s">
        <v>34</v>
      </c>
    </row>
    <row r="10" spans="1:253" s="46" customFormat="1" ht="296.25" customHeight="1" x14ac:dyDescent="0.35">
      <c r="B10" s="82">
        <v>1</v>
      </c>
      <c r="C10" s="292" t="s">
        <v>74</v>
      </c>
      <c r="D10" s="292"/>
      <c r="E10" s="83" t="s">
        <v>75</v>
      </c>
      <c r="F10" s="59">
        <v>107</v>
      </c>
      <c r="G10" s="60">
        <v>24.99</v>
      </c>
      <c r="H10" s="84" t="s">
        <v>76</v>
      </c>
      <c r="I10" s="81" t="s">
        <v>81</v>
      </c>
      <c r="J10" s="60">
        <f>F10*G10</f>
        <v>2673.93</v>
      </c>
      <c r="K10" s="61"/>
      <c r="M10" s="196" t="s">
        <v>78</v>
      </c>
      <c r="N10" s="293" t="s">
        <v>79</v>
      </c>
      <c r="O10" s="293"/>
      <c r="P10" s="293"/>
      <c r="Q10" s="62">
        <f>14/1.15</f>
        <v>12.173913043478262</v>
      </c>
      <c r="R10" s="12">
        <v>58</v>
      </c>
      <c r="S10" s="63">
        <f t="shared" ref="S10" si="8">Q10*R10/100</f>
        <v>7.0608695652173914</v>
      </c>
      <c r="T10" s="64">
        <f t="shared" ref="T10" si="9">S10*V10</f>
        <v>755.5130434782609</v>
      </c>
      <c r="U10" s="20">
        <f t="shared" ref="U10" si="10">Q10+S10</f>
        <v>19.234782608695653</v>
      </c>
      <c r="V10" s="12">
        <f>F10</f>
        <v>107</v>
      </c>
      <c r="W10" s="65">
        <f>Q10*2</f>
        <v>24.347826086956523</v>
      </c>
      <c r="X10" s="66">
        <v>120</v>
      </c>
      <c r="Y10" s="67">
        <f t="shared" ref="Y10" si="11">V10*U10+W10+X10</f>
        <v>2202.4695652173914</v>
      </c>
      <c r="Z10" s="79" t="s">
        <v>82</v>
      </c>
      <c r="AA10" s="80">
        <f>4*108</f>
        <v>432</v>
      </c>
      <c r="AB10" s="68">
        <v>1</v>
      </c>
      <c r="AC10" s="68">
        <v>1</v>
      </c>
      <c r="AD10" s="68">
        <v>1</v>
      </c>
      <c r="AE10" s="18">
        <f>AA10*AB10*AC10*AD10</f>
        <v>432</v>
      </c>
      <c r="AF10" s="69">
        <f>V10/45*4.85</f>
        <v>11.532222222222222</v>
      </c>
      <c r="AG10" s="70">
        <f>1%*(Y10+AE10+AF10)</f>
        <v>26.460017874396137</v>
      </c>
      <c r="AH10" s="71">
        <f t="shared" ref="AH10" si="12">Y10+AE10+AG10+AF10</f>
        <v>2672.4618053140098</v>
      </c>
      <c r="AI10" s="72">
        <f t="shared" ref="AI10" si="13">AH10/V10</f>
        <v>24.976278554336542</v>
      </c>
      <c r="AJ10" s="73">
        <f t="shared" ref="AJ10" si="14">AI10*18%</f>
        <v>4.4957301397805773</v>
      </c>
      <c r="AK10" s="74">
        <f t="shared" ref="AK10" si="15">AI10+AJ10</f>
        <v>29.472008694117118</v>
      </c>
      <c r="AL10" s="75"/>
      <c r="AM10" s="75"/>
      <c r="AN10" s="76"/>
      <c r="AP10" s="77"/>
      <c r="AQ10" s="77"/>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78"/>
      <c r="CR10" s="78"/>
      <c r="CS10" s="78"/>
      <c r="CT10" s="78"/>
      <c r="CU10" s="78"/>
      <c r="CV10" s="78"/>
      <c r="CW10" s="78"/>
      <c r="CX10" s="78"/>
      <c r="CY10" s="78"/>
      <c r="CZ10" s="78"/>
      <c r="DA10" s="78"/>
      <c r="DB10" s="78"/>
      <c r="DC10" s="78"/>
      <c r="DD10" s="78"/>
      <c r="DE10" s="78"/>
      <c r="DF10" s="78"/>
      <c r="DG10" s="78"/>
      <c r="DH10" s="78"/>
      <c r="DI10" s="78"/>
      <c r="DJ10" s="78"/>
      <c r="DK10" s="78"/>
      <c r="DL10" s="78"/>
      <c r="DM10" s="78"/>
      <c r="DN10" s="78"/>
      <c r="DO10" s="78"/>
      <c r="DP10" s="78"/>
      <c r="DQ10" s="78"/>
      <c r="DR10" s="78"/>
      <c r="DS10" s="78"/>
      <c r="DT10" s="78"/>
      <c r="DU10" s="78"/>
      <c r="DV10" s="78"/>
      <c r="DW10" s="78"/>
      <c r="DX10" s="78"/>
      <c r="DY10" s="78"/>
      <c r="DZ10" s="78"/>
      <c r="EA10" s="78"/>
      <c r="EB10" s="78"/>
      <c r="EC10" s="78"/>
      <c r="ED10" s="78"/>
      <c r="EE10" s="78"/>
      <c r="EF10" s="78"/>
      <c r="EG10" s="78"/>
      <c r="EH10" s="78"/>
      <c r="EI10" s="78"/>
      <c r="EJ10" s="78"/>
      <c r="EK10" s="78"/>
      <c r="EL10" s="78"/>
      <c r="EM10" s="78"/>
      <c r="EN10" s="78"/>
      <c r="EO10" s="78"/>
      <c r="EP10" s="78"/>
      <c r="EQ10" s="78"/>
      <c r="ER10" s="78"/>
      <c r="ES10" s="78"/>
      <c r="ET10" s="78"/>
      <c r="EU10" s="78"/>
      <c r="EV10" s="78"/>
      <c r="EW10" s="78"/>
      <c r="EX10" s="78"/>
      <c r="EY10" s="78"/>
      <c r="EZ10" s="78"/>
      <c r="FA10" s="78"/>
      <c r="FB10" s="78"/>
      <c r="FC10" s="78"/>
      <c r="FD10" s="78"/>
      <c r="FE10" s="78"/>
      <c r="FF10" s="78"/>
      <c r="FG10" s="78"/>
      <c r="FH10" s="78"/>
      <c r="FI10" s="78"/>
      <c r="FJ10" s="78"/>
      <c r="FK10" s="78"/>
      <c r="FL10" s="78"/>
      <c r="FM10" s="78"/>
      <c r="FN10" s="78"/>
      <c r="FO10" s="78"/>
      <c r="FP10" s="78"/>
      <c r="FQ10" s="78"/>
      <c r="FR10" s="78"/>
      <c r="FS10" s="78"/>
      <c r="FT10" s="78"/>
      <c r="FU10" s="78"/>
      <c r="FV10" s="78"/>
      <c r="FW10" s="78"/>
      <c r="FX10" s="78"/>
      <c r="FY10" s="78"/>
      <c r="FZ10" s="78"/>
      <c r="GA10" s="78"/>
      <c r="GB10" s="78"/>
      <c r="GC10" s="78"/>
      <c r="GD10" s="78"/>
      <c r="GE10" s="78"/>
      <c r="GF10" s="78"/>
      <c r="GG10" s="78"/>
      <c r="GH10" s="78"/>
      <c r="GI10" s="78"/>
      <c r="GJ10" s="78"/>
      <c r="GK10" s="78"/>
      <c r="GL10" s="78"/>
      <c r="GM10" s="78"/>
      <c r="GN10" s="78"/>
      <c r="GO10" s="78"/>
      <c r="GP10" s="78"/>
      <c r="GQ10" s="78"/>
      <c r="GR10" s="78"/>
      <c r="GS10" s="78"/>
      <c r="GT10" s="78"/>
      <c r="GU10" s="78"/>
      <c r="GV10" s="78"/>
      <c r="GW10" s="78"/>
      <c r="GX10" s="78"/>
      <c r="GY10" s="78"/>
      <c r="GZ10" s="78"/>
      <c r="HA10" s="78"/>
      <c r="HB10" s="78"/>
      <c r="HC10" s="78"/>
      <c r="HD10" s="78"/>
      <c r="HE10" s="78"/>
      <c r="HF10" s="78"/>
      <c r="HG10" s="78"/>
      <c r="HH10" s="78"/>
      <c r="HI10" s="78"/>
      <c r="HJ10" s="78"/>
      <c r="HK10" s="78"/>
      <c r="HL10" s="78"/>
      <c r="HM10" s="78"/>
      <c r="HN10" s="78"/>
      <c r="HO10" s="78"/>
      <c r="HP10" s="78"/>
      <c r="HQ10" s="78"/>
      <c r="HR10" s="78"/>
      <c r="HS10" s="78"/>
      <c r="HT10" s="78"/>
      <c r="HU10" s="78"/>
      <c r="HV10" s="78"/>
      <c r="HW10" s="78"/>
      <c r="HX10" s="78"/>
      <c r="HY10" s="78"/>
      <c r="HZ10" s="78"/>
      <c r="IA10" s="78"/>
      <c r="IB10" s="78"/>
      <c r="IC10" s="78"/>
      <c r="ID10" s="78"/>
      <c r="IE10" s="78"/>
      <c r="IF10" s="78"/>
      <c r="IG10" s="78"/>
      <c r="IH10" s="78"/>
      <c r="II10" s="78"/>
      <c r="IJ10" s="78"/>
      <c r="IK10" s="78"/>
      <c r="IL10" s="78"/>
      <c r="IM10" s="78"/>
      <c r="IN10" s="78"/>
      <c r="IO10" s="78"/>
      <c r="IP10" s="78"/>
      <c r="IQ10" s="78"/>
      <c r="IR10" s="78"/>
      <c r="IS10" s="78"/>
    </row>
    <row r="14" spans="1:253" s="5" customFormat="1" ht="29.45" customHeight="1" thickBot="1" x14ac:dyDescent="0.35">
      <c r="A14" s="1"/>
      <c r="B14" s="285" t="s">
        <v>73</v>
      </c>
      <c r="C14" s="285"/>
      <c r="D14" s="285"/>
      <c r="E14" s="285"/>
      <c r="F14" s="285"/>
      <c r="G14" s="285"/>
      <c r="H14" s="285"/>
      <c r="I14" s="285"/>
      <c r="J14" s="285"/>
      <c r="K14" s="2"/>
      <c r="L14" s="3"/>
      <c r="M14" s="286" t="s">
        <v>1</v>
      </c>
      <c r="N14" s="286"/>
      <c r="O14" s="286"/>
      <c r="P14" s="286"/>
      <c r="Q14" s="286"/>
      <c r="R14" s="286"/>
      <c r="S14" s="286"/>
      <c r="T14" s="286"/>
      <c r="U14" s="286"/>
      <c r="V14" s="286"/>
      <c r="W14" s="286"/>
      <c r="X14" s="286"/>
      <c r="Y14" s="286"/>
      <c r="Z14" s="286"/>
      <c r="AA14" s="286"/>
      <c r="AB14" s="286"/>
      <c r="AC14" s="286"/>
      <c r="AD14" s="4"/>
      <c r="AE14" s="4"/>
      <c r="AF14" s="4"/>
      <c r="AG14" s="4"/>
      <c r="AH14" s="4"/>
      <c r="AI14" s="4"/>
      <c r="AJ14" s="4"/>
      <c r="AK14" s="4"/>
    </row>
    <row r="15" spans="1:253" s="1" customFormat="1" ht="45" customHeight="1" x14ac:dyDescent="0.25">
      <c r="B15" s="6" t="s">
        <v>2</v>
      </c>
      <c r="C15" s="6" t="s">
        <v>3</v>
      </c>
      <c r="D15" s="6" t="s">
        <v>4</v>
      </c>
      <c r="E15" s="6" t="s">
        <v>5</v>
      </c>
      <c r="F15" s="6" t="s">
        <v>6</v>
      </c>
      <c r="G15" s="7" t="s">
        <v>7</v>
      </c>
      <c r="H15" s="7" t="s">
        <v>8</v>
      </c>
      <c r="I15" s="7" t="s">
        <v>9</v>
      </c>
      <c r="J15" s="7" t="s">
        <v>10</v>
      </c>
      <c r="K15" s="236"/>
      <c r="L15" s="237"/>
      <c r="M15" s="30" t="s">
        <v>11</v>
      </c>
      <c r="N15" s="31" t="s">
        <v>12</v>
      </c>
      <c r="O15" s="31" t="s">
        <v>13</v>
      </c>
      <c r="P15" s="31" t="s">
        <v>14</v>
      </c>
      <c r="Q15" s="25" t="s">
        <v>15</v>
      </c>
      <c r="R15" s="25" t="s">
        <v>16</v>
      </c>
      <c r="S15" s="25" t="s">
        <v>17</v>
      </c>
      <c r="T15" s="25" t="s">
        <v>18</v>
      </c>
      <c r="U15" s="25" t="s">
        <v>19</v>
      </c>
      <c r="V15" s="25" t="s">
        <v>20</v>
      </c>
      <c r="W15" s="25" t="s">
        <v>21</v>
      </c>
      <c r="X15" s="26" t="s">
        <v>22</v>
      </c>
      <c r="Y15" s="26" t="s">
        <v>23</v>
      </c>
      <c r="Z15" s="27" t="s">
        <v>24</v>
      </c>
      <c r="AA15" s="27" t="s">
        <v>25</v>
      </c>
      <c r="AB15" s="27" t="s">
        <v>26</v>
      </c>
      <c r="AC15" s="27" t="s">
        <v>27</v>
      </c>
      <c r="AD15" s="27" t="s">
        <v>28</v>
      </c>
      <c r="AE15" s="27" t="s">
        <v>29</v>
      </c>
      <c r="AF15" s="26" t="s">
        <v>30</v>
      </c>
      <c r="AG15" s="26" t="s">
        <v>31</v>
      </c>
      <c r="AH15" s="28" t="s">
        <v>19</v>
      </c>
      <c r="AI15" s="28" t="s">
        <v>32</v>
      </c>
      <c r="AJ15" s="28" t="s">
        <v>33</v>
      </c>
      <c r="AK15" s="29" t="s">
        <v>34</v>
      </c>
    </row>
    <row r="16" spans="1:253" s="46" customFormat="1" ht="239.25" customHeight="1" x14ac:dyDescent="0.35">
      <c r="B16" s="82">
        <v>1</v>
      </c>
      <c r="C16" s="292" t="s">
        <v>74</v>
      </c>
      <c r="D16" s="292"/>
      <c r="E16" s="83" t="s">
        <v>75</v>
      </c>
      <c r="F16" s="59">
        <v>107</v>
      </c>
      <c r="G16" s="60">
        <v>24.29</v>
      </c>
      <c r="H16" s="294" t="s">
        <v>76</v>
      </c>
      <c r="I16" s="81" t="s">
        <v>83</v>
      </c>
      <c r="J16" s="60">
        <f>F16*G16</f>
        <v>2599.0299999999997</v>
      </c>
      <c r="K16" s="61"/>
      <c r="M16" s="196" t="s">
        <v>84</v>
      </c>
      <c r="N16" s="293" t="s">
        <v>85</v>
      </c>
      <c r="O16" s="293"/>
      <c r="P16" s="293"/>
      <c r="Q16" s="62">
        <f>18.5/1.15</f>
        <v>16.086956521739133</v>
      </c>
      <c r="R16" s="12">
        <v>38.5</v>
      </c>
      <c r="S16" s="63">
        <f t="shared" ref="S16" si="16">Q16*R16/100</f>
        <v>6.1934782608695658</v>
      </c>
      <c r="T16" s="64">
        <f t="shared" ref="T16" si="17">S16*V16</f>
        <v>662.70217391304357</v>
      </c>
      <c r="U16" s="20">
        <f t="shared" ref="U16" si="18">Q16+S16</f>
        <v>22.280434782608697</v>
      </c>
      <c r="V16" s="12">
        <f>F16</f>
        <v>107</v>
      </c>
      <c r="W16" s="65">
        <f>Q16*2</f>
        <v>32.173913043478265</v>
      </c>
      <c r="X16" s="66">
        <v>120</v>
      </c>
      <c r="Y16" s="67">
        <f t="shared" ref="Y16" si="19">V16*U16+W16+X16</f>
        <v>2536.1804347826092</v>
      </c>
      <c r="Z16" s="79" t="s">
        <v>86</v>
      </c>
      <c r="AA16" s="80">
        <v>0</v>
      </c>
      <c r="AB16" s="68">
        <v>1</v>
      </c>
      <c r="AC16" s="68">
        <v>1</v>
      </c>
      <c r="AD16" s="68">
        <v>1</v>
      </c>
      <c r="AE16" s="18">
        <f>AA16*AB16*AC16*AD16</f>
        <v>0</v>
      </c>
      <c r="AF16" s="69">
        <f>V16/45*4.85</f>
        <v>11.532222222222222</v>
      </c>
      <c r="AG16" s="70">
        <f t="shared" ref="AG16" si="20">1.5%*(Y16+AE16+AF16)</f>
        <v>38.215689855072469</v>
      </c>
      <c r="AH16" s="71">
        <f t="shared" ref="AH16" si="21">Y16+AE16+AG16+AF16</f>
        <v>2585.9283468599037</v>
      </c>
      <c r="AI16" s="72">
        <f t="shared" ref="AI16" si="22">AH16/V16</f>
        <v>24.167554643550503</v>
      </c>
      <c r="AJ16" s="73">
        <f t="shared" ref="AJ16" si="23">AI16*18%</f>
        <v>4.3501598358390901</v>
      </c>
      <c r="AK16" s="74">
        <f t="shared" ref="AK16" si="24">AI16+AJ16</f>
        <v>28.517714479389593</v>
      </c>
      <c r="AL16" s="75"/>
      <c r="AM16" s="75"/>
      <c r="AN16" s="76"/>
      <c r="AP16" s="77"/>
      <c r="AQ16" s="77"/>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78"/>
      <c r="EO16" s="78"/>
      <c r="EP16" s="78"/>
      <c r="EQ16" s="78"/>
      <c r="ER16" s="78"/>
      <c r="ES16" s="78"/>
      <c r="ET16" s="78"/>
      <c r="EU16" s="78"/>
      <c r="EV16" s="78"/>
      <c r="EW16" s="78"/>
      <c r="EX16" s="78"/>
      <c r="EY16" s="78"/>
      <c r="EZ16" s="78"/>
      <c r="FA16" s="78"/>
      <c r="FB16" s="78"/>
      <c r="FC16" s="78"/>
      <c r="FD16" s="78"/>
      <c r="FE16" s="78"/>
      <c r="FF16" s="78"/>
      <c r="FG16" s="78"/>
      <c r="FH16" s="78"/>
      <c r="FI16" s="78"/>
      <c r="FJ16" s="78"/>
      <c r="FK16" s="78"/>
      <c r="FL16" s="78"/>
      <c r="FM16" s="78"/>
      <c r="FN16" s="78"/>
      <c r="FO16" s="78"/>
      <c r="FP16" s="78"/>
      <c r="FQ16" s="78"/>
      <c r="FR16" s="78"/>
      <c r="FS16" s="78"/>
      <c r="FT16" s="78"/>
      <c r="FU16" s="78"/>
      <c r="FV16" s="78"/>
      <c r="FW16" s="78"/>
      <c r="FX16" s="78"/>
      <c r="FY16" s="78"/>
      <c r="FZ16" s="78"/>
      <c r="GA16" s="78"/>
      <c r="GB16" s="78"/>
      <c r="GC16" s="78"/>
      <c r="GD16" s="78"/>
      <c r="GE16" s="78"/>
      <c r="GF16" s="78"/>
      <c r="GG16" s="78"/>
      <c r="GH16" s="78"/>
      <c r="GI16" s="78"/>
      <c r="GJ16" s="78"/>
      <c r="GK16" s="78"/>
      <c r="GL16" s="78"/>
      <c r="GM16" s="78"/>
      <c r="GN16" s="78"/>
      <c r="GO16" s="78"/>
      <c r="GP16" s="78"/>
      <c r="GQ16" s="78"/>
      <c r="GR16" s="78"/>
      <c r="GS16" s="78"/>
      <c r="GT16" s="78"/>
      <c r="GU16" s="78"/>
      <c r="GV16" s="78"/>
      <c r="GW16" s="78"/>
      <c r="GX16" s="78"/>
      <c r="GY16" s="78"/>
      <c r="GZ16" s="78"/>
      <c r="HA16" s="78"/>
      <c r="HB16" s="78"/>
      <c r="HC16" s="78"/>
      <c r="HD16" s="78"/>
      <c r="HE16" s="78"/>
      <c r="HF16" s="78"/>
      <c r="HG16" s="78"/>
      <c r="HH16" s="78"/>
      <c r="HI16" s="78"/>
      <c r="HJ16" s="78"/>
      <c r="HK16" s="78"/>
      <c r="HL16" s="78"/>
      <c r="HM16" s="78"/>
      <c r="HN16" s="78"/>
      <c r="HO16" s="78"/>
      <c r="HP16" s="78"/>
      <c r="HQ16" s="78"/>
      <c r="HR16" s="78"/>
      <c r="HS16" s="78"/>
      <c r="HT16" s="78"/>
      <c r="HU16" s="78"/>
      <c r="HV16" s="78"/>
      <c r="HW16" s="78"/>
      <c r="HX16" s="78"/>
      <c r="HY16" s="78"/>
      <c r="HZ16" s="78"/>
      <c r="IA16" s="78"/>
      <c r="IB16" s="78"/>
      <c r="IC16" s="78"/>
      <c r="ID16" s="78"/>
      <c r="IE16" s="78"/>
      <c r="IF16" s="78"/>
      <c r="IG16" s="78"/>
      <c r="IH16" s="78"/>
      <c r="II16" s="78"/>
      <c r="IJ16" s="78"/>
      <c r="IK16" s="78"/>
      <c r="IL16" s="78"/>
      <c r="IM16" s="78"/>
      <c r="IN16" s="78"/>
      <c r="IO16" s="78"/>
      <c r="IP16" s="78"/>
      <c r="IQ16" s="78"/>
      <c r="IR16" s="78"/>
      <c r="IS16" s="78"/>
    </row>
    <row r="17" spans="2:253" s="46" customFormat="1" ht="296.25" customHeight="1" x14ac:dyDescent="0.35">
      <c r="B17" s="82">
        <v>2</v>
      </c>
      <c r="C17" s="292" t="s">
        <v>74</v>
      </c>
      <c r="D17" s="292"/>
      <c r="E17" s="83" t="s">
        <v>75</v>
      </c>
      <c r="F17" s="59">
        <v>107</v>
      </c>
      <c r="G17" s="60">
        <v>23.99</v>
      </c>
      <c r="H17" s="295"/>
      <c r="I17" s="81" t="s">
        <v>87</v>
      </c>
      <c r="J17" s="60">
        <f>F17*G17</f>
        <v>2566.9299999999998</v>
      </c>
      <c r="K17" s="61"/>
      <c r="M17" s="196" t="s">
        <v>78</v>
      </c>
      <c r="N17" s="293" t="s">
        <v>88</v>
      </c>
      <c r="O17" s="293"/>
      <c r="P17" s="293"/>
      <c r="Q17" s="62">
        <v>14</v>
      </c>
      <c r="R17" s="12">
        <v>40.1</v>
      </c>
      <c r="S17" s="63">
        <f t="shared" ref="S17" si="25">Q17*R17/100</f>
        <v>5.6139999999999999</v>
      </c>
      <c r="T17" s="64">
        <f t="shared" ref="T17" si="26">S17*V17</f>
        <v>600.69799999999998</v>
      </c>
      <c r="U17" s="20">
        <f t="shared" ref="U17" si="27">Q17+S17</f>
        <v>19.614000000000001</v>
      </c>
      <c r="V17" s="12">
        <f>F17</f>
        <v>107</v>
      </c>
      <c r="W17" s="65">
        <f>Q17*2</f>
        <v>28</v>
      </c>
      <c r="X17" s="66">
        <v>150</v>
      </c>
      <c r="Y17" s="67">
        <f t="shared" ref="Y17" si="28">V17*U17+W17+X17</f>
        <v>2276.6979999999999</v>
      </c>
      <c r="Z17" s="79" t="s">
        <v>82</v>
      </c>
      <c r="AA17" s="80">
        <v>120</v>
      </c>
      <c r="AB17" s="68">
        <v>1</v>
      </c>
      <c r="AC17" s="68">
        <v>2</v>
      </c>
      <c r="AD17" s="68">
        <v>1</v>
      </c>
      <c r="AE17" s="18">
        <f>AA17*AB17*AC17*AD17</f>
        <v>240</v>
      </c>
      <c r="AF17" s="69">
        <f>V17/45*4.85</f>
        <v>11.532222222222222</v>
      </c>
      <c r="AG17" s="70">
        <f t="shared" ref="AG17" si="29">1.5%*(Y17+AE17+AF17)</f>
        <v>37.923453333333327</v>
      </c>
      <c r="AH17" s="71">
        <f t="shared" ref="AH17" si="30">Y17+AE17+AG17+AF17</f>
        <v>2566.1536755555553</v>
      </c>
      <c r="AI17" s="72">
        <f t="shared" ref="AI17" si="31">AH17/V17</f>
        <v>23.98274463136033</v>
      </c>
      <c r="AJ17" s="73">
        <f t="shared" ref="AJ17" si="32">AI17*18%</f>
        <v>4.3168940336448589</v>
      </c>
      <c r="AK17" s="74">
        <f t="shared" ref="AK17" si="33">AI17+AJ17</f>
        <v>28.29963866500519</v>
      </c>
      <c r="AL17" s="75"/>
      <c r="AM17" s="75"/>
      <c r="AN17" s="76"/>
      <c r="AP17" s="77"/>
      <c r="AQ17" s="77"/>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78"/>
      <c r="EO17" s="78"/>
      <c r="EP17" s="78"/>
      <c r="EQ17" s="78"/>
      <c r="ER17" s="78"/>
      <c r="ES17" s="78"/>
      <c r="ET17" s="78"/>
      <c r="EU17" s="78"/>
      <c r="EV17" s="78"/>
      <c r="EW17" s="78"/>
      <c r="EX17" s="78"/>
      <c r="EY17" s="78"/>
      <c r="EZ17" s="78"/>
      <c r="FA17" s="78"/>
      <c r="FB17" s="78"/>
      <c r="FC17" s="78"/>
      <c r="FD17" s="78"/>
      <c r="FE17" s="78"/>
      <c r="FF17" s="78"/>
      <c r="FG17" s="78"/>
      <c r="FH17" s="78"/>
      <c r="FI17" s="78"/>
      <c r="FJ17" s="78"/>
      <c r="FK17" s="78"/>
      <c r="FL17" s="78"/>
      <c r="FM17" s="78"/>
      <c r="FN17" s="78"/>
      <c r="FO17" s="78"/>
      <c r="FP17" s="78"/>
      <c r="FQ17" s="78"/>
      <c r="FR17" s="78"/>
      <c r="FS17" s="78"/>
      <c r="FT17" s="78"/>
      <c r="FU17" s="78"/>
      <c r="FV17" s="78"/>
      <c r="FW17" s="78"/>
      <c r="FX17" s="78"/>
      <c r="FY17" s="78"/>
      <c r="FZ17" s="78"/>
      <c r="GA17" s="78"/>
      <c r="GB17" s="78"/>
      <c r="GC17" s="78"/>
      <c r="GD17" s="78"/>
      <c r="GE17" s="78"/>
      <c r="GF17" s="78"/>
      <c r="GG17" s="78"/>
      <c r="GH17" s="78"/>
      <c r="GI17" s="78"/>
      <c r="GJ17" s="78"/>
      <c r="GK17" s="78"/>
      <c r="GL17" s="78"/>
      <c r="GM17" s="78"/>
      <c r="GN17" s="78"/>
      <c r="GO17" s="78"/>
      <c r="GP17" s="78"/>
      <c r="GQ17" s="78"/>
      <c r="GR17" s="78"/>
      <c r="GS17" s="78"/>
      <c r="GT17" s="78"/>
      <c r="GU17" s="78"/>
      <c r="GV17" s="78"/>
      <c r="GW17" s="78"/>
      <c r="GX17" s="78"/>
      <c r="GY17" s="78"/>
      <c r="GZ17" s="78"/>
      <c r="HA17" s="78"/>
      <c r="HB17" s="78"/>
      <c r="HC17" s="78"/>
      <c r="HD17" s="78"/>
      <c r="HE17" s="78"/>
      <c r="HF17" s="78"/>
      <c r="HG17" s="78"/>
      <c r="HH17" s="78"/>
      <c r="HI17" s="78"/>
      <c r="HJ17" s="78"/>
      <c r="HK17" s="78"/>
      <c r="HL17" s="78"/>
      <c r="HM17" s="78"/>
      <c r="HN17" s="78"/>
      <c r="HO17" s="78"/>
      <c r="HP17" s="78"/>
      <c r="HQ17" s="78"/>
      <c r="HR17" s="78"/>
      <c r="HS17" s="78"/>
      <c r="HT17" s="78"/>
      <c r="HU17" s="78"/>
      <c r="HV17" s="78"/>
      <c r="HW17" s="78"/>
      <c r="HX17" s="78"/>
      <c r="HY17" s="78"/>
      <c r="HZ17" s="78"/>
      <c r="IA17" s="78"/>
      <c r="IB17" s="78"/>
      <c r="IC17" s="78"/>
      <c r="ID17" s="78"/>
      <c r="IE17" s="78"/>
      <c r="IF17" s="78"/>
      <c r="IG17" s="78"/>
      <c r="IH17" s="78"/>
      <c r="II17" s="78"/>
      <c r="IJ17" s="78"/>
      <c r="IK17" s="78"/>
      <c r="IL17" s="78"/>
      <c r="IM17" s="78"/>
      <c r="IN17" s="78"/>
      <c r="IO17" s="78"/>
      <c r="IP17" s="78"/>
      <c r="IQ17" s="78"/>
      <c r="IR17" s="78"/>
      <c r="IS17" s="78"/>
    </row>
    <row r="24" spans="2:253" x14ac:dyDescent="0.25">
      <c r="AA24">
        <f>4*109</f>
        <v>436</v>
      </c>
    </row>
    <row r="27" spans="2:253" x14ac:dyDescent="0.25">
      <c r="L27">
        <f>25/1.18</f>
        <v>21.186440677966104</v>
      </c>
    </row>
  </sheetData>
  <mergeCells count="18">
    <mergeCell ref="N17:P17"/>
    <mergeCell ref="H16:H17"/>
    <mergeCell ref="B8:J8"/>
    <mergeCell ref="M8:AC8"/>
    <mergeCell ref="K9:L9"/>
    <mergeCell ref="C10:D10"/>
    <mergeCell ref="N10:P10"/>
    <mergeCell ref="C16:D16"/>
    <mergeCell ref="N16:P16"/>
    <mergeCell ref="C17:D17"/>
    <mergeCell ref="B14:J14"/>
    <mergeCell ref="M14:AC14"/>
    <mergeCell ref="K15:L15"/>
    <mergeCell ref="B2:J2"/>
    <mergeCell ref="M2:AC2"/>
    <mergeCell ref="K3:L3"/>
    <mergeCell ref="C4:D4"/>
    <mergeCell ref="N4:P4"/>
  </mergeCells>
  <pageMargins left="0.7" right="0.7" top="0.75" bottom="0.75" header="0.3" footer="0.3"/>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A0200-93D8-4FCB-9E5F-03F2F3B96CD3}">
  <dimension ref="A2:AT8"/>
  <sheetViews>
    <sheetView showGridLines="0" topLeftCell="D1" zoomScale="44" zoomScaleNormal="44" workbookViewId="0">
      <selection activeCell="W4" sqref="W4"/>
    </sheetView>
  </sheetViews>
  <sheetFormatPr baseColWidth="10" defaultColWidth="11.42578125" defaultRowHeight="15" x14ac:dyDescent="0.25"/>
  <cols>
    <col min="1" max="1" width="2" customWidth="1"/>
    <col min="2" max="2" width="5.42578125" customWidth="1"/>
    <col min="4" max="4" width="15.42578125" customWidth="1"/>
    <col min="5" max="5" width="71.7109375" customWidth="1"/>
    <col min="6" max="6" width="12.140625" customWidth="1"/>
    <col min="7" max="7" width="25.7109375" customWidth="1"/>
    <col min="8" max="8" width="26.85546875" customWidth="1"/>
    <col min="9" max="9" width="117" customWidth="1"/>
    <col min="10" max="10" width="28.5703125" customWidth="1"/>
    <col min="12" max="12" width="37.85546875" customWidth="1"/>
    <col min="13" max="13" width="25.140625" customWidth="1"/>
    <col min="14" max="16" width="16.42578125" customWidth="1"/>
    <col min="17" max="17" width="16.5703125" customWidth="1"/>
    <col min="19" max="19" width="15.7109375" customWidth="1"/>
    <col min="20" max="20" width="34.28515625" customWidth="1"/>
    <col min="21" max="21" width="17.140625" customWidth="1"/>
    <col min="23" max="23" width="19.140625" customWidth="1"/>
    <col min="24" max="24" width="29.7109375" customWidth="1"/>
    <col min="25" max="25" width="24.85546875" customWidth="1"/>
    <col min="26" max="26" width="29.7109375" customWidth="1"/>
    <col min="27" max="27" width="21.140625" customWidth="1"/>
    <col min="31" max="31" width="20.28515625" customWidth="1"/>
    <col min="32" max="32" width="21.42578125" customWidth="1"/>
    <col min="33" max="33" width="20.5703125" customWidth="1"/>
    <col min="34" max="34" width="24.85546875" customWidth="1"/>
    <col min="35" max="35" width="24" customWidth="1"/>
    <col min="36" max="36" width="17.42578125" customWidth="1"/>
    <col min="37" max="37" width="14.5703125" customWidth="1"/>
  </cols>
  <sheetData>
    <row r="2" spans="1:46" s="5" customFormat="1" ht="29.45" customHeight="1" thickBot="1" x14ac:dyDescent="0.35">
      <c r="A2" s="1"/>
      <c r="B2" s="285" t="s">
        <v>73</v>
      </c>
      <c r="C2" s="285"/>
      <c r="D2" s="285"/>
      <c r="E2" s="285"/>
      <c r="F2" s="285"/>
      <c r="G2" s="285"/>
      <c r="H2" s="285"/>
      <c r="I2" s="285"/>
      <c r="J2" s="285"/>
      <c r="K2" s="2"/>
      <c r="L2" s="3"/>
      <c r="M2" s="286" t="s">
        <v>1</v>
      </c>
      <c r="N2" s="286"/>
      <c r="O2" s="286"/>
      <c r="P2" s="286"/>
      <c r="Q2" s="286"/>
      <c r="R2" s="286"/>
      <c r="S2" s="286"/>
      <c r="T2" s="286"/>
      <c r="U2" s="286"/>
      <c r="V2" s="286"/>
      <c r="W2" s="286"/>
      <c r="X2" s="286"/>
      <c r="Y2" s="286"/>
      <c r="Z2" s="286"/>
      <c r="AA2" s="286"/>
      <c r="AB2" s="286"/>
      <c r="AC2" s="286"/>
      <c r="AD2" s="4"/>
      <c r="AE2" s="4"/>
      <c r="AF2" s="4"/>
      <c r="AG2" s="4"/>
      <c r="AH2" s="4"/>
      <c r="AI2" s="4"/>
      <c r="AJ2" s="4"/>
      <c r="AK2" s="4"/>
    </row>
    <row r="3" spans="1:46" s="1" customFormat="1" ht="45" customHeight="1" x14ac:dyDescent="0.25">
      <c r="B3" s="6" t="s">
        <v>2</v>
      </c>
      <c r="C3" s="6" t="s">
        <v>3</v>
      </c>
      <c r="D3" s="6" t="s">
        <v>4</v>
      </c>
      <c r="E3" s="6" t="s">
        <v>5</v>
      </c>
      <c r="F3" s="6" t="s">
        <v>6</v>
      </c>
      <c r="G3" s="7" t="s">
        <v>7</v>
      </c>
      <c r="H3" s="7" t="s">
        <v>8</v>
      </c>
      <c r="I3" s="7" t="s">
        <v>9</v>
      </c>
      <c r="J3" s="7" t="s">
        <v>10</v>
      </c>
      <c r="K3" s="236"/>
      <c r="L3" s="237"/>
      <c r="M3" s="30" t="s">
        <v>11</v>
      </c>
      <c r="N3" s="31" t="s">
        <v>12</v>
      </c>
      <c r="O3" s="31" t="s">
        <v>13</v>
      </c>
      <c r="P3" s="31" t="s">
        <v>14</v>
      </c>
      <c r="Q3" s="25" t="s">
        <v>15</v>
      </c>
      <c r="R3" s="25" t="s">
        <v>16</v>
      </c>
      <c r="S3" s="25" t="s">
        <v>17</v>
      </c>
      <c r="T3" s="25" t="s">
        <v>18</v>
      </c>
      <c r="U3" s="25" t="s">
        <v>19</v>
      </c>
      <c r="V3" s="25" t="s">
        <v>20</v>
      </c>
      <c r="W3" s="25" t="s">
        <v>21</v>
      </c>
      <c r="X3" s="26" t="s">
        <v>22</v>
      </c>
      <c r="Y3" s="26" t="s">
        <v>23</v>
      </c>
      <c r="Z3" s="27" t="s">
        <v>24</v>
      </c>
      <c r="AA3" s="27" t="s">
        <v>25</v>
      </c>
      <c r="AB3" s="27" t="s">
        <v>26</v>
      </c>
      <c r="AC3" s="27" t="s">
        <v>27</v>
      </c>
      <c r="AD3" s="27" t="s">
        <v>28</v>
      </c>
      <c r="AE3" s="27" t="s">
        <v>29</v>
      </c>
      <c r="AF3" s="26" t="s">
        <v>30</v>
      </c>
      <c r="AG3" s="26" t="s">
        <v>31</v>
      </c>
      <c r="AH3" s="28" t="s">
        <v>19</v>
      </c>
      <c r="AI3" s="28" t="s">
        <v>32</v>
      </c>
      <c r="AJ3" s="28" t="s">
        <v>33</v>
      </c>
      <c r="AK3" s="29" t="s">
        <v>34</v>
      </c>
    </row>
    <row r="4" spans="1:46" s="3" customFormat="1" ht="240.75" customHeight="1" x14ac:dyDescent="0.3">
      <c r="B4" s="99">
        <v>1</v>
      </c>
      <c r="C4" s="100" t="s">
        <v>89</v>
      </c>
      <c r="D4" s="100" t="s">
        <v>90</v>
      </c>
      <c r="E4" s="183" t="s">
        <v>91</v>
      </c>
      <c r="F4" s="195">
        <v>200</v>
      </c>
      <c r="G4" s="85">
        <v>48.29</v>
      </c>
      <c r="H4" s="86" t="s">
        <v>92</v>
      </c>
      <c r="I4" s="184" t="s">
        <v>93</v>
      </c>
      <c r="J4" s="85">
        <f>F4*G4</f>
        <v>9658</v>
      </c>
      <c r="K4"/>
      <c r="M4" s="101" t="s">
        <v>94</v>
      </c>
      <c r="N4" s="296" t="s">
        <v>95</v>
      </c>
      <c r="O4" s="297"/>
      <c r="P4" s="298"/>
      <c r="Q4" s="87">
        <f>39.15/1.15</f>
        <v>34.04347826086957</v>
      </c>
      <c r="R4" s="122">
        <v>32.5</v>
      </c>
      <c r="S4" s="88">
        <f t="shared" ref="S4" si="0">Q4*R4/100</f>
        <v>11.06413043478261</v>
      </c>
      <c r="T4" s="89">
        <f t="shared" ref="T4" si="1">S4*V4</f>
        <v>2212.826086956522</v>
      </c>
      <c r="U4" s="90">
        <f t="shared" ref="U4" si="2">Q4+S4</f>
        <v>45.107608695652182</v>
      </c>
      <c r="V4" s="12">
        <f t="shared" ref="V4:V5" si="3">F4</f>
        <v>200</v>
      </c>
      <c r="W4" s="91">
        <f>Q4*3</f>
        <v>102.13043478260872</v>
      </c>
      <c r="X4" s="71">
        <v>250</v>
      </c>
      <c r="Y4" s="92">
        <f t="shared" ref="Y4" si="4">V4*U4+W4+X4</f>
        <v>9373.652173913044</v>
      </c>
      <c r="Z4" s="79" t="s">
        <v>96</v>
      </c>
      <c r="AA4" s="69">
        <v>120</v>
      </c>
      <c r="AB4" s="103">
        <v>1</v>
      </c>
      <c r="AC4" s="103">
        <v>1</v>
      </c>
      <c r="AD4" s="103">
        <v>1</v>
      </c>
      <c r="AE4" s="93">
        <f t="shared" ref="AE4" si="5">AA4*AB4*AC4*AD4</f>
        <v>120</v>
      </c>
      <c r="AF4" s="104">
        <f>V4/50*4.85</f>
        <v>19.399999999999999</v>
      </c>
      <c r="AG4" s="94">
        <f>1.5%*(Y4+AE4+AF4)</f>
        <v>142.69578260869565</v>
      </c>
      <c r="AH4" s="66">
        <f t="shared" ref="AH4" si="6">Y4+AE4+AG4+AF4</f>
        <v>9655.74795652174</v>
      </c>
      <c r="AI4" s="95">
        <f t="shared" ref="AI4" si="7">AH4/V4</f>
        <v>48.278739782608703</v>
      </c>
      <c r="AJ4" s="96">
        <f t="shared" ref="AJ4" si="8">AI4*18%</f>
        <v>8.6901731608695663</v>
      </c>
      <c r="AK4" s="97">
        <f t="shared" ref="AK4" si="9">AI4+AJ4</f>
        <v>56.968912943478273</v>
      </c>
      <c r="AL4" s="98"/>
    </row>
    <row r="5" spans="1:46" s="3" customFormat="1" ht="240.75" customHeight="1" x14ac:dyDescent="0.3">
      <c r="B5" s="99">
        <v>2</v>
      </c>
      <c r="C5" s="100" t="s">
        <v>89</v>
      </c>
      <c r="D5" s="100" t="s">
        <v>97</v>
      </c>
      <c r="E5" s="183" t="s">
        <v>91</v>
      </c>
      <c r="F5" s="195">
        <v>200</v>
      </c>
      <c r="G5" s="85">
        <f t="shared" ref="G5:G8" si="10">AI5</f>
        <v>27.792491695652171</v>
      </c>
      <c r="H5" s="86" t="s">
        <v>92</v>
      </c>
      <c r="I5" s="184" t="s">
        <v>98</v>
      </c>
      <c r="J5" s="85">
        <f>F5*G5</f>
        <v>5558.498339130434</v>
      </c>
      <c r="K5"/>
      <c r="M5" s="101" t="s">
        <v>94</v>
      </c>
      <c r="N5" s="296" t="s">
        <v>99</v>
      </c>
      <c r="O5" s="297"/>
      <c r="P5" s="298"/>
      <c r="Q5" s="87">
        <f>21.46/1.15</f>
        <v>18.660869565217393</v>
      </c>
      <c r="R5" s="102">
        <v>34.799999999999997</v>
      </c>
      <c r="S5" s="88">
        <f t="shared" ref="S5" si="11">Q5*R5/100</f>
        <v>6.493982608695652</v>
      </c>
      <c r="T5" s="89">
        <f t="shared" ref="T5" si="12">S5*V5</f>
        <v>1298.7965217391304</v>
      </c>
      <c r="U5" s="90">
        <f t="shared" ref="U5" si="13">Q5+S5</f>
        <v>25.154852173913046</v>
      </c>
      <c r="V5" s="12">
        <f t="shared" si="3"/>
        <v>200</v>
      </c>
      <c r="W5" s="91">
        <f t="shared" ref="W5" si="14">Q5*3</f>
        <v>55.982608695652175</v>
      </c>
      <c r="X5" s="71">
        <v>250</v>
      </c>
      <c r="Y5" s="92">
        <f t="shared" ref="Y5" si="15">V5*U5+W5+X5</f>
        <v>5336.953043478261</v>
      </c>
      <c r="Z5" s="79" t="s">
        <v>96</v>
      </c>
      <c r="AA5" s="69">
        <v>120</v>
      </c>
      <c r="AB5" s="103">
        <v>1</v>
      </c>
      <c r="AC5" s="103">
        <v>1</v>
      </c>
      <c r="AD5" s="103">
        <v>1</v>
      </c>
      <c r="AE5" s="93">
        <f t="shared" ref="AE5" si="16">AA5*AB5*AC5*AD5</f>
        <v>120</v>
      </c>
      <c r="AF5" s="104">
        <f>V5/50*4.85</f>
        <v>19.399999999999999</v>
      </c>
      <c r="AG5" s="94">
        <f t="shared" ref="AG5:AG8" si="17">1.5%*(Y5+AE5+AF5)</f>
        <v>82.1452956521739</v>
      </c>
      <c r="AH5" s="66">
        <f t="shared" ref="AH5" si="18">Y5+AE5+AG5+AF5</f>
        <v>5558.498339130434</v>
      </c>
      <c r="AI5" s="95">
        <f t="shared" ref="AI5" si="19">AH5/V5</f>
        <v>27.792491695652171</v>
      </c>
      <c r="AJ5" s="96">
        <f t="shared" ref="AJ5" si="20">AI5*18%</f>
        <v>5.0026485052173904</v>
      </c>
      <c r="AK5" s="97">
        <f t="shared" ref="AK5" si="21">AI5+AJ5</f>
        <v>32.795140200869561</v>
      </c>
      <c r="AL5" s="98"/>
    </row>
    <row r="6" spans="1:46" ht="169.5" customHeight="1" x14ac:dyDescent="0.3">
      <c r="B6" s="112">
        <v>3</v>
      </c>
      <c r="C6" s="299" t="s">
        <v>100</v>
      </c>
      <c r="D6" s="299"/>
      <c r="E6" s="183" t="s">
        <v>91</v>
      </c>
      <c r="F6" s="105">
        <v>500</v>
      </c>
      <c r="G6" s="85">
        <f t="shared" si="10"/>
        <v>0.98515900000000001</v>
      </c>
      <c r="H6" s="106" t="s">
        <v>101</v>
      </c>
      <c r="I6" s="113" t="s">
        <v>102</v>
      </c>
      <c r="J6" s="107">
        <f t="shared" ref="J6:J8" si="22">F6*G6</f>
        <v>492.5795</v>
      </c>
      <c r="M6" s="117" t="s">
        <v>103</v>
      </c>
      <c r="N6" s="301" t="s">
        <v>104</v>
      </c>
      <c r="O6" s="302"/>
      <c r="P6" s="303"/>
      <c r="Q6" s="48">
        <f>55/500</f>
        <v>0.11</v>
      </c>
      <c r="R6" s="118">
        <v>490</v>
      </c>
      <c r="S6" s="13">
        <f t="shared" ref="S6:S8" si="23">Q6*R6/100</f>
        <v>0.53900000000000003</v>
      </c>
      <c r="T6" s="14">
        <f t="shared" ref="T6:T8" si="24">S6*V6</f>
        <v>269.5</v>
      </c>
      <c r="U6" s="119">
        <f t="shared" ref="U6:U8" si="25">Q6+S6</f>
        <v>0.64900000000000002</v>
      </c>
      <c r="V6" s="12">
        <f>F6</f>
        <v>500</v>
      </c>
      <c r="W6" s="91">
        <f>Q6*10</f>
        <v>1.1000000000000001</v>
      </c>
      <c r="X6" s="120">
        <v>150</v>
      </c>
      <c r="Y6" s="17">
        <f t="shared" ref="Y6:Y8" si="26">V6*U6+W6+X6</f>
        <v>475.6</v>
      </c>
      <c r="Z6" s="79" t="s">
        <v>86</v>
      </c>
      <c r="AA6" s="34">
        <v>0</v>
      </c>
      <c r="AB6" s="35">
        <v>1</v>
      </c>
      <c r="AC6" s="35">
        <v>1</v>
      </c>
      <c r="AD6" s="35">
        <v>1</v>
      </c>
      <c r="AE6" s="18">
        <f t="shared" ref="AE6:AE8" si="27">AA6*AB6*AC6*AD6</f>
        <v>0</v>
      </c>
      <c r="AF6" s="104">
        <f>V6/250*4.85</f>
        <v>9.6999999999999993</v>
      </c>
      <c r="AG6" s="94">
        <f t="shared" si="17"/>
        <v>7.2794999999999996</v>
      </c>
      <c r="AH6" s="21">
        <f t="shared" ref="AH6:AH8" si="28">Y6+AE6+AG6+AF6</f>
        <v>492.5795</v>
      </c>
      <c r="AI6" s="23">
        <f t="shared" ref="AI6:AI8" si="29">AH6/V6</f>
        <v>0.98515900000000001</v>
      </c>
      <c r="AJ6" s="19">
        <f t="shared" ref="AJ6:AJ8" si="30">AI6*18%</f>
        <v>0.17732861999999999</v>
      </c>
      <c r="AK6" s="24">
        <f t="shared" ref="AK6:AK8" si="31">AI6+AJ6</f>
        <v>1.1624876200000001</v>
      </c>
      <c r="AL6" s="108"/>
      <c r="AM6" s="109"/>
      <c r="AN6" s="109"/>
      <c r="AO6" s="109"/>
      <c r="AP6" s="109"/>
      <c r="AQ6" s="110"/>
      <c r="AS6" s="111"/>
      <c r="AT6" s="111"/>
    </row>
    <row r="7" spans="1:46" ht="161.25" customHeight="1" x14ac:dyDescent="0.3">
      <c r="B7" s="112">
        <v>4</v>
      </c>
      <c r="C7" s="299" t="s">
        <v>105</v>
      </c>
      <c r="D7" s="299"/>
      <c r="E7" s="183" t="s">
        <v>91</v>
      </c>
      <c r="F7" s="105">
        <v>500</v>
      </c>
      <c r="G7" s="85">
        <f t="shared" si="10"/>
        <v>1.1911025</v>
      </c>
      <c r="H7" s="106" t="s">
        <v>101</v>
      </c>
      <c r="I7" s="113" t="s">
        <v>106</v>
      </c>
      <c r="J7" s="107">
        <f t="shared" si="22"/>
        <v>595.55124999999998</v>
      </c>
      <c r="M7" s="117" t="s">
        <v>107</v>
      </c>
      <c r="N7" s="301" t="s">
        <v>108</v>
      </c>
      <c r="O7" s="302"/>
      <c r="P7" s="303"/>
      <c r="Q7" s="48">
        <f>65/500</f>
        <v>0.13</v>
      </c>
      <c r="R7" s="118">
        <v>555</v>
      </c>
      <c r="S7" s="13">
        <f t="shared" si="23"/>
        <v>0.72150000000000003</v>
      </c>
      <c r="T7" s="14">
        <f t="shared" si="24"/>
        <v>360.75</v>
      </c>
      <c r="U7" s="119">
        <f t="shared" si="25"/>
        <v>0.85150000000000003</v>
      </c>
      <c r="V7" s="12">
        <f>F7</f>
        <v>500</v>
      </c>
      <c r="W7" s="91">
        <f>Q7*10</f>
        <v>1.3</v>
      </c>
      <c r="X7" s="120">
        <v>150</v>
      </c>
      <c r="Y7" s="17">
        <f t="shared" si="26"/>
        <v>577.04999999999995</v>
      </c>
      <c r="Z7" s="79" t="s">
        <v>86</v>
      </c>
      <c r="AA7" s="34">
        <v>0</v>
      </c>
      <c r="AB7" s="35">
        <v>1</v>
      </c>
      <c r="AC7" s="35">
        <v>1</v>
      </c>
      <c r="AD7" s="35">
        <v>1</v>
      </c>
      <c r="AE7" s="18">
        <f t="shared" si="27"/>
        <v>0</v>
      </c>
      <c r="AF7" s="104">
        <f>V7/250*4.85</f>
        <v>9.6999999999999993</v>
      </c>
      <c r="AG7" s="94">
        <f t="shared" si="17"/>
        <v>8.8012499999999996</v>
      </c>
      <c r="AH7" s="21">
        <f t="shared" si="28"/>
        <v>595.55124999999998</v>
      </c>
      <c r="AI7" s="23">
        <f t="shared" si="29"/>
        <v>1.1911025</v>
      </c>
      <c r="AJ7" s="19">
        <f t="shared" si="30"/>
        <v>0.21439844999999999</v>
      </c>
      <c r="AK7" s="24">
        <f t="shared" si="31"/>
        <v>1.40550095</v>
      </c>
      <c r="AL7" s="108"/>
      <c r="AM7" s="109"/>
      <c r="AN7" s="109"/>
      <c r="AO7" s="109"/>
      <c r="AP7" s="109"/>
      <c r="AQ7" s="110"/>
      <c r="AS7" s="111"/>
      <c r="AT7" s="111"/>
    </row>
    <row r="8" spans="1:46" ht="191.25" customHeight="1" x14ac:dyDescent="0.25">
      <c r="B8" s="112">
        <v>5</v>
      </c>
      <c r="C8" s="300" t="s">
        <v>109</v>
      </c>
      <c r="D8" s="300"/>
      <c r="E8" s="114" t="s">
        <v>110</v>
      </c>
      <c r="F8" s="105">
        <v>500</v>
      </c>
      <c r="G8" s="85">
        <f t="shared" si="10"/>
        <v>1.9867610000000002</v>
      </c>
      <c r="H8" s="115" t="s">
        <v>111</v>
      </c>
      <c r="I8" s="113" t="s">
        <v>112</v>
      </c>
      <c r="J8" s="107">
        <f t="shared" si="22"/>
        <v>993.3805000000001</v>
      </c>
      <c r="M8" s="117" t="s">
        <v>113</v>
      </c>
      <c r="N8" s="301" t="s">
        <v>114</v>
      </c>
      <c r="O8" s="302"/>
      <c r="P8" s="303"/>
      <c r="Q8" s="48">
        <f>65/100</f>
        <v>0.65</v>
      </c>
      <c r="R8" s="118">
        <v>150</v>
      </c>
      <c r="S8" s="13">
        <f t="shared" si="23"/>
        <v>0.97499999999999998</v>
      </c>
      <c r="T8" s="14">
        <f t="shared" si="24"/>
        <v>487.5</v>
      </c>
      <c r="U8" s="119">
        <f t="shared" si="25"/>
        <v>1.625</v>
      </c>
      <c r="V8" s="12">
        <f>F8</f>
        <v>500</v>
      </c>
      <c r="W8" s="91">
        <f>Q8*10</f>
        <v>6.5</v>
      </c>
      <c r="X8" s="120">
        <v>150</v>
      </c>
      <c r="Y8" s="17">
        <f t="shared" si="26"/>
        <v>969</v>
      </c>
      <c r="Z8" s="79" t="s">
        <v>86</v>
      </c>
      <c r="AA8" s="34">
        <v>0</v>
      </c>
      <c r="AB8" s="35">
        <v>1</v>
      </c>
      <c r="AC8" s="35">
        <v>1</v>
      </c>
      <c r="AD8" s="35">
        <v>1</v>
      </c>
      <c r="AE8" s="18">
        <f t="shared" si="27"/>
        <v>0</v>
      </c>
      <c r="AF8" s="104">
        <f>V8/250*4.85</f>
        <v>9.6999999999999993</v>
      </c>
      <c r="AG8" s="94">
        <f t="shared" si="17"/>
        <v>14.6805</v>
      </c>
      <c r="AH8" s="21">
        <f t="shared" si="28"/>
        <v>993.3805000000001</v>
      </c>
      <c r="AI8" s="23">
        <f t="shared" si="29"/>
        <v>1.9867610000000002</v>
      </c>
      <c r="AJ8" s="121">
        <f t="shared" si="30"/>
        <v>0.35761698000000003</v>
      </c>
      <c r="AK8" s="24">
        <f t="shared" si="31"/>
        <v>2.3443779800000004</v>
      </c>
      <c r="AL8" s="116"/>
      <c r="AM8" s="109"/>
      <c r="AN8" s="109"/>
      <c r="AO8" s="109"/>
      <c r="AP8" s="109"/>
      <c r="AQ8" s="110"/>
      <c r="AS8" s="111"/>
      <c r="AT8" s="111"/>
    </row>
  </sheetData>
  <mergeCells count="11">
    <mergeCell ref="C8:D8"/>
    <mergeCell ref="N8:P8"/>
    <mergeCell ref="N7:P7"/>
    <mergeCell ref="N6:P6"/>
    <mergeCell ref="C7:D7"/>
    <mergeCell ref="N4:P4"/>
    <mergeCell ref="N5:P5"/>
    <mergeCell ref="C6:D6"/>
    <mergeCell ref="B2:J2"/>
    <mergeCell ref="M2:AC2"/>
    <mergeCell ref="K3:L3"/>
  </mergeCells>
  <pageMargins left="0.7" right="0.7" top="0.75" bottom="0.75" header="0.3" footer="0.3"/>
  <pageSetup paperSize="9"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F457-BE6E-431C-83ED-E52F99800DEC}">
  <dimension ref="B2:AL34"/>
  <sheetViews>
    <sheetView tabSelected="1" zoomScale="70" zoomScaleNormal="70" workbookViewId="0">
      <selection activeCell="I5" sqref="I5"/>
    </sheetView>
  </sheetViews>
  <sheetFormatPr baseColWidth="10" defaultColWidth="11.42578125" defaultRowHeight="15" x14ac:dyDescent="0.25"/>
  <cols>
    <col min="1" max="1" width="2" customWidth="1"/>
    <col min="2" max="2" width="5.42578125" customWidth="1"/>
    <col min="4" max="4" width="19.5703125" customWidth="1"/>
    <col min="5" max="5" width="65.42578125" customWidth="1"/>
    <col min="6" max="6" width="12.140625" customWidth="1"/>
    <col min="7" max="7" width="19.42578125" customWidth="1"/>
    <col min="8" max="8" width="21.140625" customWidth="1"/>
    <col min="9" max="9" width="96.28515625" customWidth="1"/>
    <col min="10" max="10" width="25" customWidth="1"/>
    <col min="11" max="11" width="20.7109375" customWidth="1"/>
    <col min="12" max="12" width="37.85546875" customWidth="1"/>
    <col min="13" max="13" width="28" customWidth="1"/>
    <col min="14" max="14" width="16.5703125" customWidth="1"/>
    <col min="15" max="15" width="27.42578125" customWidth="1"/>
    <col min="16" max="16" width="23.7109375" customWidth="1"/>
    <col min="17" max="17" width="16.5703125" customWidth="1"/>
    <col min="18" max="18" width="16.140625" bestFit="1" customWidth="1"/>
    <col min="19" max="19" width="15.7109375" customWidth="1"/>
    <col min="20" max="20" width="27" customWidth="1"/>
    <col min="21" max="21" width="17.140625" customWidth="1"/>
    <col min="22" max="22" width="18" customWidth="1"/>
    <col min="23" max="23" width="27.5703125" customWidth="1"/>
    <col min="24" max="24" width="29.7109375" customWidth="1"/>
    <col min="25" max="25" width="24.85546875" customWidth="1"/>
    <col min="26" max="26" width="29.7109375" customWidth="1"/>
    <col min="27" max="27" width="21.140625" customWidth="1"/>
    <col min="31" max="31" width="20.28515625" customWidth="1"/>
    <col min="32" max="32" width="21.42578125" customWidth="1"/>
    <col min="33" max="33" width="20.5703125" customWidth="1"/>
    <col min="34" max="34" width="24.85546875" customWidth="1"/>
    <col min="35" max="35" width="24" customWidth="1"/>
    <col min="36" max="36" width="17.42578125" customWidth="1"/>
    <col min="37" max="37" width="14.5703125" customWidth="1"/>
  </cols>
  <sheetData>
    <row r="2" spans="2:38" ht="21" customHeight="1" x14ac:dyDescent="0.25">
      <c r="B2" s="220" t="s">
        <v>157</v>
      </c>
      <c r="C2" s="221"/>
      <c r="D2" s="221"/>
      <c r="E2" s="221"/>
      <c r="F2" s="221"/>
      <c r="G2" s="221"/>
      <c r="H2" s="221"/>
      <c r="I2" s="221"/>
      <c r="J2" s="222"/>
    </row>
    <row r="3" spans="2:38" s="1" customFormat="1" ht="45" customHeight="1" x14ac:dyDescent="0.25">
      <c r="B3" s="200" t="s">
        <v>2</v>
      </c>
      <c r="C3" s="201" t="s">
        <v>3</v>
      </c>
      <c r="D3" s="201" t="s">
        <v>4</v>
      </c>
      <c r="E3" s="201" t="s">
        <v>5</v>
      </c>
      <c r="F3" s="201" t="s">
        <v>6</v>
      </c>
      <c r="G3" s="202" t="s">
        <v>7</v>
      </c>
      <c r="H3" s="202" t="s">
        <v>115</v>
      </c>
      <c r="I3" s="202" t="s">
        <v>9</v>
      </c>
      <c r="J3" s="203" t="s">
        <v>116</v>
      </c>
      <c r="K3" s="223" t="s">
        <v>117</v>
      </c>
      <c r="L3" s="224"/>
      <c r="M3" s="30" t="s">
        <v>11</v>
      </c>
      <c r="N3" s="31" t="s">
        <v>12</v>
      </c>
      <c r="O3" s="31" t="s">
        <v>13</v>
      </c>
      <c r="P3" s="31" t="s">
        <v>14</v>
      </c>
      <c r="Q3" s="25" t="s">
        <v>15</v>
      </c>
      <c r="R3" s="25" t="s">
        <v>16</v>
      </c>
      <c r="S3" s="25" t="s">
        <v>17</v>
      </c>
      <c r="T3" s="25" t="s">
        <v>18</v>
      </c>
      <c r="U3" s="25" t="s">
        <v>19</v>
      </c>
      <c r="V3" s="25" t="s">
        <v>20</v>
      </c>
      <c r="W3" s="25" t="s">
        <v>21</v>
      </c>
      <c r="X3" s="26" t="s">
        <v>22</v>
      </c>
      <c r="Y3" s="26" t="s">
        <v>23</v>
      </c>
      <c r="Z3" s="27" t="s">
        <v>24</v>
      </c>
      <c r="AA3" s="27" t="s">
        <v>25</v>
      </c>
      <c r="AB3" s="27" t="s">
        <v>26</v>
      </c>
      <c r="AC3" s="27" t="s">
        <v>27</v>
      </c>
      <c r="AD3" s="27" t="s">
        <v>28</v>
      </c>
      <c r="AE3" s="27" t="s">
        <v>29</v>
      </c>
      <c r="AF3" s="26" t="s">
        <v>30</v>
      </c>
      <c r="AG3" s="26" t="s">
        <v>31</v>
      </c>
      <c r="AH3" s="28" t="s">
        <v>19</v>
      </c>
      <c r="AI3" s="28" t="s">
        <v>32</v>
      </c>
      <c r="AJ3" s="28" t="s">
        <v>33</v>
      </c>
      <c r="AK3" s="29" t="s">
        <v>34</v>
      </c>
    </row>
    <row r="4" spans="2:38" s="3" customFormat="1" ht="290.25" customHeight="1" x14ac:dyDescent="0.25">
      <c r="B4" s="204">
        <v>1</v>
      </c>
      <c r="C4" s="205" t="s">
        <v>118</v>
      </c>
      <c r="D4" s="205" t="s">
        <v>119</v>
      </c>
      <c r="E4" s="206" t="s">
        <v>120</v>
      </c>
      <c r="F4" s="207">
        <v>325</v>
      </c>
      <c r="G4" s="208">
        <v>40.89</v>
      </c>
      <c r="H4" s="209" t="s">
        <v>121</v>
      </c>
      <c r="I4" s="210" t="s">
        <v>122</v>
      </c>
      <c r="J4" s="211">
        <f>F4*G4</f>
        <v>13289.25</v>
      </c>
      <c r="K4"/>
      <c r="M4" s="101" t="s">
        <v>123</v>
      </c>
      <c r="N4" s="181" t="s">
        <v>124</v>
      </c>
      <c r="O4" s="181" t="s">
        <v>125</v>
      </c>
      <c r="P4" s="180"/>
      <c r="Q4" s="87">
        <v>27.5</v>
      </c>
      <c r="R4" s="136">
        <v>37.5</v>
      </c>
      <c r="S4" s="88">
        <f>Q4*R4/100</f>
        <v>10.3125</v>
      </c>
      <c r="T4" s="89">
        <f t="shared" ref="T4" si="0">S4*V4</f>
        <v>3351.5625</v>
      </c>
      <c r="U4" s="90">
        <f>Q4+S4</f>
        <v>37.8125</v>
      </c>
      <c r="V4" s="12">
        <v>325</v>
      </c>
      <c r="W4" s="91">
        <f>Q4*3</f>
        <v>82.5</v>
      </c>
      <c r="X4" s="71">
        <v>240</v>
      </c>
      <c r="Y4" s="92">
        <f t="shared" ref="Y4" si="1">V4*U4+W4+X4</f>
        <v>12611.5625</v>
      </c>
      <c r="Z4" s="79" t="s">
        <v>126</v>
      </c>
      <c r="AA4" s="69">
        <v>325</v>
      </c>
      <c r="AB4" s="103">
        <v>1</v>
      </c>
      <c r="AC4" s="103">
        <v>1</v>
      </c>
      <c r="AD4" s="103">
        <v>1</v>
      </c>
      <c r="AE4" s="93">
        <f t="shared" ref="AE4" si="2">AA4*AB4*AC4*AD4</f>
        <v>325</v>
      </c>
      <c r="AF4" s="104">
        <v>60</v>
      </c>
      <c r="AG4" s="94">
        <f>1%*(Y4+AE4+AF4)</f>
        <v>129.96562499999999</v>
      </c>
      <c r="AH4" s="66">
        <f t="shared" ref="AH4" si="3">Y4+AE4+AG4+AF4</f>
        <v>13126.528125000001</v>
      </c>
      <c r="AI4" s="95">
        <f t="shared" ref="AI4" si="4">AH4/V4</f>
        <v>40.389317307692309</v>
      </c>
      <c r="AJ4" s="96">
        <f t="shared" ref="AJ4" si="5">AI4*18%</f>
        <v>7.2700771153846153</v>
      </c>
      <c r="AK4" s="97">
        <f t="shared" ref="AK4" si="6">AI4+AJ4</f>
        <v>47.659394423076925</v>
      </c>
      <c r="AL4" s="98"/>
    </row>
    <row r="5" spans="2:38" s="3" customFormat="1" ht="409.5" customHeight="1" thickBot="1" x14ac:dyDescent="0.3">
      <c r="B5" s="212">
        <v>2</v>
      </c>
      <c r="C5" s="218" t="s">
        <v>127</v>
      </c>
      <c r="D5" s="219"/>
      <c r="E5" s="213" t="s">
        <v>120</v>
      </c>
      <c r="F5" s="214">
        <v>325</v>
      </c>
      <c r="G5" s="215">
        <v>85.99</v>
      </c>
      <c r="H5" s="216" t="s">
        <v>155</v>
      </c>
      <c r="I5" s="304" t="s">
        <v>156</v>
      </c>
      <c r="J5" s="217">
        <f>F5*G5</f>
        <v>27946.75</v>
      </c>
      <c r="K5" s="199" t="s">
        <v>128</v>
      </c>
      <c r="M5" s="101" t="s">
        <v>129</v>
      </c>
      <c r="N5" s="181" t="s">
        <v>130</v>
      </c>
      <c r="O5" s="198" t="s">
        <v>131</v>
      </c>
      <c r="P5" s="197" t="s">
        <v>132</v>
      </c>
      <c r="Q5" s="87">
        <f>27.5+24+160/325+1300/325+5*(25*3)/325+1+1.2</f>
        <v>59.346153846153847</v>
      </c>
      <c r="R5" s="136">
        <v>38</v>
      </c>
      <c r="S5" s="88">
        <f>Q5*R5/100</f>
        <v>22.551538461538463</v>
      </c>
      <c r="T5" s="89">
        <f t="shared" ref="T5" si="7">S5*V5</f>
        <v>7329.2500000000009</v>
      </c>
      <c r="U5" s="90">
        <f>Q5+S5</f>
        <v>81.89769230769231</v>
      </c>
      <c r="V5" s="12">
        <v>325</v>
      </c>
      <c r="W5" s="91">
        <f>Q5*2</f>
        <v>118.69230769230769</v>
      </c>
      <c r="X5" s="71">
        <f>60+80+100+30*3+150</f>
        <v>480</v>
      </c>
      <c r="Y5" s="92">
        <f t="shared" ref="Y5" si="8">V5*U5+W5+X5</f>
        <v>27215.442307692309</v>
      </c>
      <c r="Z5" s="79" t="s">
        <v>133</v>
      </c>
      <c r="AA5" s="69">
        <v>320</v>
      </c>
      <c r="AB5" s="103">
        <v>1</v>
      </c>
      <c r="AC5" s="103">
        <v>1</v>
      </c>
      <c r="AD5" s="103">
        <v>1</v>
      </c>
      <c r="AE5" s="93">
        <f t="shared" ref="AE5" si="9">AA5*AB5*AC5*AD5</f>
        <v>320</v>
      </c>
      <c r="AF5" s="104">
        <f>5*325/12</f>
        <v>135.41666666666666</v>
      </c>
      <c r="AG5" s="94">
        <f>1%*(Y5+AE5+AF5)</f>
        <v>276.70858974358976</v>
      </c>
      <c r="AH5" s="66">
        <f t="shared" ref="AH5" si="10">Y5+AE5+AG5+AF5</f>
        <v>27947.567564102566</v>
      </c>
      <c r="AI5" s="95">
        <f t="shared" ref="AI5" si="11">AH5/V5</f>
        <v>85.99251558185405</v>
      </c>
      <c r="AJ5" s="96">
        <f t="shared" ref="AJ5" si="12">AI5*18%</f>
        <v>15.478652804733729</v>
      </c>
      <c r="AK5" s="97">
        <f t="shared" ref="AK5" si="13">AI5+AJ5</f>
        <v>101.47116838658778</v>
      </c>
      <c r="AL5" s="98"/>
    </row>
    <row r="6" spans="2:38" ht="70.5" customHeight="1" thickBot="1" x14ac:dyDescent="0.3"/>
    <row r="7" spans="2:38" ht="21" customHeight="1" thickBot="1" x14ac:dyDescent="0.3">
      <c r="B7" s="233" t="s">
        <v>134</v>
      </c>
      <c r="C7" s="234"/>
      <c r="D7" s="234"/>
      <c r="E7" s="234"/>
      <c r="F7" s="234"/>
      <c r="G7" s="234"/>
      <c r="H7" s="234"/>
      <c r="I7" s="234"/>
      <c r="J7" s="235"/>
    </row>
    <row r="8" spans="2:38" s="1" customFormat="1" ht="45" customHeight="1" thickBot="1" x14ac:dyDescent="0.3">
      <c r="B8" s="172" t="s">
        <v>2</v>
      </c>
      <c r="C8" s="173" t="s">
        <v>3</v>
      </c>
      <c r="D8" s="173" t="s">
        <v>4</v>
      </c>
      <c r="E8" s="173" t="s">
        <v>5</v>
      </c>
      <c r="F8" s="173" t="s">
        <v>6</v>
      </c>
      <c r="G8" s="174" t="s">
        <v>7</v>
      </c>
      <c r="H8" s="174" t="s">
        <v>115</v>
      </c>
      <c r="I8" s="174" t="s">
        <v>9</v>
      </c>
      <c r="J8" s="175" t="s">
        <v>116</v>
      </c>
      <c r="K8" s="236" t="s">
        <v>135</v>
      </c>
      <c r="L8" s="237"/>
      <c r="M8" s="30" t="s">
        <v>11</v>
      </c>
      <c r="N8" s="31" t="s">
        <v>12</v>
      </c>
      <c r="O8" s="31" t="s">
        <v>13</v>
      </c>
      <c r="P8" s="31" t="s">
        <v>14</v>
      </c>
      <c r="Q8" s="25" t="s">
        <v>15</v>
      </c>
      <c r="R8" s="25" t="s">
        <v>16</v>
      </c>
      <c r="S8" s="25" t="s">
        <v>17</v>
      </c>
      <c r="T8" s="25" t="s">
        <v>18</v>
      </c>
      <c r="U8" s="25" t="s">
        <v>19</v>
      </c>
      <c r="V8" s="25" t="s">
        <v>20</v>
      </c>
      <c r="W8" s="25" t="s">
        <v>21</v>
      </c>
      <c r="X8" s="26" t="s">
        <v>22</v>
      </c>
      <c r="Y8" s="26" t="s">
        <v>23</v>
      </c>
      <c r="Z8" s="27" t="s">
        <v>24</v>
      </c>
      <c r="AA8" s="27" t="s">
        <v>25</v>
      </c>
      <c r="AB8" s="27" t="s">
        <v>26</v>
      </c>
      <c r="AC8" s="27" t="s">
        <v>27</v>
      </c>
      <c r="AD8" s="27" t="s">
        <v>28</v>
      </c>
      <c r="AE8" s="27" t="s">
        <v>29</v>
      </c>
      <c r="AF8" s="26" t="s">
        <v>30</v>
      </c>
      <c r="AG8" s="26" t="s">
        <v>31</v>
      </c>
      <c r="AH8" s="28" t="s">
        <v>19</v>
      </c>
      <c r="AI8" s="28" t="s">
        <v>32</v>
      </c>
      <c r="AJ8" s="28" t="s">
        <v>33</v>
      </c>
      <c r="AK8" s="29" t="s">
        <v>34</v>
      </c>
    </row>
    <row r="9" spans="2:38" s="3" customFormat="1" ht="199.5" customHeight="1" x14ac:dyDescent="0.3">
      <c r="B9" s="186">
        <v>1</v>
      </c>
      <c r="C9" s="187" t="s">
        <v>136</v>
      </c>
      <c r="D9" s="188" t="s">
        <v>137</v>
      </c>
      <c r="E9" s="189" t="s">
        <v>120</v>
      </c>
      <c r="F9" s="124">
        <v>250</v>
      </c>
      <c r="G9" s="125">
        <v>4.49</v>
      </c>
      <c r="H9" s="126" t="s">
        <v>138</v>
      </c>
      <c r="I9" s="190" t="s">
        <v>139</v>
      </c>
      <c r="J9" s="127">
        <f>F9*G9</f>
        <v>1122.5</v>
      </c>
      <c r="K9"/>
      <c r="M9" s="185" t="s">
        <v>140</v>
      </c>
      <c r="N9" s="225" t="s">
        <v>141</v>
      </c>
      <c r="O9" s="226"/>
      <c r="P9" s="227"/>
      <c r="Q9" s="87">
        <v>2</v>
      </c>
      <c r="R9" s="136">
        <v>57</v>
      </c>
      <c r="S9" s="88">
        <f>Q9*R9/100</f>
        <v>1.1399999999999999</v>
      </c>
      <c r="T9" s="89">
        <f t="shared" ref="T9" si="14">S9*V9</f>
        <v>285</v>
      </c>
      <c r="U9" s="90">
        <f>Q9+S9</f>
        <v>3.1399999999999997</v>
      </c>
      <c r="V9" s="12">
        <v>250</v>
      </c>
      <c r="W9" s="91">
        <f>Q9*5</f>
        <v>10</v>
      </c>
      <c r="X9" s="71">
        <v>60</v>
      </c>
      <c r="Y9" s="92">
        <f t="shared" ref="Y9" si="15">V9*U9+W9+X9</f>
        <v>854.99999999999989</v>
      </c>
      <c r="Z9" s="182" t="s">
        <v>142</v>
      </c>
      <c r="AA9" s="69">
        <v>190</v>
      </c>
      <c r="AB9" s="103">
        <v>1</v>
      </c>
      <c r="AC9" s="103">
        <v>1</v>
      </c>
      <c r="AD9" s="103">
        <v>1</v>
      </c>
      <c r="AE9" s="93">
        <f t="shared" ref="AE9" si="16">AA9*AB9*AC9*AD9</f>
        <v>190</v>
      </c>
      <c r="AF9" s="104">
        <v>7</v>
      </c>
      <c r="AG9" s="94">
        <f>1%*(Y9+AE9+AF9)</f>
        <v>10.52</v>
      </c>
      <c r="AH9" s="66">
        <f t="shared" ref="AH9" si="17">Y9+AE9+AG9+AF9</f>
        <v>1062.52</v>
      </c>
      <c r="AI9" s="95">
        <f t="shared" ref="AI9" si="18">AH9/V9</f>
        <v>4.2500799999999996</v>
      </c>
      <c r="AJ9" s="96">
        <f t="shared" ref="AJ9" si="19">AI9*18%</f>
        <v>0.76501439999999987</v>
      </c>
      <c r="AK9" s="97">
        <f t="shared" ref="AK9" si="20">AI9+AJ9</f>
        <v>5.0150943999999997</v>
      </c>
      <c r="AL9" s="98"/>
    </row>
    <row r="10" spans="2:38" s="3" customFormat="1" ht="31.5" customHeight="1" x14ac:dyDescent="0.25">
      <c r="B10" s="260"/>
      <c r="C10" s="260"/>
      <c r="D10" s="260"/>
      <c r="E10" s="260"/>
      <c r="F10" s="260"/>
      <c r="G10" s="260"/>
      <c r="H10" s="261"/>
      <c r="I10" s="178" t="s">
        <v>143</v>
      </c>
      <c r="J10" s="177">
        <f>J9</f>
        <v>1122.5</v>
      </c>
      <c r="K10"/>
      <c r="M10" s="141"/>
      <c r="N10" s="142"/>
      <c r="O10" s="143"/>
      <c r="P10" s="144"/>
      <c r="Q10" s="145"/>
      <c r="R10" s="146"/>
      <c r="S10" s="147"/>
      <c r="T10" s="148"/>
      <c r="U10" s="149"/>
      <c r="V10" s="150"/>
      <c r="W10" s="151"/>
      <c r="X10" s="152"/>
      <c r="Y10" s="153"/>
      <c r="Z10" s="154"/>
      <c r="AA10" s="155"/>
      <c r="AB10" s="156"/>
      <c r="AC10" s="156"/>
      <c r="AD10" s="156"/>
      <c r="AE10" s="157"/>
      <c r="AF10" s="158"/>
      <c r="AG10" s="159"/>
      <c r="AH10" s="160"/>
      <c r="AI10" s="161"/>
      <c r="AJ10" s="162"/>
      <c r="AK10" s="163"/>
      <c r="AL10" s="98"/>
    </row>
    <row r="11" spans="2:38" s="3" customFormat="1" ht="31.5" customHeight="1" x14ac:dyDescent="0.25">
      <c r="B11" s="262"/>
      <c r="C11" s="262"/>
      <c r="D11" s="262"/>
      <c r="E11" s="262"/>
      <c r="F11" s="262"/>
      <c r="G11" s="262"/>
      <c r="H11" s="263"/>
      <c r="I11" s="179" t="s">
        <v>45</v>
      </c>
      <c r="J11" s="176">
        <f>J10*18%</f>
        <v>202.04999999999998</v>
      </c>
      <c r="K11"/>
      <c r="M11" s="141"/>
      <c r="N11" s="142"/>
      <c r="O11" s="143"/>
      <c r="P11" s="144"/>
      <c r="Q11" s="145"/>
      <c r="R11" s="146"/>
      <c r="S11" s="147"/>
      <c r="T11" s="148"/>
      <c r="U11" s="149"/>
      <c r="V11" s="150"/>
      <c r="W11" s="151"/>
      <c r="X11" s="152"/>
      <c r="Y11" s="153"/>
      <c r="Z11" s="154"/>
      <c r="AA11" s="155"/>
      <c r="AB11" s="156"/>
      <c r="AC11" s="156"/>
      <c r="AD11" s="156"/>
      <c r="AE11" s="157"/>
      <c r="AF11" s="158"/>
      <c r="AG11" s="159"/>
      <c r="AH11" s="160"/>
      <c r="AI11" s="161"/>
      <c r="AJ11" s="162"/>
      <c r="AK11" s="163"/>
      <c r="AL11" s="98"/>
    </row>
    <row r="12" spans="2:38" s="3" customFormat="1" ht="31.5" customHeight="1" x14ac:dyDescent="0.25">
      <c r="B12" s="262"/>
      <c r="C12" s="262"/>
      <c r="D12" s="262"/>
      <c r="E12" s="262"/>
      <c r="F12" s="262"/>
      <c r="G12" s="262"/>
      <c r="H12" s="263"/>
      <c r="I12" s="179" t="s">
        <v>34</v>
      </c>
      <c r="J12" s="176">
        <f>J11+J10</f>
        <v>1324.55</v>
      </c>
      <c r="K12">
        <v>1324.55</v>
      </c>
      <c r="M12" s="141"/>
      <c r="N12" s="142"/>
      <c r="O12" s="143"/>
      <c r="P12" s="144"/>
      <c r="Q12" s="145"/>
      <c r="R12" s="146"/>
      <c r="S12" s="147"/>
      <c r="T12" s="148"/>
      <c r="U12" s="149"/>
      <c r="V12" s="150"/>
      <c r="W12" s="151"/>
      <c r="X12" s="152"/>
      <c r="Y12" s="153"/>
      <c r="Z12" s="154"/>
      <c r="AA12" s="155"/>
      <c r="AB12" s="156"/>
      <c r="AC12" s="156"/>
      <c r="AD12" s="156"/>
      <c r="AE12" s="157"/>
      <c r="AF12" s="158"/>
      <c r="AG12" s="159"/>
      <c r="AH12" s="160"/>
      <c r="AI12" s="161"/>
      <c r="AJ12" s="162"/>
      <c r="AK12" s="163"/>
      <c r="AL12" s="98"/>
    </row>
    <row r="13" spans="2:38" ht="109.5" customHeight="1" thickBot="1" x14ac:dyDescent="0.35">
      <c r="B13" s="191"/>
      <c r="C13" s="168"/>
      <c r="D13" s="169"/>
      <c r="E13" s="170"/>
      <c r="F13" s="42"/>
      <c r="G13" s="138"/>
      <c r="H13" s="139"/>
      <c r="I13" s="171"/>
      <c r="J13" s="138"/>
      <c r="M13" s="141"/>
      <c r="N13" s="142"/>
      <c r="O13" s="143"/>
      <c r="P13" s="144"/>
      <c r="Q13" s="145"/>
      <c r="R13" s="146"/>
      <c r="S13" s="147"/>
      <c r="T13" s="148"/>
      <c r="U13" s="149"/>
      <c r="V13" s="150"/>
      <c r="W13" s="151"/>
      <c r="X13" s="152"/>
      <c r="Y13" s="153"/>
      <c r="Z13" s="154"/>
      <c r="AA13" s="155"/>
      <c r="AB13" s="156"/>
      <c r="AC13" s="156"/>
      <c r="AD13" s="156"/>
      <c r="AE13" s="157"/>
      <c r="AF13" s="158"/>
      <c r="AG13" s="159"/>
      <c r="AH13" s="160"/>
      <c r="AI13" s="161"/>
      <c r="AJ13" s="162"/>
      <c r="AK13" s="163"/>
    </row>
    <row r="14" spans="2:38" s="1" customFormat="1" ht="45" customHeight="1" x14ac:dyDescent="0.25">
      <c r="B14" s="164" t="s">
        <v>2</v>
      </c>
      <c r="C14" s="165" t="s">
        <v>3</v>
      </c>
      <c r="D14" s="165" t="s">
        <v>4</v>
      </c>
      <c r="E14" s="165" t="s">
        <v>5</v>
      </c>
      <c r="F14" s="165" t="s">
        <v>6</v>
      </c>
      <c r="G14" s="166" t="s">
        <v>7</v>
      </c>
      <c r="H14" s="166" t="s">
        <v>115</v>
      </c>
      <c r="I14" s="166" t="s">
        <v>9</v>
      </c>
      <c r="J14" s="167" t="s">
        <v>116</v>
      </c>
      <c r="K14" s="236" t="s">
        <v>144</v>
      </c>
      <c r="L14" s="237"/>
      <c r="M14" s="30" t="s">
        <v>11</v>
      </c>
      <c r="N14" s="31" t="s">
        <v>12</v>
      </c>
      <c r="O14" s="31" t="s">
        <v>13</v>
      </c>
      <c r="P14" s="31" t="s">
        <v>14</v>
      </c>
      <c r="Q14" s="25" t="s">
        <v>15</v>
      </c>
      <c r="R14" s="25" t="s">
        <v>16</v>
      </c>
      <c r="S14" s="25" t="s">
        <v>17</v>
      </c>
      <c r="T14" s="25" t="s">
        <v>18</v>
      </c>
      <c r="U14" s="25" t="s">
        <v>19</v>
      </c>
      <c r="V14" s="25" t="s">
        <v>20</v>
      </c>
      <c r="W14" s="25" t="s">
        <v>21</v>
      </c>
      <c r="X14" s="26" t="s">
        <v>22</v>
      </c>
      <c r="Y14" s="26" t="s">
        <v>23</v>
      </c>
      <c r="Z14" s="27" t="s">
        <v>24</v>
      </c>
      <c r="AA14" s="27" t="s">
        <v>25</v>
      </c>
      <c r="AB14" s="27" t="s">
        <v>26</v>
      </c>
      <c r="AC14" s="27" t="s">
        <v>27</v>
      </c>
      <c r="AD14" s="27" t="s">
        <v>28</v>
      </c>
      <c r="AE14" s="27" t="s">
        <v>29</v>
      </c>
      <c r="AF14" s="26" t="s">
        <v>30</v>
      </c>
      <c r="AG14" s="26" t="s">
        <v>31</v>
      </c>
      <c r="AH14" s="28" t="s">
        <v>19</v>
      </c>
      <c r="AI14" s="28" t="s">
        <v>32</v>
      </c>
      <c r="AJ14" s="28" t="s">
        <v>33</v>
      </c>
      <c r="AK14" s="29" t="s">
        <v>34</v>
      </c>
    </row>
    <row r="15" spans="2:38" s="3" customFormat="1" ht="96" customHeight="1" x14ac:dyDescent="0.25">
      <c r="B15" s="238">
        <v>1</v>
      </c>
      <c r="C15" s="240" t="s">
        <v>145</v>
      </c>
      <c r="D15" s="242" t="s">
        <v>137</v>
      </c>
      <c r="E15" s="244" t="s">
        <v>120</v>
      </c>
      <c r="F15" s="195">
        <v>1000</v>
      </c>
      <c r="G15" s="85">
        <f>AI15</f>
        <v>3.1864237499999999</v>
      </c>
      <c r="H15" s="86" t="s">
        <v>146</v>
      </c>
      <c r="I15" s="246" t="s">
        <v>147</v>
      </c>
      <c r="J15" s="140">
        <f>F15*G15</f>
        <v>3186.4237499999999</v>
      </c>
      <c r="K15"/>
      <c r="M15" s="248" t="s">
        <v>148</v>
      </c>
      <c r="N15" s="225" t="s">
        <v>149</v>
      </c>
      <c r="O15" s="250" t="s">
        <v>150</v>
      </c>
      <c r="P15" s="227"/>
      <c r="Q15" s="87">
        <f>1800/1000</f>
        <v>1.8</v>
      </c>
      <c r="R15" s="136">
        <v>37.5</v>
      </c>
      <c r="S15" s="88">
        <f>Q15*R15/100</f>
        <v>0.67500000000000004</v>
      </c>
      <c r="T15" s="89">
        <f t="shared" ref="T15:T16" si="21">S15*V15</f>
        <v>675</v>
      </c>
      <c r="U15" s="90">
        <f>Q15+S15</f>
        <v>2.4750000000000001</v>
      </c>
      <c r="V15" s="12">
        <f>F15</f>
        <v>1000</v>
      </c>
      <c r="W15" s="91">
        <f>U15*5</f>
        <v>12.375</v>
      </c>
      <c r="X15" s="71">
        <v>180</v>
      </c>
      <c r="Y15" s="92">
        <f t="shared" ref="Y15:Y16" si="22">V15*U15+W15+X15</f>
        <v>2667.375</v>
      </c>
      <c r="Z15" s="231" t="s">
        <v>151</v>
      </c>
      <c r="AA15" s="69">
        <v>470</v>
      </c>
      <c r="AB15" s="103">
        <v>1</v>
      </c>
      <c r="AC15" s="103">
        <v>1</v>
      </c>
      <c r="AD15" s="103">
        <v>1</v>
      </c>
      <c r="AE15" s="93">
        <f t="shared" ref="AE15:AE16" si="23">AA15*AB15*AC15*AD15</f>
        <v>470</v>
      </c>
      <c r="AF15" s="104">
        <f>3.5*5</f>
        <v>17.5</v>
      </c>
      <c r="AG15" s="94">
        <f>1%*(Y15+AE15+AF15)</f>
        <v>31.548750000000002</v>
      </c>
      <c r="AH15" s="66">
        <f t="shared" ref="AH15:AH16" si="24">Y15+AE15+AG15+AF15</f>
        <v>3186.4237499999999</v>
      </c>
      <c r="AI15" s="95">
        <f t="shared" ref="AI15:AI16" si="25">AH15/V15</f>
        <v>3.1864237499999999</v>
      </c>
      <c r="AJ15" s="96">
        <f t="shared" ref="AJ15:AJ16" si="26">AI15*18%</f>
        <v>0.57355627499999995</v>
      </c>
      <c r="AK15" s="97">
        <f t="shared" ref="AK15:AK16" si="27">AI15+AJ15</f>
        <v>3.7599800249999999</v>
      </c>
      <c r="AL15" s="98"/>
    </row>
    <row r="16" spans="2:38" ht="96" customHeight="1" x14ac:dyDescent="0.25">
      <c r="B16" s="238"/>
      <c r="C16" s="240"/>
      <c r="D16" s="242"/>
      <c r="E16" s="244"/>
      <c r="F16" s="195">
        <v>500</v>
      </c>
      <c r="G16" s="85">
        <f>AI16</f>
        <v>3.4898610800000003</v>
      </c>
      <c r="H16" s="86" t="s">
        <v>152</v>
      </c>
      <c r="I16" s="246"/>
      <c r="J16" s="140">
        <f>G16*F16</f>
        <v>1744.9305400000001</v>
      </c>
      <c r="M16" s="249"/>
      <c r="N16" s="228"/>
      <c r="O16" s="251"/>
      <c r="P16" s="230"/>
      <c r="Q16" s="87">
        <f>1800/500/2</f>
        <v>1.8</v>
      </c>
      <c r="R16" s="136">
        <v>51</v>
      </c>
      <c r="S16" s="88">
        <f>Q16*R16/100</f>
        <v>0.91799999999999993</v>
      </c>
      <c r="T16" s="89">
        <f t="shared" si="21"/>
        <v>458.99999999999994</v>
      </c>
      <c r="U16" s="90">
        <f>Q16+S16</f>
        <v>2.718</v>
      </c>
      <c r="V16" s="12">
        <f>F16</f>
        <v>500</v>
      </c>
      <c r="W16" s="91">
        <f>U16*3</f>
        <v>8.1539999999999999</v>
      </c>
      <c r="X16" s="71">
        <v>120</v>
      </c>
      <c r="Y16" s="92">
        <f t="shared" si="22"/>
        <v>1487.154</v>
      </c>
      <c r="Z16" s="232"/>
      <c r="AA16" s="69">
        <v>230</v>
      </c>
      <c r="AB16" s="103">
        <v>1</v>
      </c>
      <c r="AC16" s="103">
        <v>1</v>
      </c>
      <c r="AD16" s="103">
        <v>1</v>
      </c>
      <c r="AE16" s="93">
        <f t="shared" si="23"/>
        <v>230</v>
      </c>
      <c r="AF16" s="104">
        <f>3.5*3</f>
        <v>10.5</v>
      </c>
      <c r="AG16" s="94">
        <f>1%*(Y16+AE16+AF16)</f>
        <v>17.276540000000001</v>
      </c>
      <c r="AH16" s="66">
        <f t="shared" si="24"/>
        <v>1744.9305400000001</v>
      </c>
      <c r="AI16" s="95">
        <f t="shared" si="25"/>
        <v>3.4898610800000003</v>
      </c>
      <c r="AJ16" s="96">
        <f t="shared" si="26"/>
        <v>0.62817499440000002</v>
      </c>
      <c r="AK16" s="97">
        <f t="shared" si="27"/>
        <v>4.1180360744</v>
      </c>
    </row>
    <row r="17" spans="2:38" ht="96" customHeight="1" thickBot="1" x14ac:dyDescent="0.3">
      <c r="B17" s="238">
        <v>1</v>
      </c>
      <c r="C17" s="240" t="s">
        <v>136</v>
      </c>
      <c r="D17" s="242" t="s">
        <v>137</v>
      </c>
      <c r="E17" s="244" t="s">
        <v>120</v>
      </c>
      <c r="F17" s="195">
        <v>250</v>
      </c>
      <c r="G17" s="85">
        <v>4.49</v>
      </c>
      <c r="H17" s="86" t="s">
        <v>138</v>
      </c>
      <c r="I17" s="246" t="s">
        <v>139</v>
      </c>
      <c r="J17" s="140">
        <f>F17*G17</f>
        <v>1122.5</v>
      </c>
    </row>
    <row r="18" spans="2:38" s="1" customFormat="1" ht="96" customHeight="1" thickBot="1" x14ac:dyDescent="0.3">
      <c r="B18" s="239"/>
      <c r="C18" s="241"/>
      <c r="D18" s="243"/>
      <c r="E18" s="245"/>
      <c r="F18" s="128">
        <v>100</v>
      </c>
      <c r="G18" s="129">
        <v>5.89</v>
      </c>
      <c r="H18" s="130" t="s">
        <v>138</v>
      </c>
      <c r="I18" s="247"/>
      <c r="J18" s="131">
        <f>G18*F18</f>
        <v>589</v>
      </c>
      <c r="K18" s="236" t="s">
        <v>135</v>
      </c>
      <c r="L18" s="237"/>
      <c r="M18" s="30" t="s">
        <v>11</v>
      </c>
      <c r="N18" s="31" t="s">
        <v>12</v>
      </c>
      <c r="O18" s="31" t="s">
        <v>13</v>
      </c>
      <c r="P18" s="31" t="s">
        <v>14</v>
      </c>
      <c r="Q18" s="25" t="s">
        <v>15</v>
      </c>
      <c r="R18" s="25" t="s">
        <v>16</v>
      </c>
      <c r="S18" s="25" t="s">
        <v>17</v>
      </c>
      <c r="T18" s="25" t="s">
        <v>18</v>
      </c>
      <c r="U18" s="25" t="s">
        <v>19</v>
      </c>
      <c r="V18" s="25" t="s">
        <v>20</v>
      </c>
      <c r="W18" s="25" t="s">
        <v>21</v>
      </c>
      <c r="X18" s="26" t="s">
        <v>22</v>
      </c>
      <c r="Y18" s="26" t="s">
        <v>23</v>
      </c>
      <c r="Z18" s="27" t="s">
        <v>24</v>
      </c>
      <c r="AA18" s="27" t="s">
        <v>25</v>
      </c>
      <c r="AB18" s="27" t="s">
        <v>26</v>
      </c>
      <c r="AC18" s="27" t="s">
        <v>27</v>
      </c>
      <c r="AD18" s="27" t="s">
        <v>28</v>
      </c>
      <c r="AE18" s="27" t="s">
        <v>29</v>
      </c>
      <c r="AF18" s="26" t="s">
        <v>30</v>
      </c>
      <c r="AG18" s="26" t="s">
        <v>31</v>
      </c>
      <c r="AH18" s="28" t="s">
        <v>19</v>
      </c>
      <c r="AI18" s="28" t="s">
        <v>32</v>
      </c>
      <c r="AJ18" s="28" t="s">
        <v>33</v>
      </c>
      <c r="AK18" s="29" t="s">
        <v>34</v>
      </c>
    </row>
    <row r="19" spans="2:38" s="3" customFormat="1" ht="109.5" customHeight="1" x14ac:dyDescent="0.25">
      <c r="K19"/>
      <c r="M19" s="248" t="s">
        <v>140</v>
      </c>
      <c r="N19" s="225" t="s">
        <v>141</v>
      </c>
      <c r="O19" s="226"/>
      <c r="P19" s="227"/>
      <c r="Q19" s="87">
        <v>2</v>
      </c>
      <c r="R19" s="136">
        <v>57</v>
      </c>
      <c r="S19" s="88">
        <f>Q19*R19/100</f>
        <v>1.1399999999999999</v>
      </c>
      <c r="T19" s="89">
        <f t="shared" ref="T19:T20" si="28">S19*V19</f>
        <v>285</v>
      </c>
      <c r="U19" s="90">
        <f>Q19+S19</f>
        <v>3.1399999999999997</v>
      </c>
      <c r="V19" s="12">
        <v>250</v>
      </c>
      <c r="W19" s="91">
        <f>Q19*5</f>
        <v>10</v>
      </c>
      <c r="X19" s="71">
        <v>60</v>
      </c>
      <c r="Y19" s="92">
        <f t="shared" ref="Y19:Y20" si="29">V19*U19+W19+X19</f>
        <v>854.99999999999989</v>
      </c>
      <c r="Z19" s="231" t="s">
        <v>142</v>
      </c>
      <c r="AA19" s="69">
        <v>190</v>
      </c>
      <c r="AB19" s="103">
        <v>1</v>
      </c>
      <c r="AC19" s="103">
        <v>1</v>
      </c>
      <c r="AD19" s="103">
        <v>1</v>
      </c>
      <c r="AE19" s="93">
        <f t="shared" ref="AE19:AE20" si="30">AA19*AB19*AC19*AD19</f>
        <v>190</v>
      </c>
      <c r="AF19" s="104">
        <v>7</v>
      </c>
      <c r="AG19" s="94">
        <f>1%*(Y19+AE19+AF19)</f>
        <v>10.52</v>
      </c>
      <c r="AH19" s="66">
        <f t="shared" ref="AH19:AH20" si="31">Y19+AE19+AG19+AF19</f>
        <v>1062.52</v>
      </c>
      <c r="AI19" s="95">
        <f t="shared" ref="AI19:AI20" si="32">AH19/V19</f>
        <v>4.2500799999999996</v>
      </c>
      <c r="AJ19" s="96">
        <f t="shared" ref="AJ19:AJ20" si="33">AI19*18%</f>
        <v>0.76501439999999987</v>
      </c>
      <c r="AK19" s="97">
        <f t="shared" ref="AK19:AK20" si="34">AI19+AJ19</f>
        <v>5.0150943999999997</v>
      </c>
      <c r="AL19" s="98"/>
    </row>
    <row r="20" spans="2:38" ht="109.5" customHeight="1" x14ac:dyDescent="0.25">
      <c r="M20" s="249"/>
      <c r="N20" s="228"/>
      <c r="O20" s="229"/>
      <c r="P20" s="230"/>
      <c r="Q20" s="87">
        <v>2</v>
      </c>
      <c r="R20" s="136">
        <v>85</v>
      </c>
      <c r="S20" s="88">
        <f>Q20*R20/100</f>
        <v>1.7</v>
      </c>
      <c r="T20" s="89">
        <f t="shared" si="28"/>
        <v>170</v>
      </c>
      <c r="U20" s="90">
        <f>Q20+S20</f>
        <v>3.7</v>
      </c>
      <c r="V20" s="12">
        <v>100</v>
      </c>
      <c r="W20" s="91">
        <f>Q20*2</f>
        <v>4</v>
      </c>
      <c r="X20" s="71">
        <v>60</v>
      </c>
      <c r="Y20" s="92">
        <f t="shared" si="29"/>
        <v>434</v>
      </c>
      <c r="Z20" s="232"/>
      <c r="AA20" s="69">
        <v>100</v>
      </c>
      <c r="AB20" s="103">
        <v>1</v>
      </c>
      <c r="AC20" s="103">
        <v>1</v>
      </c>
      <c r="AD20" s="103">
        <v>1</v>
      </c>
      <c r="AE20" s="93">
        <f t="shared" si="30"/>
        <v>100</v>
      </c>
      <c r="AF20" s="104">
        <v>3.5</v>
      </c>
      <c r="AG20" s="94">
        <f>1%*(Y20+AE20+AF20)</f>
        <v>5.375</v>
      </c>
      <c r="AH20" s="66">
        <f t="shared" si="31"/>
        <v>542.875</v>
      </c>
      <c r="AI20" s="95">
        <f t="shared" si="32"/>
        <v>5.42875</v>
      </c>
      <c r="AJ20" s="96">
        <f t="shared" si="33"/>
        <v>0.9771749999999999</v>
      </c>
      <c r="AK20" s="97">
        <f t="shared" si="34"/>
        <v>6.4059249999999999</v>
      </c>
    </row>
    <row r="21" spans="2:38" ht="36" customHeight="1" thickBot="1" x14ac:dyDescent="0.3"/>
    <row r="22" spans="2:38" ht="21" customHeight="1" thickBot="1" x14ac:dyDescent="0.3">
      <c r="B22" s="252" t="s">
        <v>153</v>
      </c>
      <c r="C22" s="253"/>
      <c r="D22" s="253"/>
      <c r="E22" s="253"/>
      <c r="F22" s="253"/>
      <c r="G22" s="253"/>
      <c r="H22" s="253"/>
      <c r="I22" s="253"/>
      <c r="J22" s="254"/>
    </row>
    <row r="23" spans="2:38" s="1" customFormat="1" ht="45" customHeight="1" thickBot="1" x14ac:dyDescent="0.3">
      <c r="B23" s="132" t="s">
        <v>2</v>
      </c>
      <c r="C23" s="133" t="s">
        <v>3</v>
      </c>
      <c r="D23" s="133" t="s">
        <v>4</v>
      </c>
      <c r="E23" s="133" t="s">
        <v>5</v>
      </c>
      <c r="F23" s="133" t="s">
        <v>6</v>
      </c>
      <c r="G23" s="134" t="s">
        <v>7</v>
      </c>
      <c r="H23" s="134" t="s">
        <v>115</v>
      </c>
      <c r="I23" s="134" t="s">
        <v>9</v>
      </c>
      <c r="J23" s="135" t="s">
        <v>116</v>
      </c>
      <c r="K23" s="236" t="s">
        <v>144</v>
      </c>
      <c r="L23" s="237"/>
      <c r="M23" s="30" t="s">
        <v>11</v>
      </c>
      <c r="N23" s="31" t="s">
        <v>12</v>
      </c>
      <c r="O23" s="31" t="s">
        <v>13</v>
      </c>
      <c r="P23" s="31" t="s">
        <v>14</v>
      </c>
      <c r="Q23" s="25" t="s">
        <v>15</v>
      </c>
      <c r="R23" s="25" t="s">
        <v>16</v>
      </c>
      <c r="S23" s="25" t="s">
        <v>17</v>
      </c>
      <c r="T23" s="25" t="s">
        <v>18</v>
      </c>
      <c r="U23" s="25" t="s">
        <v>19</v>
      </c>
      <c r="V23" s="25" t="s">
        <v>20</v>
      </c>
      <c r="W23" s="25" t="s">
        <v>21</v>
      </c>
      <c r="X23" s="26" t="s">
        <v>22</v>
      </c>
      <c r="Y23" s="26" t="s">
        <v>23</v>
      </c>
      <c r="Z23" s="27" t="s">
        <v>24</v>
      </c>
      <c r="AA23" s="27" t="s">
        <v>25</v>
      </c>
      <c r="AB23" s="27" t="s">
        <v>26</v>
      </c>
      <c r="AC23" s="27" t="s">
        <v>27</v>
      </c>
      <c r="AD23" s="27" t="s">
        <v>28</v>
      </c>
      <c r="AE23" s="27" t="s">
        <v>29</v>
      </c>
      <c r="AF23" s="26" t="s">
        <v>30</v>
      </c>
      <c r="AG23" s="26" t="s">
        <v>31</v>
      </c>
      <c r="AH23" s="28" t="s">
        <v>19</v>
      </c>
      <c r="AI23" s="28" t="s">
        <v>32</v>
      </c>
      <c r="AJ23" s="28" t="s">
        <v>33</v>
      </c>
      <c r="AK23" s="29" t="s">
        <v>34</v>
      </c>
    </row>
    <row r="24" spans="2:38" s="3" customFormat="1" ht="109.5" customHeight="1" x14ac:dyDescent="0.25">
      <c r="B24" s="255">
        <v>1</v>
      </c>
      <c r="C24" s="256" t="s">
        <v>145</v>
      </c>
      <c r="D24" s="257" t="s">
        <v>137</v>
      </c>
      <c r="E24" s="258" t="s">
        <v>120</v>
      </c>
      <c r="F24" s="124">
        <v>1000</v>
      </c>
      <c r="G24" s="125">
        <f>AI24</f>
        <v>3.1462277700000003</v>
      </c>
      <c r="H24" s="126" t="s">
        <v>146</v>
      </c>
      <c r="I24" s="259" t="s">
        <v>147</v>
      </c>
      <c r="J24" s="127">
        <f>F24*G24</f>
        <v>3146.2277700000004</v>
      </c>
      <c r="K24"/>
      <c r="M24" s="248" t="s">
        <v>148</v>
      </c>
      <c r="N24" s="225" t="s">
        <v>149</v>
      </c>
      <c r="O24" s="250" t="s">
        <v>150</v>
      </c>
      <c r="P24" s="227"/>
      <c r="Q24" s="87">
        <f>1800/1000</f>
        <v>1.8</v>
      </c>
      <c r="R24" s="136">
        <v>35.299999999999997</v>
      </c>
      <c r="S24" s="88">
        <f>Q24*R24/100</f>
        <v>0.63539999999999996</v>
      </c>
      <c r="T24" s="89">
        <f t="shared" ref="T24:T25" si="35">S24*V24</f>
        <v>635.4</v>
      </c>
      <c r="U24" s="90">
        <f>Q24+S24</f>
        <v>2.4354</v>
      </c>
      <c r="V24" s="12">
        <f>F24</f>
        <v>1000</v>
      </c>
      <c r="W24" s="91">
        <f>U24*5</f>
        <v>12.177</v>
      </c>
      <c r="X24" s="71">
        <v>180</v>
      </c>
      <c r="Y24" s="92">
        <f t="shared" ref="Y24:Y25" si="36">V24*U24+W24+X24</f>
        <v>2627.5770000000002</v>
      </c>
      <c r="Z24" s="231" t="s">
        <v>151</v>
      </c>
      <c r="AA24" s="69">
        <v>470</v>
      </c>
      <c r="AB24" s="103">
        <v>1</v>
      </c>
      <c r="AC24" s="103">
        <v>1</v>
      </c>
      <c r="AD24" s="103">
        <v>1</v>
      </c>
      <c r="AE24" s="93">
        <f t="shared" ref="AE24:AE25" si="37">AA24*AB24*AC24*AD24</f>
        <v>470</v>
      </c>
      <c r="AF24" s="104">
        <f>3.5*5</f>
        <v>17.5</v>
      </c>
      <c r="AG24" s="94">
        <f>1%*(Y24+AE24+AF24)</f>
        <v>31.150770000000001</v>
      </c>
      <c r="AH24" s="66">
        <f t="shared" ref="AH24:AH25" si="38">Y24+AE24+AG24+AF24</f>
        <v>3146.2277700000004</v>
      </c>
      <c r="AI24" s="95">
        <f t="shared" ref="AI24:AI25" si="39">AH24/V24</f>
        <v>3.1462277700000003</v>
      </c>
      <c r="AJ24" s="96">
        <f t="shared" ref="AJ24:AJ25" si="40">AI24*18%</f>
        <v>0.56632099860000007</v>
      </c>
      <c r="AK24" s="97">
        <f t="shared" ref="AK24:AK25" si="41">AI24+AJ24</f>
        <v>3.7125487686000005</v>
      </c>
      <c r="AL24" s="98"/>
    </row>
    <row r="25" spans="2:38" ht="109.5" customHeight="1" thickBot="1" x14ac:dyDescent="0.3">
      <c r="B25" s="239"/>
      <c r="C25" s="241"/>
      <c r="D25" s="243"/>
      <c r="E25" s="245"/>
      <c r="F25" s="128">
        <v>500</v>
      </c>
      <c r="G25" s="137">
        <f>AI25</f>
        <v>3.2941679239999999</v>
      </c>
      <c r="H25" s="130" t="s">
        <v>152</v>
      </c>
      <c r="I25" s="247"/>
      <c r="J25" s="131">
        <f>G25*F25</f>
        <v>1647.0839619999999</v>
      </c>
      <c r="M25" s="249"/>
      <c r="N25" s="228"/>
      <c r="O25" s="251"/>
      <c r="P25" s="230"/>
      <c r="Q25" s="87">
        <f>1800/500/2</f>
        <v>1.8</v>
      </c>
      <c r="R25" s="136">
        <v>40.299999999999997</v>
      </c>
      <c r="S25" s="88">
        <f>Q25*R25/100</f>
        <v>0.72539999999999993</v>
      </c>
      <c r="T25" s="89">
        <f t="shared" si="35"/>
        <v>362.7</v>
      </c>
      <c r="U25" s="90">
        <f>Q25+S25</f>
        <v>2.5253999999999999</v>
      </c>
      <c r="V25" s="12">
        <f>F25</f>
        <v>500</v>
      </c>
      <c r="W25" s="91">
        <f>U25*3</f>
        <v>7.5762</v>
      </c>
      <c r="X25" s="71">
        <v>120</v>
      </c>
      <c r="Y25" s="92">
        <f t="shared" si="36"/>
        <v>1390.2762</v>
      </c>
      <c r="Z25" s="232"/>
      <c r="AA25" s="69">
        <v>230</v>
      </c>
      <c r="AB25" s="103">
        <v>1</v>
      </c>
      <c r="AC25" s="103">
        <v>1</v>
      </c>
      <c r="AD25" s="103">
        <v>1</v>
      </c>
      <c r="AE25" s="93">
        <f t="shared" si="37"/>
        <v>230</v>
      </c>
      <c r="AF25" s="104">
        <f>3.5*3</f>
        <v>10.5</v>
      </c>
      <c r="AG25" s="94">
        <f>1%*(Y25+AE25+AF25)</f>
        <v>16.307762</v>
      </c>
      <c r="AH25" s="66">
        <f t="shared" si="38"/>
        <v>1647.0839619999999</v>
      </c>
      <c r="AI25" s="95">
        <f t="shared" si="39"/>
        <v>3.2941679239999999</v>
      </c>
      <c r="AJ25" s="96">
        <f t="shared" si="40"/>
        <v>0.59295022631999994</v>
      </c>
      <c r="AK25" s="97">
        <f t="shared" si="41"/>
        <v>3.8871181503200001</v>
      </c>
    </row>
    <row r="26" spans="2:38" ht="15.75" thickBot="1" x14ac:dyDescent="0.3"/>
    <row r="27" spans="2:38" ht="21" customHeight="1" thickBot="1" x14ac:dyDescent="0.3">
      <c r="B27" s="252" t="s">
        <v>134</v>
      </c>
      <c r="C27" s="253"/>
      <c r="D27" s="253"/>
      <c r="E27" s="253"/>
      <c r="F27" s="253"/>
      <c r="G27" s="253"/>
      <c r="H27" s="253"/>
      <c r="I27" s="253"/>
      <c r="J27" s="254"/>
    </row>
    <row r="28" spans="2:38" s="1" customFormat="1" ht="45" customHeight="1" thickBot="1" x14ac:dyDescent="0.3">
      <c r="B28" s="132" t="s">
        <v>2</v>
      </c>
      <c r="C28" s="133" t="s">
        <v>3</v>
      </c>
      <c r="D28" s="133" t="s">
        <v>4</v>
      </c>
      <c r="E28" s="133" t="s">
        <v>5</v>
      </c>
      <c r="F28" s="133" t="s">
        <v>6</v>
      </c>
      <c r="G28" s="134" t="s">
        <v>7</v>
      </c>
      <c r="H28" s="134" t="s">
        <v>115</v>
      </c>
      <c r="I28" s="134" t="s">
        <v>9</v>
      </c>
      <c r="J28" s="135" t="s">
        <v>116</v>
      </c>
      <c r="K28" s="236" t="s">
        <v>135</v>
      </c>
      <c r="L28" s="237"/>
      <c r="M28" s="30" t="s">
        <v>11</v>
      </c>
      <c r="N28" s="31" t="s">
        <v>12</v>
      </c>
      <c r="O28" s="31" t="s">
        <v>13</v>
      </c>
      <c r="P28" s="31" t="s">
        <v>14</v>
      </c>
      <c r="Q28" s="25" t="s">
        <v>15</v>
      </c>
      <c r="R28" s="25" t="s">
        <v>16</v>
      </c>
      <c r="S28" s="25" t="s">
        <v>17</v>
      </c>
      <c r="T28" s="25" t="s">
        <v>18</v>
      </c>
      <c r="U28" s="25" t="s">
        <v>19</v>
      </c>
      <c r="V28" s="25" t="s">
        <v>20</v>
      </c>
      <c r="W28" s="25" t="s">
        <v>21</v>
      </c>
      <c r="X28" s="26" t="s">
        <v>22</v>
      </c>
      <c r="Y28" s="26" t="s">
        <v>23</v>
      </c>
      <c r="Z28" s="27" t="s">
        <v>24</v>
      </c>
      <c r="AA28" s="27" t="s">
        <v>25</v>
      </c>
      <c r="AB28" s="27" t="s">
        <v>26</v>
      </c>
      <c r="AC28" s="27" t="s">
        <v>27</v>
      </c>
      <c r="AD28" s="27" t="s">
        <v>28</v>
      </c>
      <c r="AE28" s="27" t="s">
        <v>29</v>
      </c>
      <c r="AF28" s="26" t="s">
        <v>30</v>
      </c>
      <c r="AG28" s="26" t="s">
        <v>31</v>
      </c>
      <c r="AH28" s="28" t="s">
        <v>19</v>
      </c>
      <c r="AI28" s="28" t="s">
        <v>32</v>
      </c>
      <c r="AJ28" s="28" t="s">
        <v>33</v>
      </c>
      <c r="AK28" s="29" t="s">
        <v>34</v>
      </c>
    </row>
    <row r="29" spans="2:38" s="3" customFormat="1" ht="109.5" customHeight="1" x14ac:dyDescent="0.25">
      <c r="B29" s="255">
        <v>1</v>
      </c>
      <c r="C29" s="256" t="s">
        <v>136</v>
      </c>
      <c r="D29" s="257" t="s">
        <v>137</v>
      </c>
      <c r="E29" s="258" t="s">
        <v>120</v>
      </c>
      <c r="F29" s="124">
        <v>250</v>
      </c>
      <c r="G29" s="125">
        <v>4.49</v>
      </c>
      <c r="H29" s="126" t="s">
        <v>138</v>
      </c>
      <c r="I29" s="259" t="s">
        <v>139</v>
      </c>
      <c r="J29" s="127">
        <f>F29*G29</f>
        <v>1122.5</v>
      </c>
      <c r="K29"/>
      <c r="M29" s="248" t="s">
        <v>140</v>
      </c>
      <c r="N29" s="225" t="s">
        <v>141</v>
      </c>
      <c r="O29" s="226"/>
      <c r="P29" s="227"/>
      <c r="Q29" s="87">
        <v>2</v>
      </c>
      <c r="R29" s="136">
        <v>57</v>
      </c>
      <c r="S29" s="88">
        <f>Q29*R29/100</f>
        <v>1.1399999999999999</v>
      </c>
      <c r="T29" s="89">
        <f t="shared" ref="T29:T30" si="42">S29*V29</f>
        <v>285</v>
      </c>
      <c r="U29" s="90">
        <f>Q29+S29</f>
        <v>3.1399999999999997</v>
      </c>
      <c r="V29" s="12">
        <v>250</v>
      </c>
      <c r="W29" s="91">
        <f>Q29*5</f>
        <v>10</v>
      </c>
      <c r="X29" s="71">
        <v>60</v>
      </c>
      <c r="Y29" s="92">
        <f t="shared" ref="Y29:Y30" si="43">V29*U29+W29+X29</f>
        <v>854.99999999999989</v>
      </c>
      <c r="Z29" s="231" t="s">
        <v>142</v>
      </c>
      <c r="AA29" s="69">
        <v>190</v>
      </c>
      <c r="AB29" s="103">
        <v>1</v>
      </c>
      <c r="AC29" s="103">
        <v>1</v>
      </c>
      <c r="AD29" s="103">
        <v>1</v>
      </c>
      <c r="AE29" s="93">
        <f t="shared" ref="AE29:AE30" si="44">AA29*AB29*AC29*AD29</f>
        <v>190</v>
      </c>
      <c r="AF29" s="104">
        <v>7</v>
      </c>
      <c r="AG29" s="94">
        <f>1%*(Y29+AE29+AF29)</f>
        <v>10.52</v>
      </c>
      <c r="AH29" s="66">
        <f t="shared" ref="AH29:AH30" si="45">Y29+AE29+AG29+AF29</f>
        <v>1062.52</v>
      </c>
      <c r="AI29" s="95">
        <f t="shared" ref="AI29:AI30" si="46">AH29/V29</f>
        <v>4.2500799999999996</v>
      </c>
      <c r="AJ29" s="96">
        <f t="shared" ref="AJ29:AJ30" si="47">AI29*18%</f>
        <v>0.76501439999999987</v>
      </c>
      <c r="AK29" s="97">
        <f t="shared" ref="AK29:AK30" si="48">AI29+AJ29</f>
        <v>5.0150943999999997</v>
      </c>
      <c r="AL29" s="98"/>
    </row>
    <row r="30" spans="2:38" ht="109.5" customHeight="1" thickBot="1" x14ac:dyDescent="0.3">
      <c r="B30" s="239"/>
      <c r="C30" s="241"/>
      <c r="D30" s="243"/>
      <c r="E30" s="245"/>
      <c r="F30" s="128">
        <v>100</v>
      </c>
      <c r="G30" s="129">
        <v>5.89</v>
      </c>
      <c r="H30" s="130" t="s">
        <v>138</v>
      </c>
      <c r="I30" s="247"/>
      <c r="J30" s="131">
        <f>G30*F30</f>
        <v>589</v>
      </c>
      <c r="M30" s="249"/>
      <c r="N30" s="228"/>
      <c r="O30" s="229"/>
      <c r="P30" s="230"/>
      <c r="Q30" s="87">
        <v>2</v>
      </c>
      <c r="R30" s="136">
        <v>85</v>
      </c>
      <c r="S30" s="88">
        <f>Q30*R30/100</f>
        <v>1.7</v>
      </c>
      <c r="T30" s="89">
        <f t="shared" si="42"/>
        <v>170</v>
      </c>
      <c r="U30" s="90">
        <f>Q30+S30</f>
        <v>3.7</v>
      </c>
      <c r="V30" s="12">
        <v>100</v>
      </c>
      <c r="W30" s="91">
        <f>Q30*2</f>
        <v>4</v>
      </c>
      <c r="X30" s="71">
        <v>60</v>
      </c>
      <c r="Y30" s="92">
        <f t="shared" si="43"/>
        <v>434</v>
      </c>
      <c r="Z30" s="232"/>
      <c r="AA30" s="69">
        <v>100</v>
      </c>
      <c r="AB30" s="103">
        <v>1</v>
      </c>
      <c r="AC30" s="103">
        <v>1</v>
      </c>
      <c r="AD30" s="103">
        <v>1</v>
      </c>
      <c r="AE30" s="93">
        <f t="shared" si="44"/>
        <v>100</v>
      </c>
      <c r="AF30" s="104">
        <v>3.5</v>
      </c>
      <c r="AG30" s="94">
        <f>1%*(Y30+AE30+AF30)</f>
        <v>5.375</v>
      </c>
      <c r="AH30" s="66">
        <f t="shared" si="45"/>
        <v>542.875</v>
      </c>
      <c r="AI30" s="95">
        <f t="shared" si="46"/>
        <v>5.42875</v>
      </c>
      <c r="AJ30" s="96">
        <f t="shared" si="47"/>
        <v>0.9771749999999999</v>
      </c>
      <c r="AK30" s="97">
        <f t="shared" si="48"/>
        <v>6.4059249999999999</v>
      </c>
    </row>
    <row r="32" spans="2:38" ht="23.25" customHeight="1" x14ac:dyDescent="0.25">
      <c r="B32" s="40"/>
      <c r="C32" s="41"/>
      <c r="D32" s="41"/>
      <c r="E32" s="40"/>
      <c r="F32" s="42"/>
      <c r="G32" s="43"/>
      <c r="H32" s="44"/>
      <c r="I32" s="123" t="s">
        <v>44</v>
      </c>
      <c r="J32" s="194"/>
      <c r="K32" s="39"/>
    </row>
    <row r="33" spans="2:22" ht="23.25" customHeight="1" x14ac:dyDescent="0.25">
      <c r="B33" s="40"/>
      <c r="C33" s="41"/>
      <c r="D33" s="41"/>
      <c r="E33" s="40"/>
      <c r="F33" s="42"/>
      <c r="G33" s="43"/>
      <c r="H33" s="44"/>
      <c r="I33" s="45" t="s">
        <v>154</v>
      </c>
      <c r="J33" s="192"/>
      <c r="K33" s="39"/>
    </row>
    <row r="34" spans="2:22" ht="23.25" customHeight="1" x14ac:dyDescent="0.25">
      <c r="B34" s="40"/>
      <c r="C34" s="41"/>
      <c r="D34" s="41"/>
      <c r="E34" s="40"/>
      <c r="F34" s="42"/>
      <c r="G34" s="43"/>
      <c r="H34" s="44"/>
      <c r="I34" s="45" t="s">
        <v>34</v>
      </c>
      <c r="J34" s="192"/>
      <c r="K34" s="39"/>
      <c r="V34">
        <f>1000/250</f>
        <v>4</v>
      </c>
    </row>
  </sheetData>
  <mergeCells count="49">
    <mergeCell ref="B10:H12"/>
    <mergeCell ref="M24:M25"/>
    <mergeCell ref="Z24:Z25"/>
    <mergeCell ref="N24:N25"/>
    <mergeCell ref="O24:O25"/>
    <mergeCell ref="P24:P25"/>
    <mergeCell ref="B22:J22"/>
    <mergeCell ref="K23:L23"/>
    <mergeCell ref="B24:B25"/>
    <mergeCell ref="C24:C25"/>
    <mergeCell ref="D24:D25"/>
    <mergeCell ref="E24:E25"/>
    <mergeCell ref="I24:I25"/>
    <mergeCell ref="Z15:Z16"/>
    <mergeCell ref="K14:L14"/>
    <mergeCell ref="B15:B16"/>
    <mergeCell ref="M19:M20"/>
    <mergeCell ref="M29:M30"/>
    <mergeCell ref="N29:P30"/>
    <mergeCell ref="Z29:Z30"/>
    <mergeCell ref="B27:J27"/>
    <mergeCell ref="K28:L28"/>
    <mergeCell ref="B29:B30"/>
    <mergeCell ref="C29:C30"/>
    <mergeCell ref="D29:D30"/>
    <mergeCell ref="E29:E30"/>
    <mergeCell ref="I29:I30"/>
    <mergeCell ref="O15:O16"/>
    <mergeCell ref="P15:P16"/>
    <mergeCell ref="C15:C16"/>
    <mergeCell ref="D15:D16"/>
    <mergeCell ref="E15:E16"/>
    <mergeCell ref="I15:I16"/>
    <mergeCell ref="C5:D5"/>
    <mergeCell ref="B2:J2"/>
    <mergeCell ref="K3:L3"/>
    <mergeCell ref="N19:P20"/>
    <mergeCell ref="Z19:Z20"/>
    <mergeCell ref="B7:J7"/>
    <mergeCell ref="K8:L8"/>
    <mergeCell ref="N9:P9"/>
    <mergeCell ref="K18:L18"/>
    <mergeCell ref="B17:B18"/>
    <mergeCell ref="C17:C18"/>
    <mergeCell ref="D17:D18"/>
    <mergeCell ref="E17:E18"/>
    <mergeCell ref="I17:I18"/>
    <mergeCell ref="M15:M16"/>
    <mergeCell ref="N15:N16"/>
  </mergeCells>
  <pageMargins left="0.7" right="0.7" top="0.75" bottom="0.75" header="0.3" footer="0.3"/>
  <pageSetup paperSize="9"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ENERO</vt:lpstr>
      <vt:lpstr>FEBRERO</vt:lpstr>
      <vt:lpstr>MARZO</vt:lpstr>
      <vt:lpstr>MAYO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soporte.pruebas001@hotmail.com</dc:creator>
  <cp:keywords/>
  <dc:description/>
  <cp:lastModifiedBy>Yenyser Meza</cp:lastModifiedBy>
  <cp:revision/>
  <dcterms:created xsi:type="dcterms:W3CDTF">2023-10-03T17:02:00Z</dcterms:created>
  <dcterms:modified xsi:type="dcterms:W3CDTF">2026-05-29T18:34:23Z</dcterms:modified>
  <cp:category/>
  <cp:contentStatus/>
</cp:coreProperties>
</file>