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MERCIAL\COMPIPRO\CLIENTES\Cotizados\SUASNABAR\BD Cotizaciones\"/>
    </mc:Choice>
  </mc:AlternateContent>
  <xr:revisionPtr revIDLastSave="1" documentId="13_ncr:1_{BA8342C2-5B53-4D84-9BBD-95F6AE003D96}" xr6:coauthVersionLast="47" xr6:coauthVersionMax="47" xr10:uidLastSave="{C4A3725D-25D7-49B5-A003-FBA188D1D5AF}"/>
  <bookViews>
    <workbookView xWindow="-120" yWindow="-120" windowWidth="19440" windowHeight="150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P4" i="1"/>
  <c r="J4" i="1"/>
  <c r="AD3" i="1"/>
  <c r="P3" i="1"/>
  <c r="V3" i="1" s="1"/>
  <c r="J3" i="1"/>
  <c r="P11" i="1"/>
  <c r="R11" i="1" s="1"/>
  <c r="S11" i="1" s="1"/>
  <c r="P10" i="1"/>
  <c r="R10" i="1" s="1"/>
  <c r="AD11" i="1"/>
  <c r="AD10" i="1"/>
  <c r="AD8" i="1"/>
  <c r="R8" i="1"/>
  <c r="AD9" i="1"/>
  <c r="R9" i="1"/>
  <c r="S9" i="1" s="1"/>
  <c r="R3" i="1" l="1"/>
  <c r="V4" i="1"/>
  <c r="T3" i="1"/>
  <c r="X3" i="1" s="1"/>
  <c r="R4" i="1"/>
  <c r="T4" i="1" s="1"/>
  <c r="X4" i="1" s="1"/>
  <c r="V11" i="1"/>
  <c r="AP11" i="1"/>
  <c r="T11" i="1"/>
  <c r="S10" i="1"/>
  <c r="S12" i="1" s="1"/>
  <c r="T10" i="1"/>
  <c r="AP10" i="1"/>
  <c r="V10" i="1"/>
  <c r="S8" i="1"/>
  <c r="AP8" i="1"/>
  <c r="T8" i="1"/>
  <c r="T9" i="1"/>
  <c r="X9" i="1" s="1"/>
  <c r="AF9" i="1" s="1"/>
  <c r="AP9" i="1"/>
  <c r="AF4" i="1" l="1"/>
  <c r="AG4" i="1" s="1"/>
  <c r="AF3" i="1"/>
  <c r="AG3" i="1" s="1"/>
  <c r="AP4" i="1"/>
  <c r="S4" i="1"/>
  <c r="S3" i="1"/>
  <c r="AP3" i="1"/>
  <c r="X11" i="1"/>
  <c r="AF11" i="1" s="1"/>
  <c r="X10" i="1"/>
  <c r="AF10" i="1" s="1"/>
  <c r="X8" i="1"/>
  <c r="AG9" i="1"/>
  <c r="AK3" i="1" l="1"/>
  <c r="AH3" i="1"/>
  <c r="AH4" i="1"/>
  <c r="AK4" i="1"/>
  <c r="AG11" i="1"/>
  <c r="AK11" i="1" s="1"/>
  <c r="AF8" i="1"/>
  <c r="AG8" i="1" s="1"/>
  <c r="AG10" i="1"/>
  <c r="AH9" i="1"/>
  <c r="AK9" i="1"/>
  <c r="AI4" i="1" l="1"/>
  <c r="AJ4" i="1" s="1"/>
  <c r="AI3" i="1"/>
  <c r="AJ3" i="1" s="1"/>
  <c r="AH11" i="1"/>
  <c r="AI11" i="1" s="1"/>
  <c r="AJ11" i="1" s="1"/>
  <c r="AH8" i="1"/>
  <c r="AI8" i="1" s="1"/>
  <c r="AJ8" i="1" s="1"/>
  <c r="AK8" i="1"/>
  <c r="AH10" i="1"/>
  <c r="AK10" i="1"/>
  <c r="AI9" i="1"/>
  <c r="AJ9" i="1" s="1"/>
  <c r="J9" i="1"/>
  <c r="AL3" i="1" l="1"/>
  <c r="AO3" i="1"/>
  <c r="AM3" i="1"/>
  <c r="AN3" i="1"/>
  <c r="AO4" i="1"/>
  <c r="AN4" i="1"/>
  <c r="AM4" i="1"/>
  <c r="AL4" i="1"/>
  <c r="AS4" i="1" s="1"/>
  <c r="J8" i="1"/>
  <c r="J11" i="1"/>
  <c r="AO11" i="1"/>
  <c r="AN11" i="1"/>
  <c r="AL11" i="1"/>
  <c r="AM11" i="1"/>
  <c r="AI10" i="1"/>
  <c r="AJ10" i="1" s="1"/>
  <c r="J10" i="1"/>
  <c r="AO8" i="1"/>
  <c r="AL8" i="1"/>
  <c r="AN8" i="1"/>
  <c r="AM8" i="1"/>
  <c r="AM9" i="1"/>
  <c r="AL9" i="1"/>
  <c r="AO9" i="1"/>
  <c r="AN9" i="1"/>
  <c r="AS3" i="1" l="1"/>
  <c r="AQ3" i="1"/>
  <c r="AT3" i="1" s="1"/>
  <c r="AQ4" i="1"/>
  <c r="AT4" i="1" s="1"/>
  <c r="AS11" i="1"/>
  <c r="AQ11" i="1"/>
  <c r="AT11" i="1" s="1"/>
  <c r="AM10" i="1"/>
  <c r="AN10" i="1"/>
  <c r="AL10" i="1"/>
  <c r="AO10" i="1"/>
  <c r="AS9" i="1"/>
  <c r="AS8" i="1"/>
  <c r="AQ8" i="1"/>
  <c r="AT8" i="1" s="1"/>
  <c r="AQ9" i="1"/>
  <c r="AT9" i="1" s="1"/>
  <c r="AQ10" i="1" l="1"/>
  <c r="AT10" i="1" s="1"/>
  <c r="AS10" i="1"/>
  <c r="AE15" i="1" l="1"/>
  <c r="W15" i="1"/>
  <c r="P15" i="1"/>
  <c r="AD22" i="1" l="1"/>
  <c r="P22" i="1"/>
  <c r="V22" i="1" s="1"/>
  <c r="AD21" i="1"/>
  <c r="P21" i="1"/>
  <c r="V21" i="1" s="1"/>
  <c r="AD15" i="1"/>
  <c r="P16" i="1"/>
  <c r="R16" i="1" s="1"/>
  <c r="S16" i="1" s="1"/>
  <c r="P17" i="1"/>
  <c r="R17" i="1" s="1"/>
  <c r="T17" i="1" s="1"/>
  <c r="AD17" i="1"/>
  <c r="AD16" i="1"/>
  <c r="R21" i="1" l="1"/>
  <c r="R22" i="1"/>
  <c r="AP22" i="1" s="1"/>
  <c r="V15" i="1"/>
  <c r="R15" i="1"/>
  <c r="V17" i="1"/>
  <c r="X17" i="1" s="1"/>
  <c r="AF17" i="1" s="1"/>
  <c r="AP17" i="1"/>
  <c r="S17" i="1"/>
  <c r="AP16" i="1"/>
  <c r="T16" i="1"/>
  <c r="V16" i="1"/>
  <c r="T22" i="1" l="1"/>
  <c r="X22" i="1" s="1"/>
  <c r="AF22" i="1" s="1"/>
  <c r="AG22" i="1" s="1"/>
  <c r="AP21" i="1"/>
  <c r="S21" i="1"/>
  <c r="S22" i="1"/>
  <c r="T21" i="1"/>
  <c r="X21" i="1" s="1"/>
  <c r="AF21" i="1" s="1"/>
  <c r="AG21" i="1" s="1"/>
  <c r="S15" i="1"/>
  <c r="S18" i="1" s="1"/>
  <c r="AP15" i="1"/>
  <c r="T15" i="1"/>
  <c r="X15" i="1" s="1"/>
  <c r="AF15" i="1" s="1"/>
  <c r="AG17" i="1"/>
  <c r="X16" i="1"/>
  <c r="AF16" i="1" s="1"/>
  <c r="S23" i="1" l="1"/>
  <c r="AH21" i="1"/>
  <c r="AK21" i="1"/>
  <c r="AK22" i="1"/>
  <c r="AH22" i="1"/>
  <c r="AG15" i="1"/>
  <c r="AK17" i="1"/>
  <c r="AH17" i="1"/>
  <c r="G17" i="1" s="1"/>
  <c r="AG16" i="1"/>
  <c r="AI22" i="1" l="1"/>
  <c r="AJ22" i="1" s="1"/>
  <c r="AI21" i="1"/>
  <c r="AJ21" i="1" s="1"/>
  <c r="AH15" i="1"/>
  <c r="G15" i="1" s="1"/>
  <c r="AK15" i="1"/>
  <c r="AI17" i="1"/>
  <c r="AJ17" i="1" s="1"/>
  <c r="AO17" i="1" s="1"/>
  <c r="AH16" i="1"/>
  <c r="G16" i="1" s="1"/>
  <c r="AK16" i="1"/>
  <c r="AL21" i="1" l="1"/>
  <c r="AO21" i="1"/>
  <c r="AN21" i="1"/>
  <c r="AM21" i="1"/>
  <c r="AO22" i="1"/>
  <c r="AN22" i="1"/>
  <c r="AM22" i="1"/>
  <c r="AL22" i="1"/>
  <c r="AS22" i="1" s="1"/>
  <c r="AI15" i="1"/>
  <c r="AJ15" i="1" s="1"/>
  <c r="AL17" i="1"/>
  <c r="AM17" i="1"/>
  <c r="AN17" i="1"/>
  <c r="AQ17" i="1" s="1"/>
  <c r="AI16" i="1"/>
  <c r="AJ16" i="1" s="1"/>
  <c r="AQ21" i="1" l="1"/>
  <c r="AT21" i="1" s="1"/>
  <c r="AQ22" i="1"/>
  <c r="AT22" i="1" s="1"/>
  <c r="AS21" i="1"/>
  <c r="AN15" i="1"/>
  <c r="AM15" i="1"/>
  <c r="AL15" i="1"/>
  <c r="AO15" i="1"/>
  <c r="AS17" i="1"/>
  <c r="AT17" i="1"/>
  <c r="AM16" i="1"/>
  <c r="AL16" i="1"/>
  <c r="AO16" i="1"/>
  <c r="AN16" i="1"/>
  <c r="AQ15" i="1" l="1"/>
  <c r="AT15" i="1" s="1"/>
  <c r="AS15" i="1"/>
  <c r="AS16" i="1"/>
  <c r="AQ16" i="1"/>
  <c r="AT16" i="1" s="1"/>
</calcChain>
</file>

<file path=xl/sharedStrings.xml><?xml version="1.0" encoding="utf-8"?>
<sst xmlns="http://schemas.openxmlformats.org/spreadsheetml/2006/main" count="217" uniqueCount="68">
  <si>
    <t>COTIZACIÓN PROPUESTA_SUASNABAR_TAZAS , POLO, CAJA_20.10.21</t>
  </si>
  <si>
    <t>Nº</t>
  </si>
  <si>
    <t>Cód. Artíc.</t>
  </si>
  <si>
    <t>Artículo</t>
  </si>
  <si>
    <t>Foto</t>
  </si>
  <si>
    <t xml:space="preserve">Cant. </t>
  </si>
  <si>
    <t>Costo Uni. 
No IGV (S/.)</t>
  </si>
  <si>
    <t xml:space="preserve">Tiempo Entrega </t>
  </si>
  <si>
    <t>Detalle</t>
  </si>
  <si>
    <t>Costo TOTAL. 
No IGV (S/.)</t>
  </si>
  <si>
    <t>APROBADO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</si>
  <si>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</si>
  <si>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</si>
  <si>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</si>
  <si>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</si>
  <si>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</si>
  <si>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</si>
  <si>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</si>
  <si>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</si>
  <si>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</si>
  <si>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</si>
  <si>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</si>
  <si>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</si>
  <si>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</si>
  <si>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</si>
  <si>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</si>
  <si>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</si>
  <si>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</si>
  <si>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</si>
  <si>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</si>
  <si>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</si>
  <si>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</si>
  <si>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</si>
  <si>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</si>
  <si>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</si>
  <si>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TAZAS BLANCAS GRANDES</t>
  </si>
  <si>
    <t>*Imagen Referencial</t>
  </si>
  <si>
    <t>5 a 7 dias útiles</t>
  </si>
  <si>
    <r>
      <rPr>
        <b/>
        <u/>
        <sz val="14"/>
        <color indexed="8"/>
        <rFont val="Arial"/>
        <family val="2"/>
      </rPr>
      <t>TAZAS BLANCAS ALTAS</t>
    </r>
    <r>
      <rPr>
        <sz val="14"/>
        <color indexed="8"/>
        <rFont val="Arial"/>
        <family val="2"/>
      </rPr>
      <t xml:space="preserve">
Color: Blanco </t>
    </r>
    <r>
      <rPr>
        <sz val="14"/>
        <color rgb="FF000000"/>
        <rFont val="Arial"/>
        <family val="2"/>
      </rPr>
      <t>entero</t>
    </r>
    <r>
      <rPr>
        <sz val="14"/>
        <color indexed="8"/>
        <rFont val="Arial"/>
        <family val="2"/>
      </rPr>
      <t xml:space="preserve">
Modelo: Foto referencial
Capacidad: 15 oz
Medidas: 11 cm de alto x 8 cm de diámetro.
Presentación: Caja Individual.
</t>
    </r>
    <r>
      <rPr>
        <sz val="14"/>
        <color indexed="10"/>
        <rFont val="Arial"/>
        <family val="2"/>
      </rPr>
      <t xml:space="preserve">*Incluye impresion de logo de 3 o 4 colores
*Diseño y arte facilitado por cliente en formato editable.
------------
Si deseas que la entrega se en cajita individual  sin logo:   
</t>
    </r>
    <r>
      <rPr>
        <b/>
        <sz val="18"/>
        <color rgb="FFFF0000"/>
        <rFont val="Arial"/>
        <family val="2"/>
      </rPr>
      <t xml:space="preserve">+ </t>
    </r>
    <r>
      <rPr>
        <b/>
        <sz val="14"/>
        <color rgb="FFFF0000"/>
        <rFont val="Arial"/>
        <family val="2"/>
      </rPr>
      <t>S/1 + IGV</t>
    </r>
  </si>
  <si>
    <t>MIGUEL
986 647 267</t>
  </si>
  <si>
    <t>S/9.5 incluido igv</t>
  </si>
  <si>
    <t>Ya incluye</t>
  </si>
  <si>
    <t>POLO
MODELO ESPECIAL</t>
  </si>
  <si>
    <r>
      <rPr>
        <b/>
        <u/>
        <sz val="14"/>
        <color rgb="FF000000"/>
        <rFont val="Arial"/>
      </rPr>
      <t xml:space="preserve">POLO MODELO ESPECIAL
</t>
    </r>
    <r>
      <rPr>
        <sz val="14"/>
        <color rgb="FF000000"/>
        <rFont val="Arial"/>
      </rPr>
      <t xml:space="preserve">Modelo: MODA
Material_Algodon 20/1
Diseño tal cual la foto referencial, franja de la manga y cuello de color azul corporativo.
Color: Blanco.
</t>
    </r>
    <r>
      <rPr>
        <sz val="14"/>
        <color rgb="FFFF0000"/>
        <rFont val="Arial"/>
      </rPr>
      <t xml:space="preserve">*Incluye un logo bordado en el pecho de Suasnabar
*Diseño y arte facilitado por cliente en formato editable.
</t>
    </r>
  </si>
  <si>
    <t>NEREYDA</t>
  </si>
  <si>
    <t>30 + igv</t>
  </si>
  <si>
    <t>RECOTIZACION</t>
  </si>
  <si>
    <t>CAJA DE PANETON
PERSONALIZADA</t>
  </si>
  <si>
    <t>12 a 15 dias útiles</t>
  </si>
  <si>
    <r>
      <rPr>
        <b/>
        <u/>
        <sz val="14"/>
        <color indexed="8"/>
        <rFont val="Arial"/>
        <family val="2"/>
      </rPr>
      <t xml:space="preserve">CAJA TRUPAN
</t>
    </r>
    <r>
      <rPr>
        <sz val="14"/>
        <color rgb="FF000000"/>
        <rFont val="Arial"/>
        <family val="2"/>
      </rPr>
      <t>Descripcion: Para regalos corporativos TOP, Kits, canasta de panetones.
De alta durabilidad, resistente al peso.</t>
    </r>
    <r>
      <rPr>
        <sz val="14"/>
        <color indexed="8"/>
        <rFont val="Arial"/>
        <family val="2"/>
      </rPr>
      <t xml:space="preserve">
Medidas: 20x20x10
</t>
    </r>
    <r>
      <rPr>
        <sz val="14"/>
        <color rgb="FFFF0000"/>
        <rFont val="Arial"/>
        <family val="2"/>
      </rPr>
      <t>*No incluye logo</t>
    </r>
  </si>
  <si>
    <t xml:space="preserve">PAGO 50%/50%
ENTREGA EN LINCE
</t>
  </si>
  <si>
    <t>DARTE AMOR
931 986 812</t>
  </si>
  <si>
    <t>4.50 + igv</t>
  </si>
  <si>
    <t>Se ajusto precio, peo no mucho pues tamaño es más grande y cuensta mas como precio produccion</t>
  </si>
  <si>
    <r>
      <rPr>
        <b/>
        <u/>
        <sz val="14"/>
        <color indexed="8"/>
        <rFont val="Arial"/>
        <family val="2"/>
      </rPr>
      <t xml:space="preserve">POLO MODELO ESPECIAL
</t>
    </r>
    <r>
      <rPr>
        <sz val="14"/>
        <color rgb="FF000000"/>
        <rFont val="Arial"/>
        <family val="2"/>
      </rPr>
      <t>Modelo: MODA</t>
    </r>
    <r>
      <rPr>
        <sz val="14"/>
        <color indexed="8"/>
        <rFont val="Arial"/>
        <family val="2"/>
      </rPr>
      <t xml:space="preserve">
Material_Algodon 20/1
Diseño tal cual la foto referencial, franja de la manga y cuello de color azul corporativo.
Color: Blanco.
</t>
    </r>
    <r>
      <rPr>
        <sz val="14"/>
        <color indexed="10"/>
        <rFont val="Arial"/>
        <family val="2"/>
      </rPr>
      <t xml:space="preserve">*Incluye un logo estampado en el pecho de Suasnabar
*Diseño y arte facilitado por cliente en formato editable.
</t>
    </r>
  </si>
  <si>
    <t xml:space="preserve">PRECIO POLO PIDE BAJO
</t>
  </si>
  <si>
    <r>
      <rPr>
        <b/>
        <u/>
        <sz val="14"/>
        <color indexed="8"/>
        <rFont val="Arial"/>
        <family val="2"/>
      </rPr>
      <t xml:space="preserve">CAJA DE PANETON PERSONALIZADA
</t>
    </r>
    <r>
      <rPr>
        <sz val="14"/>
        <color indexed="8"/>
        <rFont val="Arial"/>
        <family val="2"/>
      </rPr>
      <t xml:space="preserve">Descripcion: Cajas de paneton Ecologico
Medidas: 500 gramos o 900 gramos
Caja personalizado, se armara el diseño con el CLISET
</t>
    </r>
    <r>
      <rPr>
        <sz val="14"/>
        <color rgb="FFFF0000"/>
        <rFont val="Arial"/>
        <family val="2"/>
      </rPr>
      <t>*Incluye impresión a full color</t>
    </r>
    <r>
      <rPr>
        <sz val="14"/>
        <color indexed="8"/>
        <rFont val="Arial"/>
        <family val="2"/>
      </rPr>
      <t xml:space="preserve">
</t>
    </r>
    <r>
      <rPr>
        <sz val="14"/>
        <color indexed="10"/>
        <rFont val="Arial"/>
        <family val="2"/>
      </rPr>
      <t>*Diseño y arte facilitado por cliente</t>
    </r>
  </si>
  <si>
    <t>Dina
GRAFICOS Y PUBLICITARIOS
923 109 771</t>
  </si>
  <si>
    <t>file:///C:/Users/lesly/Downloads/CAJA%20ECOLOGICO.pdf</t>
  </si>
  <si>
    <t>900 (impresion) + 500(cliset)
Movilidad S/35(para llevar el paneton al prov. + S/40(para enviar del prov. al cliente ya armado en la caja</t>
  </si>
  <si>
    <t>TAZAS BLANCAS CON ASA Y FONDO A COLOR</t>
  </si>
  <si>
    <r>
      <rPr>
        <b/>
        <u/>
        <sz val="14"/>
        <color indexed="8"/>
        <rFont val="Arial"/>
        <family val="2"/>
      </rPr>
      <t>TAZAS BLANCAS CON ASA Y FONDO A COLOR</t>
    </r>
    <r>
      <rPr>
        <sz val="14"/>
        <color indexed="8"/>
        <rFont val="Arial"/>
        <family val="2"/>
      </rPr>
      <t xml:space="preserve">
Color: Blanco </t>
    </r>
    <r>
      <rPr>
        <b/>
        <sz val="14"/>
        <color indexed="8"/>
        <rFont val="Arial"/>
        <family val="2"/>
      </rPr>
      <t>con asa y fondo de color Azul.</t>
    </r>
    <r>
      <rPr>
        <sz val="14"/>
        <color indexed="8"/>
        <rFont val="Arial"/>
        <family val="2"/>
      </rPr>
      <t xml:space="preserve">
Modelo: Cilindrico
Capacidad: 11 oz
Medidas: 9,5 cm de alto x 8 cm de diámetro.
Presentación: Caja Individual.
</t>
    </r>
    <r>
      <rPr>
        <sz val="14"/>
        <color indexed="10"/>
        <rFont val="Arial"/>
        <family val="2"/>
      </rPr>
      <t>*Incluye impresion de logo y/o diseño a full color en los bordes de la taza, en técnica sublimacion (costo no varia si es logo a 1 o varios colores).
*Diseño y arte facilitado por cliente en formato editable.</t>
    </r>
  </si>
  <si>
    <t>S/8.9  incluido igv</t>
  </si>
  <si>
    <t>POLO</t>
  </si>
  <si>
    <r>
      <rPr>
        <b/>
        <u/>
        <sz val="14"/>
        <color indexed="8"/>
        <rFont val="Arial"/>
        <family val="2"/>
      </rPr>
      <t xml:space="preserve">POLO
</t>
    </r>
    <r>
      <rPr>
        <sz val="14"/>
        <color rgb="FF000000"/>
        <rFont val="Arial"/>
        <family val="2"/>
      </rPr>
      <t>Material: Pique LACOSTE 30/1</t>
    </r>
    <r>
      <rPr>
        <sz val="14"/>
        <color indexed="8"/>
        <rFont val="Arial"/>
        <family val="2"/>
      </rPr>
      <t xml:space="preserve">
Es pique lacoste 30 al 1
Color: Blanco.
Incluye cuello y 3 botones, franja azul en el cuello y manga. 
</t>
    </r>
    <r>
      <rPr>
        <sz val="14"/>
        <color indexed="10"/>
        <rFont val="Arial"/>
        <family val="2"/>
      </rPr>
      <t xml:space="preserve">*Incluye un logo BORDADO de Suasnabar
*Diseño y arte facilitado por cliente en formato editable.
</t>
    </r>
    <r>
      <rPr>
        <sz val="14"/>
        <rFont val="Arial"/>
        <family val="2"/>
      </rPr>
      <t xml:space="preserve">------------------------------
</t>
    </r>
    <r>
      <rPr>
        <b/>
        <sz val="14"/>
        <rFont val="Arial"/>
        <family val="2"/>
      </rPr>
      <t xml:space="preserve">* Si deseas de material jersey algodon 20/1 con logo estampado: Se disminuye - S/2+IGV
</t>
    </r>
  </si>
  <si>
    <t>Es pique lacoste 30 al 1 ,  con 1 logo bordado en pecho, 25 soles la unidad incluido igv</t>
  </si>
  <si>
    <t>COTIZACIÓN PROPUESTA_SUASNABAR_TAZAS , POLO, CAJA_19.10.21</t>
  </si>
  <si>
    <t>ENTREGA EN COMPINA
PAGO 50/50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</si>
</sst>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_(* #,##0_);_(* \(#,##0\);_(* &quot;-&quot;??_);_(@_)"/>
    <numFmt numFmtId="166" formatCode="&quot;S/.&quot;\ #,##0.00"/>
    <numFmt numFmtId="167" formatCode="[$S/.-280A]\ #,##0.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indexed="8"/>
      <name val="Calibri"/>
      <family val="2"/>
    </font>
    <font>
      <b/>
      <sz val="14"/>
      <color indexed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indexed="10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b/>
      <sz val="14"/>
      <color indexed="9"/>
      <name val="Arial"/>
      <family val="2"/>
    </font>
    <font>
      <sz val="10"/>
      <color indexed="60"/>
      <name val="Calibri"/>
      <family val="2"/>
    </font>
    <font>
      <b/>
      <sz val="10"/>
      <color indexed="8"/>
      <name val="Calibri"/>
      <family val="2"/>
    </font>
    <font>
      <b/>
      <u/>
      <sz val="14"/>
      <color indexed="8"/>
      <name val="Arial"/>
      <family val="2"/>
    </font>
    <font>
      <sz val="14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000000"/>
      <name val="Arial"/>
    </font>
    <font>
      <sz val="14"/>
      <color rgb="FF000000"/>
      <name val="Arial"/>
    </font>
    <font>
      <sz val="14"/>
      <color rgb="FFFF0000"/>
      <name val="Arial"/>
    </font>
    <font>
      <sz val="14"/>
      <color indexed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56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8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0" fontId="3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0" applyFont="1"/>
    <xf numFmtId="0" fontId="5" fillId="0" borderId="0" xfId="1" applyFont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0" borderId="0" xfId="1" applyFont="1"/>
    <xf numFmtId="0" fontId="7" fillId="0" borderId="0" xfId="0" applyFont="1"/>
    <xf numFmtId="0" fontId="8" fillId="3" borderId="5" xfId="2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3" borderId="6" xfId="3" applyFont="1" applyFill="1" applyBorder="1" applyAlignment="1">
      <alignment horizontal="center" vertical="center" wrapText="1"/>
    </xf>
    <xf numFmtId="0" fontId="8" fillId="3" borderId="7" xfId="3" applyFont="1" applyFill="1" applyBorder="1" applyAlignment="1">
      <alignment horizontal="center" vertical="center" wrapText="1"/>
    </xf>
    <xf numFmtId="0" fontId="3" fillId="5" borderId="0" xfId="1" applyFill="1"/>
    <xf numFmtId="0" fontId="9" fillId="6" borderId="8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 wrapText="1"/>
    </xf>
    <xf numFmtId="0" fontId="10" fillId="7" borderId="3" xfId="1" applyFont="1" applyFill="1" applyBorder="1" applyAlignment="1">
      <alignment horizontal="center" vertical="center" wrapText="1"/>
    </xf>
    <xf numFmtId="0" fontId="10" fillId="4" borderId="8" xfId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9" fillId="8" borderId="8" xfId="1" applyFont="1" applyFill="1" applyBorder="1" applyAlignment="1">
      <alignment horizontal="center" vertical="center" wrapText="1"/>
    </xf>
    <xf numFmtId="0" fontId="9" fillId="8" borderId="9" xfId="1" applyFont="1" applyFill="1" applyBorder="1" applyAlignment="1">
      <alignment horizontal="center" vertical="center" wrapText="1"/>
    </xf>
    <xf numFmtId="9" fontId="9" fillId="8" borderId="10" xfId="1" applyNumberFormat="1" applyFont="1" applyFill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3" fillId="0" borderId="12" xfId="0" applyFont="1" applyBorder="1" applyAlignment="1">
      <alignment horizontal="center" wrapText="1"/>
    </xf>
    <xf numFmtId="0" fontId="14" fillId="0" borderId="12" xfId="1" applyFont="1" applyBorder="1" applyAlignment="1">
      <alignment horizontal="center" vertical="center" wrapText="1"/>
    </xf>
    <xf numFmtId="166" fontId="14" fillId="0" borderId="12" xfId="1" applyNumberFormat="1" applyFont="1" applyBorder="1" applyAlignment="1">
      <alignment horizontal="center" vertical="center" wrapText="1"/>
    </xf>
    <xf numFmtId="0" fontId="15" fillId="5" borderId="12" xfId="1" applyFont="1" applyFill="1" applyBorder="1" applyAlignment="1">
      <alignment horizontal="center" vertical="center" wrapText="1"/>
    </xf>
    <xf numFmtId="49" fontId="6" fillId="5" borderId="11" xfId="1" applyNumberFormat="1" applyFont="1" applyFill="1" applyBorder="1" applyAlignment="1">
      <alignment horizontal="center" vertical="center" wrapText="1"/>
    </xf>
    <xf numFmtId="167" fontId="16" fillId="5" borderId="13" xfId="1" applyNumberFormat="1" applyFont="1" applyFill="1" applyBorder="1" applyAlignment="1">
      <alignment horizontal="center" vertical="center" wrapText="1"/>
    </xf>
    <xf numFmtId="0" fontId="12" fillId="9" borderId="14" xfId="1" applyFont="1" applyFill="1" applyBorder="1" applyAlignment="1">
      <alignment horizontal="center" vertical="center"/>
    </xf>
    <xf numFmtId="167" fontId="16" fillId="7" borderId="14" xfId="1" applyNumberFormat="1" applyFont="1" applyFill="1" applyBorder="1" applyAlignment="1">
      <alignment horizontal="center" vertical="center"/>
    </xf>
    <xf numFmtId="166" fontId="17" fillId="7" borderId="14" xfId="1" applyNumberFormat="1" applyFont="1" applyFill="1" applyBorder="1" applyAlignment="1">
      <alignment horizontal="center" vertical="center"/>
    </xf>
    <xf numFmtId="166" fontId="18" fillId="7" borderId="14" xfId="1" applyNumberFormat="1" applyFont="1" applyFill="1" applyBorder="1" applyAlignment="1">
      <alignment horizontal="center" vertical="center"/>
    </xf>
    <xf numFmtId="166" fontId="16" fillId="7" borderId="15" xfId="1" applyNumberFormat="1" applyFont="1" applyFill="1" applyBorder="1" applyAlignment="1">
      <alignment horizontal="center" vertical="center"/>
    </xf>
    <xf numFmtId="166" fontId="16" fillId="5" borderId="16" xfId="1" applyNumberFormat="1" applyFont="1" applyFill="1" applyBorder="1" applyAlignment="1">
      <alignment horizontal="center" vertical="center"/>
    </xf>
    <xf numFmtId="166" fontId="19" fillId="5" borderId="15" xfId="1" applyNumberFormat="1" applyFont="1" applyFill="1" applyBorder="1" applyAlignment="1">
      <alignment horizontal="center" vertical="center"/>
    </xf>
    <xf numFmtId="166" fontId="11" fillId="5" borderId="16" xfId="1" applyNumberFormat="1" applyFont="1" applyFill="1" applyBorder="1" applyAlignment="1">
      <alignment horizontal="center" vertical="center" wrapText="1"/>
    </xf>
    <xf numFmtId="166" fontId="16" fillId="10" borderId="14" xfId="1" applyNumberFormat="1" applyFont="1" applyFill="1" applyBorder="1" applyAlignment="1">
      <alignment horizontal="center" vertical="center"/>
    </xf>
    <xf numFmtId="0" fontId="16" fillId="9" borderId="14" xfId="1" applyFont="1" applyFill="1" applyBorder="1" applyAlignment="1">
      <alignment horizontal="center" vertical="center"/>
    </xf>
    <xf numFmtId="166" fontId="20" fillId="5" borderId="15" xfId="1" applyNumberFormat="1" applyFont="1" applyFill="1" applyBorder="1" applyAlignment="1">
      <alignment horizontal="center" vertical="center"/>
    </xf>
    <xf numFmtId="166" fontId="16" fillId="9" borderId="16" xfId="1" applyNumberFormat="1" applyFont="1" applyFill="1" applyBorder="1" applyAlignment="1">
      <alignment horizontal="center" vertical="center"/>
    </xf>
    <xf numFmtId="166" fontId="20" fillId="5" borderId="16" xfId="1" applyNumberFormat="1" applyFont="1" applyFill="1" applyBorder="1" applyAlignment="1">
      <alignment horizontal="center" vertical="center"/>
    </xf>
    <xf numFmtId="166" fontId="16" fillId="0" borderId="16" xfId="1" applyNumberFormat="1" applyFont="1" applyBorder="1" applyAlignment="1">
      <alignment horizontal="center" vertical="center"/>
    </xf>
    <xf numFmtId="166" fontId="21" fillId="8" borderId="14" xfId="1" applyNumberFormat="1" applyFont="1" applyFill="1" applyBorder="1" applyAlignment="1">
      <alignment horizontal="center" vertical="center"/>
    </xf>
    <xf numFmtId="167" fontId="16" fillId="5" borderId="14" xfId="3" applyNumberFormat="1" applyFont="1" applyFill="1" applyBorder="1" applyAlignment="1">
      <alignment horizontal="center" vertical="center"/>
    </xf>
    <xf numFmtId="167" fontId="19" fillId="5" borderId="17" xfId="1" applyNumberFormat="1" applyFont="1" applyFill="1" applyBorder="1" applyAlignment="1">
      <alignment horizontal="center" vertical="center"/>
    </xf>
    <xf numFmtId="166" fontId="7" fillId="0" borderId="0" xfId="0" applyNumberFormat="1" applyFont="1"/>
    <xf numFmtId="167" fontId="22" fillId="0" borderId="12" xfId="5" applyNumberFormat="1" applyFont="1" applyBorder="1" applyAlignment="1">
      <alignment horizontal="center" vertical="center"/>
    </xf>
    <xf numFmtId="167" fontId="7" fillId="0" borderId="12" xfId="0" applyNumberFormat="1" applyFont="1" applyBorder="1" applyAlignment="1">
      <alignment horizontal="center" vertical="center"/>
    </xf>
    <xf numFmtId="167" fontId="22" fillId="0" borderId="12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left" vertical="center" wrapText="1"/>
    </xf>
    <xf numFmtId="165" fontId="26" fillId="0" borderId="18" xfId="6" applyNumberFormat="1" applyFill="1" applyBorder="1" applyAlignment="1">
      <alignment vertical="center" wrapText="1"/>
    </xf>
    <xf numFmtId="0" fontId="4" fillId="2" borderId="0" xfId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8" fillId="3" borderId="0" xfId="3" applyFont="1" applyFill="1" applyBorder="1" applyAlignment="1">
      <alignment horizontal="center" vertical="center" wrapText="1"/>
    </xf>
    <xf numFmtId="0" fontId="16" fillId="0" borderId="0" xfId="3" applyFont="1" applyBorder="1" applyAlignment="1">
      <alignment horizontal="left" vertical="center" wrapText="1"/>
    </xf>
    <xf numFmtId="166" fontId="28" fillId="11" borderId="0" xfId="0" applyNumberFormat="1" applyFont="1" applyFill="1" applyAlignment="1">
      <alignment horizontal="center"/>
    </xf>
    <xf numFmtId="0" fontId="0" fillId="0" borderId="12" xfId="0" applyBorder="1"/>
    <xf numFmtId="0" fontId="29" fillId="0" borderId="0" xfId="0" applyFont="1" applyAlignment="1">
      <alignment horizontal="center" vertical="center" wrapText="1"/>
    </xf>
    <xf numFmtId="166" fontId="28" fillId="0" borderId="0" xfId="0" applyNumberFormat="1" applyFont="1"/>
    <xf numFmtId="0" fontId="32" fillId="5" borderId="0" xfId="1" applyFont="1" applyFill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11" fillId="0" borderId="30" xfId="1" applyFont="1" applyBorder="1" applyAlignment="1">
      <alignment horizontal="center" vertical="center"/>
    </xf>
    <xf numFmtId="165" fontId="12" fillId="0" borderId="0" xfId="4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14" fillId="0" borderId="0" xfId="1" applyFont="1" applyBorder="1" applyAlignment="1">
      <alignment horizontal="center" vertical="center" wrapText="1"/>
    </xf>
    <xf numFmtId="166" fontId="14" fillId="0" borderId="0" xfId="1" applyNumberFormat="1" applyFont="1" applyBorder="1" applyAlignment="1">
      <alignment horizontal="center" vertical="center" wrapText="1"/>
    </xf>
    <xf numFmtId="0" fontId="15" fillId="5" borderId="0" xfId="1" applyFont="1" applyFill="1" applyBorder="1" applyAlignment="1">
      <alignment horizontal="center" vertical="center" wrapText="1"/>
    </xf>
    <xf numFmtId="49" fontId="6" fillId="5" borderId="0" xfId="1" applyNumberFormat="1" applyFont="1" applyFill="1" applyBorder="1" applyAlignment="1">
      <alignment horizontal="center" vertical="center" wrapText="1"/>
    </xf>
    <xf numFmtId="165" fontId="6" fillId="0" borderId="0" xfId="4" applyNumberFormat="1" applyFont="1" applyFill="1" applyBorder="1" applyAlignment="1">
      <alignment horizontal="center" vertical="center" wrapText="1"/>
    </xf>
    <xf numFmtId="167" fontId="16" fillId="5" borderId="0" xfId="1" applyNumberFormat="1" applyFont="1" applyFill="1" applyBorder="1" applyAlignment="1">
      <alignment horizontal="center" vertical="center" wrapText="1"/>
    </xf>
    <xf numFmtId="0" fontId="12" fillId="9" borderId="0" xfId="1" applyFont="1" applyFill="1" applyBorder="1" applyAlignment="1">
      <alignment horizontal="center" vertical="center"/>
    </xf>
    <xf numFmtId="167" fontId="16" fillId="7" borderId="0" xfId="1" applyNumberFormat="1" applyFont="1" applyFill="1" applyBorder="1" applyAlignment="1">
      <alignment horizontal="center" vertical="center"/>
    </xf>
    <xf numFmtId="166" fontId="17" fillId="7" borderId="0" xfId="1" applyNumberFormat="1" applyFont="1" applyFill="1" applyBorder="1" applyAlignment="1">
      <alignment horizontal="center" vertical="center"/>
    </xf>
    <xf numFmtId="166" fontId="18" fillId="7" borderId="0" xfId="1" applyNumberFormat="1" applyFont="1" applyFill="1" applyBorder="1" applyAlignment="1">
      <alignment horizontal="center" vertical="center"/>
    </xf>
    <xf numFmtId="166" fontId="16" fillId="7" borderId="0" xfId="1" applyNumberFormat="1" applyFont="1" applyFill="1" applyBorder="1" applyAlignment="1">
      <alignment horizontal="center" vertical="center"/>
    </xf>
    <xf numFmtId="166" fontId="16" fillId="5" borderId="0" xfId="1" applyNumberFormat="1" applyFont="1" applyFill="1" applyBorder="1" applyAlignment="1">
      <alignment horizontal="center" vertical="center"/>
    </xf>
    <xf numFmtId="166" fontId="19" fillId="5" borderId="0" xfId="1" applyNumberFormat="1" applyFont="1" applyFill="1" applyBorder="1" applyAlignment="1">
      <alignment horizontal="center" vertical="center"/>
    </xf>
    <xf numFmtId="166" fontId="11" fillId="5" borderId="0" xfId="1" applyNumberFormat="1" applyFont="1" applyFill="1" applyBorder="1" applyAlignment="1">
      <alignment horizontal="center" vertical="center" wrapText="1"/>
    </xf>
    <xf numFmtId="166" fontId="16" fillId="10" borderId="0" xfId="1" applyNumberFormat="1" applyFont="1" applyFill="1" applyBorder="1" applyAlignment="1">
      <alignment horizontal="center" vertical="center"/>
    </xf>
    <xf numFmtId="0" fontId="16" fillId="9" borderId="0" xfId="1" applyFont="1" applyFill="1" applyBorder="1" applyAlignment="1">
      <alignment horizontal="center" vertical="center"/>
    </xf>
    <xf numFmtId="166" fontId="20" fillId="5" borderId="0" xfId="1" applyNumberFormat="1" applyFont="1" applyFill="1" applyBorder="1" applyAlignment="1">
      <alignment horizontal="center" vertical="center"/>
    </xf>
    <xf numFmtId="166" fontId="16" fillId="9" borderId="0" xfId="1" applyNumberFormat="1" applyFont="1" applyFill="1" applyBorder="1" applyAlignment="1">
      <alignment horizontal="center" vertical="center"/>
    </xf>
    <xf numFmtId="166" fontId="16" fillId="0" borderId="0" xfId="1" applyNumberFormat="1" applyFont="1" applyBorder="1" applyAlignment="1">
      <alignment horizontal="center" vertical="center"/>
    </xf>
    <xf numFmtId="166" fontId="21" fillId="8" borderId="0" xfId="1" applyNumberFormat="1" applyFont="1" applyFill="1" applyBorder="1" applyAlignment="1">
      <alignment horizontal="center" vertical="center"/>
    </xf>
    <xf numFmtId="167" fontId="16" fillId="5" borderId="0" xfId="3" applyNumberFormat="1" applyFont="1" applyFill="1" applyBorder="1" applyAlignment="1">
      <alignment horizontal="center" vertical="center"/>
    </xf>
    <xf numFmtId="167" fontId="19" fillId="5" borderId="0" xfId="1" applyNumberFormat="1" applyFont="1" applyFill="1" applyBorder="1" applyAlignment="1">
      <alignment horizontal="center" vertical="center"/>
    </xf>
    <xf numFmtId="167" fontId="22" fillId="0" borderId="0" xfId="5" applyNumberFormat="1" applyFont="1" applyBorder="1" applyAlignment="1">
      <alignment horizontal="center" vertical="center"/>
    </xf>
    <xf numFmtId="167" fontId="7" fillId="0" borderId="0" xfId="0" applyNumberFormat="1" applyFont="1" applyBorder="1" applyAlignment="1">
      <alignment horizontal="center" vertical="center"/>
    </xf>
    <xf numFmtId="167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165" fontId="12" fillId="0" borderId="12" xfId="4" applyNumberFormat="1" applyFont="1" applyFill="1" applyBorder="1" applyAlignment="1">
      <alignment horizontal="center" vertical="center" wrapText="1"/>
    </xf>
    <xf numFmtId="165" fontId="6" fillId="0" borderId="18" xfId="4" applyNumberFormat="1" applyFont="1" applyFill="1" applyBorder="1" applyAlignment="1">
      <alignment horizontal="center" vertical="center" wrapText="1"/>
    </xf>
    <xf numFmtId="165" fontId="6" fillId="0" borderId="19" xfId="4" applyNumberFormat="1" applyFont="1" applyFill="1" applyBorder="1" applyAlignment="1">
      <alignment horizontal="center" vertical="center" wrapText="1"/>
    </xf>
    <xf numFmtId="165" fontId="6" fillId="0" borderId="20" xfId="4" applyNumberFormat="1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6" fillId="0" borderId="21" xfId="3" applyFont="1" applyBorder="1" applyAlignment="1">
      <alignment horizontal="left" vertical="center" wrapText="1"/>
    </xf>
    <xf numFmtId="0" fontId="16" fillId="0" borderId="14" xfId="3" applyFont="1" applyBorder="1" applyAlignment="1">
      <alignment horizontal="left" vertical="center" wrapText="1"/>
    </xf>
    <xf numFmtId="165" fontId="12" fillId="0" borderId="22" xfId="4" applyNumberFormat="1" applyFont="1" applyFill="1" applyBorder="1" applyAlignment="1">
      <alignment horizontal="center" vertical="center" wrapText="1"/>
    </xf>
    <xf numFmtId="165" fontId="12" fillId="0" borderId="23" xfId="4" applyNumberFormat="1" applyFont="1" applyFill="1" applyBorder="1" applyAlignment="1">
      <alignment horizontal="center" vertical="center" wrapText="1"/>
    </xf>
    <xf numFmtId="165" fontId="12" fillId="0" borderId="24" xfId="4" applyNumberFormat="1" applyFont="1" applyFill="1" applyBorder="1" applyAlignment="1">
      <alignment horizontal="center" vertical="center" wrapText="1"/>
    </xf>
    <xf numFmtId="165" fontId="12" fillId="0" borderId="13" xfId="4" applyNumberFormat="1" applyFont="1" applyFill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165" fontId="26" fillId="0" borderId="22" xfId="6" applyNumberFormat="1" applyFill="1" applyBorder="1" applyAlignment="1">
      <alignment horizontal="center" vertical="center" wrapText="1"/>
    </xf>
    <xf numFmtId="165" fontId="26" fillId="0" borderId="26" xfId="6" applyNumberFormat="1" applyFill="1" applyBorder="1" applyAlignment="1">
      <alignment horizontal="center" vertical="center" wrapText="1"/>
    </xf>
    <xf numFmtId="165" fontId="26" fillId="0" borderId="27" xfId="6" applyNumberFormat="1" applyFill="1" applyBorder="1" applyAlignment="1">
      <alignment horizontal="center" vertical="center" wrapText="1"/>
    </xf>
    <xf numFmtId="165" fontId="26" fillId="0" borderId="24" xfId="6" applyNumberFormat="1" applyFill="1" applyBorder="1" applyAlignment="1">
      <alignment horizontal="center" vertical="center" wrapText="1"/>
    </xf>
    <xf numFmtId="165" fontId="26" fillId="0" borderId="28" xfId="6" applyNumberFormat="1" applyFill="1" applyBorder="1" applyAlignment="1">
      <alignment horizontal="center" vertical="center" wrapText="1"/>
    </xf>
    <xf numFmtId="165" fontId="26" fillId="0" borderId="29" xfId="6" applyNumberFormat="1" applyFill="1" applyBorder="1" applyAlignment="1">
      <alignment horizontal="center" vertical="center" wrapText="1"/>
    </xf>
    <xf numFmtId="49" fontId="6" fillId="5" borderId="25" xfId="1" applyNumberFormat="1" applyFont="1" applyFill="1" applyBorder="1" applyAlignment="1">
      <alignment horizontal="center" vertical="center" wrapText="1"/>
    </xf>
    <xf numFmtId="49" fontId="6" fillId="5" borderId="16" xfId="1" applyNumberFormat="1" applyFont="1" applyFill="1" applyBorder="1" applyAlignment="1">
      <alignment horizontal="center" vertical="center" wrapText="1"/>
    </xf>
    <xf numFmtId="0" fontId="37" fillId="0" borderId="12" xfId="3" applyFont="1" applyBorder="1" applyAlignment="1">
      <alignment horizontal="left" vertical="center" wrapText="1"/>
    </xf>
  </cellXfs>
  <cellStyles count="7">
    <cellStyle name="Hipervínculo" xfId="6" builtinId="8"/>
    <cellStyle name="Millares 2 2 3 2 2 2" xfId="4" xr:uid="{00000000-0005-0000-0000-000001000000}"/>
    <cellStyle name="Normal" xfId="0" builtinId="0"/>
    <cellStyle name="Normal 2 2" xfId="1" xr:uid="{00000000-0005-0000-0000-000003000000}"/>
    <cellStyle name="Normal 2 3" xfId="5" xr:uid="{00000000-0005-0000-0000-000004000000}"/>
    <cellStyle name="Normal 3 4 2" xfId="3" xr:uid="{00000000-0005-0000-0000-000005000000}"/>
    <cellStyle name="Normal 4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362238</xdr:colOff>
      <xdr:row>16</xdr:row>
      <xdr:rowOff>224228</xdr:rowOff>
    </xdr:from>
    <xdr:to>
      <xdr:col>4</xdr:col>
      <xdr:colOff>2191564</xdr:colOff>
      <xdr:row>16</xdr:row>
      <xdr:rowOff>2359602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77C62F-BBBD-4B8D-9577-E276D7559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2295" y="6199001"/>
          <a:ext cx="1829326" cy="2135374"/>
        </a:xfrm>
        <a:prstGeom prst="rect">
          <a:avLst/>
        </a:prstGeom>
      </xdr:spPr>
    </xdr:pic>
    <xdr:clientData/>
  </xdr:twoCellAnchor>
  <xdr:twoCellAnchor editAs="oneCell">
    <xdr:from>
      <xdr:col>4</xdr:col>
      <xdr:colOff>204533</xdr:colOff>
      <xdr:row>15</xdr:row>
      <xdr:rowOff>310708</xdr:rowOff>
    </xdr:from>
    <xdr:to>
      <xdr:col>4</xdr:col>
      <xdr:colOff>2273010</xdr:colOff>
      <xdr:row>15</xdr:row>
      <xdr:rowOff>1560504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831C9E-DB4B-4A6A-A773-5F76E5DAFE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57" b="20568"/>
        <a:stretch/>
      </xdr:blipFill>
      <xdr:spPr bwMode="auto">
        <a:xfrm>
          <a:off x="2044590" y="3298094"/>
          <a:ext cx="2068477" cy="124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734747</xdr:colOff>
      <xdr:row>15</xdr:row>
      <xdr:rowOff>1753467</xdr:rowOff>
    </xdr:from>
    <xdr:to>
      <xdr:col>4</xdr:col>
      <xdr:colOff>1927576</xdr:colOff>
      <xdr:row>15</xdr:row>
      <xdr:rowOff>2684319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5547C7-C8E5-4271-A465-61A18990C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4804" y="4740853"/>
          <a:ext cx="1192829" cy="930852"/>
        </a:xfrm>
        <a:prstGeom prst="rect">
          <a:avLst/>
        </a:prstGeom>
      </xdr:spPr>
    </xdr:pic>
    <xdr:clientData/>
  </xdr:twoCellAnchor>
  <xdr:twoCellAnchor editAs="oneCell">
    <xdr:from>
      <xdr:col>4</xdr:col>
      <xdr:colOff>518271</xdr:colOff>
      <xdr:row>14</xdr:row>
      <xdr:rowOff>196105</xdr:rowOff>
    </xdr:from>
    <xdr:to>
      <xdr:col>4</xdr:col>
      <xdr:colOff>1903480</xdr:colOff>
      <xdr:row>14</xdr:row>
      <xdr:rowOff>1708899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0E58E-6AA6-402A-9C6E-48FEA9D3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7242" y="1162612"/>
          <a:ext cx="1385209" cy="1512794"/>
        </a:xfrm>
        <a:prstGeom prst="rect">
          <a:avLst/>
        </a:prstGeom>
      </xdr:spPr>
    </xdr:pic>
    <xdr:clientData/>
  </xdr:twoCellAnchor>
  <xdr:twoCellAnchor editAs="oneCell">
    <xdr:from>
      <xdr:col>13</xdr:col>
      <xdr:colOff>308163</xdr:colOff>
      <xdr:row>14</xdr:row>
      <xdr:rowOff>528576</xdr:rowOff>
    </xdr:from>
    <xdr:to>
      <xdr:col>14</xdr:col>
      <xdr:colOff>392207</xdr:colOff>
      <xdr:row>14</xdr:row>
      <xdr:rowOff>1055568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2CC3D6B-C49A-4E21-BC9F-6F8C9AFFE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73862" y="1495083"/>
          <a:ext cx="840440" cy="526992"/>
        </a:xfrm>
        <a:prstGeom prst="rect">
          <a:avLst/>
        </a:prstGeom>
      </xdr:spPr>
    </xdr:pic>
    <xdr:clientData/>
  </xdr:twoCellAnchor>
  <xdr:oneCellAnchor>
    <xdr:from>
      <xdr:col>4</xdr:col>
      <xdr:colOff>492124</xdr:colOff>
      <xdr:row>21</xdr:row>
      <xdr:rowOff>94342</xdr:rowOff>
    </xdr:from>
    <xdr:ext cx="1587501" cy="1853091"/>
    <xdr:pic>
      <xdr:nvPicPr>
        <xdr:cNvPr id="11" name="Imagen 10">
          <a:extLst>
            <a:ext uri="{FF2B5EF4-FFF2-40B4-BE49-F238E27FC236}">
              <a16:creationId xmlns:a16="http://schemas.microsoft.com/office/drawing/2014/main" id="{46C213E7-15B9-46FE-BF40-0A580324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1095" y="5599232"/>
          <a:ext cx="1587501" cy="1853091"/>
        </a:xfrm>
        <a:prstGeom prst="rect">
          <a:avLst/>
        </a:prstGeom>
      </xdr:spPr>
    </xdr:pic>
    <xdr:clientData/>
  </xdr:oneCellAnchor>
  <xdr:oneCellAnchor>
    <xdr:from>
      <xdr:col>4</xdr:col>
      <xdr:colOff>312772</xdr:colOff>
      <xdr:row>20</xdr:row>
      <xdr:rowOff>224117</xdr:rowOff>
    </xdr:from>
    <xdr:ext cx="1947365" cy="1176619"/>
    <xdr:pic>
      <xdr:nvPicPr>
        <xdr:cNvPr id="12" name="Imagen 11">
          <a:extLst>
            <a:ext uri="{FF2B5EF4-FFF2-40B4-BE49-F238E27FC236}">
              <a16:creationId xmlns:a16="http://schemas.microsoft.com/office/drawing/2014/main" id="{F3A8E487-BD0F-412E-8F2C-5D2F9323E3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857" b="20568"/>
        <a:stretch/>
      </xdr:blipFill>
      <xdr:spPr bwMode="auto">
        <a:xfrm>
          <a:off x="2161743" y="3207683"/>
          <a:ext cx="1947365" cy="1176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994522</xdr:colOff>
      <xdr:row>20</xdr:row>
      <xdr:rowOff>1428750</xdr:rowOff>
    </xdr:from>
    <xdr:ext cx="807730" cy="630331"/>
    <xdr:pic>
      <xdr:nvPicPr>
        <xdr:cNvPr id="13" name="Imagen 12">
          <a:extLst>
            <a:ext uri="{FF2B5EF4-FFF2-40B4-BE49-F238E27FC236}">
              <a16:creationId xmlns:a16="http://schemas.microsoft.com/office/drawing/2014/main" id="{3001A071-7E60-4230-9BE2-D80CA1F4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3493" y="4412316"/>
          <a:ext cx="807730" cy="630331"/>
        </a:xfrm>
        <a:prstGeom prst="rect">
          <a:avLst/>
        </a:prstGeom>
      </xdr:spPr>
    </xdr:pic>
    <xdr:clientData/>
  </xdr:oneCellAnchor>
  <xdr:twoCellAnchor editAs="oneCell">
    <xdr:from>
      <xdr:col>4</xdr:col>
      <xdr:colOff>389658</xdr:colOff>
      <xdr:row>7</xdr:row>
      <xdr:rowOff>129888</xdr:rowOff>
    </xdr:from>
    <xdr:to>
      <xdr:col>4</xdr:col>
      <xdr:colOff>2208069</xdr:colOff>
      <xdr:row>8</xdr:row>
      <xdr:rowOff>872030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1AF0385-FBA5-445A-B99A-40FE2B9FE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031" t="52508" r="51546" b="1118"/>
        <a:stretch/>
      </xdr:blipFill>
      <xdr:spPr>
        <a:xfrm>
          <a:off x="2229715" y="909206"/>
          <a:ext cx="1818411" cy="1867824"/>
        </a:xfrm>
        <a:prstGeom prst="rect">
          <a:avLst/>
        </a:prstGeom>
      </xdr:spPr>
    </xdr:pic>
    <xdr:clientData/>
  </xdr:twoCellAnchor>
  <xdr:oneCellAnchor>
    <xdr:from>
      <xdr:col>4</xdr:col>
      <xdr:colOff>778043</xdr:colOff>
      <xdr:row>9</xdr:row>
      <xdr:rowOff>2078184</xdr:rowOff>
    </xdr:from>
    <xdr:ext cx="1026386" cy="800964"/>
    <xdr:pic>
      <xdr:nvPicPr>
        <xdr:cNvPr id="19" name="Imagen 18">
          <a:extLst>
            <a:ext uri="{FF2B5EF4-FFF2-40B4-BE49-F238E27FC236}">
              <a16:creationId xmlns:a16="http://schemas.microsoft.com/office/drawing/2014/main" id="{13418595-6B3C-43B6-A7C4-5FA445823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8100" y="5108866"/>
          <a:ext cx="1026386" cy="800964"/>
        </a:xfrm>
        <a:prstGeom prst="rect">
          <a:avLst/>
        </a:prstGeom>
      </xdr:spPr>
    </xdr:pic>
    <xdr:clientData/>
  </xdr:oneCellAnchor>
  <xdr:twoCellAnchor editAs="oneCell">
    <xdr:from>
      <xdr:col>4</xdr:col>
      <xdr:colOff>476250</xdr:colOff>
      <xdr:row>9</xdr:row>
      <xdr:rowOff>259774</xdr:rowOff>
    </xdr:from>
    <xdr:to>
      <xdr:col>4</xdr:col>
      <xdr:colOff>2243144</xdr:colOff>
      <xdr:row>9</xdr:row>
      <xdr:rowOff>2034886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ABBF109-A37D-4333-8C86-51B27BDCC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16307" y="3290456"/>
          <a:ext cx="1766894" cy="17751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</xdr:colOff>
      <xdr:row>10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A0668A89-CD31-43ED-97C4-E1BDC6F1BF75}"/>
            </a:ext>
          </a:extLst>
        </xdr:cNvPr>
        <xdr:cNvSpPr>
          <a:spLocks noChangeAspect="1" noChangeArrowheads="1"/>
        </xdr:cNvSpPr>
      </xdr:nvSpPr>
      <xdr:spPr bwMode="auto">
        <a:xfrm>
          <a:off x="1847850" y="60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129889</xdr:colOff>
      <xdr:row>10</xdr:row>
      <xdr:rowOff>150119</xdr:rowOff>
    </xdr:from>
    <xdr:to>
      <xdr:col>4</xdr:col>
      <xdr:colOff>1926648</xdr:colOff>
      <xdr:row>10</xdr:row>
      <xdr:rowOff>2416354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8625CA7-1061-4A2B-ABF2-FD22337E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9946" y="6168187"/>
          <a:ext cx="1796759" cy="2266235"/>
        </a:xfrm>
        <a:prstGeom prst="rect">
          <a:avLst/>
        </a:prstGeom>
      </xdr:spPr>
    </xdr:pic>
    <xdr:clientData/>
  </xdr:twoCellAnchor>
  <xdr:twoCellAnchor editAs="oneCell">
    <xdr:from>
      <xdr:col>4</xdr:col>
      <xdr:colOff>1282549</xdr:colOff>
      <xdr:row>10</xdr:row>
      <xdr:rowOff>1731818</xdr:rowOff>
    </xdr:from>
    <xdr:to>
      <xdr:col>4</xdr:col>
      <xdr:colOff>2387208</xdr:colOff>
      <xdr:row>10</xdr:row>
      <xdr:rowOff>3052330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1570989-7910-45AA-9F89-A0D93817C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22606" y="7749886"/>
          <a:ext cx="1104659" cy="1320512"/>
        </a:xfrm>
        <a:prstGeom prst="rect">
          <a:avLst/>
        </a:prstGeom>
      </xdr:spPr>
    </xdr:pic>
    <xdr:clientData/>
  </xdr:twoCellAnchor>
  <xdr:oneCellAnchor>
    <xdr:from>
      <xdr:col>4</xdr:col>
      <xdr:colOff>1623171</xdr:colOff>
      <xdr:row>10</xdr:row>
      <xdr:rowOff>130756</xdr:rowOff>
    </xdr:from>
    <xdr:ext cx="831093" cy="648562"/>
    <xdr:pic>
      <xdr:nvPicPr>
        <xdr:cNvPr id="25" name="Imagen 24">
          <a:extLst>
            <a:ext uri="{FF2B5EF4-FFF2-40B4-BE49-F238E27FC236}">
              <a16:creationId xmlns:a16="http://schemas.microsoft.com/office/drawing/2014/main" id="{485F8A1C-CEC0-4454-8F15-41F9691B7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63228" y="6148824"/>
          <a:ext cx="831093" cy="648562"/>
        </a:xfrm>
        <a:prstGeom prst="rect">
          <a:avLst/>
        </a:prstGeom>
      </xdr:spPr>
    </xdr:pic>
    <xdr:clientData/>
  </xdr:oneCellAnchor>
  <xdr:oneCellAnchor>
    <xdr:from>
      <xdr:col>4</xdr:col>
      <xdr:colOff>750828</xdr:colOff>
      <xdr:row>2</xdr:row>
      <xdr:rowOff>1996541</xdr:rowOff>
    </xdr:from>
    <xdr:ext cx="1026386" cy="800964"/>
    <xdr:pic>
      <xdr:nvPicPr>
        <xdr:cNvPr id="18" name="Imagen 17">
          <a:extLst>
            <a:ext uri="{FF2B5EF4-FFF2-40B4-BE49-F238E27FC236}">
              <a16:creationId xmlns:a16="http://schemas.microsoft.com/office/drawing/2014/main" id="{130C5213-0F13-4B44-9720-42F24AA5D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1399" y="2772148"/>
          <a:ext cx="1026386" cy="800964"/>
        </a:xfrm>
        <a:prstGeom prst="rect">
          <a:avLst/>
        </a:prstGeom>
      </xdr:spPr>
    </xdr:pic>
    <xdr:clientData/>
  </xdr:oneCellAnchor>
  <xdr:oneCellAnchor>
    <xdr:from>
      <xdr:col>4</xdr:col>
      <xdr:colOff>476250</xdr:colOff>
      <xdr:row>2</xdr:row>
      <xdr:rowOff>259774</xdr:rowOff>
    </xdr:from>
    <xdr:ext cx="1766894" cy="1775112"/>
    <xdr:pic>
      <xdr:nvPicPr>
        <xdr:cNvPr id="21" name="Imagen 20">
          <a:extLst>
            <a:ext uri="{FF2B5EF4-FFF2-40B4-BE49-F238E27FC236}">
              <a16:creationId xmlns:a16="http://schemas.microsoft.com/office/drawing/2014/main" id="{4B1A26B6-E492-40C1-BEF4-9EF42846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26821" y="3688774"/>
          <a:ext cx="1766894" cy="1775112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944B9346-7136-4280-9771-2638E3A62054}"/>
            </a:ext>
          </a:extLst>
        </xdr:cNvPr>
        <xdr:cNvSpPr>
          <a:spLocks noChangeAspect="1" noChangeArrowheads="1"/>
        </xdr:cNvSpPr>
      </xdr:nvSpPr>
      <xdr:spPr bwMode="auto">
        <a:xfrm>
          <a:off x="1850571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129889</xdr:colOff>
      <xdr:row>3</xdr:row>
      <xdr:rowOff>150119</xdr:rowOff>
    </xdr:from>
    <xdr:ext cx="1796759" cy="2266235"/>
    <xdr:pic>
      <xdr:nvPicPr>
        <xdr:cNvPr id="26" name="Imagen 25">
          <a:extLst>
            <a:ext uri="{FF2B5EF4-FFF2-40B4-BE49-F238E27FC236}">
              <a16:creationId xmlns:a16="http://schemas.microsoft.com/office/drawing/2014/main" id="{A9CFE6A4-615A-49A1-AA88-D2B436270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80460" y="6559083"/>
          <a:ext cx="1796759" cy="2266235"/>
        </a:xfrm>
        <a:prstGeom prst="rect">
          <a:avLst/>
        </a:prstGeom>
      </xdr:spPr>
    </xdr:pic>
    <xdr:clientData/>
  </xdr:oneCellAnchor>
  <xdr:oneCellAnchor>
    <xdr:from>
      <xdr:col>4</xdr:col>
      <xdr:colOff>1282549</xdr:colOff>
      <xdr:row>3</xdr:row>
      <xdr:rowOff>1731818</xdr:rowOff>
    </xdr:from>
    <xdr:ext cx="1104659" cy="1320512"/>
    <xdr:pic>
      <xdr:nvPicPr>
        <xdr:cNvPr id="27" name="Imagen 26">
          <a:extLst>
            <a:ext uri="{FF2B5EF4-FFF2-40B4-BE49-F238E27FC236}">
              <a16:creationId xmlns:a16="http://schemas.microsoft.com/office/drawing/2014/main" id="{0B03CD11-C363-4A95-AE89-CFCF05466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3120" y="8140782"/>
          <a:ext cx="1104659" cy="1320512"/>
        </a:xfrm>
        <a:prstGeom prst="rect">
          <a:avLst/>
        </a:prstGeom>
      </xdr:spPr>
    </xdr:pic>
    <xdr:clientData/>
  </xdr:oneCellAnchor>
  <xdr:oneCellAnchor>
    <xdr:from>
      <xdr:col>4</xdr:col>
      <xdr:colOff>1623171</xdr:colOff>
      <xdr:row>3</xdr:row>
      <xdr:rowOff>130756</xdr:rowOff>
    </xdr:from>
    <xdr:ext cx="831093" cy="648562"/>
    <xdr:pic>
      <xdr:nvPicPr>
        <xdr:cNvPr id="28" name="Imagen 27">
          <a:extLst>
            <a:ext uri="{FF2B5EF4-FFF2-40B4-BE49-F238E27FC236}">
              <a16:creationId xmlns:a16="http://schemas.microsoft.com/office/drawing/2014/main" id="{6D2803D3-20F4-468D-A79A-5696734A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3742" y="6539720"/>
          <a:ext cx="831093" cy="6485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AJA%20ECOLOGIC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23"/>
  <sheetViews>
    <sheetView tabSelected="1" topLeftCell="I3" zoomScale="70" zoomScaleNormal="70" workbookViewId="0">
      <selection activeCell="P4" sqref="P4"/>
    </sheetView>
  </sheetViews>
  <sheetFormatPr defaultColWidth="11.42578125" defaultRowHeight="15"/>
  <cols>
    <col min="1" max="1" width="2.85546875" customWidth="1"/>
    <col min="2" max="2" width="3.85546875" customWidth="1"/>
    <col min="4" max="4" width="9.5703125" customWidth="1"/>
    <col min="5" max="5" width="37.42578125" customWidth="1"/>
    <col min="7" max="7" width="19" customWidth="1"/>
    <col min="8" max="8" width="13.7109375" customWidth="1"/>
    <col min="9" max="9" width="73.140625" customWidth="1"/>
    <col min="10" max="10" width="25.7109375" customWidth="1"/>
    <col min="11" max="11" width="18.42578125" customWidth="1"/>
    <col min="12" max="12" width="15.140625" customWidth="1"/>
    <col min="15" max="15" width="15.5703125" customWidth="1"/>
    <col min="16" max="16" width="14" bestFit="1" customWidth="1"/>
    <col min="18" max="18" width="15.5703125" customWidth="1"/>
    <col min="19" max="19" width="20.85546875" customWidth="1"/>
    <col min="20" max="20" width="14.85546875" customWidth="1"/>
    <col min="22" max="22" width="16" customWidth="1"/>
    <col min="23" max="23" width="16.85546875" customWidth="1"/>
    <col min="24" max="24" width="19.7109375" customWidth="1"/>
    <col min="31" max="31" width="12.5703125" bestFit="1" customWidth="1"/>
    <col min="34" max="34" width="19.7109375" customWidth="1"/>
  </cols>
  <sheetData>
    <row r="1" spans="2:46" s="1" customFormat="1" ht="23.25" customHeight="1" thickBot="1">
      <c r="B1" s="96" t="s">
        <v>0</v>
      </c>
      <c r="C1" s="97"/>
      <c r="D1" s="97"/>
      <c r="E1" s="97"/>
      <c r="F1" s="97"/>
      <c r="G1" s="97"/>
      <c r="H1" s="97"/>
      <c r="I1" s="97"/>
      <c r="J1" s="55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2"/>
      <c r="W1" s="2"/>
      <c r="X1" s="2"/>
      <c r="Y1" s="2"/>
      <c r="Z1" s="2"/>
      <c r="AA1" s="2"/>
      <c r="AB1" s="4"/>
      <c r="AC1" s="4"/>
      <c r="AD1" s="4"/>
      <c r="AE1" s="4"/>
      <c r="AF1" s="4"/>
      <c r="AG1" s="4"/>
    </row>
    <row r="2" spans="2:46" s="5" customFormat="1" ht="37.5" customHeight="1" thickBot="1"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 t="s">
        <v>7</v>
      </c>
      <c r="I2" s="10" t="s">
        <v>8</v>
      </c>
      <c r="J2" s="8" t="s">
        <v>9</v>
      </c>
      <c r="K2" s="65" t="s">
        <v>10</v>
      </c>
      <c r="L2" s="12" t="s">
        <v>11</v>
      </c>
      <c r="M2" s="13" t="s">
        <v>12</v>
      </c>
      <c r="N2" s="13" t="s">
        <v>13</v>
      </c>
      <c r="O2" s="14" t="s">
        <v>14</v>
      </c>
      <c r="P2" s="15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7" t="s">
        <v>21</v>
      </c>
      <c r="W2" s="12" t="s">
        <v>22</v>
      </c>
      <c r="X2" s="14" t="s">
        <v>23</v>
      </c>
      <c r="Y2" s="18" t="s">
        <v>24</v>
      </c>
      <c r="Z2" s="19" t="s">
        <v>25</v>
      </c>
      <c r="AA2" s="19" t="s">
        <v>26</v>
      </c>
      <c r="AB2" s="19" t="s">
        <v>27</v>
      </c>
      <c r="AC2" s="19" t="s">
        <v>28</v>
      </c>
      <c r="AD2" s="20" t="s">
        <v>29</v>
      </c>
      <c r="AE2" s="12" t="s">
        <v>30</v>
      </c>
      <c r="AF2" s="12" t="s">
        <v>31</v>
      </c>
      <c r="AG2" s="21" t="s">
        <v>19</v>
      </c>
      <c r="AH2" s="22" t="s">
        <v>32</v>
      </c>
      <c r="AI2" s="22" t="s">
        <v>33</v>
      </c>
      <c r="AJ2" s="23" t="s">
        <v>34</v>
      </c>
    </row>
    <row r="3" spans="2:46" s="5" customFormat="1" ht="234.75" customHeight="1" thickBot="1">
      <c r="B3" s="24">
        <v>2</v>
      </c>
      <c r="C3" s="98" t="s">
        <v>35</v>
      </c>
      <c r="D3" s="98"/>
      <c r="E3" s="25" t="s">
        <v>36</v>
      </c>
      <c r="F3" s="26">
        <v>30</v>
      </c>
      <c r="G3" s="27">
        <v>14.45</v>
      </c>
      <c r="H3" s="28" t="s">
        <v>37</v>
      </c>
      <c r="I3" s="53" t="s">
        <v>38</v>
      </c>
      <c r="J3" s="27">
        <f t="shared" ref="J3:J4" si="0">F3*G3</f>
        <v>433.5</v>
      </c>
      <c r="K3" s="66"/>
      <c r="L3" s="29" t="s">
        <v>39</v>
      </c>
      <c r="M3" s="99" t="s">
        <v>40</v>
      </c>
      <c r="N3" s="100"/>
      <c r="O3" s="101"/>
      <c r="P3" s="30">
        <f>9.5/1.18</f>
        <v>8.0508474576271194</v>
      </c>
      <c r="Q3" s="31">
        <v>58</v>
      </c>
      <c r="R3" s="32">
        <f>P3*Q3/100</f>
        <v>4.6694915254237293</v>
      </c>
      <c r="S3" s="33">
        <f>R3*U3</f>
        <v>140.08474576271189</v>
      </c>
      <c r="T3" s="34">
        <f>P3+R3</f>
        <v>12.720338983050848</v>
      </c>
      <c r="U3" s="31">
        <v>30</v>
      </c>
      <c r="V3" s="35">
        <f>P3</f>
        <v>8.0508474576271194</v>
      </c>
      <c r="W3" s="36">
        <v>35</v>
      </c>
      <c r="X3" s="37">
        <f>U3*T3+V3+W3</f>
        <v>424.66101694915255</v>
      </c>
      <c r="Y3" s="38" t="s">
        <v>41</v>
      </c>
      <c r="Z3" s="39"/>
      <c r="AA3" s="40">
        <v>1</v>
      </c>
      <c r="AB3" s="40">
        <v>1</v>
      </c>
      <c r="AC3" s="40">
        <v>1</v>
      </c>
      <c r="AD3" s="41">
        <f>Z3*AA3*AB3*AC3</f>
        <v>0</v>
      </c>
      <c r="AE3" s="42">
        <v>3.5</v>
      </c>
      <c r="AF3" s="43">
        <f t="shared" ref="AF3:AF4" si="1">1%*(X3+AD3+AE3)</f>
        <v>4.2816101694915254</v>
      </c>
      <c r="AG3" s="44">
        <f>X3+AD3+AF3+AE3</f>
        <v>432.44262711864405</v>
      </c>
      <c r="AH3" s="45">
        <f>AG3/U3</f>
        <v>14.414754237288134</v>
      </c>
      <c r="AI3" s="46">
        <f>AH3*18%</f>
        <v>2.5946557627118643</v>
      </c>
      <c r="AJ3" s="47">
        <f>AH3+AI3</f>
        <v>17.009409999999999</v>
      </c>
      <c r="AK3" s="48">
        <f>AG3*1%</f>
        <v>4.3244262711864403</v>
      </c>
      <c r="AL3" s="49">
        <f>AJ3*U3</f>
        <v>510.28229999999996</v>
      </c>
      <c r="AM3" s="50">
        <f>(AJ3-(AJ3/1.18))*U3</f>
        <v>77.839672881355881</v>
      </c>
      <c r="AN3" s="50">
        <f>(AJ3-(AJ3/1.02))*U3</f>
        <v>10.005535294117642</v>
      </c>
      <c r="AO3" s="50">
        <f>(AJ3-(AJ3/1.05))*U3</f>
        <v>24.299157142857162</v>
      </c>
      <c r="AP3" s="50">
        <f>R3*U3</f>
        <v>140.08474576271189</v>
      </c>
      <c r="AQ3" s="51">
        <f>AP3-AO3-AN3</f>
        <v>105.7800533257371</v>
      </c>
      <c r="AS3" s="52">
        <f>AP3*100/(AL3-AM3-AP3)</f>
        <v>47.915501751829026</v>
      </c>
      <c r="AT3" s="52">
        <f>AQ3*100/(AL3-AM3-AP3-AN3-AO3)</f>
        <v>40.991569904202095</v>
      </c>
    </row>
    <row r="4" spans="2:46" s="5" customFormat="1" ht="247.5" customHeight="1">
      <c r="B4" s="24">
        <v>3</v>
      </c>
      <c r="C4" s="98" t="s">
        <v>42</v>
      </c>
      <c r="D4" s="98"/>
      <c r="E4" s="62"/>
      <c r="F4" s="26">
        <v>25</v>
      </c>
      <c r="G4" s="27">
        <v>33.39</v>
      </c>
      <c r="H4" s="28" t="s">
        <v>37</v>
      </c>
      <c r="I4" s="120" t="s">
        <v>43</v>
      </c>
      <c r="J4" s="27">
        <f t="shared" si="0"/>
        <v>834.75</v>
      </c>
      <c r="K4" s="63"/>
      <c r="L4" s="29" t="s">
        <v>44</v>
      </c>
      <c r="M4" s="99" t="s">
        <v>45</v>
      </c>
      <c r="N4" s="100"/>
      <c r="O4" s="101"/>
      <c r="P4" s="30">
        <f>30/1.18</f>
        <v>25.423728813559322</v>
      </c>
      <c r="Q4" s="31">
        <v>20.5</v>
      </c>
      <c r="R4" s="32">
        <f>P4*Q4/100</f>
        <v>5.2118644067796609</v>
      </c>
      <c r="S4" s="33">
        <f>R4*U4</f>
        <v>130.29661016949152</v>
      </c>
      <c r="T4" s="34">
        <f>P4+R4</f>
        <v>30.635593220338983</v>
      </c>
      <c r="U4" s="31">
        <v>25</v>
      </c>
      <c r="V4" s="35">
        <f>P4</f>
        <v>25.423728813559322</v>
      </c>
      <c r="W4" s="36">
        <v>35</v>
      </c>
      <c r="X4" s="37">
        <f>U4*T4+V4+W4</f>
        <v>826.31355932203394</v>
      </c>
      <c r="Y4" s="38" t="s">
        <v>41</v>
      </c>
      <c r="Z4" s="39"/>
      <c r="AA4" s="40">
        <v>1</v>
      </c>
      <c r="AB4" s="40">
        <v>1</v>
      </c>
      <c r="AC4" s="40">
        <v>1</v>
      </c>
      <c r="AD4" s="41">
        <f>Z4*AA4*AB4*AC4</f>
        <v>0</v>
      </c>
      <c r="AE4" s="42">
        <v>0</v>
      </c>
      <c r="AF4" s="43">
        <f t="shared" si="1"/>
        <v>8.2631355932203387</v>
      </c>
      <c r="AG4" s="44">
        <f>X4+AD4+AF4+AE4</f>
        <v>834.57669491525428</v>
      </c>
      <c r="AH4" s="45">
        <f>AG4/U4</f>
        <v>33.38306779661017</v>
      </c>
      <c r="AI4" s="46">
        <f>AH4*18%</f>
        <v>6.0089522033898302</v>
      </c>
      <c r="AJ4" s="47">
        <f>AH4+AI4</f>
        <v>39.392020000000002</v>
      </c>
      <c r="AK4" s="48">
        <f>AG4*1%</f>
        <v>8.3457669491525426</v>
      </c>
      <c r="AL4" s="49">
        <f>AJ4*U4</f>
        <v>984.80050000000006</v>
      </c>
      <c r="AM4" s="50">
        <f>(AJ4-(AJ4/1.18))*U4</f>
        <v>150.22380508474581</v>
      </c>
      <c r="AN4" s="50">
        <f>(AJ4-(AJ4/1.02))*U4</f>
        <v>19.309813725490166</v>
      </c>
      <c r="AO4" s="50">
        <f>(AJ4-(AJ4/1.05))*U4</f>
        <v>46.895261904762009</v>
      </c>
      <c r="AP4" s="50">
        <f>R4*U4</f>
        <v>130.29661016949152</v>
      </c>
      <c r="AQ4" s="51">
        <f>AP4-AO4-AN4</f>
        <v>64.091534539239348</v>
      </c>
      <c r="AS4" s="52">
        <f>AP4*100/(AL4-AM4-AP4)</f>
        <v>18.500680764887331</v>
      </c>
      <c r="AT4" s="52">
        <f>AQ4*100/(AL4-AM4-AP4-AN4-AO4)</f>
        <v>10.044514143890702</v>
      </c>
    </row>
    <row r="5" spans="2:46" s="5" customFormat="1" ht="33.75" customHeight="1" thickBot="1">
      <c r="B5" s="67"/>
      <c r="C5" s="68"/>
      <c r="D5" s="68"/>
      <c r="E5" s="69"/>
      <c r="F5" s="70"/>
      <c r="G5" s="71"/>
      <c r="H5" s="72"/>
      <c r="I5" s="60"/>
      <c r="J5" s="71"/>
      <c r="K5" s="63"/>
      <c r="L5" s="73"/>
      <c r="M5" s="74"/>
      <c r="N5" s="74"/>
      <c r="O5" s="74"/>
      <c r="P5" s="75"/>
      <c r="Q5" s="76"/>
      <c r="R5" s="77"/>
      <c r="S5" s="78"/>
      <c r="T5" s="79"/>
      <c r="U5" s="76"/>
      <c r="V5" s="80"/>
      <c r="W5" s="81"/>
      <c r="X5" s="82"/>
      <c r="Y5" s="83"/>
      <c r="Z5" s="84"/>
      <c r="AA5" s="85"/>
      <c r="AB5" s="85"/>
      <c r="AC5" s="85"/>
      <c r="AD5" s="86"/>
      <c r="AE5" s="87"/>
      <c r="AF5" s="86"/>
      <c r="AG5" s="88"/>
      <c r="AH5" s="89"/>
      <c r="AI5" s="90"/>
      <c r="AJ5" s="91"/>
      <c r="AK5" s="48"/>
      <c r="AL5" s="92"/>
      <c r="AM5" s="93"/>
      <c r="AN5" s="93"/>
      <c r="AO5" s="93"/>
      <c r="AP5" s="93"/>
      <c r="AQ5" s="94"/>
      <c r="AS5" s="95"/>
      <c r="AT5" s="95"/>
    </row>
    <row r="6" spans="2:46" s="1" customFormat="1" ht="23.25" customHeight="1" thickBot="1">
      <c r="B6" s="96" t="s">
        <v>0</v>
      </c>
      <c r="C6" s="97"/>
      <c r="D6" s="97"/>
      <c r="E6" s="97"/>
      <c r="F6" s="97"/>
      <c r="G6" s="97"/>
      <c r="H6" s="97"/>
      <c r="I6" s="97"/>
      <c r="J6" s="55"/>
      <c r="K6" s="2"/>
      <c r="L6" s="2"/>
      <c r="M6" s="2"/>
      <c r="N6" s="2"/>
      <c r="O6" s="3"/>
      <c r="P6" s="3"/>
      <c r="Q6" s="3"/>
      <c r="R6" s="3"/>
      <c r="S6" s="3"/>
      <c r="T6" s="3"/>
      <c r="U6" s="3"/>
      <c r="V6" s="2"/>
      <c r="W6" s="2"/>
      <c r="X6" s="2"/>
      <c r="Y6" s="2"/>
      <c r="Z6" s="2"/>
      <c r="AA6" s="2"/>
      <c r="AB6" s="4"/>
      <c r="AC6" s="4"/>
      <c r="AD6" s="4"/>
      <c r="AE6" s="4"/>
      <c r="AF6" s="4"/>
      <c r="AG6" s="4"/>
    </row>
    <row r="7" spans="2:46" s="5" customFormat="1" ht="37.5" customHeight="1" thickBot="1">
      <c r="B7" s="6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8" t="s">
        <v>6</v>
      </c>
      <c r="H7" s="9" t="s">
        <v>7</v>
      </c>
      <c r="I7" s="10" t="s">
        <v>8</v>
      </c>
      <c r="J7" s="8" t="s">
        <v>9</v>
      </c>
      <c r="K7" s="65" t="s">
        <v>46</v>
      </c>
      <c r="L7" s="12" t="s">
        <v>11</v>
      </c>
      <c r="M7" s="13" t="s">
        <v>12</v>
      </c>
      <c r="N7" s="13" t="s">
        <v>13</v>
      </c>
      <c r="O7" s="14" t="s">
        <v>14</v>
      </c>
      <c r="P7" s="15" t="s">
        <v>15</v>
      </c>
      <c r="Q7" s="16" t="s">
        <v>16</v>
      </c>
      <c r="R7" s="16" t="s">
        <v>17</v>
      </c>
      <c r="S7" s="16" t="s">
        <v>18</v>
      </c>
      <c r="T7" s="16" t="s">
        <v>19</v>
      </c>
      <c r="U7" s="16" t="s">
        <v>20</v>
      </c>
      <c r="V7" s="17" t="s">
        <v>21</v>
      </c>
      <c r="W7" s="12" t="s">
        <v>22</v>
      </c>
      <c r="X7" s="14" t="s">
        <v>23</v>
      </c>
      <c r="Y7" s="18" t="s">
        <v>24</v>
      </c>
      <c r="Z7" s="19" t="s">
        <v>25</v>
      </c>
      <c r="AA7" s="19" t="s">
        <v>26</v>
      </c>
      <c r="AB7" s="19" t="s">
        <v>27</v>
      </c>
      <c r="AC7" s="19" t="s">
        <v>28</v>
      </c>
      <c r="AD7" s="20" t="s">
        <v>29</v>
      </c>
      <c r="AE7" s="12" t="s">
        <v>30</v>
      </c>
      <c r="AF7" s="12" t="s">
        <v>31</v>
      </c>
      <c r="AG7" s="21" t="s">
        <v>19</v>
      </c>
      <c r="AH7" s="22" t="s">
        <v>32</v>
      </c>
      <c r="AI7" s="22" t="s">
        <v>33</v>
      </c>
      <c r="AJ7" s="23" t="s">
        <v>34</v>
      </c>
    </row>
    <row r="8" spans="2:46" s="5" customFormat="1" ht="89.25" customHeight="1" thickBot="1">
      <c r="B8" s="110">
        <v>1</v>
      </c>
      <c r="C8" s="106" t="s">
        <v>47</v>
      </c>
      <c r="D8" s="107"/>
      <c r="E8" s="102" t="s">
        <v>36</v>
      </c>
      <c r="F8" s="26">
        <v>100</v>
      </c>
      <c r="G8" s="27">
        <v>6.79</v>
      </c>
      <c r="H8" s="28" t="s">
        <v>48</v>
      </c>
      <c r="I8" s="104" t="s">
        <v>49</v>
      </c>
      <c r="J8" s="27">
        <f>F8*G8</f>
        <v>679</v>
      </c>
      <c r="K8" s="58" t="s">
        <v>50</v>
      </c>
      <c r="L8" s="118" t="s">
        <v>51</v>
      </c>
      <c r="M8" s="112" t="s">
        <v>52</v>
      </c>
      <c r="N8" s="113"/>
      <c r="O8" s="114"/>
      <c r="P8" s="30">
        <v>4.5</v>
      </c>
      <c r="Q8" s="31">
        <v>33.5</v>
      </c>
      <c r="R8" s="32">
        <f>P8*Q8/100</f>
        <v>1.5075000000000001</v>
      </c>
      <c r="S8" s="33">
        <f>R8*U8</f>
        <v>150.75</v>
      </c>
      <c r="T8" s="34">
        <f>P8+R8</f>
        <v>6.0075000000000003</v>
      </c>
      <c r="U8" s="31">
        <v>100</v>
      </c>
      <c r="V8" s="35">
        <v>0</v>
      </c>
      <c r="W8" s="36">
        <v>65</v>
      </c>
      <c r="X8" s="37">
        <f>U8*T8+V8+W8</f>
        <v>665.75</v>
      </c>
      <c r="Y8" s="38"/>
      <c r="Z8" s="39"/>
      <c r="AA8" s="40">
        <v>1</v>
      </c>
      <c r="AB8" s="40">
        <v>1</v>
      </c>
      <c r="AC8" s="40">
        <v>1</v>
      </c>
      <c r="AD8" s="41">
        <f>Z8*AA8*AB8*AC8</f>
        <v>0</v>
      </c>
      <c r="AE8" s="42">
        <v>7</v>
      </c>
      <c r="AF8" s="43">
        <f>1%*(X8+AD8+AE8)</f>
        <v>6.7275</v>
      </c>
      <c r="AG8" s="44">
        <f>X8+AD8+AF8+AE8</f>
        <v>679.47749999999996</v>
      </c>
      <c r="AH8" s="45">
        <f>AG8/U8</f>
        <v>6.7947749999999996</v>
      </c>
      <c r="AI8" s="46">
        <f>AH8*18%</f>
        <v>1.2230595</v>
      </c>
      <c r="AJ8" s="47">
        <f>AH8+AI8</f>
        <v>8.0178344999999993</v>
      </c>
      <c r="AK8" s="48">
        <f>AG8*1%</f>
        <v>6.7947749999999996</v>
      </c>
      <c r="AL8" s="49">
        <f>AJ8*U8</f>
        <v>801.7834499999999</v>
      </c>
      <c r="AM8" s="50">
        <f>(AJ8-(AJ8/1.18))*U8</f>
        <v>122.30594999999997</v>
      </c>
      <c r="AN8" s="50">
        <f>(AJ8-(AJ8/1.02))*U8</f>
        <v>15.721244117647082</v>
      </c>
      <c r="AO8" s="50">
        <f>(AJ8-(AJ8/1.05))*U8</f>
        <v>38.180164285714291</v>
      </c>
      <c r="AP8" s="50">
        <f>R8*U8</f>
        <v>150.75</v>
      </c>
      <c r="AQ8" s="51">
        <f>AP8-AO8-AN8</f>
        <v>96.848591596638641</v>
      </c>
      <c r="AS8" s="52">
        <f>AP8*100/(AL8-AM8-AP8)</f>
        <v>28.511851568151837</v>
      </c>
      <c r="AT8" s="52">
        <f>AQ8*100/(AL8-AM8-AP8-AN8-AO8)</f>
        <v>20.396644858115931</v>
      </c>
    </row>
    <row r="9" spans="2:46" s="5" customFormat="1" ht="89.25" customHeight="1" thickBot="1">
      <c r="B9" s="111"/>
      <c r="C9" s="108"/>
      <c r="D9" s="109"/>
      <c r="E9" s="103"/>
      <c r="F9" s="26">
        <v>50</v>
      </c>
      <c r="G9" s="27">
        <v>7.45</v>
      </c>
      <c r="H9" s="28" t="s">
        <v>48</v>
      </c>
      <c r="I9" s="105"/>
      <c r="J9" s="27">
        <f t="shared" ref="J9:J11" si="2">F9*G9</f>
        <v>372.5</v>
      </c>
      <c r="K9"/>
      <c r="L9" s="119"/>
      <c r="M9" s="115"/>
      <c r="N9" s="116"/>
      <c r="O9" s="117"/>
      <c r="P9" s="30">
        <v>4.5</v>
      </c>
      <c r="Q9" s="31">
        <v>40</v>
      </c>
      <c r="R9" s="32">
        <f>P9*Q9/100</f>
        <v>1.8</v>
      </c>
      <c r="S9" s="33">
        <f>R9*U9</f>
        <v>90</v>
      </c>
      <c r="T9" s="34">
        <f>P9+R9</f>
        <v>6.3</v>
      </c>
      <c r="U9" s="31">
        <v>50</v>
      </c>
      <c r="V9" s="35">
        <v>0</v>
      </c>
      <c r="W9" s="36">
        <v>50</v>
      </c>
      <c r="X9" s="37">
        <f>U9*T9+V9+W9</f>
        <v>365</v>
      </c>
      <c r="Y9" s="38" t="s">
        <v>41</v>
      </c>
      <c r="Z9" s="39"/>
      <c r="AA9" s="40">
        <v>1</v>
      </c>
      <c r="AB9" s="40">
        <v>1</v>
      </c>
      <c r="AC9" s="40">
        <v>1</v>
      </c>
      <c r="AD9" s="41">
        <f>Z9*AA9*AB9*AC9</f>
        <v>0</v>
      </c>
      <c r="AE9" s="42">
        <v>3.5</v>
      </c>
      <c r="AF9" s="43">
        <f t="shared" ref="AF9:AF11" si="3">1%*(X9+AD9+AE9)</f>
        <v>3.6850000000000001</v>
      </c>
      <c r="AG9" s="44">
        <f>X9+AD9+AF9+AE9</f>
        <v>372.185</v>
      </c>
      <c r="AH9" s="45">
        <f>AG9/U9</f>
        <v>7.4436999999999998</v>
      </c>
      <c r="AI9" s="46">
        <f>AH9*18%</f>
        <v>1.339866</v>
      </c>
      <c r="AJ9" s="47">
        <f>AH9+AI9</f>
        <v>8.7835660000000004</v>
      </c>
      <c r="AK9" s="48">
        <f>AG9*1%</f>
        <v>3.7218499999999999</v>
      </c>
      <c r="AL9" s="49">
        <f>AJ9*U9</f>
        <v>439.17830000000004</v>
      </c>
      <c r="AM9" s="50">
        <f>(AJ9-(AJ9/1.18))*U9</f>
        <v>66.993299999999991</v>
      </c>
      <c r="AN9" s="50">
        <f>(AJ9-(AJ9/1.02))*U9</f>
        <v>8.6113392156862645</v>
      </c>
      <c r="AO9" s="50">
        <f>(AJ9-(AJ9/1.05))*U9</f>
        <v>20.913252380952407</v>
      </c>
      <c r="AP9" s="50">
        <f>R9*U9</f>
        <v>90</v>
      </c>
      <c r="AQ9" s="51">
        <f>AP9-AO9-AN9</f>
        <v>60.475408403361335</v>
      </c>
      <c r="AS9" s="52">
        <f>AP9*100/(AL9-AM9-AP9)</f>
        <v>31.893970267732154</v>
      </c>
      <c r="AT9" s="52">
        <f>AQ9*100/(AL9-AM9-AP9-AN9-AO9)</f>
        <v>23.935451060783123</v>
      </c>
    </row>
    <row r="10" spans="2:46" s="5" customFormat="1" ht="234.75" customHeight="1" thickBot="1">
      <c r="B10" s="24">
        <v>2</v>
      </c>
      <c r="C10" s="98" t="s">
        <v>35</v>
      </c>
      <c r="D10" s="98"/>
      <c r="E10" s="25" t="s">
        <v>36</v>
      </c>
      <c r="F10" s="26">
        <v>30</v>
      </c>
      <c r="G10" s="27">
        <v>14.45</v>
      </c>
      <c r="H10" s="28" t="s">
        <v>37</v>
      </c>
      <c r="I10" s="53" t="s">
        <v>38</v>
      </c>
      <c r="J10" s="27">
        <f t="shared" si="2"/>
        <v>433.5</v>
      </c>
      <c r="K10" s="66" t="s">
        <v>53</v>
      </c>
      <c r="L10" s="29" t="s">
        <v>39</v>
      </c>
      <c r="M10" s="99" t="s">
        <v>40</v>
      </c>
      <c r="N10" s="100"/>
      <c r="O10" s="101"/>
      <c r="P10" s="30">
        <f>9.5/1.18</f>
        <v>8.0508474576271194</v>
      </c>
      <c r="Q10" s="31">
        <v>58</v>
      </c>
      <c r="R10" s="32">
        <f>P10*Q10/100</f>
        <v>4.6694915254237293</v>
      </c>
      <c r="S10" s="33">
        <f>R10*U10</f>
        <v>140.08474576271189</v>
      </c>
      <c r="T10" s="34">
        <f>P10+R10</f>
        <v>12.720338983050848</v>
      </c>
      <c r="U10" s="31">
        <v>30</v>
      </c>
      <c r="V10" s="35">
        <f>P10</f>
        <v>8.0508474576271194</v>
      </c>
      <c r="W10" s="36">
        <v>35</v>
      </c>
      <c r="X10" s="37">
        <f>U10*T10+V10+W10</f>
        <v>424.66101694915255</v>
      </c>
      <c r="Y10" s="38" t="s">
        <v>41</v>
      </c>
      <c r="Z10" s="39"/>
      <c r="AA10" s="40">
        <v>1</v>
      </c>
      <c r="AB10" s="40">
        <v>1</v>
      </c>
      <c r="AC10" s="40">
        <v>1</v>
      </c>
      <c r="AD10" s="41">
        <f>Z10*AA10*AB10*AC10</f>
        <v>0</v>
      </c>
      <c r="AE10" s="42">
        <v>3.5</v>
      </c>
      <c r="AF10" s="43">
        <f t="shared" si="3"/>
        <v>4.2816101694915254</v>
      </c>
      <c r="AG10" s="44">
        <f>X10+AD10+AF10+AE10</f>
        <v>432.44262711864405</v>
      </c>
      <c r="AH10" s="45">
        <f>AG10/U10</f>
        <v>14.414754237288134</v>
      </c>
      <c r="AI10" s="46">
        <f>AH10*18%</f>
        <v>2.5946557627118643</v>
      </c>
      <c r="AJ10" s="47">
        <f>AH10+AI10</f>
        <v>17.009409999999999</v>
      </c>
      <c r="AK10" s="48">
        <f>AG10*1%</f>
        <v>4.3244262711864403</v>
      </c>
      <c r="AL10" s="49">
        <f>AJ10*U10</f>
        <v>510.28229999999996</v>
      </c>
      <c r="AM10" s="50">
        <f>(AJ10-(AJ10/1.18))*U10</f>
        <v>77.839672881355881</v>
      </c>
      <c r="AN10" s="50">
        <f>(AJ10-(AJ10/1.02))*U10</f>
        <v>10.005535294117642</v>
      </c>
      <c r="AO10" s="50">
        <f>(AJ10-(AJ10/1.05))*U10</f>
        <v>24.299157142857162</v>
      </c>
      <c r="AP10" s="50">
        <f>R10*U10</f>
        <v>140.08474576271189</v>
      </c>
      <c r="AQ10" s="51">
        <f>AP10-AO10-AN10</f>
        <v>105.7800533257371</v>
      </c>
      <c r="AS10" s="52">
        <f>AP10*100/(AL10-AM10-AP10)</f>
        <v>47.915501751829026</v>
      </c>
      <c r="AT10" s="52">
        <f>AQ10*100/(AL10-AM10-AP10-AN10-AO10)</f>
        <v>40.991569904202095</v>
      </c>
    </row>
    <row r="11" spans="2:46" s="5" customFormat="1" ht="247.5" customHeight="1">
      <c r="B11" s="24">
        <v>3</v>
      </c>
      <c r="C11" s="98" t="s">
        <v>42</v>
      </c>
      <c r="D11" s="98"/>
      <c r="E11" s="62"/>
      <c r="F11" s="26">
        <v>25</v>
      </c>
      <c r="G11" s="27">
        <v>33.39</v>
      </c>
      <c r="H11" s="28" t="s">
        <v>37</v>
      </c>
      <c r="I11" s="53" t="s">
        <v>54</v>
      </c>
      <c r="J11" s="27">
        <f t="shared" si="2"/>
        <v>834.75</v>
      </c>
      <c r="K11" s="63" t="s">
        <v>55</v>
      </c>
      <c r="L11" s="29" t="s">
        <v>44</v>
      </c>
      <c r="M11" s="99" t="s">
        <v>45</v>
      </c>
      <c r="N11" s="100"/>
      <c r="O11" s="101"/>
      <c r="P11" s="30">
        <f>30/1.18</f>
        <v>25.423728813559322</v>
      </c>
      <c r="Q11" s="31">
        <v>20.5</v>
      </c>
      <c r="R11" s="32">
        <f>P11*Q11/100</f>
        <v>5.2118644067796609</v>
      </c>
      <c r="S11" s="33">
        <f>R11*U11</f>
        <v>130.29661016949152</v>
      </c>
      <c r="T11" s="34">
        <f>P11+R11</f>
        <v>30.635593220338983</v>
      </c>
      <c r="U11" s="31">
        <v>25</v>
      </c>
      <c r="V11" s="35">
        <f>P11</f>
        <v>25.423728813559322</v>
      </c>
      <c r="W11" s="36">
        <v>35</v>
      </c>
      <c r="X11" s="37">
        <f>U11*T11+V11+W11</f>
        <v>826.31355932203394</v>
      </c>
      <c r="Y11" s="38" t="s">
        <v>41</v>
      </c>
      <c r="Z11" s="39"/>
      <c r="AA11" s="40">
        <v>1</v>
      </c>
      <c r="AB11" s="40">
        <v>1</v>
      </c>
      <c r="AC11" s="40">
        <v>1</v>
      </c>
      <c r="AD11" s="41">
        <f>Z11*AA11*AB11*AC11</f>
        <v>0</v>
      </c>
      <c r="AE11" s="42">
        <v>0</v>
      </c>
      <c r="AF11" s="43">
        <f t="shared" si="3"/>
        <v>8.2631355932203387</v>
      </c>
      <c r="AG11" s="44">
        <f>X11+AD11+AF11+AE11</f>
        <v>834.57669491525428</v>
      </c>
      <c r="AH11" s="45">
        <f>AG11/U11</f>
        <v>33.38306779661017</v>
      </c>
      <c r="AI11" s="46">
        <f>AH11*18%</f>
        <v>6.0089522033898302</v>
      </c>
      <c r="AJ11" s="47">
        <f>AH11+AI11</f>
        <v>39.392020000000002</v>
      </c>
      <c r="AK11" s="48">
        <f>AG11*1%</f>
        <v>8.3457669491525426</v>
      </c>
      <c r="AL11" s="49">
        <f>AJ11*U11</f>
        <v>984.80050000000006</v>
      </c>
      <c r="AM11" s="50">
        <f>(AJ11-(AJ11/1.18))*U11</f>
        <v>150.22380508474581</v>
      </c>
      <c r="AN11" s="50">
        <f>(AJ11-(AJ11/1.02))*U11</f>
        <v>19.309813725490166</v>
      </c>
      <c r="AO11" s="50">
        <f>(AJ11-(AJ11/1.05))*U11</f>
        <v>46.895261904762009</v>
      </c>
      <c r="AP11" s="50">
        <f>R11*U11</f>
        <v>130.29661016949152</v>
      </c>
      <c r="AQ11" s="51">
        <f>AP11-AO11-AN11</f>
        <v>64.091534539239348</v>
      </c>
      <c r="AS11" s="52">
        <f>AP11*100/(AL11-AM11-AP11)</f>
        <v>18.500680764887331</v>
      </c>
      <c r="AT11" s="52">
        <f>AQ11*100/(AL11-AM11-AP11-AN11-AO11)</f>
        <v>10.044514143890702</v>
      </c>
    </row>
    <row r="12" spans="2:46" ht="21.75" thickBot="1">
      <c r="S12" s="64">
        <f>SUM(S9:S11)</f>
        <v>360.38135593220341</v>
      </c>
    </row>
    <row r="13" spans="2:46" s="1" customFormat="1" ht="23.25" customHeight="1" thickBot="1">
      <c r="B13" s="96" t="s">
        <v>0</v>
      </c>
      <c r="C13" s="97"/>
      <c r="D13" s="97"/>
      <c r="E13" s="97"/>
      <c r="F13" s="97"/>
      <c r="G13" s="97"/>
      <c r="H13" s="97"/>
      <c r="I13" s="97"/>
      <c r="J13" s="55"/>
      <c r="K13" s="2"/>
      <c r="L13" s="2"/>
      <c r="M13" s="2"/>
      <c r="N13" s="2"/>
      <c r="O13" s="3"/>
      <c r="P13" s="3"/>
      <c r="Q13" s="3"/>
      <c r="R13" s="3"/>
      <c r="S13" s="3"/>
      <c r="T13" s="3"/>
      <c r="U13" s="3"/>
      <c r="V13" s="2"/>
      <c r="W13" s="2"/>
      <c r="X13" s="2"/>
      <c r="Y13" s="2"/>
      <c r="Z13" s="2"/>
      <c r="AA13" s="2"/>
      <c r="AB13" s="4"/>
      <c r="AC13" s="4"/>
      <c r="AD13" s="4"/>
      <c r="AE13" s="4"/>
      <c r="AF13" s="4"/>
      <c r="AG13" s="4"/>
    </row>
    <row r="14" spans="2:46" s="5" customFormat="1" ht="37.5" customHeight="1" thickBot="1">
      <c r="B14" s="6" t="s">
        <v>1</v>
      </c>
      <c r="C14" s="7" t="s">
        <v>2</v>
      </c>
      <c r="D14" s="7" t="s">
        <v>3</v>
      </c>
      <c r="E14" s="7" t="s">
        <v>4</v>
      </c>
      <c r="F14" s="7" t="s">
        <v>5</v>
      </c>
      <c r="G14" s="8" t="s">
        <v>6</v>
      </c>
      <c r="H14" s="9" t="s">
        <v>7</v>
      </c>
      <c r="I14" s="10" t="s">
        <v>8</v>
      </c>
      <c r="J14" s="59"/>
      <c r="K14" s="11"/>
      <c r="L14" s="12" t="s">
        <v>11</v>
      </c>
      <c r="M14" s="13" t="s">
        <v>12</v>
      </c>
      <c r="N14" s="13" t="s">
        <v>13</v>
      </c>
      <c r="O14" s="14" t="s">
        <v>14</v>
      </c>
      <c r="P14" s="15" t="s">
        <v>15</v>
      </c>
      <c r="Q14" s="16" t="s">
        <v>16</v>
      </c>
      <c r="R14" s="16" t="s">
        <v>17</v>
      </c>
      <c r="S14" s="16" t="s">
        <v>18</v>
      </c>
      <c r="T14" s="16" t="s">
        <v>19</v>
      </c>
      <c r="U14" s="16" t="s">
        <v>20</v>
      </c>
      <c r="V14" s="17" t="s">
        <v>21</v>
      </c>
      <c r="W14" s="12" t="s">
        <v>22</v>
      </c>
      <c r="X14" s="14" t="s">
        <v>23</v>
      </c>
      <c r="Y14" s="18" t="s">
        <v>24</v>
      </c>
      <c r="Z14" s="19" t="s">
        <v>25</v>
      </c>
      <c r="AA14" s="19" t="s">
        <v>26</v>
      </c>
      <c r="AB14" s="19" t="s">
        <v>27</v>
      </c>
      <c r="AC14" s="19" t="s">
        <v>28</v>
      </c>
      <c r="AD14" s="20" t="s">
        <v>29</v>
      </c>
      <c r="AE14" s="12" t="s">
        <v>30</v>
      </c>
      <c r="AF14" s="12" t="s">
        <v>31</v>
      </c>
      <c r="AG14" s="21" t="s">
        <v>19</v>
      </c>
      <c r="AH14" s="22" t="s">
        <v>32</v>
      </c>
      <c r="AI14" s="22" t="s">
        <v>33</v>
      </c>
      <c r="AJ14" s="23" t="s">
        <v>34</v>
      </c>
    </row>
    <row r="15" spans="2:46" s="5" customFormat="1" ht="159" customHeight="1" thickBot="1">
      <c r="B15" s="24">
        <v>1</v>
      </c>
      <c r="C15" s="98" t="s">
        <v>47</v>
      </c>
      <c r="D15" s="98"/>
      <c r="E15" s="25" t="s">
        <v>36</v>
      </c>
      <c r="F15" s="26">
        <v>50</v>
      </c>
      <c r="G15" s="27">
        <f>AH15</f>
        <v>29.899987288135595</v>
      </c>
      <c r="H15" s="28" t="s">
        <v>48</v>
      </c>
      <c r="I15" s="53" t="s">
        <v>56</v>
      </c>
      <c r="J15" s="60"/>
      <c r="K15" s="58" t="s">
        <v>50</v>
      </c>
      <c r="L15" s="29" t="s">
        <v>57</v>
      </c>
      <c r="M15" s="54" t="s">
        <v>58</v>
      </c>
      <c r="N15" s="100" t="s">
        <v>59</v>
      </c>
      <c r="O15" s="101"/>
      <c r="P15" s="30">
        <f>((900+500)/50)/1.18</f>
        <v>23.728813559322035</v>
      </c>
      <c r="Q15" s="31">
        <v>14</v>
      </c>
      <c r="R15" s="32">
        <f>P15*Q15/100</f>
        <v>3.3220338983050852</v>
      </c>
      <c r="S15" s="33">
        <f>R15*U15</f>
        <v>166.10169491525426</v>
      </c>
      <c r="T15" s="34">
        <f>P15+R15</f>
        <v>27.050847457627121</v>
      </c>
      <c r="U15" s="31">
        <v>50</v>
      </c>
      <c r="V15" s="35">
        <f>P15</f>
        <v>23.728813559322035</v>
      </c>
      <c r="W15" s="36">
        <f>35+40</f>
        <v>75</v>
      </c>
      <c r="X15" s="37">
        <f>U15*T15+V15+W15</f>
        <v>1451.2711864406781</v>
      </c>
      <c r="Y15" s="38" t="s">
        <v>41</v>
      </c>
      <c r="Z15" s="39"/>
      <c r="AA15" s="40">
        <v>1</v>
      </c>
      <c r="AB15" s="40">
        <v>1</v>
      </c>
      <c r="AC15" s="40">
        <v>1</v>
      </c>
      <c r="AD15" s="41">
        <f>Z15*AA15*AB15*AC15</f>
        <v>0</v>
      </c>
      <c r="AE15" s="42">
        <f>8*5</f>
        <v>40</v>
      </c>
      <c r="AF15" s="43">
        <f>0.25%*(X15+AD15+AE15)</f>
        <v>3.7281779661016952</v>
      </c>
      <c r="AG15" s="44">
        <f>X15+AD15+AF15+AE15</f>
        <v>1494.9993644067797</v>
      </c>
      <c r="AH15" s="45">
        <f>AG15/U15</f>
        <v>29.899987288135595</v>
      </c>
      <c r="AI15" s="46">
        <f>AH15*18%</f>
        <v>5.3819977118644067</v>
      </c>
      <c r="AJ15" s="47">
        <f>AH15+AI15</f>
        <v>35.281984999999999</v>
      </c>
      <c r="AK15" s="48">
        <f>AG15*1%</f>
        <v>14.949993644067797</v>
      </c>
      <c r="AL15" s="49">
        <f>AJ15*U15</f>
        <v>1764.09925</v>
      </c>
      <c r="AM15" s="50">
        <f>(AJ15-(AJ15/1.18))*U15</f>
        <v>269.09988559322022</v>
      </c>
      <c r="AN15" s="50">
        <f>(AJ15-(AJ15/1.02))*U15</f>
        <v>34.590181372549011</v>
      </c>
      <c r="AO15" s="50">
        <f>(AJ15-(AJ15/1.05))*U15</f>
        <v>84.00472619047612</v>
      </c>
      <c r="AP15" s="50">
        <f>R15*U15</f>
        <v>166.10169491525426</v>
      </c>
      <c r="AQ15" s="51">
        <f>AP15-AO15-AN15</f>
        <v>47.506787352229125</v>
      </c>
      <c r="AS15" s="52">
        <f>AP15*100/(AL15-AM15-AP15)</f>
        <v>12.499208835155047</v>
      </c>
      <c r="AT15" s="52">
        <f>AQ15*100/(AL15-AM15-AP15-AN15-AO15)</f>
        <v>3.925198623568507</v>
      </c>
    </row>
    <row r="16" spans="2:46" s="5" customFormat="1" ht="234.75" customHeight="1" thickBot="1">
      <c r="B16" s="24">
        <v>2</v>
      </c>
      <c r="C16" s="98" t="s">
        <v>60</v>
      </c>
      <c r="D16" s="98"/>
      <c r="E16" s="25" t="s">
        <v>36</v>
      </c>
      <c r="F16" s="26">
        <v>25</v>
      </c>
      <c r="G16" s="27">
        <f t="shared" ref="G16:G17" si="4">AH16</f>
        <v>14.899550847457629</v>
      </c>
      <c r="H16" s="28" t="s">
        <v>37</v>
      </c>
      <c r="I16" s="53" t="s">
        <v>61</v>
      </c>
      <c r="J16" s="60"/>
      <c r="K16" s="58" t="s">
        <v>50</v>
      </c>
      <c r="L16" s="29" t="s">
        <v>39</v>
      </c>
      <c r="M16" s="99" t="s">
        <v>62</v>
      </c>
      <c r="N16" s="100"/>
      <c r="O16" s="101"/>
      <c r="P16" s="30">
        <f>8.9/1.18</f>
        <v>7.5423728813559325</v>
      </c>
      <c r="Q16" s="31">
        <v>74</v>
      </c>
      <c r="R16" s="32">
        <f>P16*Q16/100</f>
        <v>5.5813559322033903</v>
      </c>
      <c r="S16" s="33">
        <f>R16*U16</f>
        <v>139.53389830508476</v>
      </c>
      <c r="T16" s="34">
        <f>P16+R16</f>
        <v>13.123728813559323</v>
      </c>
      <c r="U16" s="31">
        <v>25</v>
      </c>
      <c r="V16" s="35">
        <f>P16</f>
        <v>7.5423728813559325</v>
      </c>
      <c r="W16" s="36">
        <v>35</v>
      </c>
      <c r="X16" s="37">
        <f>U16*T16+V16+W16</f>
        <v>370.63559322033905</v>
      </c>
      <c r="Y16" s="38" t="s">
        <v>41</v>
      </c>
      <c r="Z16" s="39"/>
      <c r="AA16" s="40">
        <v>1</v>
      </c>
      <c r="AB16" s="40">
        <v>1</v>
      </c>
      <c r="AC16" s="40">
        <v>1</v>
      </c>
      <c r="AD16" s="41">
        <f>Z16*AA16*AB16*AC16</f>
        <v>0</v>
      </c>
      <c r="AE16" s="42">
        <v>0</v>
      </c>
      <c r="AF16" s="43">
        <f>0.5%*(X16+AD16+AE16)</f>
        <v>1.8531779661016952</v>
      </c>
      <c r="AG16" s="44">
        <f>X16+AD16+AF16+AE16</f>
        <v>372.48877118644072</v>
      </c>
      <c r="AH16" s="45">
        <f>AG16/U16</f>
        <v>14.899550847457629</v>
      </c>
      <c r="AI16" s="46">
        <f>AH16*18%</f>
        <v>2.6819191525423731</v>
      </c>
      <c r="AJ16" s="47">
        <f>AH16+AI16</f>
        <v>17.581470000000003</v>
      </c>
      <c r="AK16" s="48">
        <f>AG16*1%</f>
        <v>3.7248877118644073</v>
      </c>
      <c r="AL16" s="49">
        <f>AJ16*U16</f>
        <v>439.5367500000001</v>
      </c>
      <c r="AM16" s="50">
        <f>(AJ16-(AJ16/1.18))*U16</f>
        <v>67.047978813559311</v>
      </c>
      <c r="AN16" s="50">
        <f>(AJ16-(AJ16/1.02))*U16</f>
        <v>8.6183676470588111</v>
      </c>
      <c r="AO16" s="50">
        <f>(AJ16-(AJ16/1.05))*U16</f>
        <v>20.930321428571474</v>
      </c>
      <c r="AP16" s="50">
        <f>R16*U16</f>
        <v>139.53389830508476</v>
      </c>
      <c r="AQ16" s="51">
        <f>AP16-AO16-AN16</f>
        <v>109.98520922945448</v>
      </c>
      <c r="AS16" s="52">
        <f>AP16*100/(AL16-AM16-AP16)</f>
        <v>59.897394108664741</v>
      </c>
      <c r="AT16" s="52">
        <f>AQ16*100/(AL16-AM16-AP16-AN16-AO16)</f>
        <v>54.071713638018949</v>
      </c>
    </row>
    <row r="17" spans="2:46" s="5" customFormat="1" ht="211.5" customHeight="1">
      <c r="B17" s="24">
        <v>3</v>
      </c>
      <c r="C17" s="98" t="s">
        <v>63</v>
      </c>
      <c r="D17" s="98"/>
      <c r="E17" s="25" t="s">
        <v>36</v>
      </c>
      <c r="F17" s="26">
        <v>25</v>
      </c>
      <c r="G17" s="27">
        <f t="shared" si="4"/>
        <v>29.949425847457622</v>
      </c>
      <c r="H17" s="28" t="s">
        <v>37</v>
      </c>
      <c r="I17" s="53" t="s">
        <v>64</v>
      </c>
      <c r="J17" s="60"/>
      <c r="K17" s="58" t="s">
        <v>50</v>
      </c>
      <c r="L17" s="29" t="s">
        <v>44</v>
      </c>
      <c r="M17" s="99" t="s">
        <v>65</v>
      </c>
      <c r="N17" s="100"/>
      <c r="O17" s="101"/>
      <c r="P17" s="30">
        <f>25/1.18</f>
        <v>21.186440677966104</v>
      </c>
      <c r="Q17" s="31">
        <v>30.05</v>
      </c>
      <c r="R17" s="32">
        <f>P17*Q17/100</f>
        <v>6.366525423728814</v>
      </c>
      <c r="S17" s="33">
        <f>R17*U17</f>
        <v>159.16313559322035</v>
      </c>
      <c r="T17" s="34">
        <f>P17+R17</f>
        <v>27.552966101694917</v>
      </c>
      <c r="U17" s="31">
        <v>25</v>
      </c>
      <c r="V17" s="35">
        <f>P17</f>
        <v>21.186440677966104</v>
      </c>
      <c r="W17" s="36">
        <v>35</v>
      </c>
      <c r="X17" s="37">
        <f>U17*T17+V17+W17</f>
        <v>745.01059322033893</v>
      </c>
      <c r="Y17" s="38" t="s">
        <v>41</v>
      </c>
      <c r="Z17" s="39"/>
      <c r="AA17" s="40">
        <v>1</v>
      </c>
      <c r="AB17" s="40">
        <v>1</v>
      </c>
      <c r="AC17" s="40">
        <v>1</v>
      </c>
      <c r="AD17" s="41">
        <f>Z17*AA17*AB17*AC17</f>
        <v>0</v>
      </c>
      <c r="AE17" s="42">
        <v>0</v>
      </c>
      <c r="AF17" s="43">
        <f>0.5%*(X17+AD17+AE17)</f>
        <v>3.7250529661016949</v>
      </c>
      <c r="AG17" s="44">
        <f>X17+AD17+AF17+AE17</f>
        <v>748.73564618644059</v>
      </c>
      <c r="AH17" s="45">
        <f>AG17/U17</f>
        <v>29.949425847457622</v>
      </c>
      <c r="AI17" s="46">
        <f>AH17*18%</f>
        <v>5.3908966525423718</v>
      </c>
      <c r="AJ17" s="47">
        <f>AH17+AI17</f>
        <v>35.340322499999992</v>
      </c>
      <c r="AK17" s="48">
        <f>AG17*1%</f>
        <v>7.4873564618644064</v>
      </c>
      <c r="AL17" s="49">
        <f>AJ17*U17</f>
        <v>883.50806249999982</v>
      </c>
      <c r="AM17" s="50">
        <f>(AJ17-(AJ17/1.18))*U17</f>
        <v>134.77241631355926</v>
      </c>
      <c r="AN17" s="50">
        <f>(AJ17-(AJ17/1.02))*U17</f>
        <v>17.323687500000062</v>
      </c>
      <c r="AO17" s="50">
        <f>(AJ17-(AJ17/1.05))*U17</f>
        <v>42.07181250000005</v>
      </c>
      <c r="AP17" s="50">
        <f>R17*U17</f>
        <v>159.16313559322035</v>
      </c>
      <c r="AQ17" s="51">
        <f>AP17-AO17-AN17</f>
        <v>99.767635593220234</v>
      </c>
      <c r="AS17" s="52">
        <f>AP17*100/(AL17-AM17-AP17)</f>
        <v>26.996363082307287</v>
      </c>
      <c r="AT17" s="52">
        <f>AQ17*100/(AL17-AM17-AP17-AN17-AO17)</f>
        <v>18.817797377066441</v>
      </c>
    </row>
    <row r="18" spans="2:46" ht="21.75" thickBot="1">
      <c r="G18" s="56"/>
      <c r="S18" s="61">
        <f>SUM(S15:S17)</f>
        <v>464.79872881355936</v>
      </c>
    </row>
    <row r="19" spans="2:46" s="1" customFormat="1" ht="23.25" customHeight="1" thickBot="1">
      <c r="B19" s="96" t="s">
        <v>66</v>
      </c>
      <c r="C19" s="97"/>
      <c r="D19" s="97"/>
      <c r="E19" s="97"/>
      <c r="F19" s="97"/>
      <c r="G19" s="97"/>
      <c r="H19" s="97"/>
      <c r="I19" s="97"/>
      <c r="J19" s="55"/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2"/>
      <c r="W19" s="2"/>
      <c r="X19" s="2"/>
      <c r="Y19" s="2"/>
      <c r="Z19" s="2"/>
      <c r="AA19" s="2"/>
      <c r="AB19" s="4"/>
      <c r="AC19" s="4"/>
      <c r="AD19" s="4"/>
      <c r="AE19" s="4"/>
      <c r="AF19" s="4"/>
      <c r="AG19" s="4"/>
    </row>
    <row r="20" spans="2:46" s="5" customFormat="1" ht="37.5" customHeight="1" thickBot="1">
      <c r="B20" s="6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G20" s="8" t="s">
        <v>6</v>
      </c>
      <c r="H20" s="9" t="s">
        <v>7</v>
      </c>
      <c r="I20" s="10" t="s">
        <v>8</v>
      </c>
      <c r="J20" s="59"/>
      <c r="K20" s="11"/>
      <c r="L20" s="12" t="s">
        <v>11</v>
      </c>
      <c r="M20" s="13" t="s">
        <v>12</v>
      </c>
      <c r="N20" s="13" t="s">
        <v>13</v>
      </c>
      <c r="O20" s="14" t="s">
        <v>14</v>
      </c>
      <c r="P20" s="15" t="s">
        <v>15</v>
      </c>
      <c r="Q20" s="16" t="s">
        <v>16</v>
      </c>
      <c r="R20" s="16" t="s">
        <v>17</v>
      </c>
      <c r="S20" s="16" t="s">
        <v>18</v>
      </c>
      <c r="T20" s="16" t="s">
        <v>19</v>
      </c>
      <c r="U20" s="16" t="s">
        <v>20</v>
      </c>
      <c r="V20" s="17" t="s">
        <v>21</v>
      </c>
      <c r="W20" s="12" t="s">
        <v>22</v>
      </c>
      <c r="X20" s="14" t="s">
        <v>23</v>
      </c>
      <c r="Y20" s="18" t="s">
        <v>24</v>
      </c>
      <c r="Z20" s="19" t="s">
        <v>25</v>
      </c>
      <c r="AA20" s="19" t="s">
        <v>26</v>
      </c>
      <c r="AB20" s="19" t="s">
        <v>27</v>
      </c>
      <c r="AC20" s="19" t="s">
        <v>28</v>
      </c>
      <c r="AD20" s="20" t="s">
        <v>29</v>
      </c>
      <c r="AE20" s="12" t="s">
        <v>30</v>
      </c>
      <c r="AF20" s="12" t="s">
        <v>31</v>
      </c>
      <c r="AG20" s="21" t="s">
        <v>19</v>
      </c>
      <c r="AH20" s="22" t="s">
        <v>32</v>
      </c>
      <c r="AI20" s="22" t="s">
        <v>33</v>
      </c>
      <c r="AJ20" s="23" t="s">
        <v>34</v>
      </c>
    </row>
    <row r="21" spans="2:46" s="5" customFormat="1" ht="198.75" customHeight="1" thickBot="1">
      <c r="B21" s="24">
        <v>1</v>
      </c>
      <c r="C21" s="98" t="s">
        <v>60</v>
      </c>
      <c r="D21" s="98"/>
      <c r="E21" s="25" t="s">
        <v>36</v>
      </c>
      <c r="F21" s="26">
        <v>25</v>
      </c>
      <c r="G21" s="27">
        <v>14.85</v>
      </c>
      <c r="H21" s="28" t="s">
        <v>37</v>
      </c>
      <c r="I21" s="53" t="s">
        <v>61</v>
      </c>
      <c r="J21" s="60"/>
      <c r="K21" s="57" t="s">
        <v>67</v>
      </c>
      <c r="L21" s="29" t="s">
        <v>39</v>
      </c>
      <c r="M21" s="99" t="s">
        <v>62</v>
      </c>
      <c r="N21" s="100"/>
      <c r="O21" s="101"/>
      <c r="P21" s="30">
        <f>8.9/1.18</f>
        <v>7.5423728813559325</v>
      </c>
      <c r="Q21" s="31">
        <v>73</v>
      </c>
      <c r="R21" s="32">
        <f>P21*Q21/100</f>
        <v>5.5059322033898308</v>
      </c>
      <c r="S21" s="33">
        <f>R21*U21</f>
        <v>137.64830508474577</v>
      </c>
      <c r="T21" s="34">
        <f>P21+R21</f>
        <v>13.048305084745763</v>
      </c>
      <c r="U21" s="31">
        <v>25</v>
      </c>
      <c r="V21" s="35">
        <f>P21</f>
        <v>7.5423728813559325</v>
      </c>
      <c r="W21" s="36">
        <v>35</v>
      </c>
      <c r="X21" s="37">
        <f>U21*T21+V21+W21</f>
        <v>368.75000000000006</v>
      </c>
      <c r="Y21" s="38" t="s">
        <v>41</v>
      </c>
      <c r="Z21" s="39"/>
      <c r="AA21" s="40">
        <v>1</v>
      </c>
      <c r="AB21" s="40">
        <v>1</v>
      </c>
      <c r="AC21" s="40">
        <v>1</v>
      </c>
      <c r="AD21" s="41">
        <f>Z21*AA21*AB21*AC21</f>
        <v>0</v>
      </c>
      <c r="AE21" s="42">
        <v>0</v>
      </c>
      <c r="AF21" s="43">
        <f>0.5%*(X21+AD21+AE21)</f>
        <v>1.8437500000000002</v>
      </c>
      <c r="AG21" s="44">
        <f>X21+AD21+AF21+AE21</f>
        <v>370.59375000000006</v>
      </c>
      <c r="AH21" s="45">
        <f>AG21/U21</f>
        <v>14.823750000000002</v>
      </c>
      <c r="AI21" s="46">
        <f>AH21*18%</f>
        <v>2.6682750000000004</v>
      </c>
      <c r="AJ21" s="47">
        <f>AH21+AI21</f>
        <v>17.492025000000002</v>
      </c>
      <c r="AK21" s="48">
        <f>AG21*1%</f>
        <v>3.7059375000000006</v>
      </c>
      <c r="AL21" s="49">
        <f>AJ21*U21</f>
        <v>437.30062500000003</v>
      </c>
      <c r="AM21" s="50">
        <f>(AJ21-(AJ21/1.18))*U21</f>
        <v>66.706874999999982</v>
      </c>
      <c r="AN21" s="50">
        <f>(AJ21-(AJ21/1.02))*U21</f>
        <v>8.5745220588234972</v>
      </c>
      <c r="AO21" s="50">
        <f>(AJ21-(AJ21/1.05))*U21</f>
        <v>20.823839285714296</v>
      </c>
      <c r="AP21" s="50">
        <f>R21*U21</f>
        <v>137.64830508474577</v>
      </c>
      <c r="AQ21" s="51">
        <f>AP21-AO21-AN21</f>
        <v>108.24994374020798</v>
      </c>
      <c r="AS21" s="52">
        <f>AP21*100/(AL21-AM21-AP21)</f>
        <v>59.090361322507214</v>
      </c>
      <c r="AT21" s="52">
        <f>AQ21*100/(AL21-AM21-AP21-AN21-AO21)</f>
        <v>53.181770940284537</v>
      </c>
    </row>
    <row r="22" spans="2:46" s="5" customFormat="1" ht="211.5" customHeight="1">
      <c r="B22" s="24">
        <v>2</v>
      </c>
      <c r="C22" s="98" t="s">
        <v>63</v>
      </c>
      <c r="D22" s="98"/>
      <c r="E22" s="25" t="s">
        <v>36</v>
      </c>
      <c r="F22" s="26">
        <v>25</v>
      </c>
      <c r="G22" s="27">
        <v>29.95</v>
      </c>
      <c r="H22" s="28" t="s">
        <v>37</v>
      </c>
      <c r="I22" s="53" t="s">
        <v>64</v>
      </c>
      <c r="J22" s="60"/>
      <c r="K22"/>
      <c r="L22" s="29" t="s">
        <v>44</v>
      </c>
      <c r="M22" s="99" t="s">
        <v>65</v>
      </c>
      <c r="N22" s="100"/>
      <c r="O22" s="101"/>
      <c r="P22" s="30">
        <f>25/1.18</f>
        <v>21.186440677966104</v>
      </c>
      <c r="Q22" s="31">
        <v>30</v>
      </c>
      <c r="R22" s="32">
        <f>P22*Q22/100</f>
        <v>6.3559322033898304</v>
      </c>
      <c r="S22" s="33">
        <f>R22*U22</f>
        <v>158.89830508474577</v>
      </c>
      <c r="T22" s="34">
        <f>P22+R22</f>
        <v>27.542372881355934</v>
      </c>
      <c r="U22" s="31">
        <v>25</v>
      </c>
      <c r="V22" s="35">
        <f>P22</f>
        <v>21.186440677966104</v>
      </c>
      <c r="W22" s="36">
        <v>35</v>
      </c>
      <c r="X22" s="37">
        <f>U22*T22+V22+W22</f>
        <v>744.74576271186447</v>
      </c>
      <c r="Y22" s="38" t="s">
        <v>41</v>
      </c>
      <c r="Z22" s="39"/>
      <c r="AA22" s="40">
        <v>1</v>
      </c>
      <c r="AB22" s="40">
        <v>1</v>
      </c>
      <c r="AC22" s="40">
        <v>1</v>
      </c>
      <c r="AD22" s="41">
        <f>Z22*AA22*AB22*AC22</f>
        <v>0</v>
      </c>
      <c r="AE22" s="42">
        <v>0</v>
      </c>
      <c r="AF22" s="43">
        <f>0.5%*(X22+AD22+AE22)</f>
        <v>3.7237288135593225</v>
      </c>
      <c r="AG22" s="44">
        <f>X22+AD22+AF22+AE22</f>
        <v>748.46949152542379</v>
      </c>
      <c r="AH22" s="45">
        <f>AG22/U22</f>
        <v>29.938779661016952</v>
      </c>
      <c r="AI22" s="46">
        <f>AH22*18%</f>
        <v>5.3889803389830515</v>
      </c>
      <c r="AJ22" s="47">
        <f>AH22+AI22</f>
        <v>35.327760000000005</v>
      </c>
      <c r="AK22" s="48">
        <f>AG22*1%</f>
        <v>7.4846949152542379</v>
      </c>
      <c r="AL22" s="49">
        <f>AJ22*U22</f>
        <v>883.19400000000007</v>
      </c>
      <c r="AM22" s="50">
        <f>(AJ22-(AJ22/1.18))*U22</f>
        <v>134.72450847457625</v>
      </c>
      <c r="AN22" s="50">
        <f>(AJ22-(AJ22/1.02))*U22</f>
        <v>17.317529411764809</v>
      </c>
      <c r="AO22" s="50">
        <f>(AJ22-(AJ22/1.05))*U22</f>
        <v>42.05685714285714</v>
      </c>
      <c r="AP22" s="50">
        <f>R22*U22</f>
        <v>158.89830508474577</v>
      </c>
      <c r="AQ22" s="51">
        <f>AP22-AO22-AN22</f>
        <v>99.523918530123822</v>
      </c>
      <c r="AS22" s="52">
        <f>AP22*100/(AL22-AM22-AP22)</f>
        <v>26.951504540789482</v>
      </c>
      <c r="AT22" s="52">
        <f>AQ22*100/(AL22-AM22-AP22-AN22-AO22)</f>
        <v>18.77112773059218</v>
      </c>
    </row>
    <row r="23" spans="2:46">
      <c r="S23" s="56">
        <f>SUM(S21:S22)</f>
        <v>296.54661016949154</v>
      </c>
    </row>
  </sheetData>
  <mergeCells count="28">
    <mergeCell ref="C3:D3"/>
    <mergeCell ref="M3:O3"/>
    <mergeCell ref="C4:D4"/>
    <mergeCell ref="M4:O4"/>
    <mergeCell ref="B1:I1"/>
    <mergeCell ref="C10:D10"/>
    <mergeCell ref="M10:O10"/>
    <mergeCell ref="C11:D11"/>
    <mergeCell ref="M11:O11"/>
    <mergeCell ref="B6:I6"/>
    <mergeCell ref="E8:E9"/>
    <mergeCell ref="I8:I9"/>
    <mergeCell ref="C8:D9"/>
    <mergeCell ref="B8:B9"/>
    <mergeCell ref="M8:O9"/>
    <mergeCell ref="L8:L9"/>
    <mergeCell ref="C21:D21"/>
    <mergeCell ref="M21:O21"/>
    <mergeCell ref="C22:D22"/>
    <mergeCell ref="M22:O22"/>
    <mergeCell ref="B19:I19"/>
    <mergeCell ref="B13:I13"/>
    <mergeCell ref="C16:D16"/>
    <mergeCell ref="C17:D17"/>
    <mergeCell ref="M17:O17"/>
    <mergeCell ref="M16:O16"/>
    <mergeCell ref="C15:D15"/>
    <mergeCell ref="N15:O15"/>
  </mergeCells>
  <hyperlinks>
    <hyperlink ref="M15" r:id="rId1" xr:uid="{00000000-0004-0000-0000-000000000000}"/>
  </hyperlinks>
  <pageMargins left="0.7" right="0.7" top="0.75" bottom="0.75" header="0.3" footer="0.3"/>
  <pageSetup paperSize="9" orientation="portrait" horizontalDpi="360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LESLY YOMIRA QUISPE TORRES</dc:creator>
  <cp:keywords/>
  <dc:description/>
  <cp:lastModifiedBy>Karla Huamaccto</cp:lastModifiedBy>
  <cp:revision/>
  <dcterms:created xsi:type="dcterms:W3CDTF">2021-10-19T17:13:10Z</dcterms:created>
  <dcterms:modified xsi:type="dcterms:W3CDTF">2026-05-20T20:37:29Z</dcterms:modified>
  <cp:category/>
  <cp:contentStatus/>
</cp:coreProperties>
</file>