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eja\Downloads\pruebas\COTIZACION-06-26\"/>
    </mc:Choice>
  </mc:AlternateContent>
  <xr:revisionPtr revIDLastSave="0" documentId="13_ncr:1_{DFA50B29-16BE-4B85-A222-7FD9C15C13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BRIL" sheetId="1" r:id="rId1"/>
    <sheet name="MAY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5" i="2" l="1"/>
  <c r="AR15" i="2"/>
  <c r="AS15" i="2" s="1"/>
  <c r="AV15" i="2" s="1"/>
  <c r="AQ15" i="2"/>
  <c r="AP15" i="2"/>
  <c r="AO15" i="2"/>
  <c r="AN15" i="2"/>
  <c r="O15" i="2"/>
  <c r="J15" i="2"/>
  <c r="O9" i="2" l="1"/>
  <c r="J9" i="2"/>
  <c r="AF14" i="2" l="1"/>
  <c r="AE14" i="2"/>
  <c r="V14" i="2"/>
  <c r="S14" i="2"/>
  <c r="T14" i="2" s="1"/>
  <c r="AE8" i="2"/>
  <c r="V8" i="2"/>
  <c r="S8" i="2"/>
  <c r="J8" i="2"/>
  <c r="AF7" i="2"/>
  <c r="AE7" i="2"/>
  <c r="V7" i="2"/>
  <c r="S7" i="2"/>
  <c r="J7" i="2"/>
  <c r="AD10" i="1"/>
  <c r="U10" i="1"/>
  <c r="P10" i="1"/>
  <c r="R10" i="1" s="1"/>
  <c r="S10" i="1" s="1"/>
  <c r="J10" i="1"/>
  <c r="AD9" i="1"/>
  <c r="V9" i="1"/>
  <c r="U9" i="1"/>
  <c r="P9" i="1"/>
  <c r="R9" i="1" s="1"/>
  <c r="S9" i="1" s="1"/>
  <c r="J9" i="1"/>
  <c r="AD8" i="1"/>
  <c r="V8" i="1"/>
  <c r="U8" i="1"/>
  <c r="R8" i="1"/>
  <c r="S8" i="1" s="1"/>
  <c r="P8" i="1"/>
  <c r="T8" i="1" s="1"/>
  <c r="J8" i="1"/>
  <c r="AD4" i="1"/>
  <c r="U4" i="1"/>
  <c r="P4" i="1"/>
  <c r="R4" i="1" s="1"/>
  <c r="S4" i="1" s="1"/>
  <c r="J4" i="1"/>
  <c r="T8" i="2" l="1"/>
  <c r="U14" i="2"/>
  <c r="W14" i="2" s="1"/>
  <c r="T7" i="2"/>
  <c r="AR14" i="2"/>
  <c r="U8" i="2"/>
  <c r="AR8" i="2"/>
  <c r="W8" i="2"/>
  <c r="Y8" i="2" s="1"/>
  <c r="AG8" i="2" s="1"/>
  <c r="AH8" i="2" s="1"/>
  <c r="AI8" i="2" s="1"/>
  <c r="U7" i="2"/>
  <c r="W7" i="2" s="1"/>
  <c r="AR7" i="2"/>
  <c r="AR9" i="2"/>
  <c r="X8" i="1"/>
  <c r="T10" i="1"/>
  <c r="X10" i="1" s="1"/>
  <c r="Y14" i="2"/>
  <c r="T4" i="1"/>
  <c r="X4" i="1" s="1"/>
  <c r="T9" i="1"/>
  <c r="X9" i="1" s="1"/>
  <c r="Y7" i="2" l="1"/>
  <c r="AG7" i="2" s="1"/>
  <c r="AH7" i="2" s="1"/>
  <c r="AI7" i="2" s="1"/>
  <c r="AF10" i="1"/>
  <c r="AG10" i="1" s="1"/>
  <c r="AH10" i="1" s="1"/>
  <c r="AJ8" i="2"/>
  <c r="AK8" i="2" s="1"/>
  <c r="AF9" i="1"/>
  <c r="AG9" i="1" s="1"/>
  <c r="AH9" i="1" s="1"/>
  <c r="AF4" i="1"/>
  <c r="AG4" i="1" s="1"/>
  <c r="AH4" i="1" s="1"/>
  <c r="AG14" i="2"/>
  <c r="AH14" i="2" s="1"/>
  <c r="AI14" i="2" s="1"/>
  <c r="AF8" i="1"/>
  <c r="AG8" i="1" s="1"/>
  <c r="AH8" i="1" s="1"/>
  <c r="AI4" i="1" l="1"/>
  <c r="AJ4" i="1"/>
  <c r="AJ8" i="1"/>
  <c r="AI8" i="1"/>
  <c r="AJ7" i="2"/>
  <c r="AK7" i="2" s="1"/>
  <c r="J14" i="2"/>
  <c r="AJ14" i="2"/>
  <c r="AK14" i="2" s="1"/>
  <c r="AI9" i="1"/>
  <c r="AJ9" i="1" s="1"/>
  <c r="AJ10" i="1"/>
  <c r="AI10" i="1"/>
  <c r="AP8" i="2"/>
  <c r="AO8" i="2"/>
  <c r="AQ8" i="2"/>
  <c r="AN8" i="2"/>
  <c r="AQ7" i="2" l="1"/>
  <c r="AN7" i="2"/>
  <c r="AP7" i="2"/>
  <c r="AO7" i="2"/>
  <c r="AQ14" i="2"/>
  <c r="AN14" i="2"/>
  <c r="AP14" i="2"/>
  <c r="AO14" i="2"/>
  <c r="AU8" i="2"/>
  <c r="AS8" i="2"/>
  <c r="AV8" i="2" s="1"/>
  <c r="AS14" i="2" l="1"/>
  <c r="AV14" i="2" s="1"/>
  <c r="AU14" i="2"/>
  <c r="AU7" i="2"/>
  <c r="AO9" i="2"/>
  <c r="AQ9" i="2"/>
  <c r="AN9" i="2"/>
  <c r="AU9" i="2" s="1"/>
  <c r="AP9" i="2"/>
  <c r="AS7" i="2"/>
  <c r="AV7" i="2" s="1"/>
  <c r="AS9" i="2" l="1"/>
  <c r="AV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F6" authorId="0" shapeId="0" xr:uid="{00000000-0006-0000-0100-000001000000}">
      <text>
        <r>
          <rPr>
            <sz val="11"/>
            <rFont val="Calibri"/>
            <family val="2"/>
            <scheme val="minor"/>
          </rPr>
          <t>Costo Caja x S3.5.  Capc. dependerá prod. Consultar c LOG - Ronald</t>
        </r>
      </text>
    </comment>
    <comment ref="AG6" authorId="0" shapeId="0" xr:uid="{00000000-0006-0000-0100-000002000000}">
      <text>
        <r>
          <rPr>
            <sz val="11"/>
            <rFont val="Calibri"/>
            <family val="2"/>
            <scheme val="minor"/>
          </rPr>
          <t>Por formula jalará el 1% Costo toall prod</t>
        </r>
      </text>
    </comment>
    <comment ref="AF13" authorId="0" shapeId="0" xr:uid="{00000000-0006-0000-0100-000003000000}">
      <text>
        <r>
          <rPr>
            <sz val="11"/>
            <rFont val="Calibri"/>
            <family val="2"/>
            <scheme val="minor"/>
          </rPr>
          <t>Costo Caja x S3.5.  Capc. dependerá prod. Consultar c LOG - Ronald</t>
        </r>
      </text>
    </comment>
    <comment ref="AG13" authorId="0" shapeId="0" xr:uid="{00000000-0006-0000-0100-000004000000}">
      <text>
        <r>
          <rPr>
            <sz val="11"/>
            <rFont val="Calibri"/>
            <family val="2"/>
            <scheme val="minor"/>
          </rPr>
          <t>Por formula jalará el 1% Costo toall prod</t>
        </r>
      </text>
    </comment>
  </commentList>
</comments>
</file>

<file path=xl/sharedStrings.xml><?xml version="1.0" encoding="utf-8"?>
<sst xmlns="http://schemas.openxmlformats.org/spreadsheetml/2006/main" count="206" uniqueCount="83">
  <si>
    <t>COTIZACIÓN PROPUESTA_INMOBILIARIA DUNAS DE ASIA SAC_SERVICIO DE IMPRESIÓN E INSTALACIÓN EN MOVILIDADES (CAMPERS)_22.04.26</t>
  </si>
  <si>
    <t>Env. 29/04/26</t>
  </si>
  <si>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</si>
  <si>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N°</t>
  </si>
  <si>
    <t>Cód. Artíc.</t>
  </si>
  <si>
    <t>Artículo</t>
  </si>
  <si>
    <t>Foto</t>
  </si>
  <si>
    <t>Cant.</t>
  </si>
  <si>
    <t xml:space="preserve">Costo uni. 
No IGV (S/.) </t>
  </si>
  <si>
    <t>Tiempo Entrega</t>
  </si>
  <si>
    <t xml:space="preserve">Costo TOTAL 
No IGV (S/.) </t>
  </si>
  <si>
    <t>ASIA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</si>
  <si>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</si>
  <si>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</si>
  <si>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</si>
  <si>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</si>
  <si>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</si>
  <si>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</si>
  <si>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</si>
  <si>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</si>
  <si>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</si>
  <si>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</si>
  <si>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</si>
  <si>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</si>
  <si>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</si>
  <si>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</si>
  <si>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</si>
  <si>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</si>
  <si>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</si>
  <si>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</si>
  <si>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</si>
  <si>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</si>
  <si>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</si>
  <si>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</si>
  <si>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</si>
  <si>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</si>
  <si>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SERVICIO DE IMPRESIÓN VINILES E INSTALACIÓN EN MOVILIDADES (CAMPERS)</t>
  </si>
  <si>
    <t>imagen referencial</t>
  </si>
  <si>
    <t>5 a 7 días
 útiles</t>
  </si>
  <si>
    <r>
      <rPr>
        <b/>
        <u/>
        <sz val="16"/>
        <color rgb="FF000000"/>
        <rFont val="Arial"/>
        <family val="2"/>
      </rPr>
      <t>SERVICIO DE IMPRESIÓN VINILES E INSTALACIÓN EN MOVILIDADES (CAMPERS)</t>
    </r>
    <r>
      <rPr>
        <sz val="16"/>
        <color rgb="FF000000"/>
        <rFont val="Arial"/>
        <family val="2"/>
      </rPr>
      <t xml:space="preserve">
Modelo: Camper (coo foto)
Material: Vinil Arclad con laminado 140 gr. de uso exterior
Medida: 2mt x 2.60 mt (posterior) // 7.95 mt x 2.72 mt Aprox. (lateral)
Incluye diseño 4 lados por cada campera
</t>
    </r>
    <r>
      <rPr>
        <b/>
        <sz val="16"/>
        <color rgb="FF000000"/>
        <rFont val="Arial"/>
        <family val="2"/>
      </rPr>
      <t>INCLUYE IMPRESIÓN A FULL COLOR E INSTALACIÓN EN 1 FECHA, EN ASIA</t>
    </r>
    <r>
      <rPr>
        <sz val="16"/>
        <color rgb="FF000000"/>
        <rFont val="Arial"/>
        <family val="2"/>
      </rPr>
      <t xml:space="preserve">
</t>
    </r>
    <r>
      <rPr>
        <sz val="16"/>
        <color rgb="FFFF0000"/>
        <rFont val="Arial"/>
        <family val="2"/>
      </rPr>
      <t>*Diseño Facilitado por el cliente</t>
    </r>
  </si>
  <si>
    <t>MARIO
Cel.920 150 336</t>
  </si>
  <si>
    <r>
      <rPr>
        <sz val="12"/>
        <rFont val="Arial"/>
        <family val="2"/>
      </rPr>
      <t xml:space="preserve">1 CAMPERA
S/.280 frontal
S/.280 posterior
+
S/.1135 +IGV
Cada lado 
Impresión 
Tiempo 2 a 3 dias
</t>
    </r>
    <r>
      <rPr>
        <b/>
        <sz val="12"/>
        <rFont val="Arial"/>
        <family val="2"/>
      </rPr>
      <t>Total S/.2830 +IGV</t>
    </r>
    <r>
      <rPr>
        <sz val="12"/>
        <rFont val="Arial"/>
        <family val="2"/>
      </rPr>
      <t xml:space="preserve">
Instalacion S/.750 +IGV
Gasto logistico S/.190 +IGV
El precio de instalacion es ya por las 2 camperas 1 sola fecha</t>
    </r>
  </si>
  <si>
    <t>INCLUYE</t>
  </si>
  <si>
    <t>COTIZACIÓN PROPUESTA_INMOBILIARIA DUNAS DE ASIA SAC_PARAGUAS DE MANO_10.04.26</t>
  </si>
  <si>
    <t>Detalles</t>
  </si>
  <si>
    <t>PARAGUAS DE MANO</t>
  </si>
  <si>
    <t>8 a 10 días útiles</t>
  </si>
  <si>
    <r>
      <rPr>
        <b/>
        <u/>
        <sz val="16"/>
        <color rgb="FF000000"/>
        <rFont val="Arial"/>
        <family val="2"/>
      </rPr>
      <t>PARAGUAS DE MANO</t>
    </r>
    <r>
      <rPr>
        <sz val="16"/>
        <color rgb="FF000000"/>
        <rFont val="Arial"/>
        <family val="2"/>
      </rPr>
      <t xml:space="preserve">
Estructura : Tubos redondo electrosoldado
Modelo: mano con baston jota
Material : Tela impremeable
Color     : Verde con mango gris
Medida: 1 m diametro x 78 cm alto
Presentacion: Empaque grupal 
</t>
    </r>
    <r>
      <rPr>
        <sz val="16"/>
        <color rgb="FFFF0000"/>
        <rFont val="Arial"/>
        <family val="2"/>
      </rPr>
      <t>*Incluye 1  logo a 1 color en 4 paños
*Diseño Facilitado por el cliente</t>
    </r>
  </si>
  <si>
    <t>VLADIMIR</t>
  </si>
  <si>
    <t>45 INCL IGV
3 a 5 dias</t>
  </si>
  <si>
    <t>7 a  9 días útiles</t>
  </si>
  <si>
    <t>COTIZACIÓN PROPUESTA_INMOBILIARIA DUNAS DE ASIA SAC_FOLDERS_11.05.26</t>
  </si>
  <si>
    <t xml:space="preserve">CREDITO DE 10 DÍAS </t>
  </si>
  <si>
    <t>Nº</t>
  </si>
  <si>
    <t xml:space="preserve">Costo uni. No IGV (S/.) </t>
  </si>
  <si>
    <t>Costo TOTAL 
No IGV (S/.)</t>
  </si>
  <si>
    <t>Total Factura</t>
  </si>
  <si>
    <t>impuesto 18%</t>
  </si>
  <si>
    <t>impuesto 2%</t>
  </si>
  <si>
    <t>Gastos Administracion 5%</t>
  </si>
  <si>
    <t>Utilidad bruta</t>
  </si>
  <si>
    <t>Utilidad</t>
  </si>
  <si>
    <t>% Bruto</t>
  </si>
  <si>
    <t>% utilidad</t>
  </si>
  <si>
    <t>FOLDERS</t>
  </si>
  <si>
    <t xml:space="preserve">Imagen referencial </t>
  </si>
  <si>
    <t xml:space="preserve"> por un millar y por 500 und </t>
  </si>
  <si>
    <t xml:space="preserve">Credito 15 a 30 días </t>
  </si>
  <si>
    <t>CARAMELOS PERSONALIZADOS - (BOLSAS)</t>
  </si>
  <si>
    <t>17 a 20
días útiles</t>
  </si>
  <si>
    <t>GOLIZZINI GOLOSINAS 
Cel. 998 188 127</t>
  </si>
  <si>
    <t>Cant. Min. 
200 bolsas</t>
  </si>
  <si>
    <t xml:space="preserve">200 bolsas a S/10.50
+IGV
Tiempo 12 a 15 días </t>
  </si>
  <si>
    <t xml:space="preserve">SERV. DE MOVILIDAD A ASIA </t>
  </si>
  <si>
    <r>
      <rPr>
        <b/>
        <u/>
        <sz val="16"/>
        <rFont val="Calibri"/>
        <family val="2"/>
        <scheme val="minor"/>
      </rPr>
      <t xml:space="preserve">ENVIO A ASIA </t>
    </r>
    <r>
      <rPr>
        <sz val="16"/>
        <rFont val="Calibri"/>
        <family val="2"/>
        <scheme val="minor"/>
      </rPr>
      <t xml:space="preserve">
Servicio de envio con movilidad a Asi</t>
    </r>
  </si>
  <si>
    <t>Imprenta Freddy
+51 925 609 686 /
 AC GRAF PERU / MARCO   
+51 922 128 532
/
INNOVA- Jenny</t>
  </si>
  <si>
    <t xml:space="preserve">
FREDDY
Por millar. S/ 2,280.00 (S/2.28)
 por 500 le sale 1,980.00 (S/3.96)
 +IGV , Tiempo 6 días 
/
AC GRAF / MARCO
Millar 2.60 c/u + IGV  
500 a  2.80 c/u + IGV 
Tiempo 3 días
/
/Precio 500 unid. 1145 soles. (S/2.29)
Precio 1000 unid. 1460 soles. (S/1.46)</t>
  </si>
  <si>
    <t>5 a 7 días útiles</t>
  </si>
  <si>
    <t>1 días útiles</t>
  </si>
  <si>
    <r>
      <rPr>
        <b/>
        <u/>
        <sz val="16"/>
        <rFont val="Calibri"/>
        <family val="2"/>
      </rPr>
      <t xml:space="preserve">FOLDER CORPORATIVO </t>
    </r>
    <r>
      <rPr>
        <sz val="16"/>
        <rFont val="Calibri"/>
        <family val="2"/>
      </rPr>
      <t xml:space="preserve">
Material: Couche 350gr
Colores: color verder con diseño 
Medidas: 46 x 32.5 cm
Acabados: plastificado mate, tira y retira 
Impresión: full color
Presentación: Empaque grupal  
</t>
    </r>
    <r>
      <rPr>
        <sz val="16"/>
        <color rgb="FFFF0000"/>
        <rFont val="Calibri"/>
        <family val="2"/>
      </rPr>
      <t>*Arte y diseño facilitado por el cliente</t>
    </r>
  </si>
  <si>
    <r>
      <rPr>
        <b/>
        <u/>
        <sz val="16"/>
        <rFont val="Calibri"/>
        <family val="2"/>
      </rPr>
      <t>CARAMELOS PERSONALIZADOS - (BOLSAS)</t>
    </r>
    <r>
      <rPr>
        <sz val="16"/>
        <rFont val="Calibri"/>
        <family val="2"/>
      </rPr>
      <t xml:space="preserve">
Material: Envoltura perlado bi laminado con sellado closed point - envoltura hermetica
Sabores: Fresa, chicha, tuti fruti, manzana, limón, naranja, maracuyá y guanabaná
Bolsas contiene 100 und. de caramelos
Impresión de 1 a 2 colores
Presentación: Empaque grupal  
</t>
    </r>
    <r>
      <rPr>
        <sz val="16"/>
        <color rgb="FFFF0000"/>
        <rFont val="Calibri"/>
        <family val="2"/>
      </rPr>
      <t xml:space="preserve">*Arte y diseño facilitado por el cliente
</t>
    </r>
    <r>
      <rPr>
        <b/>
        <sz val="16"/>
        <color rgb="FFFF0000"/>
        <rFont val="Calibri"/>
        <family val="2"/>
      </rPr>
      <t xml:space="preserve">Cantidad minima 200 bolsas </t>
    </r>
  </si>
  <si>
    <t>Cant.
Bolsa x 100ud</t>
  </si>
  <si>
    <t>COTIZACIÓN PROPUESTA_INMOBILIARIA DUNAS DE ASIA SAC_CARAMELOS_11.05.26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</si>
</sst>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S/.&quot;\ #,##0.00"/>
    <numFmt numFmtId="165" formatCode="[$S/.-280A]\ #,##0.00"/>
    <numFmt numFmtId="166" formatCode="&quot;S/. &quot;#,##0.00"/>
    <numFmt numFmtId="167" formatCode="_ &quot;S/.&quot;\ * #,##0.00_ ;_ &quot;S/.&quot;\ * \-#,##0.00_ ;_ &quot;S/.&quot;\ * &quot;-&quot;??_ ;_ @_ "/>
  </numFmts>
  <fonts count="54" x14ac:knownFonts="1">
    <font>
      <sz val="11"/>
      <name val="Calibri"/>
      <scheme val="minor"/>
    </font>
    <font>
      <sz val="18"/>
      <name val="Arial"/>
      <family val="2"/>
    </font>
    <font>
      <b/>
      <sz val="18"/>
      <color rgb="FF000000"/>
      <name val="Arial"/>
      <family val="2"/>
    </font>
    <font>
      <sz val="11"/>
      <name val="Calibri"/>
      <family val="2"/>
    </font>
    <font>
      <b/>
      <sz val="18"/>
      <name val="Arial"/>
      <family val="2"/>
    </font>
    <font>
      <sz val="18"/>
      <name val="Arial"/>
      <family val="2"/>
    </font>
    <font>
      <b/>
      <sz val="16"/>
      <color rgb="FF000000"/>
      <name val="Arial"/>
      <family val="2"/>
    </font>
    <font>
      <b/>
      <sz val="18"/>
      <color rgb="FFFFFFFF"/>
      <name val="Arial"/>
      <family val="2"/>
    </font>
    <font>
      <b/>
      <sz val="1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rgb="FFFF0000"/>
      <name val="Arial"/>
      <family val="2"/>
    </font>
    <font>
      <sz val="16"/>
      <color rgb="FF000000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rgb="FF333333"/>
      <name val="Arial"/>
      <family val="2"/>
    </font>
    <font>
      <sz val="16"/>
      <color rgb="FF333333"/>
      <name val="Arial"/>
      <family val="2"/>
    </font>
    <font>
      <sz val="16"/>
      <color rgb="FFFF0000"/>
      <name val="Arial"/>
      <family val="2"/>
    </font>
    <font>
      <b/>
      <sz val="16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16"/>
      <name val="Calibri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9"/>
      <color rgb="FFFF000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color rgb="FF000000"/>
      <name val="Arial"/>
      <family val="2"/>
    </font>
    <font>
      <b/>
      <sz val="14"/>
      <color rgb="FF333333"/>
      <name val="Arial"/>
      <family val="2"/>
    </font>
    <font>
      <sz val="14"/>
      <color rgb="FF333333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rgb="FFFFFFFF"/>
      <name val="Arial"/>
      <family val="2"/>
    </font>
    <font>
      <sz val="11"/>
      <color rgb="FFC00000"/>
      <name val="Calibri"/>
      <family val="2"/>
    </font>
    <font>
      <b/>
      <sz val="11"/>
      <color rgb="FF000000"/>
      <name val="Calibri"/>
      <family val="2"/>
    </font>
    <font>
      <b/>
      <u/>
      <sz val="16"/>
      <color rgb="FF000000"/>
      <name val="Arial"/>
      <family val="2"/>
    </font>
    <font>
      <b/>
      <u/>
      <sz val="16"/>
      <name val="Calibri"/>
      <family val="2"/>
    </font>
    <font>
      <sz val="16"/>
      <color rgb="FFFF0000"/>
      <name val="Calibri"/>
      <family val="2"/>
    </font>
    <font>
      <sz val="16"/>
      <name val="Calibri"/>
      <family val="2"/>
      <scheme val="minor"/>
    </font>
    <font>
      <b/>
      <u/>
      <sz val="16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b/>
      <sz val="16"/>
      <name val="Calibri"/>
      <family val="2"/>
    </font>
    <font>
      <b/>
      <sz val="16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00"/>
        <bgColor rgb="FFFFCC00"/>
      </patternFill>
    </fill>
    <fill>
      <patternFill patternType="solid">
        <fgColor rgb="FF003366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</fills>
  <borders count="6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1" fontId="4" fillId="5" borderId="11" xfId="0" applyNumberFormat="1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9" fontId="8" fillId="7" borderId="12" xfId="0" applyNumberFormat="1" applyFont="1" applyFill="1" applyBorder="1" applyAlignment="1">
      <alignment horizontal="center" vertical="center"/>
    </xf>
    <xf numFmtId="0" fontId="9" fillId="0" borderId="13" xfId="0" applyFont="1" applyBorder="1"/>
    <xf numFmtId="0" fontId="10" fillId="0" borderId="1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wrapText="1"/>
    </xf>
    <xf numFmtId="0" fontId="4" fillId="0" borderId="17" xfId="0" applyFont="1" applyBorder="1" applyAlignment="1">
      <alignment horizontal="center" vertical="center" wrapText="1"/>
    </xf>
    <xf numFmtId="164" fontId="4" fillId="0" borderId="17" xfId="0" applyNumberFormat="1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center" wrapText="1"/>
    </xf>
    <xf numFmtId="164" fontId="4" fillId="0" borderId="18" xfId="0" applyNumberFormat="1" applyFont="1" applyBorder="1" applyAlignment="1">
      <alignment horizontal="center" vertical="center" wrapText="1"/>
    </xf>
    <xf numFmtId="0" fontId="13" fillId="0" borderId="19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center" vertical="center" wrapText="1"/>
    </xf>
    <xf numFmtId="165" fontId="12" fillId="2" borderId="17" xfId="0" applyNumberFormat="1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165" fontId="9" fillId="5" borderId="17" xfId="0" applyNumberFormat="1" applyFont="1" applyFill="1" applyBorder="1" applyAlignment="1">
      <alignment horizontal="center" vertical="center"/>
    </xf>
    <xf numFmtId="164" fontId="15" fillId="5" borderId="17" xfId="0" applyNumberFormat="1" applyFont="1" applyFill="1" applyBorder="1" applyAlignment="1">
      <alignment horizontal="center" vertical="center"/>
    </xf>
    <xf numFmtId="164" fontId="16" fillId="5" borderId="17" xfId="0" applyNumberFormat="1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  <xf numFmtId="166" fontId="12" fillId="5" borderId="17" xfId="0" applyNumberFormat="1" applyFont="1" applyFill="1" applyBorder="1" applyAlignment="1">
      <alignment horizontal="center" vertical="center"/>
    </xf>
    <xf numFmtId="164" fontId="12" fillId="2" borderId="17" xfId="0" applyNumberFormat="1" applyFont="1" applyFill="1" applyBorder="1" applyAlignment="1">
      <alignment horizontal="center" vertical="center"/>
    </xf>
    <xf numFmtId="164" fontId="11" fillId="2" borderId="17" xfId="0" applyNumberFormat="1" applyFont="1" applyFill="1" applyBorder="1" applyAlignment="1">
      <alignment horizontal="center" vertical="center"/>
    </xf>
    <xf numFmtId="164" fontId="9" fillId="0" borderId="17" xfId="0" applyNumberFormat="1" applyFont="1" applyBorder="1" applyAlignment="1">
      <alignment horizontal="center" vertical="center" wrapText="1"/>
    </xf>
    <xf numFmtId="164" fontId="12" fillId="10" borderId="17" xfId="0" applyNumberFormat="1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/>
    </xf>
    <xf numFmtId="164" fontId="17" fillId="2" borderId="17" xfId="0" applyNumberFormat="1" applyFont="1" applyFill="1" applyBorder="1" applyAlignment="1">
      <alignment horizontal="center" vertical="center"/>
    </xf>
    <xf numFmtId="164" fontId="10" fillId="11" borderId="17" xfId="0" applyNumberFormat="1" applyFont="1" applyFill="1" applyBorder="1" applyAlignment="1">
      <alignment horizontal="center" vertical="center"/>
    </xf>
    <xf numFmtId="164" fontId="12" fillId="0" borderId="17" xfId="0" applyNumberFormat="1" applyFont="1" applyBorder="1" applyAlignment="1">
      <alignment horizontal="center" vertical="center"/>
    </xf>
    <xf numFmtId="166" fontId="18" fillId="7" borderId="17" xfId="0" applyNumberFormat="1" applyFont="1" applyFill="1" applyBorder="1" applyAlignment="1">
      <alignment horizontal="center" vertical="center"/>
    </xf>
    <xf numFmtId="165" fontId="11" fillId="2" borderId="18" xfId="0" applyNumberFormat="1" applyFont="1" applyFill="1" applyBorder="1" applyAlignment="1">
      <alignment horizontal="center" vertical="center"/>
    </xf>
    <xf numFmtId="0" fontId="9" fillId="0" borderId="0" xfId="0" applyFont="1"/>
    <xf numFmtId="0" fontId="9" fillId="5" borderId="13" xfId="0" applyFont="1" applyFill="1" applyBorder="1"/>
    <xf numFmtId="0" fontId="4" fillId="0" borderId="24" xfId="0" applyFont="1" applyBorder="1" applyAlignment="1">
      <alignment horizontal="center" vertical="center" wrapText="1"/>
    </xf>
    <xf numFmtId="164" fontId="4" fillId="0" borderId="24" xfId="0" applyNumberFormat="1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164" fontId="4" fillId="0" borderId="25" xfId="0" applyNumberFormat="1" applyFont="1" applyBorder="1" applyAlignment="1">
      <alignment horizontal="center" vertical="center" wrapText="1"/>
    </xf>
    <xf numFmtId="165" fontId="12" fillId="2" borderId="24" xfId="0" applyNumberFormat="1" applyFont="1" applyFill="1" applyBorder="1" applyAlignment="1">
      <alignment horizontal="center" vertical="center"/>
    </xf>
    <xf numFmtId="0" fontId="10" fillId="8" borderId="24" xfId="0" applyFont="1" applyFill="1" applyBorder="1" applyAlignment="1">
      <alignment horizontal="center" vertical="center"/>
    </xf>
    <xf numFmtId="165" fontId="9" fillId="5" borderId="24" xfId="0" applyNumberFormat="1" applyFont="1" applyFill="1" applyBorder="1" applyAlignment="1">
      <alignment horizontal="center" vertical="center"/>
    </xf>
    <xf numFmtId="164" fontId="15" fillId="5" borderId="24" xfId="0" applyNumberFormat="1" applyFont="1" applyFill="1" applyBorder="1" applyAlignment="1">
      <alignment horizontal="center" vertical="center"/>
    </xf>
    <xf numFmtId="164" fontId="16" fillId="5" borderId="24" xfId="0" applyNumberFormat="1" applyFont="1" applyFill="1" applyBorder="1" applyAlignment="1">
      <alignment horizontal="center" vertical="center"/>
    </xf>
    <xf numFmtId="0" fontId="10" fillId="9" borderId="24" xfId="0" applyFont="1" applyFill="1" applyBorder="1" applyAlignment="1">
      <alignment horizontal="center" vertical="center"/>
    </xf>
    <xf numFmtId="166" fontId="12" fillId="5" borderId="24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1" fillId="2" borderId="24" xfId="0" applyNumberFormat="1" applyFont="1" applyFill="1" applyBorder="1" applyAlignment="1">
      <alignment horizontal="center" vertical="center"/>
    </xf>
    <xf numFmtId="164" fontId="9" fillId="0" borderId="24" xfId="0" applyNumberFormat="1" applyFont="1" applyBorder="1" applyAlignment="1">
      <alignment horizontal="center" vertical="center" wrapText="1"/>
    </xf>
    <xf numFmtId="164" fontId="12" fillId="10" borderId="24" xfId="0" applyNumberFormat="1" applyFont="1" applyFill="1" applyBorder="1" applyAlignment="1">
      <alignment horizontal="center" vertical="center"/>
    </xf>
    <xf numFmtId="0" fontId="12" fillId="8" borderId="24" xfId="0" applyFont="1" applyFill="1" applyBorder="1" applyAlignment="1">
      <alignment horizontal="center" vertical="center"/>
    </xf>
    <xf numFmtId="164" fontId="17" fillId="2" borderId="24" xfId="0" applyNumberFormat="1" applyFont="1" applyFill="1" applyBorder="1" applyAlignment="1">
      <alignment horizontal="center" vertical="center"/>
    </xf>
    <xf numFmtId="164" fontId="10" fillId="11" borderId="24" xfId="0" applyNumberFormat="1" applyFont="1" applyFill="1" applyBorder="1" applyAlignment="1">
      <alignment horizontal="center" vertical="center"/>
    </xf>
    <xf numFmtId="164" fontId="12" fillId="0" borderId="24" xfId="0" applyNumberFormat="1" applyFont="1" applyBorder="1" applyAlignment="1">
      <alignment horizontal="center" vertical="center"/>
    </xf>
    <xf numFmtId="166" fontId="18" fillId="7" borderId="24" xfId="0" applyNumberFormat="1" applyFont="1" applyFill="1" applyBorder="1" applyAlignment="1">
      <alignment horizontal="center" vertical="center"/>
    </xf>
    <xf numFmtId="165" fontId="11" fillId="2" borderId="25" xfId="0" applyNumberFormat="1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164" fontId="4" fillId="0" borderId="30" xfId="0" applyNumberFormat="1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164" fontId="4" fillId="0" borderId="31" xfId="0" applyNumberFormat="1" applyFont="1" applyBorder="1" applyAlignment="1">
      <alignment horizontal="center" vertical="center" wrapText="1"/>
    </xf>
    <xf numFmtId="165" fontId="12" fillId="2" borderId="30" xfId="0" applyNumberFormat="1" applyFont="1" applyFill="1" applyBorder="1" applyAlignment="1">
      <alignment horizontal="center" vertical="center"/>
    </xf>
    <xf numFmtId="0" fontId="10" fillId="8" borderId="30" xfId="0" applyFont="1" applyFill="1" applyBorder="1" applyAlignment="1">
      <alignment horizontal="center" vertical="center"/>
    </xf>
    <xf numFmtId="165" fontId="9" fillId="5" borderId="30" xfId="0" applyNumberFormat="1" applyFont="1" applyFill="1" applyBorder="1" applyAlignment="1">
      <alignment horizontal="center" vertical="center"/>
    </xf>
    <xf numFmtId="164" fontId="15" fillId="5" borderId="30" xfId="0" applyNumberFormat="1" applyFont="1" applyFill="1" applyBorder="1" applyAlignment="1">
      <alignment horizontal="center" vertical="center"/>
    </xf>
    <xf numFmtId="164" fontId="16" fillId="5" borderId="30" xfId="0" applyNumberFormat="1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166" fontId="12" fillId="5" borderId="30" xfId="0" applyNumberFormat="1" applyFont="1" applyFill="1" applyBorder="1" applyAlignment="1">
      <alignment horizontal="center" vertical="center"/>
    </xf>
    <xf numFmtId="164" fontId="12" fillId="2" borderId="30" xfId="0" applyNumberFormat="1" applyFont="1" applyFill="1" applyBorder="1" applyAlignment="1">
      <alignment horizontal="center" vertical="center"/>
    </xf>
    <xf numFmtId="164" fontId="11" fillId="2" borderId="30" xfId="0" applyNumberFormat="1" applyFont="1" applyFill="1" applyBorder="1" applyAlignment="1">
      <alignment horizontal="center" vertical="center"/>
    </xf>
    <xf numFmtId="164" fontId="9" fillId="0" borderId="30" xfId="0" applyNumberFormat="1" applyFont="1" applyBorder="1" applyAlignment="1">
      <alignment horizontal="center" vertical="center" wrapText="1"/>
    </xf>
    <xf numFmtId="164" fontId="12" fillId="10" borderId="30" xfId="0" applyNumberFormat="1" applyFont="1" applyFill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164" fontId="17" fillId="2" borderId="30" xfId="0" applyNumberFormat="1" applyFont="1" applyFill="1" applyBorder="1" applyAlignment="1">
      <alignment horizontal="center" vertical="center"/>
    </xf>
    <xf numFmtId="164" fontId="10" fillId="11" borderId="30" xfId="0" applyNumberFormat="1" applyFont="1" applyFill="1" applyBorder="1" applyAlignment="1">
      <alignment horizontal="center" vertical="center"/>
    </xf>
    <xf numFmtId="164" fontId="12" fillId="0" borderId="30" xfId="0" applyNumberFormat="1" applyFont="1" applyBorder="1" applyAlignment="1">
      <alignment horizontal="center" vertical="center"/>
    </xf>
    <xf numFmtId="166" fontId="18" fillId="7" borderId="30" xfId="0" applyNumberFormat="1" applyFont="1" applyFill="1" applyBorder="1" applyAlignment="1">
      <alignment horizontal="center" vertical="center"/>
    </xf>
    <xf numFmtId="165" fontId="11" fillId="2" borderId="31" xfId="0" applyNumberFormat="1" applyFont="1" applyFill="1" applyBorder="1" applyAlignment="1">
      <alignment horizontal="center" vertical="center"/>
    </xf>
    <xf numFmtId="4" fontId="1" fillId="0" borderId="0" xfId="0" applyNumberFormat="1" applyFont="1"/>
    <xf numFmtId="0" fontId="19" fillId="0" borderId="0" xfId="0" applyFont="1"/>
    <xf numFmtId="0" fontId="21" fillId="6" borderId="37" xfId="0" applyFont="1" applyFill="1" applyBorder="1" applyAlignment="1">
      <alignment horizontal="center" vertical="center" wrapText="1"/>
    </xf>
    <xf numFmtId="0" fontId="21" fillId="6" borderId="38" xfId="0" applyFont="1" applyFill="1" applyBorder="1" applyAlignment="1">
      <alignment horizontal="center" vertical="center" wrapText="1"/>
    </xf>
    <xf numFmtId="0" fontId="21" fillId="6" borderId="39" xfId="0" applyFont="1" applyFill="1" applyBorder="1" applyAlignment="1">
      <alignment horizontal="center" vertical="center" wrapText="1"/>
    </xf>
    <xf numFmtId="0" fontId="21" fillId="6" borderId="40" xfId="0" applyFont="1" applyFill="1" applyBorder="1" applyAlignment="1">
      <alignment horizontal="center" vertical="center" wrapText="1"/>
    </xf>
    <xf numFmtId="0" fontId="19" fillId="0" borderId="13" xfId="0" applyFont="1" applyBorder="1"/>
    <xf numFmtId="0" fontId="22" fillId="4" borderId="10" xfId="0" applyFont="1" applyFill="1" applyBorder="1" applyAlignment="1">
      <alignment horizontal="center" vertical="center" wrapText="1"/>
    </xf>
    <xf numFmtId="0" fontId="22" fillId="4" borderId="11" xfId="0" applyFont="1" applyFill="1" applyBorder="1" applyAlignment="1">
      <alignment horizontal="center" vertical="center" wrapText="1"/>
    </xf>
    <xf numFmtId="0" fontId="22" fillId="4" borderId="12" xfId="0" applyFont="1" applyFill="1" applyBorder="1" applyAlignment="1">
      <alignment horizontal="center" vertical="center" wrapText="1"/>
    </xf>
    <xf numFmtId="0" fontId="20" fillId="5" borderId="10" xfId="0" applyFont="1" applyFill="1" applyBorder="1" applyAlignment="1">
      <alignment horizontal="center" vertical="center" wrapText="1"/>
    </xf>
    <xf numFmtId="0" fontId="20" fillId="5" borderId="1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20" fillId="6" borderId="10" xfId="0" applyFont="1" applyFill="1" applyBorder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22" fillId="7" borderId="10" xfId="0" applyFont="1" applyFill="1" applyBorder="1" applyAlignment="1">
      <alignment horizontal="center" vertical="center" wrapText="1"/>
    </xf>
    <xf numFmtId="0" fontId="24" fillId="7" borderId="11" xfId="0" applyFont="1" applyFill="1" applyBorder="1" applyAlignment="1">
      <alignment horizontal="center" vertical="center" wrapText="1"/>
    </xf>
    <xf numFmtId="9" fontId="24" fillId="7" borderId="12" xfId="0" applyNumberFormat="1" applyFont="1" applyFill="1" applyBorder="1" applyAlignment="1">
      <alignment horizontal="center" vertical="center"/>
    </xf>
    <xf numFmtId="0" fontId="25" fillId="12" borderId="30" xfId="0" applyFont="1" applyFill="1" applyBorder="1" applyAlignment="1">
      <alignment horizontal="center" wrapText="1"/>
    </xf>
    <xf numFmtId="0" fontId="25" fillId="0" borderId="0" xfId="0" applyFont="1"/>
    <xf numFmtId="0" fontId="26" fillId="12" borderId="30" xfId="0" applyFont="1" applyFill="1" applyBorder="1" applyAlignment="1">
      <alignment horizontal="center" wrapText="1"/>
    </xf>
    <xf numFmtId="167" fontId="33" fillId="2" borderId="24" xfId="0" applyNumberFormat="1" applyFont="1" applyFill="1" applyBorder="1" applyAlignment="1">
      <alignment horizontal="center" vertical="center" wrapText="1"/>
    </xf>
    <xf numFmtId="165" fontId="34" fillId="11" borderId="24" xfId="0" applyNumberFormat="1" applyFont="1" applyFill="1" applyBorder="1" applyAlignment="1">
      <alignment horizontal="center" vertical="center"/>
    </xf>
    <xf numFmtId="0" fontId="35" fillId="8" borderId="24" xfId="0" applyFont="1" applyFill="1" applyBorder="1" applyAlignment="1">
      <alignment horizontal="center" vertical="center"/>
    </xf>
    <xf numFmtId="165" fontId="36" fillId="5" borderId="24" xfId="0" applyNumberFormat="1" applyFont="1" applyFill="1" applyBorder="1" applyAlignment="1">
      <alignment horizontal="center" vertical="center"/>
    </xf>
    <xf numFmtId="164" fontId="37" fillId="5" borderId="24" xfId="0" applyNumberFormat="1" applyFont="1" applyFill="1" applyBorder="1" applyAlignment="1">
      <alignment horizontal="center" vertical="center"/>
    </xf>
    <xf numFmtId="164" fontId="38" fillId="5" borderId="24" xfId="0" applyNumberFormat="1" applyFont="1" applyFill="1" applyBorder="1" applyAlignment="1">
      <alignment horizontal="center" vertical="center"/>
    </xf>
    <xf numFmtId="164" fontId="36" fillId="5" borderId="24" xfId="0" applyNumberFormat="1" applyFont="1" applyFill="1" applyBorder="1" applyAlignment="1">
      <alignment horizontal="center" vertical="center"/>
    </xf>
    <xf numFmtId="164" fontId="34" fillId="10" borderId="24" xfId="0" applyNumberFormat="1" applyFont="1" applyFill="1" applyBorder="1" applyAlignment="1">
      <alignment horizontal="center" vertical="center"/>
    </xf>
    <xf numFmtId="164" fontId="39" fillId="2" borderId="24" xfId="0" applyNumberFormat="1" applyFont="1" applyFill="1" applyBorder="1" applyAlignment="1">
      <alignment horizontal="center" vertical="center"/>
    </xf>
    <xf numFmtId="164" fontId="13" fillId="0" borderId="24" xfId="0" applyNumberFormat="1" applyFont="1" applyBorder="1" applyAlignment="1">
      <alignment horizontal="center" vertical="center" wrapText="1"/>
    </xf>
    <xf numFmtId="0" fontId="36" fillId="8" borderId="24" xfId="0" applyFont="1" applyFill="1" applyBorder="1" applyAlignment="1">
      <alignment horizontal="center" vertical="center"/>
    </xf>
    <xf numFmtId="164" fontId="40" fillId="2" borderId="24" xfId="0" applyNumberFormat="1" applyFont="1" applyFill="1" applyBorder="1" applyAlignment="1">
      <alignment horizontal="center" vertical="center"/>
    </xf>
    <xf numFmtId="164" fontId="36" fillId="8" borderId="24" xfId="0" applyNumberFormat="1" applyFont="1" applyFill="1" applyBorder="1" applyAlignment="1">
      <alignment horizontal="center" vertical="center"/>
    </xf>
    <xf numFmtId="164" fontId="36" fillId="2" borderId="24" xfId="0" applyNumberFormat="1" applyFont="1" applyFill="1" applyBorder="1" applyAlignment="1">
      <alignment horizontal="center" vertical="center"/>
    </xf>
    <xf numFmtId="164" fontId="36" fillId="0" borderId="24" xfId="0" applyNumberFormat="1" applyFont="1" applyBorder="1" applyAlignment="1">
      <alignment horizontal="center" vertical="center"/>
    </xf>
    <xf numFmtId="164" fontId="41" fillId="7" borderId="24" xfId="0" applyNumberFormat="1" applyFont="1" applyFill="1" applyBorder="1" applyAlignment="1">
      <alignment horizontal="center" vertical="center"/>
    </xf>
    <xf numFmtId="165" fontId="36" fillId="2" borderId="24" xfId="0" applyNumberFormat="1" applyFont="1" applyFill="1" applyBorder="1" applyAlignment="1">
      <alignment horizontal="center" vertical="center"/>
    </xf>
    <xf numFmtId="165" fontId="39" fillId="2" borderId="25" xfId="0" applyNumberFormat="1" applyFont="1" applyFill="1" applyBorder="1" applyAlignment="1">
      <alignment horizontal="center" vertical="center"/>
    </xf>
    <xf numFmtId="164" fontId="27" fillId="0" borderId="0" xfId="0" applyNumberFormat="1" applyFont="1"/>
    <xf numFmtId="165" fontId="42" fillId="0" borderId="41" xfId="0" applyNumberFormat="1" applyFont="1" applyBorder="1" applyAlignment="1">
      <alignment horizontal="center" vertical="center"/>
    </xf>
    <xf numFmtId="165" fontId="27" fillId="0" borderId="41" xfId="0" applyNumberFormat="1" applyFont="1" applyBorder="1" applyAlignment="1">
      <alignment horizontal="center" vertical="center"/>
    </xf>
    <xf numFmtId="0" fontId="27" fillId="0" borderId="0" xfId="0" applyFont="1"/>
    <xf numFmtId="2" fontId="43" fillId="0" borderId="41" xfId="0" applyNumberFormat="1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 wrapText="1"/>
    </xf>
    <xf numFmtId="49" fontId="31" fillId="2" borderId="24" xfId="0" applyNumberFormat="1" applyFont="1" applyFill="1" applyBorder="1" applyAlignment="1">
      <alignment horizontal="center" vertical="center" wrapText="1"/>
    </xf>
    <xf numFmtId="0" fontId="32" fillId="0" borderId="24" xfId="0" applyFont="1" applyBorder="1" applyAlignment="1">
      <alignment horizontal="center" vertical="center" wrapText="1"/>
    </xf>
    <xf numFmtId="0" fontId="21" fillId="6" borderId="46" xfId="0" applyFont="1" applyFill="1" applyBorder="1" applyAlignment="1">
      <alignment horizontal="center" vertical="center" wrapText="1"/>
    </xf>
    <xf numFmtId="0" fontId="21" fillId="6" borderId="23" xfId="0" applyFont="1" applyFill="1" applyBorder="1" applyAlignment="1">
      <alignment horizontal="center" vertical="center" wrapText="1"/>
    </xf>
    <xf numFmtId="0" fontId="21" fillId="6" borderId="48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164" fontId="4" fillId="0" borderId="47" xfId="0" applyNumberFormat="1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2" fontId="51" fillId="0" borderId="0" xfId="0" applyNumberFormat="1" applyFont="1"/>
    <xf numFmtId="0" fontId="30" fillId="0" borderId="49" xfId="0" applyFont="1" applyBorder="1" applyAlignment="1">
      <alignment horizontal="center" vertical="center"/>
    </xf>
    <xf numFmtId="164" fontId="4" fillId="0" borderId="50" xfId="0" applyNumberFormat="1" applyFont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/>
    </xf>
    <xf numFmtId="0" fontId="28" fillId="0" borderId="52" xfId="0" applyFont="1" applyBorder="1" applyAlignment="1">
      <alignment vertical="center" wrapText="1"/>
    </xf>
    <xf numFmtId="0" fontId="28" fillId="0" borderId="52" xfId="0" applyFont="1" applyBorder="1" applyAlignment="1">
      <alignment horizontal="center" vertical="center" wrapText="1"/>
    </xf>
    <xf numFmtId="164" fontId="4" fillId="0" borderId="52" xfId="0" applyNumberFormat="1" applyFont="1" applyBorder="1" applyAlignment="1">
      <alignment vertical="center" wrapText="1"/>
    </xf>
    <xf numFmtId="0" fontId="12" fillId="0" borderId="52" xfId="0" applyFont="1" applyBorder="1" applyAlignment="1">
      <alignment horizontal="center" vertical="center" wrapText="1"/>
    </xf>
    <xf numFmtId="0" fontId="47" fillId="0" borderId="52" xfId="0" applyFont="1" applyBorder="1" applyAlignment="1">
      <alignment horizontal="left" vertical="center" wrapText="1"/>
    </xf>
    <xf numFmtId="164" fontId="4" fillId="0" borderId="53" xfId="0" applyNumberFormat="1" applyFont="1" applyBorder="1" applyAlignment="1">
      <alignment vertical="center" wrapText="1"/>
    </xf>
    <xf numFmtId="0" fontId="20" fillId="0" borderId="0" xfId="0" applyFont="1"/>
    <xf numFmtId="0" fontId="30" fillId="0" borderId="54" xfId="0" applyFont="1" applyBorder="1" applyAlignment="1">
      <alignment horizontal="center" vertical="center"/>
    </xf>
    <xf numFmtId="0" fontId="28" fillId="0" borderId="55" xfId="0" applyFont="1" applyBorder="1" applyAlignment="1">
      <alignment vertical="center" wrapText="1"/>
    </xf>
    <xf numFmtId="0" fontId="28" fillId="0" borderId="55" xfId="0" applyFont="1" applyBorder="1" applyAlignment="1">
      <alignment horizontal="center" vertical="center" wrapText="1"/>
    </xf>
    <xf numFmtId="164" fontId="4" fillId="0" borderId="55" xfId="0" applyNumberFormat="1" applyFont="1" applyBorder="1" applyAlignment="1">
      <alignment vertical="center" wrapText="1"/>
    </xf>
    <xf numFmtId="0" fontId="12" fillId="0" borderId="55" xfId="0" applyFont="1" applyBorder="1" applyAlignment="1">
      <alignment horizontal="center" vertical="center" wrapText="1"/>
    </xf>
    <xf numFmtId="0" fontId="47" fillId="0" borderId="55" xfId="0" applyFont="1" applyBorder="1" applyAlignment="1">
      <alignment horizontal="left" vertical="center" wrapText="1"/>
    </xf>
    <xf numFmtId="164" fontId="4" fillId="0" borderId="56" xfId="0" applyNumberFormat="1" applyFont="1" applyBorder="1" applyAlignment="1">
      <alignment vertical="center" wrapText="1"/>
    </xf>
    <xf numFmtId="0" fontId="27" fillId="0" borderId="57" xfId="0" applyFont="1" applyBorder="1" applyAlignment="1">
      <alignment horizontal="center" vertical="center"/>
    </xf>
    <xf numFmtId="0" fontId="29" fillId="0" borderId="60" xfId="0" applyFont="1" applyBorder="1" applyAlignment="1">
      <alignment horizontal="center"/>
    </xf>
    <xf numFmtId="0" fontId="4" fillId="0" borderId="60" xfId="0" applyFont="1" applyBorder="1" applyAlignment="1">
      <alignment horizontal="center" vertical="center" wrapText="1"/>
    </xf>
    <xf numFmtId="164" fontId="4" fillId="0" borderId="60" xfId="0" applyNumberFormat="1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30" fillId="0" borderId="60" xfId="0" applyFont="1" applyBorder="1" applyAlignment="1">
      <alignment horizontal="left" vertical="center" wrapText="1"/>
    </xf>
    <xf numFmtId="164" fontId="4" fillId="0" borderId="61" xfId="0" applyNumberFormat="1" applyFont="1" applyBorder="1" applyAlignment="1">
      <alignment horizontal="center" vertical="center" wrapText="1"/>
    </xf>
    <xf numFmtId="0" fontId="52" fillId="0" borderId="55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52" fillId="0" borderId="59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6" fillId="2" borderId="43" xfId="0" applyFont="1" applyFill="1" applyBorder="1" applyAlignment="1">
      <alignment horizontal="center" vertical="center" wrapText="1"/>
    </xf>
    <xf numFmtId="0" fontId="3" fillId="0" borderId="44" xfId="0" applyFont="1" applyBorder="1"/>
    <xf numFmtId="0" fontId="3" fillId="0" borderId="45" xfId="0" applyFont="1" applyBorder="1"/>
    <xf numFmtId="0" fontId="20" fillId="0" borderId="36" xfId="0" applyFont="1" applyBorder="1" applyAlignment="1">
      <alignment horizontal="left" vertical="center" wrapText="1"/>
    </xf>
    <xf numFmtId="0" fontId="3" fillId="0" borderId="36" xfId="0" applyFont="1" applyBorder="1"/>
    <xf numFmtId="0" fontId="52" fillId="0" borderId="47" xfId="0" applyFont="1" applyBorder="1" applyAlignment="1">
      <alignment horizontal="center" vertical="center" wrapText="1"/>
    </xf>
    <xf numFmtId="0" fontId="30" fillId="0" borderId="47" xfId="0" applyFont="1" applyBorder="1"/>
    <xf numFmtId="0" fontId="49" fillId="0" borderId="23" xfId="0" applyFont="1" applyBorder="1" applyAlignment="1">
      <alignment horizontal="center" vertical="center" wrapText="1"/>
    </xf>
    <xf numFmtId="0" fontId="50" fillId="0" borderId="42" xfId="0" applyFont="1" applyBorder="1"/>
    <xf numFmtId="0" fontId="30" fillId="0" borderId="47" xfId="0" applyFont="1" applyBorder="1" applyAlignment="1">
      <alignment horizontal="left" vertical="center" wrapText="1"/>
    </xf>
    <xf numFmtId="0" fontId="52" fillId="0" borderId="52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/>
    <xf numFmtId="49" fontId="31" fillId="2" borderId="23" xfId="0" applyNumberFormat="1" applyFont="1" applyFill="1" applyBorder="1" applyAlignment="1">
      <alignment horizontal="center" vertical="center" wrapText="1"/>
    </xf>
    <xf numFmtId="0" fontId="29" fillId="0" borderId="47" xfId="0" applyFont="1" applyBorder="1" applyAlignment="1">
      <alignment horizontal="center"/>
    </xf>
    <xf numFmtId="0" fontId="3" fillId="0" borderId="47" xfId="0" applyFont="1" applyBorder="1"/>
    <xf numFmtId="0" fontId="14" fillId="0" borderId="15" xfId="0" applyFont="1" applyBorder="1" applyAlignment="1">
      <alignment horizontal="center" vertical="center" wrapText="1"/>
    </xf>
    <xf numFmtId="0" fontId="3" fillId="0" borderId="16" xfId="0" applyFont="1" applyBorder="1"/>
    <xf numFmtId="0" fontId="9" fillId="0" borderId="21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27" xfId="0" applyFont="1" applyBorder="1"/>
    <xf numFmtId="0" fontId="3" fillId="0" borderId="28" xfId="0" applyFont="1" applyBorder="1"/>
    <xf numFmtId="0" fontId="3" fillId="0" borderId="33" xfId="0" applyFont="1" applyBorder="1"/>
    <xf numFmtId="0" fontId="3" fillId="0" borderId="34" xfId="0" applyFont="1" applyBorder="1"/>
    <xf numFmtId="0" fontId="10" fillId="0" borderId="20" xfId="0" applyFont="1" applyBorder="1" applyAlignment="1">
      <alignment horizontal="center" vertical="center" wrapText="1"/>
    </xf>
    <xf numFmtId="0" fontId="3" fillId="0" borderId="26" xfId="0" applyFont="1" applyBorder="1"/>
    <xf numFmtId="0" fontId="3" fillId="0" borderId="32" xfId="0" applyFont="1" applyBorder="1"/>
    <xf numFmtId="0" fontId="12" fillId="0" borderId="23" xfId="0" applyFont="1" applyBorder="1" applyAlignment="1">
      <alignment horizontal="left" vertical="center" wrapText="1"/>
    </xf>
    <xf numFmtId="0" fontId="3" fillId="0" borderId="29" xfId="0" applyFont="1" applyBorder="1"/>
    <xf numFmtId="0" fontId="3" fillId="0" borderId="35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5" xfId="0" applyFont="1" applyBorder="1"/>
    <xf numFmtId="0" fontId="3" fillId="0" borderId="6" xfId="0" applyFont="1" applyBorder="1"/>
    <xf numFmtId="0" fontId="6" fillId="0" borderId="15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wrapText="1"/>
    </xf>
    <xf numFmtId="0" fontId="6" fillId="0" borderId="2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200025</xdr:colOff>
      <xdr:row>7</xdr:row>
      <xdr:rowOff>76200</xdr:rowOff>
    </xdr:from>
    <xdr:ext cx="2962275" cy="27813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3</xdr:row>
      <xdr:rowOff>47625</xdr:rowOff>
    </xdr:from>
    <xdr:ext cx="1009650" cy="10191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1162050</xdr:colOff>
      <xdr:row>3</xdr:row>
      <xdr:rowOff>47625</xdr:rowOff>
    </xdr:from>
    <xdr:ext cx="2276475" cy="103822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3</xdr:row>
      <xdr:rowOff>1266825</xdr:rowOff>
    </xdr:from>
    <xdr:ext cx="3200400" cy="1800225"/>
    <xdr:pic>
      <xdr:nvPicPr>
        <xdr:cNvPr id="5" name="image4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186417</xdr:colOff>
      <xdr:row>13</xdr:row>
      <xdr:rowOff>340179</xdr:rowOff>
    </xdr:from>
    <xdr:ext cx="2589441" cy="2081893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75881" y="6830786"/>
          <a:ext cx="2589441" cy="2081893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390525</xdr:colOff>
      <xdr:row>6</xdr:row>
      <xdr:rowOff>1191986</xdr:rowOff>
    </xdr:from>
    <xdr:ext cx="1977118" cy="1228267"/>
    <xdr:pic>
      <xdr:nvPicPr>
        <xdr:cNvPr id="4" name="image7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79989" y="2593522"/>
          <a:ext cx="1977118" cy="1228267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395968</xdr:colOff>
      <xdr:row>6</xdr:row>
      <xdr:rowOff>21771</xdr:rowOff>
    </xdr:from>
    <xdr:to>
      <xdr:col>4</xdr:col>
      <xdr:colOff>2373086</xdr:colOff>
      <xdr:row>6</xdr:row>
      <xdr:rowOff>1243608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59F85143-1934-9A77-1B0C-544CF6B9E20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432" y="1423307"/>
          <a:ext cx="1977118" cy="1221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00"/>
  <sheetViews>
    <sheetView tabSelected="1" zoomScale="55" zoomScaleNormal="55" workbookViewId="0">
      <selection activeCell="I3" sqref="I3"/>
    </sheetView>
  </sheetViews>
  <sheetFormatPr baseColWidth="10" defaultColWidth="14.42578125" defaultRowHeight="15" customHeight="1" x14ac:dyDescent="0.25"/>
  <cols>
    <col min="1" max="1" width="3" customWidth="1"/>
    <col min="2" max="2" width="8.28515625" customWidth="1"/>
    <col min="3" max="3" width="17.85546875" customWidth="1"/>
    <col min="4" max="4" width="24.5703125" customWidth="1"/>
    <col min="5" max="5" width="57.7109375" customWidth="1"/>
    <col min="6" max="6" width="14.140625" customWidth="1"/>
    <col min="7" max="7" width="21.7109375" customWidth="1"/>
    <col min="8" max="8" width="22" customWidth="1"/>
    <col min="9" max="9" width="74.7109375" customWidth="1"/>
    <col min="10" max="10" width="25.7109375" customWidth="1"/>
    <col min="11" max="11" width="32.140625" customWidth="1"/>
    <col min="12" max="12" width="25.42578125" customWidth="1"/>
    <col min="13" max="13" width="11.42578125" customWidth="1"/>
    <col min="14" max="14" width="20" customWidth="1"/>
    <col min="15" max="15" width="24.85546875" customWidth="1"/>
    <col min="16" max="16" width="19" customWidth="1"/>
    <col min="17" max="17" width="15.42578125" customWidth="1"/>
    <col min="18" max="18" width="17.42578125" customWidth="1"/>
    <col min="19" max="19" width="25.85546875" customWidth="1"/>
    <col min="20" max="20" width="19.85546875" customWidth="1"/>
    <col min="21" max="21" width="12.140625" customWidth="1"/>
    <col min="22" max="22" width="22.28515625" customWidth="1"/>
    <col min="23" max="23" width="21.42578125" customWidth="1"/>
    <col min="24" max="24" width="20.85546875" customWidth="1"/>
    <col min="25" max="25" width="25.140625" customWidth="1"/>
    <col min="26" max="26" width="22" customWidth="1"/>
    <col min="27" max="29" width="12.140625" customWidth="1"/>
    <col min="30" max="30" width="17" customWidth="1"/>
    <col min="31" max="31" width="17.140625" customWidth="1"/>
    <col min="32" max="32" width="17.5703125" customWidth="1"/>
    <col min="33" max="33" width="22.28515625" customWidth="1"/>
    <col min="34" max="34" width="27" customWidth="1"/>
    <col min="35" max="35" width="18" customWidth="1"/>
    <col min="36" max="36" width="27.7109375" customWidth="1"/>
    <col min="37" max="37" width="11.42578125" customWidth="1"/>
    <col min="38" max="38" width="20.28515625" customWidth="1"/>
    <col min="39" max="39" width="19.28515625" customWidth="1"/>
    <col min="40" max="41" width="16.7109375" customWidth="1"/>
    <col min="42" max="42" width="20" customWidth="1"/>
    <col min="43" max="43" width="18.140625" customWidth="1"/>
    <col min="44" max="44" width="11.42578125" customWidth="1"/>
    <col min="45" max="45" width="14.5703125" customWidth="1"/>
    <col min="46" max="46" width="13.85546875" customWidth="1"/>
    <col min="47" max="56" width="11.42578125" customWidth="1"/>
  </cols>
  <sheetData>
    <row r="1" spans="1:56" ht="23.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ht="24.75" customHeight="1" x14ac:dyDescent="0.35">
      <c r="A2" s="1"/>
      <c r="B2" s="207" t="s">
        <v>0</v>
      </c>
      <c r="C2" s="175"/>
      <c r="D2" s="175"/>
      <c r="E2" s="175"/>
      <c r="F2" s="175"/>
      <c r="G2" s="175"/>
      <c r="H2" s="175"/>
      <c r="I2" s="175"/>
      <c r="J2" s="176"/>
      <c r="K2" s="2" t="s">
        <v>1</v>
      </c>
      <c r="L2" s="208" t="s">
        <v>2</v>
      </c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10"/>
      <c r="AC2" s="3"/>
      <c r="AD2" s="3"/>
      <c r="AE2" s="3"/>
      <c r="AF2" s="3"/>
      <c r="AG2" s="3"/>
      <c r="AH2" s="3"/>
      <c r="AI2" s="3"/>
      <c r="AJ2" s="3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ht="49.5" customHeight="1" x14ac:dyDescent="0.35">
      <c r="A3" s="3"/>
      <c r="B3" s="4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44</v>
      </c>
      <c r="J3" s="6" t="s">
        <v>10</v>
      </c>
      <c r="K3" s="2" t="s">
        <v>11</v>
      </c>
      <c r="L3" s="7" t="s">
        <v>12</v>
      </c>
      <c r="M3" s="8" t="s">
        <v>13</v>
      </c>
      <c r="N3" s="8" t="s">
        <v>14</v>
      </c>
      <c r="O3" s="9" t="s">
        <v>15</v>
      </c>
      <c r="P3" s="10" t="s">
        <v>16</v>
      </c>
      <c r="Q3" s="11" t="s">
        <v>17</v>
      </c>
      <c r="R3" s="11" t="s">
        <v>18</v>
      </c>
      <c r="S3" s="11" t="s">
        <v>19</v>
      </c>
      <c r="T3" s="11" t="s">
        <v>20</v>
      </c>
      <c r="U3" s="12" t="s">
        <v>21</v>
      </c>
      <c r="V3" s="13" t="s">
        <v>22</v>
      </c>
      <c r="W3" s="7" t="s">
        <v>23</v>
      </c>
      <c r="X3" s="9" t="s">
        <v>24</v>
      </c>
      <c r="Y3" s="14" t="s">
        <v>25</v>
      </c>
      <c r="Z3" s="15" t="s">
        <v>26</v>
      </c>
      <c r="AA3" s="15" t="s">
        <v>27</v>
      </c>
      <c r="AB3" s="15" t="s">
        <v>28</v>
      </c>
      <c r="AC3" s="15" t="s">
        <v>29</v>
      </c>
      <c r="AD3" s="16" t="s">
        <v>30</v>
      </c>
      <c r="AE3" s="7" t="s">
        <v>31</v>
      </c>
      <c r="AF3" s="7" t="s">
        <v>32</v>
      </c>
      <c r="AG3" s="17" t="s">
        <v>20</v>
      </c>
      <c r="AH3" s="18" t="s">
        <v>33</v>
      </c>
      <c r="AI3" s="18" t="s">
        <v>34</v>
      </c>
      <c r="AJ3" s="19" t="s">
        <v>35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</row>
    <row r="4" spans="1:56" ht="257.25" customHeight="1" x14ac:dyDescent="0.3">
      <c r="A4" s="20"/>
      <c r="B4" s="21">
        <v>1</v>
      </c>
      <c r="C4" s="211" t="s">
        <v>36</v>
      </c>
      <c r="D4" s="194"/>
      <c r="E4" s="22" t="s">
        <v>37</v>
      </c>
      <c r="F4" s="23">
        <v>2</v>
      </c>
      <c r="G4" s="24">
        <v>4890</v>
      </c>
      <c r="H4" s="25" t="s">
        <v>38</v>
      </c>
      <c r="I4" s="26" t="s">
        <v>39</v>
      </c>
      <c r="J4" s="27">
        <f>F4*G4</f>
        <v>9780</v>
      </c>
      <c r="K4" s="28"/>
      <c r="L4" s="29" t="s">
        <v>40</v>
      </c>
      <c r="M4" s="25"/>
      <c r="N4" s="193" t="s">
        <v>41</v>
      </c>
      <c r="O4" s="194"/>
      <c r="P4" s="30">
        <f>(((280*2)+(1135*2)+(800/2)+(220/2)))+50</f>
        <v>3390</v>
      </c>
      <c r="Q4" s="31">
        <v>40</v>
      </c>
      <c r="R4" s="32">
        <f>P4*Q4/100</f>
        <v>1356</v>
      </c>
      <c r="S4" s="33">
        <f>R4*U4</f>
        <v>2712</v>
      </c>
      <c r="T4" s="34">
        <f>P4+R4</f>
        <v>4746</v>
      </c>
      <c r="U4" s="35">
        <f>F4</f>
        <v>2</v>
      </c>
      <c r="V4" s="36">
        <v>0</v>
      </c>
      <c r="W4" s="37">
        <v>50</v>
      </c>
      <c r="X4" s="38">
        <f>U4*T4+V4+W4</f>
        <v>9542</v>
      </c>
      <c r="Y4" s="39" t="s">
        <v>42</v>
      </c>
      <c r="Z4" s="40">
        <v>0</v>
      </c>
      <c r="AA4" s="41">
        <v>1</v>
      </c>
      <c r="AB4" s="41">
        <v>1</v>
      </c>
      <c r="AC4" s="41">
        <v>1</v>
      </c>
      <c r="AD4" s="42">
        <f>Z4*AA4*AB4*AC4</f>
        <v>0</v>
      </c>
      <c r="AE4" s="43">
        <v>50</v>
      </c>
      <c r="AF4" s="37">
        <f>1.5%*(X4+AD4+AE4)</f>
        <v>143.88</v>
      </c>
      <c r="AG4" s="44">
        <f>X4+AD4+AF4+AE4</f>
        <v>9735.8799999999992</v>
      </c>
      <c r="AH4" s="45">
        <f>AG4/U4</f>
        <v>4867.9399999999996</v>
      </c>
      <c r="AI4" s="30">
        <f>AH4*18%</f>
        <v>876.22919999999988</v>
      </c>
      <c r="AJ4" s="46">
        <f>AH4+AI4</f>
        <v>5744.1691999999994</v>
      </c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</row>
    <row r="5" spans="1:56" ht="23.25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ht="24.75" customHeight="1" x14ac:dyDescent="0.35">
      <c r="A6" s="1"/>
      <c r="B6" s="207" t="s">
        <v>43</v>
      </c>
      <c r="C6" s="175"/>
      <c r="D6" s="175"/>
      <c r="E6" s="175"/>
      <c r="F6" s="175"/>
      <c r="G6" s="175"/>
      <c r="H6" s="175"/>
      <c r="I6" s="175"/>
      <c r="J6" s="176"/>
      <c r="K6" s="1"/>
      <c r="L6" s="208" t="s">
        <v>2</v>
      </c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10"/>
      <c r="AC6" s="3"/>
      <c r="AD6" s="3"/>
      <c r="AE6" s="3"/>
      <c r="AF6" s="3"/>
      <c r="AG6" s="3"/>
      <c r="AH6" s="3"/>
      <c r="AI6" s="3"/>
      <c r="AJ6" s="3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ht="48.75" customHeight="1" x14ac:dyDescent="0.35">
      <c r="A7" s="3"/>
      <c r="B7" s="4" t="s">
        <v>3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  <c r="H7" s="5" t="s">
        <v>9</v>
      </c>
      <c r="I7" s="5" t="s">
        <v>44</v>
      </c>
      <c r="J7" s="6" t="s">
        <v>10</v>
      </c>
      <c r="L7" s="7" t="s">
        <v>12</v>
      </c>
      <c r="M7" s="8" t="s">
        <v>13</v>
      </c>
      <c r="N7" s="8" t="s">
        <v>14</v>
      </c>
      <c r="O7" s="9" t="s">
        <v>15</v>
      </c>
      <c r="P7" s="10" t="s">
        <v>16</v>
      </c>
      <c r="Q7" s="11" t="s">
        <v>17</v>
      </c>
      <c r="R7" s="11" t="s">
        <v>18</v>
      </c>
      <c r="S7" s="11" t="s">
        <v>19</v>
      </c>
      <c r="T7" s="11" t="s">
        <v>20</v>
      </c>
      <c r="U7" s="12" t="s">
        <v>21</v>
      </c>
      <c r="V7" s="13" t="s">
        <v>22</v>
      </c>
      <c r="W7" s="7" t="s">
        <v>23</v>
      </c>
      <c r="X7" s="9" t="s">
        <v>24</v>
      </c>
      <c r="Y7" s="14" t="s">
        <v>25</v>
      </c>
      <c r="Z7" s="15" t="s">
        <v>26</v>
      </c>
      <c r="AA7" s="15" t="s">
        <v>27</v>
      </c>
      <c r="AB7" s="15" t="s">
        <v>28</v>
      </c>
      <c r="AC7" s="15" t="s">
        <v>29</v>
      </c>
      <c r="AD7" s="16" t="s">
        <v>30</v>
      </c>
      <c r="AE7" s="7" t="s">
        <v>31</v>
      </c>
      <c r="AF7" s="7" t="s">
        <v>32</v>
      </c>
      <c r="AG7" s="17" t="s">
        <v>20</v>
      </c>
      <c r="AH7" s="18" t="s">
        <v>33</v>
      </c>
      <c r="AI7" s="18" t="s">
        <v>34</v>
      </c>
      <c r="AJ7" s="19" t="s">
        <v>35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56" ht="84" customHeight="1" x14ac:dyDescent="0.3">
      <c r="A8" s="48"/>
      <c r="B8" s="212">
        <v>1</v>
      </c>
      <c r="C8" s="214" t="s">
        <v>45</v>
      </c>
      <c r="D8" s="196"/>
      <c r="E8" s="213" t="s">
        <v>37</v>
      </c>
      <c r="F8" s="49">
        <v>50</v>
      </c>
      <c r="G8" s="50">
        <v>50.49</v>
      </c>
      <c r="H8" s="51" t="s">
        <v>46</v>
      </c>
      <c r="I8" s="204" t="s">
        <v>47</v>
      </c>
      <c r="J8" s="52">
        <f t="shared" ref="J8:J10" si="0">F8*G8</f>
        <v>2524.5</v>
      </c>
      <c r="L8" s="201" t="s">
        <v>48</v>
      </c>
      <c r="M8" s="51"/>
      <c r="N8" s="195" t="s">
        <v>49</v>
      </c>
      <c r="O8" s="196"/>
      <c r="P8" s="53">
        <f>40/1.15</f>
        <v>34.782608695652179</v>
      </c>
      <c r="Q8" s="54">
        <v>30</v>
      </c>
      <c r="R8" s="55">
        <f t="shared" ref="R8:R10" si="1">P8*Q8/100</f>
        <v>10.434782608695654</v>
      </c>
      <c r="S8" s="56">
        <f t="shared" ref="S8:S10" si="2">R8*U8</f>
        <v>521.73913043478274</v>
      </c>
      <c r="T8" s="57">
        <f t="shared" ref="T8:T10" si="3">P8+R8</f>
        <v>45.217391304347835</v>
      </c>
      <c r="U8" s="58">
        <f t="shared" ref="U8:U10" si="4">F8</f>
        <v>50</v>
      </c>
      <c r="V8" s="59">
        <f t="shared" ref="V8:V9" si="5">P8</f>
        <v>34.782608695652179</v>
      </c>
      <c r="W8" s="60">
        <v>100</v>
      </c>
      <c r="X8" s="61">
        <f t="shared" ref="X8:X10" si="6">U8*T8+V8+W8</f>
        <v>2395.652173913044</v>
      </c>
      <c r="Y8" s="62" t="s">
        <v>42</v>
      </c>
      <c r="Z8" s="63">
        <v>0</v>
      </c>
      <c r="AA8" s="64">
        <v>1</v>
      </c>
      <c r="AB8" s="64">
        <v>1</v>
      </c>
      <c r="AC8" s="64">
        <v>1</v>
      </c>
      <c r="AD8" s="65">
        <f t="shared" ref="AD8:AD10" si="7">Z8*AA8*AB8*AC8</f>
        <v>0</v>
      </c>
      <c r="AE8" s="66">
        <v>10</v>
      </c>
      <c r="AF8" s="60">
        <f t="shared" ref="AF8:AF10" si="8">1%*(X8+AD8+AE8)</f>
        <v>24.056521739130439</v>
      </c>
      <c r="AG8" s="67">
        <f t="shared" ref="AG8:AG10" si="9">X8+AD8+AF8+AE8</f>
        <v>2429.7086956521744</v>
      </c>
      <c r="AH8" s="68">
        <f t="shared" ref="AH8:AH10" si="10">AG8/U8</f>
        <v>48.594173913043484</v>
      </c>
      <c r="AI8" s="53">
        <f t="shared" ref="AI8:AI10" si="11">AH8*18%</f>
        <v>8.7469513043478262</v>
      </c>
      <c r="AJ8" s="69">
        <f t="shared" ref="AJ8:AJ10" si="12">AH8+AI8</f>
        <v>57.341125217391308</v>
      </c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</row>
    <row r="9" spans="1:56" ht="84" customHeight="1" x14ac:dyDescent="0.3">
      <c r="A9" s="48"/>
      <c r="B9" s="202"/>
      <c r="C9" s="197"/>
      <c r="D9" s="198"/>
      <c r="E9" s="205"/>
      <c r="F9" s="70">
        <v>12</v>
      </c>
      <c r="G9" s="71">
        <v>50.49</v>
      </c>
      <c r="H9" s="72" t="s">
        <v>50</v>
      </c>
      <c r="I9" s="205"/>
      <c r="J9" s="73">
        <f t="shared" si="0"/>
        <v>605.88</v>
      </c>
      <c r="L9" s="202"/>
      <c r="M9" s="72"/>
      <c r="N9" s="197"/>
      <c r="O9" s="198"/>
      <c r="P9" s="74">
        <f>45/1.15</f>
        <v>39.130434782608695</v>
      </c>
      <c r="Q9" s="75">
        <v>33</v>
      </c>
      <c r="R9" s="76">
        <f t="shared" si="1"/>
        <v>12.913043478260869</v>
      </c>
      <c r="S9" s="77">
        <f t="shared" si="2"/>
        <v>154.95652173913044</v>
      </c>
      <c r="T9" s="78">
        <f t="shared" si="3"/>
        <v>52.043478260869563</v>
      </c>
      <c r="U9" s="79">
        <f t="shared" si="4"/>
        <v>12</v>
      </c>
      <c r="V9" s="80">
        <f t="shared" si="5"/>
        <v>39.130434782608695</v>
      </c>
      <c r="W9" s="81">
        <v>50</v>
      </c>
      <c r="X9" s="82">
        <f t="shared" si="6"/>
        <v>713.6521739130435</v>
      </c>
      <c r="Y9" s="83" t="s">
        <v>42</v>
      </c>
      <c r="Z9" s="84">
        <v>0</v>
      </c>
      <c r="AA9" s="85">
        <v>1</v>
      </c>
      <c r="AB9" s="85">
        <v>1</v>
      </c>
      <c r="AC9" s="85">
        <v>1</v>
      </c>
      <c r="AD9" s="86">
        <f t="shared" si="7"/>
        <v>0</v>
      </c>
      <c r="AE9" s="87">
        <v>7</v>
      </c>
      <c r="AF9" s="81">
        <f t="shared" si="8"/>
        <v>7.2065217391304355</v>
      </c>
      <c r="AG9" s="88">
        <f t="shared" si="9"/>
        <v>727.85869565217388</v>
      </c>
      <c r="AH9" s="89">
        <f t="shared" si="10"/>
        <v>60.654891304347821</v>
      </c>
      <c r="AI9" s="74">
        <f t="shared" si="11"/>
        <v>10.917880434782607</v>
      </c>
      <c r="AJ9" s="90">
        <f t="shared" si="12"/>
        <v>71.572771739130431</v>
      </c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</row>
    <row r="10" spans="1:56" ht="84" customHeight="1" x14ac:dyDescent="0.3">
      <c r="A10" s="48"/>
      <c r="B10" s="203"/>
      <c r="C10" s="199"/>
      <c r="D10" s="200"/>
      <c r="E10" s="206"/>
      <c r="F10" s="23">
        <v>6</v>
      </c>
      <c r="G10" s="24">
        <v>50.49</v>
      </c>
      <c r="H10" s="25" t="s">
        <v>50</v>
      </c>
      <c r="I10" s="206"/>
      <c r="J10" s="27">
        <f t="shared" si="0"/>
        <v>302.94</v>
      </c>
      <c r="L10" s="203"/>
      <c r="M10" s="25"/>
      <c r="N10" s="199"/>
      <c r="O10" s="200"/>
      <c r="P10" s="30">
        <f>((45*10)/6)/1.15</f>
        <v>65.217391304347828</v>
      </c>
      <c r="Q10" s="31">
        <v>35</v>
      </c>
      <c r="R10" s="32">
        <f t="shared" si="1"/>
        <v>22.826086956521738</v>
      </c>
      <c r="S10" s="33">
        <f t="shared" si="2"/>
        <v>136.95652173913044</v>
      </c>
      <c r="T10" s="34">
        <f t="shared" si="3"/>
        <v>88.043478260869563</v>
      </c>
      <c r="U10" s="35">
        <f t="shared" si="4"/>
        <v>6</v>
      </c>
      <c r="V10" s="36"/>
      <c r="W10" s="37">
        <v>50</v>
      </c>
      <c r="X10" s="38">
        <f t="shared" si="6"/>
        <v>578.26086956521738</v>
      </c>
      <c r="Y10" s="39" t="s">
        <v>42</v>
      </c>
      <c r="Z10" s="40">
        <v>0</v>
      </c>
      <c r="AA10" s="41">
        <v>1</v>
      </c>
      <c r="AB10" s="41">
        <v>1</v>
      </c>
      <c r="AC10" s="41">
        <v>1</v>
      </c>
      <c r="AD10" s="42">
        <f t="shared" si="7"/>
        <v>0</v>
      </c>
      <c r="AE10" s="43">
        <v>5</v>
      </c>
      <c r="AF10" s="37">
        <f t="shared" si="8"/>
        <v>5.8326086956521737</v>
      </c>
      <c r="AG10" s="44">
        <f t="shared" si="9"/>
        <v>589.09347826086957</v>
      </c>
      <c r="AH10" s="45">
        <f t="shared" si="10"/>
        <v>98.182246376811591</v>
      </c>
      <c r="AI10" s="30">
        <f t="shared" si="11"/>
        <v>17.672804347826087</v>
      </c>
      <c r="AJ10" s="46">
        <f t="shared" si="12"/>
        <v>115.85505072463768</v>
      </c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</row>
    <row r="11" spans="1:56" ht="23.2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9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ht="23.25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ht="23.2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ht="23.25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 ht="23.2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 ht="23.25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 ht="23.2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ht="23.25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 ht="23.2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ht="23.2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ht="23.2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ht="23.2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ht="23.2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ht="23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ht="23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ht="23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ht="23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ht="23.2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ht="23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ht="23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ht="23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ht="23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ht="23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ht="23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ht="23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ht="23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ht="23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ht="23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ht="23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ht="23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ht="23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ht="23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ht="23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ht="23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ht="23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ht="23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ht="23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ht="23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ht="23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ht="23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ht="23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ht="23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ht="23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ht="23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ht="23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ht="23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ht="23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ht="23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ht="23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ht="23.2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ht="23.2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ht="23.2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ht="23.2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ht="23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ht="23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ht="23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ht="23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ht="23.2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ht="23.2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ht="23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ht="23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ht="23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ht="23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ht="23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ht="23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ht="23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ht="23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ht="23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ht="23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ht="23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ht="23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ht="23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ht="23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ht="23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ht="23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ht="23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ht="23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ht="23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ht="23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ht="23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ht="23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ht="23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ht="23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ht="23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ht="23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ht="23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ht="23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ht="23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ht="23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ht="23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</sheetData>
  <mergeCells count="12">
    <mergeCell ref="N4:O4"/>
    <mergeCell ref="N8:O10"/>
    <mergeCell ref="L8:L10"/>
    <mergeCell ref="I8:I10"/>
    <mergeCell ref="B2:J2"/>
    <mergeCell ref="L2:AB2"/>
    <mergeCell ref="C4:D4"/>
    <mergeCell ref="B8:B10"/>
    <mergeCell ref="B6:J6"/>
    <mergeCell ref="L6:AB6"/>
    <mergeCell ref="E8:E10"/>
    <mergeCell ref="C8:D10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V101"/>
  <sheetViews>
    <sheetView zoomScale="70" zoomScaleNormal="70" workbookViewId="0">
      <selection activeCell="E3" sqref="E3"/>
    </sheetView>
  </sheetViews>
  <sheetFormatPr baseColWidth="10" defaultColWidth="14.42578125" defaultRowHeight="15" customHeight="1" x14ac:dyDescent="0.25"/>
  <cols>
    <col min="1" max="1" width="3.7109375" customWidth="1"/>
    <col min="2" max="2" width="10.7109375" customWidth="1"/>
    <col min="3" max="3" width="12.140625" customWidth="1"/>
    <col min="4" max="4" width="15.140625" customWidth="1"/>
    <col min="5" max="5" width="44.42578125" customWidth="1"/>
    <col min="6" max="6" width="14.7109375" customWidth="1"/>
    <col min="7" max="7" width="18.5703125" customWidth="1"/>
    <col min="8" max="8" width="17.28515625" customWidth="1"/>
    <col min="9" max="9" width="62.28515625" customWidth="1"/>
    <col min="10" max="10" width="22.28515625" customWidth="1"/>
    <col min="11" max="12" width="10.7109375" customWidth="1"/>
    <col min="13" max="13" width="17.5703125" customWidth="1"/>
    <col min="14" max="14" width="17.28515625" customWidth="1"/>
    <col min="15" max="15" width="34.42578125" customWidth="1"/>
    <col min="16" max="16" width="11.42578125" customWidth="1"/>
    <col min="17" max="17" width="16.28515625" customWidth="1"/>
    <col min="18" max="18" width="14.85546875" customWidth="1"/>
    <col min="19" max="19" width="10.7109375" customWidth="1"/>
    <col min="20" max="20" width="16.42578125" customWidth="1"/>
    <col min="21" max="21" width="17.28515625" customWidth="1"/>
    <col min="22" max="22" width="10.7109375" customWidth="1"/>
    <col min="23" max="23" width="18.140625" customWidth="1"/>
    <col min="24" max="24" width="26.5703125" customWidth="1"/>
    <col min="25" max="25" width="19.42578125" customWidth="1"/>
    <col min="26" max="26" width="22.140625" customWidth="1"/>
    <col min="27" max="27" width="17.140625" customWidth="1"/>
    <col min="28" max="30" width="10.7109375" customWidth="1"/>
    <col min="31" max="31" width="16.85546875" customWidth="1"/>
    <col min="32" max="32" width="15.42578125" customWidth="1"/>
    <col min="33" max="33" width="15.85546875" customWidth="1"/>
    <col min="34" max="34" width="22.140625" customWidth="1"/>
    <col min="35" max="35" width="19.7109375" customWidth="1"/>
    <col min="36" max="36" width="14.5703125" customWidth="1"/>
    <col min="37" max="37" width="19" customWidth="1"/>
    <col min="38" max="39" width="10.7109375" customWidth="1"/>
    <col min="40" max="40" width="13.28515625" customWidth="1"/>
    <col min="41" max="41" width="14.5703125" customWidth="1"/>
    <col min="42" max="42" width="14" customWidth="1"/>
    <col min="43" max="43" width="18.140625" customWidth="1"/>
    <col min="44" max="44" width="10.7109375" customWidth="1"/>
    <col min="45" max="45" width="14.140625" customWidth="1"/>
    <col min="46" max="48" width="10.7109375" customWidth="1"/>
  </cols>
  <sheetData>
    <row r="4" spans="1:48" ht="15" customHeight="1" thickBot="1" x14ac:dyDescent="0.3"/>
    <row r="5" spans="1:48" ht="29.25" customHeight="1" thickBot="1" x14ac:dyDescent="0.3">
      <c r="B5" s="177" t="s">
        <v>51</v>
      </c>
      <c r="C5" s="178"/>
      <c r="D5" s="178"/>
      <c r="E5" s="178"/>
      <c r="F5" s="178"/>
      <c r="G5" s="178"/>
      <c r="H5" s="178"/>
      <c r="I5" s="178"/>
      <c r="J5" s="179"/>
      <c r="K5" s="156" t="s">
        <v>52</v>
      </c>
      <c r="L5" s="92"/>
      <c r="M5" s="180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92"/>
      <c r="AE5" s="92"/>
      <c r="AF5" s="92"/>
      <c r="AG5" s="92"/>
      <c r="AH5" s="92"/>
      <c r="AI5" s="92"/>
      <c r="AJ5" s="92"/>
      <c r="AK5" s="92"/>
    </row>
    <row r="6" spans="1:48" ht="36" customHeight="1" thickBot="1" x14ac:dyDescent="0.3">
      <c r="B6" s="140" t="s">
        <v>53</v>
      </c>
      <c r="C6" s="94" t="s">
        <v>4</v>
      </c>
      <c r="D6" s="94" t="s">
        <v>5</v>
      </c>
      <c r="E6" s="94" t="s">
        <v>6</v>
      </c>
      <c r="F6" s="94" t="s">
        <v>7</v>
      </c>
      <c r="G6" s="94" t="s">
        <v>54</v>
      </c>
      <c r="H6" s="94" t="s">
        <v>9</v>
      </c>
      <c r="I6" s="141" t="s">
        <v>44</v>
      </c>
      <c r="J6" s="142" t="s">
        <v>55</v>
      </c>
      <c r="K6" s="97"/>
      <c r="L6" s="97"/>
      <c r="M6" s="98" t="s">
        <v>12</v>
      </c>
      <c r="N6" s="99" t="s">
        <v>13</v>
      </c>
      <c r="O6" s="99" t="s">
        <v>14</v>
      </c>
      <c r="P6" s="100" t="s">
        <v>15</v>
      </c>
      <c r="Q6" s="101" t="s">
        <v>16</v>
      </c>
      <c r="R6" s="102" t="s">
        <v>17</v>
      </c>
      <c r="S6" s="102" t="s">
        <v>18</v>
      </c>
      <c r="T6" s="102" t="s">
        <v>19</v>
      </c>
      <c r="U6" s="102" t="s">
        <v>20</v>
      </c>
      <c r="V6" s="102" t="s">
        <v>21</v>
      </c>
      <c r="W6" s="103" t="s">
        <v>22</v>
      </c>
      <c r="X6" s="98" t="s">
        <v>23</v>
      </c>
      <c r="Y6" s="100" t="s">
        <v>24</v>
      </c>
      <c r="Z6" s="104" t="s">
        <v>25</v>
      </c>
      <c r="AA6" s="105" t="s">
        <v>26</v>
      </c>
      <c r="AB6" s="105" t="s">
        <v>27</v>
      </c>
      <c r="AC6" s="105" t="s">
        <v>28</v>
      </c>
      <c r="AD6" s="105" t="s">
        <v>29</v>
      </c>
      <c r="AE6" s="106" t="s">
        <v>30</v>
      </c>
      <c r="AF6" s="107" t="s">
        <v>31</v>
      </c>
      <c r="AG6" s="107" t="s">
        <v>32</v>
      </c>
      <c r="AH6" s="108" t="s">
        <v>20</v>
      </c>
      <c r="AI6" s="109" t="s">
        <v>33</v>
      </c>
      <c r="AJ6" s="109" t="s">
        <v>34</v>
      </c>
      <c r="AK6" s="110" t="s">
        <v>35</v>
      </c>
      <c r="AN6" s="111" t="s">
        <v>56</v>
      </c>
      <c r="AO6" s="111" t="s">
        <v>57</v>
      </c>
      <c r="AP6" s="111" t="s">
        <v>58</v>
      </c>
      <c r="AQ6" s="111" t="s">
        <v>59</v>
      </c>
      <c r="AR6" s="111" t="s">
        <v>60</v>
      </c>
      <c r="AS6" s="111" t="s">
        <v>61</v>
      </c>
      <c r="AT6" s="112"/>
      <c r="AU6" s="113" t="s">
        <v>62</v>
      </c>
      <c r="AV6" s="113" t="s">
        <v>63</v>
      </c>
    </row>
    <row r="7" spans="1:48" ht="103.5" customHeight="1" thickBot="1" x14ac:dyDescent="0.4">
      <c r="A7" s="92"/>
      <c r="B7" s="147">
        <v>1</v>
      </c>
      <c r="C7" s="182" t="s">
        <v>64</v>
      </c>
      <c r="D7" s="183"/>
      <c r="E7" s="191" t="s">
        <v>65</v>
      </c>
      <c r="F7" s="143">
        <v>1000</v>
      </c>
      <c r="G7" s="144">
        <v>3.59</v>
      </c>
      <c r="H7" s="145" t="s">
        <v>77</v>
      </c>
      <c r="I7" s="186" t="s">
        <v>79</v>
      </c>
      <c r="J7" s="148">
        <f t="shared" ref="J7:J8" si="0">F7*G7</f>
        <v>3590</v>
      </c>
      <c r="M7" s="188" t="s">
        <v>75</v>
      </c>
      <c r="N7" s="190" t="s">
        <v>66</v>
      </c>
      <c r="O7" s="184" t="s">
        <v>76</v>
      </c>
      <c r="P7" s="114">
        <v>2690.4</v>
      </c>
      <c r="Q7" s="115">
        <v>2.6</v>
      </c>
      <c r="R7" s="116">
        <v>31</v>
      </c>
      <c r="S7" s="117">
        <f t="shared" ref="S7:S8" si="1">Q7*R7/100</f>
        <v>0.80600000000000005</v>
      </c>
      <c r="T7" s="118">
        <f t="shared" ref="T7:T8" si="2">S7*V7</f>
        <v>806</v>
      </c>
      <c r="U7" s="119">
        <f t="shared" ref="U7:U8" si="3">Q7+S7</f>
        <v>3.4060000000000001</v>
      </c>
      <c r="V7" s="116">
        <f t="shared" ref="V7:V8" si="4">F7</f>
        <v>1000</v>
      </c>
      <c r="W7" s="120">
        <f>U7*10</f>
        <v>34.06</v>
      </c>
      <c r="X7" s="121">
        <v>60</v>
      </c>
      <c r="Y7" s="122">
        <f t="shared" ref="Y7:Y8" si="5">V7*U7+W7+X7</f>
        <v>3500.06</v>
      </c>
      <c r="Z7" s="123" t="s">
        <v>42</v>
      </c>
      <c r="AA7" s="121">
        <v>0</v>
      </c>
      <c r="AB7" s="124">
        <v>1</v>
      </c>
      <c r="AC7" s="124">
        <v>1</v>
      </c>
      <c r="AD7" s="124">
        <v>1</v>
      </c>
      <c r="AE7" s="125">
        <f t="shared" ref="AE7:AE8" si="6">AA7*AB7*AC7*AD7</f>
        <v>0</v>
      </c>
      <c r="AF7" s="126">
        <f>30</f>
        <v>30</v>
      </c>
      <c r="AG7" s="127">
        <f t="shared" ref="AG7:AG8" si="7">1.5%*(Y7+AE7+AF7)</f>
        <v>52.950899999999997</v>
      </c>
      <c r="AH7" s="128">
        <f t="shared" ref="AH7:AH8" si="8">Y7+AE7+AG7+AF7</f>
        <v>3583.0108999999998</v>
      </c>
      <c r="AI7" s="129">
        <f t="shared" ref="AI7:AI8" si="9">AH7/V7</f>
        <v>3.5830108999999997</v>
      </c>
      <c r="AJ7" s="130">
        <f t="shared" ref="AJ7:AJ8" si="10">AI7*18%</f>
        <v>0.64494196199999987</v>
      </c>
      <c r="AK7" s="131">
        <f t="shared" ref="AK7:AK8" si="11">AI7+AJ7</f>
        <v>4.2279528619999995</v>
      </c>
      <c r="AM7" s="132"/>
      <c r="AN7" s="133">
        <f t="shared" ref="AN7:AN8" si="12">AK7*V7</f>
        <v>4227.9528619999992</v>
      </c>
      <c r="AO7" s="134">
        <f t="shared" ref="AO7:AO8" si="13">(AK7-(AK7/1.18))*V7</f>
        <v>644.94196199999988</v>
      </c>
      <c r="AP7" s="134">
        <f t="shared" ref="AP7:AP8" si="14">(AK7-(AK7/1.02))*V7</f>
        <v>82.901036509803731</v>
      </c>
      <c r="AQ7" s="134">
        <f t="shared" ref="AQ7:AQ8" si="15">(AK7-(AK7/1.05))*V7</f>
        <v>201.3310886666666</v>
      </c>
      <c r="AR7" s="134">
        <f t="shared" ref="AR7:AR8" si="16">S7*V7</f>
        <v>806</v>
      </c>
      <c r="AS7" s="133">
        <f t="shared" ref="AS7:AS8" si="17">AR7-AQ7-AP7</f>
        <v>521.76787482352972</v>
      </c>
      <c r="AT7" s="135"/>
      <c r="AU7" s="136">
        <f t="shared" ref="AU7:AU8" si="18">AR7*100/(AN7-AO7-AR7)</f>
        <v>29.024012833366992</v>
      </c>
      <c r="AV7" s="136">
        <f t="shared" ref="AV7:AV8" si="19">AS7*100/(AN7-AO7-AR7-AP7-AQ7)</f>
        <v>20.931174482599936</v>
      </c>
    </row>
    <row r="8" spans="1:48" ht="103.5" customHeight="1" thickBot="1" x14ac:dyDescent="0.4">
      <c r="A8" s="92"/>
      <c r="B8" s="147">
        <v>2</v>
      </c>
      <c r="C8" s="182" t="s">
        <v>64</v>
      </c>
      <c r="D8" s="183"/>
      <c r="E8" s="192"/>
      <c r="F8" s="143">
        <v>500</v>
      </c>
      <c r="G8" s="144">
        <v>4.29</v>
      </c>
      <c r="H8" s="145" t="s">
        <v>77</v>
      </c>
      <c r="I8" s="183"/>
      <c r="J8" s="148">
        <f t="shared" si="0"/>
        <v>2145</v>
      </c>
      <c r="M8" s="189"/>
      <c r="N8" s="189"/>
      <c r="O8" s="185"/>
      <c r="P8" s="114">
        <v>2336.4</v>
      </c>
      <c r="Q8" s="115">
        <v>2.99</v>
      </c>
      <c r="R8" s="116">
        <v>34</v>
      </c>
      <c r="S8" s="117">
        <f t="shared" si="1"/>
        <v>1.0166000000000002</v>
      </c>
      <c r="T8" s="118">
        <f t="shared" si="2"/>
        <v>508.30000000000007</v>
      </c>
      <c r="U8" s="119">
        <f t="shared" si="3"/>
        <v>4.0066000000000006</v>
      </c>
      <c r="V8" s="116">
        <f t="shared" si="4"/>
        <v>500</v>
      </c>
      <c r="W8" s="120">
        <f>U8*5</f>
        <v>20.033000000000001</v>
      </c>
      <c r="X8" s="121">
        <v>60</v>
      </c>
      <c r="Y8" s="122">
        <f t="shared" si="5"/>
        <v>2083.3330000000005</v>
      </c>
      <c r="Z8" s="123" t="s">
        <v>42</v>
      </c>
      <c r="AA8" s="121">
        <v>0</v>
      </c>
      <c r="AB8" s="124">
        <v>1</v>
      </c>
      <c r="AC8" s="124">
        <v>1</v>
      </c>
      <c r="AD8" s="124">
        <v>1</v>
      </c>
      <c r="AE8" s="125">
        <f t="shared" si="6"/>
        <v>0</v>
      </c>
      <c r="AF8" s="126">
        <v>20</v>
      </c>
      <c r="AG8" s="127">
        <f t="shared" si="7"/>
        <v>31.549995000000006</v>
      </c>
      <c r="AH8" s="128">
        <f t="shared" si="8"/>
        <v>2134.8829950000004</v>
      </c>
      <c r="AI8" s="129">
        <f t="shared" si="9"/>
        <v>4.2697659900000007</v>
      </c>
      <c r="AJ8" s="130">
        <f t="shared" si="10"/>
        <v>0.7685578782000001</v>
      </c>
      <c r="AK8" s="131">
        <f t="shared" si="11"/>
        <v>5.0383238682000009</v>
      </c>
      <c r="AM8" s="132"/>
      <c r="AN8" s="133">
        <f t="shared" si="12"/>
        <v>2519.1619341000005</v>
      </c>
      <c r="AO8" s="134">
        <f t="shared" si="13"/>
        <v>384.27893910000012</v>
      </c>
      <c r="AP8" s="134">
        <f t="shared" si="14"/>
        <v>49.39533204117641</v>
      </c>
      <c r="AQ8" s="134">
        <f t="shared" si="15"/>
        <v>119.96009209999991</v>
      </c>
      <c r="AR8" s="134">
        <f t="shared" si="16"/>
        <v>508.30000000000007</v>
      </c>
      <c r="AS8" s="133">
        <f t="shared" si="17"/>
        <v>338.94457585882378</v>
      </c>
      <c r="AT8" s="135"/>
      <c r="AU8" s="136">
        <f t="shared" si="18"/>
        <v>31.249558218823012</v>
      </c>
      <c r="AV8" s="136">
        <f t="shared" si="19"/>
        <v>23.259550027526945</v>
      </c>
    </row>
    <row r="9" spans="1:48" ht="82.5" customHeight="1" thickBot="1" x14ac:dyDescent="0.3">
      <c r="A9" s="92"/>
      <c r="B9" s="149">
        <v>3</v>
      </c>
      <c r="C9" s="187" t="s">
        <v>73</v>
      </c>
      <c r="D9" s="187"/>
      <c r="E9" s="150"/>
      <c r="F9" s="151">
        <v>1</v>
      </c>
      <c r="G9" s="152">
        <v>100</v>
      </c>
      <c r="H9" s="153" t="s">
        <v>78</v>
      </c>
      <c r="I9" s="154" t="s">
        <v>74</v>
      </c>
      <c r="J9" s="155">
        <f>F9*G9</f>
        <v>100</v>
      </c>
      <c r="O9" s="146">
        <f>1980/500</f>
        <v>3.96</v>
      </c>
      <c r="P9" s="114"/>
      <c r="Q9" s="115"/>
      <c r="R9" s="116"/>
      <c r="S9" s="117"/>
      <c r="T9" s="118"/>
      <c r="U9" s="119"/>
      <c r="V9" s="116"/>
      <c r="W9" s="120"/>
      <c r="X9" s="121"/>
      <c r="Y9" s="122"/>
      <c r="Z9" s="123"/>
      <c r="AA9" s="121"/>
      <c r="AB9" s="124"/>
      <c r="AC9" s="124"/>
      <c r="AD9" s="124"/>
      <c r="AE9" s="125"/>
      <c r="AF9" s="126"/>
      <c r="AG9" s="127"/>
      <c r="AH9" s="128"/>
      <c r="AI9" s="129"/>
      <c r="AJ9" s="130"/>
      <c r="AK9" s="131"/>
      <c r="AM9" s="132"/>
      <c r="AN9" s="133">
        <f t="shared" ref="AN9" si="20">AK9*V9</f>
        <v>0</v>
      </c>
      <c r="AO9" s="134">
        <f t="shared" ref="AO9" si="21">(AK9-(AK9/1.18))*V9</f>
        <v>0</v>
      </c>
      <c r="AP9" s="134">
        <f t="shared" ref="AP9" si="22">(AK9-(AK9/1.02))*V9</f>
        <v>0</v>
      </c>
      <c r="AQ9" s="134">
        <f t="shared" ref="AQ9" si="23">(AK9-(AK9/1.05))*V9</f>
        <v>0</v>
      </c>
      <c r="AR9" s="134">
        <f t="shared" ref="AR9" si="24">S9*V9</f>
        <v>0</v>
      </c>
      <c r="AS9" s="133">
        <f t="shared" ref="AS9" si="25">AR9-AQ9-AP9</f>
        <v>0</v>
      </c>
      <c r="AT9" s="135"/>
      <c r="AU9" s="136" t="e">
        <f t="shared" ref="AU9" si="26">AR9*100/(AN9-AO9-AR9)</f>
        <v>#DIV/0!</v>
      </c>
      <c r="AV9" s="136" t="e">
        <f t="shared" ref="AV9" si="27">AS9*100/(AN9-AO9-AR9-AP9-AQ9)</f>
        <v>#DIV/0!</v>
      </c>
    </row>
    <row r="12" spans="1:48" ht="29.25" customHeight="1" x14ac:dyDescent="0.25">
      <c r="B12" s="174" t="s">
        <v>82</v>
      </c>
      <c r="C12" s="175"/>
      <c r="D12" s="175"/>
      <c r="E12" s="175"/>
      <c r="F12" s="175"/>
      <c r="G12" s="175"/>
      <c r="H12" s="175"/>
      <c r="I12" s="175"/>
      <c r="J12" s="176"/>
      <c r="K12" s="92" t="s">
        <v>67</v>
      </c>
      <c r="L12" s="92"/>
      <c r="M12" s="180" t="s">
        <v>2</v>
      </c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92"/>
      <c r="AE12" s="92"/>
      <c r="AF12" s="92"/>
      <c r="AG12" s="92"/>
      <c r="AH12" s="92"/>
      <c r="AI12" s="92"/>
      <c r="AJ12" s="92"/>
      <c r="AK12" s="92"/>
    </row>
    <row r="13" spans="1:48" ht="48.75" customHeight="1" thickBot="1" x14ac:dyDescent="0.3">
      <c r="B13" s="93" t="s">
        <v>53</v>
      </c>
      <c r="C13" s="94" t="s">
        <v>4</v>
      </c>
      <c r="D13" s="94" t="s">
        <v>5</v>
      </c>
      <c r="E13" s="94" t="s">
        <v>6</v>
      </c>
      <c r="F13" s="94" t="s">
        <v>81</v>
      </c>
      <c r="G13" s="94" t="s">
        <v>54</v>
      </c>
      <c r="H13" s="94" t="s">
        <v>9</v>
      </c>
      <c r="I13" s="95" t="s">
        <v>44</v>
      </c>
      <c r="J13" s="96" t="s">
        <v>55</v>
      </c>
      <c r="K13" s="97"/>
      <c r="L13" s="97"/>
      <c r="M13" s="98" t="s">
        <v>12</v>
      </c>
      <c r="N13" s="99" t="s">
        <v>13</v>
      </c>
      <c r="O13" s="99" t="s">
        <v>14</v>
      </c>
      <c r="P13" s="100" t="s">
        <v>15</v>
      </c>
      <c r="Q13" s="101" t="s">
        <v>16</v>
      </c>
      <c r="R13" s="102" t="s">
        <v>17</v>
      </c>
      <c r="S13" s="102" t="s">
        <v>18</v>
      </c>
      <c r="T13" s="102" t="s">
        <v>19</v>
      </c>
      <c r="U13" s="102" t="s">
        <v>20</v>
      </c>
      <c r="V13" s="102" t="s">
        <v>21</v>
      </c>
      <c r="W13" s="103" t="s">
        <v>22</v>
      </c>
      <c r="X13" s="98" t="s">
        <v>23</v>
      </c>
      <c r="Y13" s="100" t="s">
        <v>24</v>
      </c>
      <c r="Z13" s="104" t="s">
        <v>25</v>
      </c>
      <c r="AA13" s="105" t="s">
        <v>26</v>
      </c>
      <c r="AB13" s="105" t="s">
        <v>27</v>
      </c>
      <c r="AC13" s="105" t="s">
        <v>28</v>
      </c>
      <c r="AD13" s="105" t="s">
        <v>29</v>
      </c>
      <c r="AE13" s="106" t="s">
        <v>30</v>
      </c>
      <c r="AF13" s="107" t="s">
        <v>31</v>
      </c>
      <c r="AG13" s="107" t="s">
        <v>32</v>
      </c>
      <c r="AH13" s="108" t="s">
        <v>20</v>
      </c>
      <c r="AI13" s="109" t="s">
        <v>33</v>
      </c>
      <c r="AJ13" s="109" t="s">
        <v>34</v>
      </c>
      <c r="AK13" s="110" t="s">
        <v>35</v>
      </c>
      <c r="AN13" s="111" t="s">
        <v>56</v>
      </c>
      <c r="AO13" s="111" t="s">
        <v>57</v>
      </c>
      <c r="AP13" s="111" t="s">
        <v>58</v>
      </c>
      <c r="AQ13" s="111" t="s">
        <v>59</v>
      </c>
      <c r="AR13" s="111" t="s">
        <v>60</v>
      </c>
      <c r="AS13" s="111" t="s">
        <v>61</v>
      </c>
      <c r="AT13" s="112"/>
      <c r="AU13" s="113" t="s">
        <v>62</v>
      </c>
      <c r="AV13" s="113" t="s">
        <v>63</v>
      </c>
    </row>
    <row r="14" spans="1:48" ht="242.25" customHeight="1" thickBot="1" x14ac:dyDescent="0.4">
      <c r="A14" s="92"/>
      <c r="B14" s="164">
        <v>1</v>
      </c>
      <c r="C14" s="172" t="s">
        <v>68</v>
      </c>
      <c r="D14" s="173"/>
      <c r="E14" s="165" t="s">
        <v>65</v>
      </c>
      <c r="F14" s="166">
        <v>200</v>
      </c>
      <c r="G14" s="167">
        <v>14.69</v>
      </c>
      <c r="H14" s="168" t="s">
        <v>69</v>
      </c>
      <c r="I14" s="169" t="s">
        <v>80</v>
      </c>
      <c r="J14" s="170">
        <f>F14*G14</f>
        <v>2938</v>
      </c>
      <c r="M14" s="137" t="s">
        <v>70</v>
      </c>
      <c r="N14" s="138" t="s">
        <v>71</v>
      </c>
      <c r="O14" s="139" t="s">
        <v>72</v>
      </c>
      <c r="P14" s="114"/>
      <c r="Q14" s="115">
        <v>10.5</v>
      </c>
      <c r="R14" s="116">
        <v>30</v>
      </c>
      <c r="S14" s="117">
        <f>Q14*R14/100</f>
        <v>3.15</v>
      </c>
      <c r="T14" s="118">
        <f>S14*V14</f>
        <v>630</v>
      </c>
      <c r="U14" s="119">
        <f>Q14+S14</f>
        <v>13.65</v>
      </c>
      <c r="V14" s="116">
        <f>F14</f>
        <v>200</v>
      </c>
      <c r="W14" s="120">
        <f>U14*2</f>
        <v>27.3</v>
      </c>
      <c r="X14" s="121">
        <v>90</v>
      </c>
      <c r="Y14" s="122">
        <f>V14*U14+W14+X14</f>
        <v>2847.3</v>
      </c>
      <c r="Z14" s="123" t="s">
        <v>42</v>
      </c>
      <c r="AA14" s="121">
        <v>0</v>
      </c>
      <c r="AB14" s="124">
        <v>1</v>
      </c>
      <c r="AC14" s="124">
        <v>1</v>
      </c>
      <c r="AD14" s="124">
        <v>1</v>
      </c>
      <c r="AE14" s="125">
        <f>AA14*AB14*AC14*AD14</f>
        <v>0</v>
      </c>
      <c r="AF14" s="126">
        <f>3.5*10</f>
        <v>35</v>
      </c>
      <c r="AG14" s="127">
        <f>1.5%*(Y14+AE14+AF14)</f>
        <v>43.234500000000004</v>
      </c>
      <c r="AH14" s="128">
        <f>Y14+AE14+AG14+AF14</f>
        <v>2925.5345000000002</v>
      </c>
      <c r="AI14" s="129">
        <f>AH14/V14</f>
        <v>14.627672500000001</v>
      </c>
      <c r="AJ14" s="130">
        <f>AI14*18%</f>
        <v>2.6329810500000002</v>
      </c>
      <c r="AK14" s="131">
        <f>AI14+AJ14</f>
        <v>17.260653550000001</v>
      </c>
      <c r="AM14" s="132"/>
      <c r="AN14" s="133">
        <f>AK14*V14</f>
        <v>3452.1307100000004</v>
      </c>
      <c r="AO14" s="134">
        <f>(AK14-(AK14/1.18))*V14</f>
        <v>526.59620999999993</v>
      </c>
      <c r="AP14" s="134">
        <f>(AK14-(AK14/1.02))*V14</f>
        <v>67.688837450980799</v>
      </c>
      <c r="AQ14" s="134">
        <f>(AK14-(AK14/1.05))*V14</f>
        <v>164.38717666666705</v>
      </c>
      <c r="AR14" s="134">
        <f>S14*V14</f>
        <v>630</v>
      </c>
      <c r="AS14" s="133">
        <f>AR14-AQ14-AP14</f>
        <v>397.9239858823521</v>
      </c>
      <c r="AT14" s="135"/>
      <c r="AU14" s="136">
        <f>AR14*100/(AN14-AO14-AR14)</f>
        <v>27.444588613240178</v>
      </c>
      <c r="AV14" s="136">
        <f>AS14*100/(AN14-AO14-AR14-AP14-AQ14)</f>
        <v>19.284322345462471</v>
      </c>
    </row>
    <row r="15" spans="1:48" ht="82.5" customHeight="1" thickBot="1" x14ac:dyDescent="0.3">
      <c r="A15" s="92"/>
      <c r="B15" s="157">
        <v>2</v>
      </c>
      <c r="C15" s="171" t="s">
        <v>73</v>
      </c>
      <c r="D15" s="171"/>
      <c r="E15" s="158"/>
      <c r="F15" s="159">
        <v>1</v>
      </c>
      <c r="G15" s="160">
        <v>100</v>
      </c>
      <c r="H15" s="161" t="s">
        <v>78</v>
      </c>
      <c r="I15" s="162" t="s">
        <v>74</v>
      </c>
      <c r="J15" s="163">
        <f>F15*G15</f>
        <v>100</v>
      </c>
      <c r="O15" s="146">
        <f>1980/500</f>
        <v>3.96</v>
      </c>
      <c r="P15" s="114"/>
      <c r="Q15" s="115"/>
      <c r="R15" s="116"/>
      <c r="S15" s="117"/>
      <c r="T15" s="118"/>
      <c r="U15" s="119"/>
      <c r="V15" s="116"/>
      <c r="W15" s="120"/>
      <c r="X15" s="121"/>
      <c r="Y15" s="122"/>
      <c r="Z15" s="123"/>
      <c r="AA15" s="121"/>
      <c r="AB15" s="124"/>
      <c r="AC15" s="124"/>
      <c r="AD15" s="124"/>
      <c r="AE15" s="125"/>
      <c r="AF15" s="126"/>
      <c r="AG15" s="127"/>
      <c r="AH15" s="128"/>
      <c r="AI15" s="129"/>
      <c r="AJ15" s="130"/>
      <c r="AK15" s="131"/>
      <c r="AM15" s="132"/>
      <c r="AN15" s="133">
        <f t="shared" ref="AN15" si="28">AK15*V15</f>
        <v>0</v>
      </c>
      <c r="AO15" s="134">
        <f t="shared" ref="AO15" si="29">(AK15-(AK15/1.18))*V15</f>
        <v>0</v>
      </c>
      <c r="AP15" s="134">
        <f t="shared" ref="AP15" si="30">(AK15-(AK15/1.02))*V15</f>
        <v>0</v>
      </c>
      <c r="AQ15" s="134">
        <f t="shared" ref="AQ15" si="31">(AK15-(AK15/1.05))*V15</f>
        <v>0</v>
      </c>
      <c r="AR15" s="134">
        <f t="shared" ref="AR15" si="32">S15*V15</f>
        <v>0</v>
      </c>
      <c r="AS15" s="133">
        <f t="shared" ref="AS15" si="33">AR15-AQ15-AP15</f>
        <v>0</v>
      </c>
      <c r="AT15" s="135"/>
      <c r="AU15" s="136" t="e">
        <f t="shared" ref="AU15" si="34">AR15*100/(AN15-AO15-AR15)</f>
        <v>#DIV/0!</v>
      </c>
      <c r="AV15" s="136" t="e">
        <f t="shared" ref="AV15" si="35">AS15*100/(AN15-AO15-AR15-AP15-AQ15)</f>
        <v>#DIV/0!</v>
      </c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</sheetData>
  <mergeCells count="14">
    <mergeCell ref="C15:D15"/>
    <mergeCell ref="C14:D14"/>
    <mergeCell ref="B12:J12"/>
    <mergeCell ref="B5:J5"/>
    <mergeCell ref="M5:AC5"/>
    <mergeCell ref="C7:D7"/>
    <mergeCell ref="O7:O8"/>
    <mergeCell ref="I7:I8"/>
    <mergeCell ref="C9:D9"/>
    <mergeCell ref="M7:M8"/>
    <mergeCell ref="N7:N8"/>
    <mergeCell ref="C8:D8"/>
    <mergeCell ref="E7:E8"/>
    <mergeCell ref="M12:AC12"/>
  </mergeCells>
  <pageMargins left="0.7" right="0.7" top="0.75" bottom="0.75" header="0" footer="0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ABRIL</vt:lpstr>
      <vt:lpstr>MAYO</vt:lpstr>
    </vt:vector>
  </TitlesOfParts>
  <Manager/>
  <Company>Dixguel03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Alejandro Ruidias Luyo</cp:lastModifiedBy>
  <cp:revision/>
  <dcterms:created xsi:type="dcterms:W3CDTF">2024-01-31T20:11:16Z</dcterms:created>
  <dcterms:modified xsi:type="dcterms:W3CDTF">2026-06-06T14:51:58Z</dcterms:modified>
  <cp:category/>
  <cp:contentStatus/>
</cp:coreProperties>
</file>