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AUNA- ONCOSALUD SAC/BD Cotizaciones/"/>
    </mc:Choice>
  </mc:AlternateContent>
  <xr:revisionPtr revIDLastSave="8" documentId="8_{EE414F7A-1420-4C33-821D-9D93F15D97A8}" xr6:coauthVersionLast="47" xr6:coauthVersionMax="47" xr10:uidLastSave="{9B884999-43F1-493C-8EF9-45502375C4E4}"/>
  <bookViews>
    <workbookView xWindow="-120" yWindow="-120" windowWidth="29040" windowHeight="15720" xr2:uid="{2A447576-D43E-4BA6-A0A0-69AC9DAC7AE9}"/>
  </bookViews>
  <sheets>
    <sheet name="MAYO" sheetId="8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8" l="1"/>
  <c r="W5" i="8" s="1"/>
  <c r="L6" i="8"/>
  <c r="L7" i="8"/>
  <c r="L4" i="8"/>
  <c r="J5" i="8"/>
  <c r="J8" i="8" s="1"/>
  <c r="J6" i="8"/>
  <c r="J7" i="8"/>
  <c r="W4" i="8"/>
  <c r="Q6" i="8"/>
  <c r="S6" i="8" s="1"/>
  <c r="AA7" i="8"/>
  <c r="AE7" i="8" s="1"/>
  <c r="AE10" i="8"/>
  <c r="W10" i="8"/>
  <c r="V10" i="8"/>
  <c r="Y10" i="8" s="1"/>
  <c r="U10" i="8"/>
  <c r="T10" i="8"/>
  <c r="S10" i="8"/>
  <c r="J10" i="8"/>
  <c r="X8" i="8"/>
  <c r="V7" i="8"/>
  <c r="AF7" i="8" s="1"/>
  <c r="Q7" i="8"/>
  <c r="S7" i="8" s="1"/>
  <c r="AE6" i="8"/>
  <c r="AA6" i="8"/>
  <c r="V6" i="8"/>
  <c r="AE5" i="8"/>
  <c r="V5" i="8"/>
  <c r="AF4" i="8"/>
  <c r="AF8" i="8" s="1"/>
  <c r="AE4" i="8"/>
  <c r="V4" i="8"/>
  <c r="S4" i="8"/>
  <c r="T4" i="8" s="1"/>
  <c r="J4" i="8"/>
  <c r="T7" i="8" l="1"/>
  <c r="S5" i="8"/>
  <c r="U5" i="8" s="1"/>
  <c r="Y5" i="8" s="1"/>
  <c r="AG10" i="8"/>
  <c r="AH10" i="8" s="1"/>
  <c r="AI10" i="8" s="1"/>
  <c r="W6" i="8"/>
  <c r="W7" i="8"/>
  <c r="U6" i="8"/>
  <c r="Y6" i="8" s="1"/>
  <c r="T6" i="8"/>
  <c r="U7" i="8"/>
  <c r="U4" i="8"/>
  <c r="T5" i="8" l="1"/>
  <c r="L5" i="8" s="1"/>
  <c r="AJ10" i="8"/>
  <c r="AK10" i="8" s="1"/>
  <c r="Y7" i="8"/>
  <c r="AG7" i="8" s="1"/>
  <c r="AH7" i="8" s="1"/>
  <c r="AI7" i="8" s="1"/>
  <c r="AG5" i="8"/>
  <c r="AH5" i="8" s="1"/>
  <c r="AI5" i="8" s="1"/>
  <c r="AG6" i="8"/>
  <c r="AH6" i="8" s="1"/>
  <c r="AI6" i="8" s="1"/>
  <c r="Y4" i="8"/>
  <c r="T8" i="8" l="1"/>
  <c r="L8" i="8" s="1"/>
  <c r="AJ7" i="8"/>
  <c r="AK7" i="8" s="1"/>
  <c r="AJ5" i="8"/>
  <c r="AK5" i="8" s="1"/>
  <c r="AJ6" i="8"/>
  <c r="AK6" i="8" s="1"/>
  <c r="AG4" i="8"/>
  <c r="AG8" i="8" s="1"/>
  <c r="AH4" i="8" l="1"/>
  <c r="AI4" i="8" s="1"/>
  <c r="AJ4" i="8" l="1"/>
  <c r="AK4" i="8" s="1"/>
  <c r="Q15" i="8" l="1"/>
  <c r="W15" i="8" s="1"/>
  <c r="Q14" i="8"/>
  <c r="W14" i="8" s="1"/>
  <c r="AF14" i="8"/>
  <c r="AE14" i="8"/>
  <c r="V14" i="8"/>
  <c r="J14" i="8"/>
  <c r="AF15" i="8"/>
  <c r="AE15" i="8"/>
  <c r="V15" i="8"/>
  <c r="Q19" i="8"/>
  <c r="W19" i="8" s="1"/>
  <c r="AF19" i="8"/>
  <c r="AE19" i="8"/>
  <c r="V19" i="8"/>
  <c r="S15" i="8" l="1"/>
  <c r="T15" i="8" s="1"/>
  <c r="S14" i="8"/>
  <c r="T14" i="8" s="1"/>
  <c r="L14" i="8" s="1"/>
  <c r="S19" i="8"/>
  <c r="T19" i="8" s="1"/>
  <c r="U15" i="8" l="1"/>
  <c r="Y15" i="8" s="1"/>
  <c r="AG15" i="8" s="1"/>
  <c r="AH15" i="8" s="1"/>
  <c r="AI15" i="8" s="1"/>
  <c r="J15" i="8" s="1"/>
  <c r="L15" i="8" s="1"/>
  <c r="U14" i="8"/>
  <c r="Y14" i="8" s="1"/>
  <c r="U19" i="8"/>
  <c r="Y19" i="8" s="1"/>
  <c r="AG14" i="8" l="1"/>
  <c r="AH14" i="8" s="1"/>
  <c r="AI14" i="8" s="1"/>
  <c r="AJ14" i="8" s="1"/>
  <c r="AK14" i="8" s="1"/>
  <c r="AJ15" i="8"/>
  <c r="AK15" i="8" s="1"/>
  <c r="AG19" i="8"/>
  <c r="AH19" i="8" s="1"/>
  <c r="AI19" i="8" s="1"/>
  <c r="J19" i="8" l="1"/>
  <c r="L19" i="8" s="1"/>
  <c r="AJ19" i="8"/>
  <c r="AK19" i="8" s="1"/>
</calcChain>
</file>

<file path=xl/sharedStrings.xml><?xml version="1.0" encoding="utf-8"?>
<sst xmlns="http://schemas.openxmlformats.org/spreadsheetml/2006/main" count="162" uniqueCount="74">
  <si>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</si>
  <si>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</si>
  <si>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</si>
  <si>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</si>
  <si>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</si>
  <si>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</si>
  <si>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</si>
  <si>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</si>
  <si>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</si>
  <si>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</si>
  <si>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</si>
  <si>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</si>
  <si>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</si>
  <si>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</si>
  <si>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</si>
  <si>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</si>
  <si>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</si>
  <si>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</si>
  <si>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</si>
  <si>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</si>
  <si>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</si>
  <si>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</si>
  <si>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</si>
  <si>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</si>
  <si>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</si>
  <si>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</si>
  <si>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</si>
  <si>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</si>
  <si>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</si>
  <si>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</si>
  <si>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</si>
  <si>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</si>
  <si>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</si>
  <si>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5 a 7 días utiles</t>
  </si>
  <si>
    <t>*Imagen referencial</t>
  </si>
  <si>
    <t>CASA HUAMANI</t>
  </si>
  <si>
    <t>OLAF</t>
  </si>
  <si>
    <t>incluye</t>
  </si>
  <si>
    <t>OLAF- 1.6</t>
  </si>
  <si>
    <t>400- S/ 560  IGV</t>
  </si>
  <si>
    <t>SET EJECUTIVO 4</t>
  </si>
  <si>
    <r>
      <rPr>
        <b/>
        <u/>
        <sz val="16"/>
        <color rgb="FF000000"/>
        <rFont val="Arial"/>
        <family val="2"/>
      </rPr>
      <t xml:space="preserve">SET EJECUTIVO 4
</t>
    </r>
    <r>
      <rPr>
        <sz val="16"/>
        <color rgb="FF000000"/>
        <rFont val="Arial"/>
        <family val="2"/>
      </rPr>
      <t xml:space="preserve">Incluye: caja + libreta texturizada con bolsillo + mug térmico de acero inoxidable ( 320 ml) + lapicero metálico tinta líquida negra.
Color: Negro.
Presentación: Empaque grupal
</t>
    </r>
    <r>
      <rPr>
        <b/>
        <sz val="16"/>
        <color rgb="FFFF0000"/>
        <rFont val="Arial"/>
        <family val="2"/>
      </rPr>
      <t>*Incluye logo a 1 color a 1 lado en mug, libreta, lapicero y tapa de caja.
*Arte o diseño facilirado por cliente.</t>
    </r>
  </si>
  <si>
    <t>COTIZACIÓN PROPUESTA_AUNA-ONCOSALUD_25.05.26</t>
  </si>
  <si>
    <t>SET EJECUTIVO 5</t>
  </si>
  <si>
    <t>SET EJECUTIVO ECOLOGICO</t>
  </si>
  <si>
    <r>
      <rPr>
        <b/>
        <u/>
        <sz val="16"/>
        <color rgb="FF000000"/>
        <rFont val="Arial"/>
        <family val="2"/>
      </rPr>
      <t xml:space="preserve">SET EJECUTIVO 5
</t>
    </r>
    <r>
      <rPr>
        <sz val="16"/>
        <color rgb="FF000000"/>
        <rFont val="Arial"/>
        <family val="2"/>
      </rPr>
      <t xml:space="preserve">Incluye: caja nate+ Libreta A5 90 hojas rayadas + Tomatodo termico de 500 ml + lapicero metálico tinta azul.
Medidas de la caja: 30.5 cm x 28.5 cm x 8 cm de alto.
Color: Negro.
Presentación: Empaque grupal
</t>
    </r>
    <r>
      <rPr>
        <b/>
        <sz val="16"/>
        <color rgb="FFFF0000"/>
        <rFont val="Arial"/>
        <family val="2"/>
      </rPr>
      <t>*Incluye logo a 1 color a 1 lado en mug, libreta, lapicero y tapa de caja.
*Arte o diseño facilirado por cliente.</t>
    </r>
  </si>
  <si>
    <r>
      <rPr>
        <b/>
        <u/>
        <sz val="16"/>
        <color rgb="FF000000"/>
        <rFont val="Arial"/>
        <family val="2"/>
      </rPr>
      <t xml:space="preserve">SET EJECUTIVO ECOLOGICO
</t>
    </r>
    <r>
      <rPr>
        <sz val="16"/>
        <color rgb="FF000000"/>
        <rFont val="Arial"/>
        <family val="2"/>
      </rPr>
      <t xml:space="preserve">Medida de libreta: 14.5 cm x 21 cm A5
80 hojas rayadas
Tapas de Bambu
Lapicero bambu, retractil.
Caja de carton eco.
Color: Natural.
Presentación: Empaque grupal
</t>
    </r>
    <r>
      <rPr>
        <b/>
        <sz val="16"/>
        <color rgb="FFFF0000"/>
        <rFont val="Arial"/>
        <family val="2"/>
      </rPr>
      <t>*Incluye logo a 1 color a 1 lado en libreta, lapicero y tapa de caja.
*Arte o diseño facilirado por cliente.</t>
    </r>
  </si>
  <si>
    <r>
      <t xml:space="preserve">BOLSA NOTEX- </t>
    </r>
    <r>
      <rPr>
        <b/>
        <sz val="18"/>
        <color rgb="FFFF0000"/>
        <rFont val="Arial"/>
        <family val="2"/>
      </rPr>
      <t>Fabricacion nacional</t>
    </r>
  </si>
  <si>
    <r>
      <rPr>
        <b/>
        <u/>
        <sz val="16"/>
        <color rgb="FF000000"/>
        <rFont val="Arial"/>
        <family val="2"/>
      </rPr>
      <t xml:space="preserve">BOLSA NOTEX- </t>
    </r>
    <r>
      <rPr>
        <b/>
        <u/>
        <sz val="16"/>
        <color rgb="FFFF0000"/>
        <rFont val="Arial"/>
        <family val="2"/>
      </rPr>
      <t>Fabricacion nacional</t>
    </r>
    <r>
      <rPr>
        <b/>
        <u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notex de 80 grs
Medidas: 34 x 30 cm 
Modelo: con asas para hombro, cuerpo y asa termo selladas, plano sin fuelle
Color: A elegir.
Presentación: Empaque grupal
</t>
    </r>
    <r>
      <rPr>
        <b/>
        <sz val="16"/>
        <color rgb="FFFF0000"/>
        <rFont val="Arial"/>
        <family val="2"/>
      </rPr>
      <t>*Incluye logo a 1 color a 1 lado
*Arte o diseño facilirado por cliente.</t>
    </r>
  </si>
  <si>
    <t>LLAVERO POLIESTER</t>
  </si>
  <si>
    <t>6 a 7 días utiles</t>
  </si>
  <si>
    <r>
      <rPr>
        <b/>
        <u/>
        <sz val="16"/>
        <color rgb="FF000000"/>
        <rFont val="Arial"/>
        <family val="2"/>
      </rPr>
      <t xml:space="preserve">LLAVERO POLIESTER
</t>
    </r>
    <r>
      <rPr>
        <sz val="16"/>
        <color rgb="FF000000"/>
        <rFont val="Arial"/>
        <family val="2"/>
      </rPr>
      <t xml:space="preserve">Material:SOFT POLIESTER 
Ancho: 2 cm x 14 cm , Espesor: 0,8 mm
Acabado Costura - Aro metálico
</t>
    </r>
    <r>
      <rPr>
        <b/>
        <sz val="16"/>
        <color rgb="FF000000"/>
        <rFont val="Arial"/>
        <family val="2"/>
      </rPr>
      <t xml:space="preserve">Impresión FULL COLOR AMBOS LADOS.
</t>
    </r>
    <r>
      <rPr>
        <sz val="16"/>
        <color rgb="FF000000"/>
        <rFont val="Arial"/>
        <family val="2"/>
      </rPr>
      <t xml:space="preserve">Presentación: Caja grupal de 50 und
</t>
    </r>
    <r>
      <rPr>
        <b/>
        <sz val="16"/>
        <color rgb="FFFF0000"/>
        <rFont val="Arial"/>
        <family val="2"/>
      </rPr>
      <t>*Diseño o arte facilitado por el cliente</t>
    </r>
  </si>
  <si>
    <t>DIAXI</t>
  </si>
  <si>
    <t>S/1 +IGV</t>
  </si>
  <si>
    <t>Ya incluye</t>
  </si>
  <si>
    <t>Imagen referencial</t>
  </si>
  <si>
    <t>CHIPER</t>
  </si>
  <si>
    <t>1000 a S/.250
Incluye IGV</t>
  </si>
  <si>
    <t>UV EDGAR</t>
  </si>
  <si>
    <t>c</t>
  </si>
  <si>
    <t>NOTEBOOK A5</t>
  </si>
  <si>
    <t xml:space="preserve">                                            EYF 
/
PUBLITRADE</t>
  </si>
  <si>
    <t xml:space="preserve">
M-0915
S/6 
/
M0915
S/5,70 incluye IGV
NO TIENE STOCK</t>
  </si>
  <si>
    <t>UV impresionees</t>
  </si>
  <si>
    <t>SUBTOTAL SIN IGV</t>
  </si>
  <si>
    <r>
      <rPr>
        <b/>
        <u/>
        <sz val="16"/>
        <color rgb="FF000000"/>
        <rFont val="Arial"/>
        <family val="2"/>
      </rPr>
      <t xml:space="preserve">NOTEBOOK A5-
</t>
    </r>
    <r>
      <rPr>
        <sz val="16"/>
        <color rgb="FF000000"/>
        <rFont val="Arial"/>
        <family val="2"/>
      </rPr>
      <t xml:space="preserve">Medidas: 14 x 21cm 
Descripción: Libreta cubierta de poliuretano de  80 hojas de papel crema con línea, banda elástica, marcador de cinta. 
Color: Blanco, azul o negro
Presentación: Caja grupal, no bolsa individual
</t>
    </r>
    <r>
      <rPr>
        <b/>
        <sz val="16"/>
        <color rgb="FFFF0000"/>
        <rFont val="Arial"/>
        <family val="2"/>
      </rPr>
      <t>*Incluye 1 logo a full color a un lado
*Diseño o arte facilitado por el cliente</t>
    </r>
  </si>
  <si>
    <t>LAPICERO ECOLOGICO</t>
  </si>
  <si>
    <t>COCH-3115F</t>
  </si>
  <si>
    <r>
      <rPr>
        <b/>
        <u/>
        <sz val="16"/>
        <rFont val="Arial"/>
        <family val="2"/>
      </rPr>
      <t>LAPICERO ECOLOGICO</t>
    </r>
    <r>
      <rPr>
        <sz val="16"/>
        <rFont val="Arial"/>
        <family val="2"/>
      </rPr>
      <t xml:space="preserve">
Modelos: Ecologico, retractil.
Material: Fibra de trigo.
Colores: Natural
Presentacion: Caja grupal, no bolsa individual
</t>
    </r>
    <r>
      <rPr>
        <b/>
        <sz val="16"/>
        <color rgb="FFFF0000"/>
        <rFont val="Arial"/>
        <family val="2"/>
      </rPr>
      <t>*Incluye logo a full color a 1 lado.
*Diseño o logo debe ser facilitado por el cliente</t>
    </r>
  </si>
  <si>
    <t>MINI LAMPARA USB</t>
  </si>
  <si>
    <t>CHIPPER</t>
  </si>
  <si>
    <t>UV EDGAR
PUBLISHARON</t>
  </si>
  <si>
    <r>
      <rPr>
        <b/>
        <u/>
        <sz val="16"/>
        <color rgb="FF000000"/>
        <rFont val="Arial"/>
        <family val="2"/>
      </rPr>
      <t xml:space="preserve">MINI LAMPARA USB
</t>
    </r>
    <r>
      <rPr>
        <sz val="16"/>
        <color rgb="FF000000"/>
        <rFont val="Arial"/>
        <family val="2"/>
      </rPr>
      <t xml:space="preserve">Medida: largo 16.7 cm
Uso para laptop 
Color: Blanco, negro y azul
Presentación: Caja grupal de 50 und
</t>
    </r>
    <r>
      <rPr>
        <b/>
        <sz val="16"/>
        <color rgb="FFFF0000"/>
        <rFont val="Arial"/>
        <family val="2"/>
      </rPr>
      <t>*Incluye logo a 1 color o full color a 1 lado.
*Diseño o arte facilitado por el cliente</t>
    </r>
  </si>
  <si>
    <t>COTIZACIÓN PROPUESTA_AUNA-ONCOSALUD_04.06.26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</si>
</sst>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S/.&quot;\ #,##0.00"/>
    <numFmt numFmtId="165" formatCode="&quot;S/&quot;\ #,##0.00"/>
    <numFmt numFmtId="166" formatCode="[$S/.-280A]\ #,##0.00"/>
    <numFmt numFmtId="167" formatCode="_-[$$-409]* #,##0.00_ ;_-[$$-409]* \-#,##0.00\ ;_-[$$-409]* &quot;-&quot;??_ ;_-@_ "/>
    <numFmt numFmtId="168" formatCode="_ [$S/.-280A]\ * #,##0.00_ ;_ [$S/.-280A]\ * \-#,##0.00_ ;_ [$S/.-280A]\ * \-??_ ;_ @_ "/>
    <numFmt numFmtId="169" formatCode="_(* #,##0_);_(* \(#,##0\);_(* &quot;-&quot;??_);_(@_)"/>
    <numFmt numFmtId="170" formatCode="&quot;S/.&quot;\ #,##0.000"/>
  </numFmts>
  <fonts count="4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theme="0"/>
      <name val="Arial"/>
      <family val="2"/>
    </font>
    <font>
      <sz val="11"/>
      <color indexed="8"/>
      <name val="Arial"/>
      <family val="2"/>
    </font>
    <font>
      <sz val="16"/>
      <name val="Arial"/>
      <family val="2"/>
    </font>
    <font>
      <b/>
      <sz val="14"/>
      <color indexed="8"/>
      <name val="Arial"/>
      <family val="2"/>
    </font>
    <font>
      <b/>
      <sz val="18"/>
      <name val="Arial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sz val="16"/>
      <color rgb="FFFF0000"/>
      <name val="Arial"/>
      <family val="2"/>
    </font>
    <font>
      <b/>
      <sz val="16"/>
      <color rgb="FFFF0000"/>
      <name val="Arial"/>
      <family val="2"/>
    </font>
    <font>
      <sz val="11"/>
      <color indexed="52"/>
      <name val="Tahoma"/>
      <family val="2"/>
      <charset val="1"/>
    </font>
    <font>
      <b/>
      <sz val="16"/>
      <color indexed="9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Arial"/>
      <family val="2"/>
    </font>
    <font>
      <sz val="18"/>
      <name val="Arial"/>
      <family val="2"/>
    </font>
    <font>
      <sz val="8"/>
      <name val="Calibri"/>
      <family val="2"/>
    </font>
    <font>
      <sz val="10"/>
      <color indexed="8"/>
      <name val="Arial"/>
      <family val="2"/>
    </font>
    <font>
      <sz val="18"/>
      <color indexed="8"/>
      <name val="Arial"/>
      <family val="2"/>
    </font>
    <font>
      <sz val="11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6"/>
      <color rgb="FFFF000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b/>
      <u/>
      <sz val="16"/>
      <name val="Arial"/>
      <family val="2"/>
    </font>
    <font>
      <b/>
      <sz val="14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13"/>
      </patternFill>
    </fill>
    <fill>
      <patternFill patternType="solid">
        <fgColor rgb="FFFFFF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2">
    <xf numFmtId="0" fontId="0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0" fontId="6" fillId="0" borderId="0"/>
    <xf numFmtId="168" fontId="5" fillId="0" borderId="0"/>
    <xf numFmtId="0" fontId="4" fillId="0" borderId="0"/>
    <xf numFmtId="0" fontId="23" fillId="0" borderId="2" applyProtection="0">
      <alignment vertical="center"/>
    </xf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104">
    <xf numFmtId="0" fontId="0" fillId="0" borderId="0" xfId="0"/>
    <xf numFmtId="0" fontId="15" fillId="0" borderId="0" xfId="0" applyFont="1"/>
    <xf numFmtId="0" fontId="7" fillId="0" borderId="0" xfId="5" applyFont="1"/>
    <xf numFmtId="166" fontId="9" fillId="14" borderId="1" xfId="3" applyNumberFormat="1" applyFont="1" applyFill="1" applyBorder="1" applyAlignment="1">
      <alignment horizontal="center" vertical="center"/>
    </xf>
    <xf numFmtId="164" fontId="12" fillId="14" borderId="1" xfId="3" applyNumberFormat="1" applyFont="1" applyFill="1" applyBorder="1" applyAlignment="1">
      <alignment horizontal="center" vertical="center"/>
    </xf>
    <xf numFmtId="164" fontId="13" fillId="14" borderId="1" xfId="3" applyNumberFormat="1" applyFont="1" applyFill="1" applyBorder="1" applyAlignment="1">
      <alignment horizontal="center" vertical="center"/>
    </xf>
    <xf numFmtId="0" fontId="10" fillId="13" borderId="1" xfId="3" applyFont="1" applyFill="1" applyBorder="1" applyAlignment="1">
      <alignment horizontal="center" vertical="center"/>
    </xf>
    <xf numFmtId="164" fontId="9" fillId="14" borderId="1" xfId="3" applyNumberFormat="1" applyFont="1" applyFill="1" applyBorder="1" applyAlignment="1">
      <alignment horizontal="center" vertical="center"/>
    </xf>
    <xf numFmtId="164" fontId="22" fillId="2" borderId="1" xfId="3" applyNumberFormat="1" applyFont="1" applyFill="1" applyBorder="1" applyAlignment="1">
      <alignment horizontal="center" vertical="center"/>
    </xf>
    <xf numFmtId="164" fontId="9" fillId="4" borderId="1" xfId="3" applyNumberFormat="1" applyFont="1" applyFill="1" applyBorder="1" applyAlignment="1">
      <alignment horizontal="center" vertical="center"/>
    </xf>
    <xf numFmtId="164" fontId="9" fillId="0" borderId="1" xfId="3" applyNumberFormat="1" applyFont="1" applyBorder="1" applyAlignment="1">
      <alignment horizontal="center" vertical="center"/>
    </xf>
    <xf numFmtId="164" fontId="14" fillId="7" borderId="1" xfId="3" applyNumberFormat="1" applyFont="1" applyFill="1" applyBorder="1" applyAlignment="1">
      <alignment horizontal="center" vertical="center"/>
    </xf>
    <xf numFmtId="166" fontId="22" fillId="2" borderId="1" xfId="3" applyNumberFormat="1" applyFont="1" applyFill="1" applyBorder="1" applyAlignment="1">
      <alignment horizontal="center" vertical="center"/>
    </xf>
    <xf numFmtId="164" fontId="26" fillId="2" borderId="1" xfId="3" applyNumberFormat="1" applyFont="1" applyFill="1" applyBorder="1" applyAlignment="1">
      <alignment horizontal="center" vertical="center" wrapText="1"/>
    </xf>
    <xf numFmtId="0" fontId="17" fillId="9" borderId="1" xfId="1" applyFont="1" applyFill="1" applyBorder="1" applyAlignment="1">
      <alignment horizontal="center" vertical="center" wrapText="1"/>
    </xf>
    <xf numFmtId="0" fontId="17" fillId="9" borderId="1" xfId="6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/>
    </xf>
    <xf numFmtId="164" fontId="9" fillId="3" borderId="1" xfId="3" applyNumberFormat="1" applyFont="1" applyFill="1" applyBorder="1" applyAlignment="1">
      <alignment horizontal="center" vertical="center"/>
    </xf>
    <xf numFmtId="164" fontId="9" fillId="2" borderId="1" xfId="3" applyNumberFormat="1" applyFont="1" applyFill="1" applyBorder="1" applyAlignment="1">
      <alignment horizontal="center" vertical="center"/>
    </xf>
    <xf numFmtId="0" fontId="8" fillId="15" borderId="0" xfId="3" applyFont="1" applyFill="1" applyAlignment="1">
      <alignment horizontal="center" vertical="center"/>
    </xf>
    <xf numFmtId="0" fontId="17" fillId="16" borderId="0" xfId="6" applyFont="1" applyFill="1" applyAlignment="1">
      <alignment horizontal="center" vertical="center" wrapText="1"/>
    </xf>
    <xf numFmtId="0" fontId="16" fillId="8" borderId="0" xfId="1" applyFont="1" applyFill="1" applyAlignment="1">
      <alignment vertical="center"/>
    </xf>
    <xf numFmtId="0" fontId="10" fillId="9" borderId="5" xfId="3" applyFont="1" applyFill="1" applyBorder="1" applyAlignment="1">
      <alignment horizontal="center" vertical="center" wrapText="1"/>
    </xf>
    <xf numFmtId="0" fontId="24" fillId="10" borderId="5" xfId="3" applyFont="1" applyFill="1" applyBorder="1" applyAlignment="1">
      <alignment horizontal="center" vertical="center" wrapText="1"/>
    </xf>
    <xf numFmtId="0" fontId="10" fillId="11" borderId="5" xfId="3" applyFont="1" applyFill="1" applyBorder="1" applyAlignment="1">
      <alignment horizontal="center" vertical="center" wrapText="1"/>
    </xf>
    <xf numFmtId="0" fontId="24" fillId="12" borderId="5" xfId="3" applyFont="1" applyFill="1" applyBorder="1" applyAlignment="1">
      <alignment horizontal="center" vertical="center" wrapText="1"/>
    </xf>
    <xf numFmtId="9" fontId="24" fillId="12" borderId="5" xfId="3" applyNumberFormat="1" applyFont="1" applyFill="1" applyBorder="1" applyAlignment="1">
      <alignment horizontal="center" vertical="center"/>
    </xf>
    <xf numFmtId="0" fontId="29" fillId="0" borderId="6" xfId="0" applyFont="1" applyBorder="1"/>
    <xf numFmtId="0" fontId="26" fillId="0" borderId="1" xfId="29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6" fontId="9" fillId="2" borderId="1" xfId="3" applyNumberFormat="1" applyFont="1" applyFill="1" applyBorder="1" applyAlignment="1">
      <alignment horizontal="center" vertical="center"/>
    </xf>
    <xf numFmtId="164" fontId="16" fillId="6" borderId="1" xfId="3" applyNumberFormat="1" applyFont="1" applyFill="1" applyBorder="1" applyAlignment="1">
      <alignment horizontal="center" vertical="center"/>
    </xf>
    <xf numFmtId="166" fontId="9" fillId="2" borderId="1" xfId="29" applyNumberFormat="1" applyFont="1" applyFill="1" applyBorder="1" applyAlignment="1">
      <alignment horizontal="center" vertical="center"/>
    </xf>
    <xf numFmtId="0" fontId="29" fillId="0" borderId="0" xfId="0" applyFont="1"/>
    <xf numFmtId="164" fontId="16" fillId="2" borderId="1" xfId="3" applyNumberFormat="1" applyFont="1" applyFill="1" applyBorder="1" applyAlignment="1">
      <alignment horizontal="center" vertical="center" wrapText="1"/>
    </xf>
    <xf numFmtId="0" fontId="15" fillId="0" borderId="0" xfId="5" applyFont="1" applyAlignment="1">
      <alignment vertical="center"/>
    </xf>
    <xf numFmtId="0" fontId="21" fillId="8" borderId="0" xfId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6" fillId="8" borderId="0" xfId="1" applyFont="1" applyFill="1" applyAlignment="1">
      <alignment horizontal="center" vertical="center" wrapText="1"/>
    </xf>
    <xf numFmtId="0" fontId="11" fillId="0" borderId="0" xfId="5" applyFont="1" applyAlignment="1">
      <alignment vertical="center"/>
    </xf>
    <xf numFmtId="0" fontId="15" fillId="0" borderId="0" xfId="0" applyFont="1" applyAlignment="1">
      <alignment vertical="center"/>
    </xf>
    <xf numFmtId="165" fontId="27" fillId="8" borderId="0" xfId="3" applyNumberFormat="1" applyFont="1" applyFill="1" applyAlignment="1">
      <alignment horizontal="center" vertical="center" wrapText="1"/>
    </xf>
    <xf numFmtId="165" fontId="30" fillId="0" borderId="0" xfId="5" applyNumberFormat="1" applyFont="1" applyAlignment="1">
      <alignment horizontal="center" vertical="center"/>
    </xf>
    <xf numFmtId="165" fontId="16" fillId="0" borderId="0" xfId="8" applyNumberFormat="1" applyFont="1" applyAlignment="1">
      <alignment horizontal="center" vertical="center"/>
    </xf>
    <xf numFmtId="49" fontId="10" fillId="5" borderId="1" xfId="3" applyNumberFormat="1" applyFont="1" applyFill="1" applyBorder="1" applyAlignment="1">
      <alignment horizontal="center" vertical="center" wrapText="1"/>
    </xf>
    <xf numFmtId="0" fontId="27" fillId="2" borderId="1" xfId="3" applyFont="1" applyFill="1" applyBorder="1" applyAlignment="1">
      <alignment horizontal="center" vertical="center" wrapText="1"/>
    </xf>
    <xf numFmtId="0" fontId="31" fillId="0" borderId="1" xfId="5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9" fontId="9" fillId="0" borderId="0" xfId="30" applyFont="1" applyAlignment="1">
      <alignment horizontal="center" vertical="center"/>
    </xf>
    <xf numFmtId="164" fontId="18" fillId="0" borderId="3" xfId="3" applyNumberFormat="1" applyFont="1" applyBorder="1" applyAlignment="1">
      <alignment horizontal="center" vertical="center"/>
    </xf>
    <xf numFmtId="0" fontId="16" fillId="0" borderId="4" xfId="3" applyFont="1" applyBorder="1" applyAlignment="1">
      <alignment vertical="center" wrapText="1"/>
    </xf>
    <xf numFmtId="0" fontId="34" fillId="2" borderId="0" xfId="0" applyFont="1" applyFill="1"/>
    <xf numFmtId="0" fontId="27" fillId="2" borderId="7" xfId="3" applyFont="1" applyFill="1" applyBorder="1" applyAlignment="1">
      <alignment horizontal="center" vertical="center" wrapText="1"/>
    </xf>
    <xf numFmtId="0" fontId="21" fillId="0" borderId="7" xfId="5" applyFont="1" applyBorder="1" applyAlignment="1">
      <alignment horizontal="center"/>
    </xf>
    <xf numFmtId="0" fontId="18" fillId="2" borderId="7" xfId="3" applyFont="1" applyFill="1" applyBorder="1" applyAlignment="1">
      <alignment horizontal="center" vertical="center" wrapText="1"/>
    </xf>
    <xf numFmtId="0" fontId="10" fillId="2" borderId="8" xfId="3" applyFont="1" applyFill="1" applyBorder="1" applyAlignment="1">
      <alignment vertical="center" wrapText="1"/>
    </xf>
    <xf numFmtId="164" fontId="26" fillId="2" borderId="7" xfId="3" applyNumberFormat="1" applyFont="1" applyFill="1" applyBorder="1" applyAlignment="1">
      <alignment horizontal="center" vertical="center" wrapText="1"/>
    </xf>
    <xf numFmtId="165" fontId="34" fillId="0" borderId="0" xfId="0" applyNumberFormat="1" applyFont="1" applyAlignment="1">
      <alignment horizontal="center" vertical="center"/>
    </xf>
    <xf numFmtId="49" fontId="11" fillId="2" borderId="1" xfId="3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166" fontId="11" fillId="2" borderId="1" xfId="3" applyNumberFormat="1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166" fontId="11" fillId="17" borderId="1" xfId="3" applyNumberFormat="1" applyFont="1" applyFill="1" applyBorder="1" applyAlignment="1">
      <alignment horizontal="center" vertical="center"/>
    </xf>
    <xf numFmtId="164" fontId="8" fillId="17" borderId="1" xfId="3" applyNumberFormat="1" applyFont="1" applyFill="1" applyBorder="1" applyAlignment="1">
      <alignment horizontal="center" vertical="center"/>
    </xf>
    <xf numFmtId="164" fontId="11" fillId="17" borderId="1" xfId="3" applyNumberFormat="1" applyFont="1" applyFill="1" applyBorder="1" applyAlignment="1">
      <alignment horizontal="center" vertical="center"/>
    </xf>
    <xf numFmtId="164" fontId="22" fillId="2" borderId="1" xfId="3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18" borderId="1" xfId="3" applyFont="1" applyFill="1" applyBorder="1" applyAlignment="1">
      <alignment horizontal="center" vertical="center"/>
    </xf>
    <xf numFmtId="164" fontId="11" fillId="19" borderId="1" xfId="3" applyNumberFormat="1" applyFont="1" applyFill="1" applyBorder="1" applyAlignment="1">
      <alignment horizontal="center" vertical="center"/>
    </xf>
    <xf numFmtId="164" fontId="11" fillId="2" borderId="1" xfId="3" applyNumberFormat="1" applyFont="1" applyFill="1" applyBorder="1" applyAlignment="1">
      <alignment horizontal="center" vertical="center"/>
    </xf>
    <xf numFmtId="164" fontId="10" fillId="7" borderId="1" xfId="3" applyNumberFormat="1" applyFont="1" applyFill="1" applyBorder="1" applyAlignment="1">
      <alignment horizontal="center" vertical="center"/>
    </xf>
    <xf numFmtId="166" fontId="11" fillId="19" borderId="1" xfId="19" applyNumberFormat="1" applyFont="1" applyFill="1" applyBorder="1" applyAlignment="1">
      <alignment horizontal="center" vertical="center"/>
    </xf>
    <xf numFmtId="166" fontId="8" fillId="19" borderId="1" xfId="3" applyNumberFormat="1" applyFont="1" applyFill="1" applyBorder="1" applyAlignment="1">
      <alignment horizontal="center" vertical="center"/>
    </xf>
    <xf numFmtId="0" fontId="34" fillId="0" borderId="0" xfId="0" applyFont="1"/>
    <xf numFmtId="0" fontId="34" fillId="20" borderId="0" xfId="0" applyFont="1" applyFill="1"/>
    <xf numFmtId="0" fontId="37" fillId="0" borderId="0" xfId="0" applyFont="1"/>
    <xf numFmtId="0" fontId="16" fillId="2" borderId="1" xfId="3" applyFont="1" applyFill="1" applyBorder="1" applyAlignment="1">
      <alignment horizontal="center" vertical="center"/>
    </xf>
    <xf numFmtId="169" fontId="10" fillId="0" borderId="1" xfId="22" applyNumberFormat="1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9" fontId="35" fillId="0" borderId="0" xfId="30" applyFont="1" applyFill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170" fontId="14" fillId="7" borderId="1" xfId="3" applyNumberFormat="1" applyFont="1" applyFill="1" applyBorder="1" applyAlignment="1">
      <alignment horizontal="center" vertical="center"/>
    </xf>
    <xf numFmtId="0" fontId="26" fillId="2" borderId="1" xfId="10" applyFont="1" applyFill="1" applyBorder="1" applyAlignment="1">
      <alignment horizontal="center" vertical="center"/>
    </xf>
    <xf numFmtId="164" fontId="18" fillId="0" borderId="1" xfId="3" applyNumberFormat="1" applyFont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left" vertical="center" wrapText="1"/>
    </xf>
    <xf numFmtId="165" fontId="9" fillId="0" borderId="0" xfId="0" applyNumberFormat="1" applyFont="1" applyAlignment="1">
      <alignment horizontal="center" vertical="center" wrapText="1"/>
    </xf>
    <xf numFmtId="49" fontId="9" fillId="2" borderId="1" xfId="3" applyNumberFormat="1" applyFont="1" applyFill="1" applyBorder="1" applyAlignment="1">
      <alignment horizontal="center" vertical="center" wrapText="1"/>
    </xf>
    <xf numFmtId="165" fontId="9" fillId="2" borderId="1" xfId="3" applyNumberFormat="1" applyFont="1" applyFill="1" applyBorder="1" applyAlignment="1">
      <alignment horizontal="center" vertical="center"/>
    </xf>
    <xf numFmtId="166" fontId="9" fillId="2" borderId="1" xfId="4" applyNumberFormat="1" applyFont="1" applyFill="1" applyBorder="1" applyAlignment="1">
      <alignment horizontal="center" vertical="center"/>
    </xf>
    <xf numFmtId="164" fontId="18" fillId="0" borderId="1" xfId="28" applyNumberFormat="1" applyFont="1" applyBorder="1" applyAlignment="1">
      <alignment horizontal="center" vertical="center" wrapText="1"/>
    </xf>
    <xf numFmtId="9" fontId="0" fillId="0" borderId="0" xfId="30" applyFont="1"/>
    <xf numFmtId="0" fontId="8" fillId="0" borderId="1" xfId="3" applyFont="1" applyBorder="1" applyAlignment="1">
      <alignment horizontal="center" vertical="center"/>
    </xf>
    <xf numFmtId="0" fontId="26" fillId="2" borderId="1" xfId="28" applyFont="1" applyFill="1" applyBorder="1" applyAlignment="1">
      <alignment horizontal="center" vertical="center" wrapText="1"/>
    </xf>
    <xf numFmtId="0" fontId="35" fillId="2" borderId="7" xfId="0" applyFont="1" applyFill="1" applyBorder="1" applyAlignment="1">
      <alignment horizontal="center" vertical="center" wrapText="1"/>
    </xf>
    <xf numFmtId="169" fontId="10" fillId="2" borderId="1" xfId="16" applyNumberFormat="1" applyFont="1" applyFill="1" applyBorder="1" applyAlignment="1">
      <alignment horizontal="center" vertical="center" wrapText="1"/>
    </xf>
    <xf numFmtId="0" fontId="39" fillId="0" borderId="1" xfId="5" applyFont="1" applyBorder="1" applyAlignment="1">
      <alignment horizontal="center"/>
    </xf>
    <xf numFmtId="0" fontId="39" fillId="0" borderId="7" xfId="5" applyFont="1" applyBorder="1" applyAlignment="1">
      <alignment horizontal="center"/>
    </xf>
    <xf numFmtId="0" fontId="39" fillId="0" borderId="1" xfId="8" applyFont="1" applyBorder="1" applyAlignment="1">
      <alignment horizontal="center" wrapText="1"/>
    </xf>
    <xf numFmtId="170" fontId="18" fillId="0" borderId="3" xfId="3" applyNumberFormat="1" applyFont="1" applyBorder="1" applyAlignment="1">
      <alignment horizontal="center" vertical="center"/>
    </xf>
  </cellXfs>
  <cellStyles count="32">
    <cellStyle name="Excel Built-in Explanatory Text" xfId="11" xr:uid="{C557A911-434D-439C-BA65-0C7F9742AB80}"/>
    <cellStyle name="Hipervínculo 4" xfId="14" xr:uid="{B2F54D7B-0DC4-484A-BF5F-48E721DC2837}"/>
    <cellStyle name="Millares 2 2 10 2" xfId="31" xr:uid="{98381D02-3C6B-4AB4-854E-8DBD21FE2D5E}"/>
    <cellStyle name="Millares 2 2 3 2 2 2 2 2 2 2" xfId="7" xr:uid="{4BADC889-BED2-4CE9-87B4-0ED1DE474BFF}"/>
    <cellStyle name="Millares 2 2 3 2 2 2 2 2 2 2 2" xfId="12" xr:uid="{0C9AEC02-6924-4CDA-94C7-8B76822CF3A9}"/>
    <cellStyle name="Millares 2 2 3 2 2 2 2 2 2 2 2 2" xfId="22" xr:uid="{EE79FF89-EB7B-4405-A783-5688F33D61B9}"/>
    <cellStyle name="Millares 2 2 3 2 2 2 2 2 3" xfId="16" xr:uid="{84F7A2E8-0E01-43D2-B2E4-69BCABCE880F}"/>
    <cellStyle name="Millares 2 2 3 2 2 2 2 2 3 2" xfId="21" xr:uid="{E41DA63D-6F47-42CA-9E87-7A8BF67BF9A2}"/>
    <cellStyle name="Millares 2 2 3 4 2 2 2 2 2" xfId="13" xr:uid="{67563EF9-1849-4E04-8CA2-2494C74BA7FC}"/>
    <cellStyle name="Normal" xfId="0" builtinId="0"/>
    <cellStyle name="Normal 10 2" xfId="8" xr:uid="{7055EB28-9A13-43EE-A3D1-0C91DC8678F0}"/>
    <cellStyle name="Normal 10 3 3" xfId="23" xr:uid="{1344072F-5E1B-489D-8211-8D5173E647E0}"/>
    <cellStyle name="Normal 16" xfId="9" xr:uid="{C83A4A7E-8743-45B3-9000-6C9F5672D590}"/>
    <cellStyle name="Normal 2 2" xfId="3" xr:uid="{83F7C47C-6AD6-4BB7-B0C1-1EFA0A51BBFF}"/>
    <cellStyle name="Normal 2 2 6 2" xfId="5" xr:uid="{CEE0E8F3-0EE1-430B-BF2C-7D77023D326E}"/>
    <cellStyle name="Normal 2 3" xfId="25" xr:uid="{69D93821-32F2-46CE-9AC1-7066D9D0D840}"/>
    <cellStyle name="Normal 2 3 2" xfId="17" xr:uid="{236CBCBD-551D-4094-83A7-3A9BB81EF323}"/>
    <cellStyle name="Normal 2 3 2 2" xfId="20" xr:uid="{16CE7B8F-4810-4B9E-968D-E2494FA5ECB8}"/>
    <cellStyle name="Normal 2 3 2 2 4" xfId="28" xr:uid="{DE1669E8-1300-4312-9537-070DD65544E6}"/>
    <cellStyle name="Normal 2 3 2 2 4 3" xfId="10" xr:uid="{5B1AAB26-E6AF-4D57-B47F-EE16C5068071}"/>
    <cellStyle name="Normal 3 2 2 2 2 2 2" xfId="24" xr:uid="{888352E7-0BB8-4062-B728-A9161464F0C1}"/>
    <cellStyle name="Normal 3 3 2" xfId="26" xr:uid="{21A677BE-1EB3-4A12-A48C-E19344ABB283}"/>
    <cellStyle name="Normal 3 3 2 5" xfId="29" xr:uid="{9B40DF04-8C46-43F6-8A55-43D14119B5A1}"/>
    <cellStyle name="Normal 3 3 2 5 2" xfId="15" xr:uid="{D054DE68-204A-4DA6-982E-79B82A92821F}"/>
    <cellStyle name="Normal 3 3 2 5 3" xfId="2" xr:uid="{86A46C45-5C0C-4EC0-93A6-2B7D1CF3CFCD}"/>
    <cellStyle name="Normal 3 4" xfId="27" xr:uid="{F32E1129-9894-4ACD-8922-74153BD3A6A6}"/>
    <cellStyle name="Normal 3 4 2" xfId="19" xr:uid="{9DF3E3AD-4209-4537-9A8E-C49FA3B22383}"/>
    <cellStyle name="Normal 3 4 2 2" xfId="6" xr:uid="{1C65A732-C0C0-4236-85CF-6ACD50ACF755}"/>
    <cellStyle name="Normal 3 4 2 3" xfId="18" xr:uid="{20713DCE-EC4A-45BB-8F1A-8A3A9B69C699}"/>
    <cellStyle name="Normal 3 4 2 4 2" xfId="4" xr:uid="{BB8F377C-C08D-4434-885A-D688E8E39975}"/>
    <cellStyle name="Normal 4 2" xfId="1" xr:uid="{AAFBC09C-E001-4B61-93FC-445AEB1DCE46}"/>
    <cellStyle name="Porcentaje" xfId="3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18</xdr:row>
      <xdr:rowOff>285750</xdr:rowOff>
    </xdr:from>
    <xdr:to>
      <xdr:col>4</xdr:col>
      <xdr:colOff>2381250</xdr:colOff>
      <xdr:row>18</xdr:row>
      <xdr:rowOff>2333625</xdr:rowOff>
    </xdr:to>
    <xdr:pic>
      <xdr:nvPicPr>
        <xdr:cNvPr id="31" name="Picture 5">
          <a:extLst>
            <a:ext uri="{FF2B5EF4-FFF2-40B4-BE49-F238E27FC236}">
              <a16:creationId xmlns:a16="http://schemas.microsoft.com/office/drawing/2014/main" id="{F645D24D-5A6E-465F-AF90-736CE9FDFBA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0" y="1476375"/>
          <a:ext cx="2047875" cy="204787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14</xdr:row>
      <xdr:rowOff>698500</xdr:rowOff>
    </xdr:from>
    <xdr:to>
      <xdr:col>4</xdr:col>
      <xdr:colOff>2362426</xdr:colOff>
      <xdr:row>14</xdr:row>
      <xdr:rowOff>2619375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CC73DCB-F810-892D-BD6C-5158504FD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0" y="4651375"/>
          <a:ext cx="2124301" cy="192087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13</xdr:row>
      <xdr:rowOff>222250</xdr:rowOff>
    </xdr:from>
    <xdr:to>
      <xdr:col>4</xdr:col>
      <xdr:colOff>2301875</xdr:colOff>
      <xdr:row>13</xdr:row>
      <xdr:rowOff>2415804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CF813F9-6A04-4E40-92E3-1E22E950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4625" y="1412875"/>
          <a:ext cx="1984375" cy="2193554"/>
        </a:xfrm>
        <a:prstGeom prst="rect">
          <a:avLst/>
        </a:prstGeom>
      </xdr:spPr>
    </xdr:pic>
    <xdr:clientData/>
  </xdr:twoCellAnchor>
  <xdr:oneCellAnchor>
    <xdr:from>
      <xdr:col>4</xdr:col>
      <xdr:colOff>571501</xdr:colOff>
      <xdr:row>3</xdr:row>
      <xdr:rowOff>266701</xdr:rowOff>
    </xdr:from>
    <xdr:ext cx="1522524" cy="2228849"/>
    <xdr:pic>
      <xdr:nvPicPr>
        <xdr:cNvPr id="4" name="Imagen 3">
          <a:extLst>
            <a:ext uri="{FF2B5EF4-FFF2-40B4-BE49-F238E27FC236}">
              <a16:creationId xmlns:a16="http://schemas.microsoft.com/office/drawing/2014/main" id="{E230A849-50D1-4980-A753-67B696078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1" y="5391151"/>
          <a:ext cx="1522524" cy="2228849"/>
        </a:xfrm>
        <a:prstGeom prst="rect">
          <a:avLst/>
        </a:prstGeom>
      </xdr:spPr>
    </xdr:pic>
    <xdr:clientData/>
  </xdr:oneCellAnchor>
  <xdr:oneCellAnchor>
    <xdr:from>
      <xdr:col>4</xdr:col>
      <xdr:colOff>76201</xdr:colOff>
      <xdr:row>6</xdr:row>
      <xdr:rowOff>381000</xdr:rowOff>
    </xdr:from>
    <xdr:ext cx="2327150" cy="2057400"/>
    <xdr:pic>
      <xdr:nvPicPr>
        <xdr:cNvPr id="5" name="Imagen 4">
          <a:extLst>
            <a:ext uri="{FF2B5EF4-FFF2-40B4-BE49-F238E27FC236}">
              <a16:creationId xmlns:a16="http://schemas.microsoft.com/office/drawing/2014/main" id="{611EE641-01F0-4910-AA75-EF67A08E3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3801" y="13335000"/>
          <a:ext cx="2327150" cy="2057400"/>
        </a:xfrm>
        <a:prstGeom prst="rect">
          <a:avLst/>
        </a:prstGeom>
      </xdr:spPr>
    </xdr:pic>
    <xdr:clientData/>
  </xdr:oneCellAnchor>
  <xdr:oneCellAnchor>
    <xdr:from>
      <xdr:col>4</xdr:col>
      <xdr:colOff>352424</xdr:colOff>
      <xdr:row>9</xdr:row>
      <xdr:rowOff>247651</xdr:rowOff>
    </xdr:from>
    <xdr:ext cx="2137287" cy="1790700"/>
    <xdr:pic>
      <xdr:nvPicPr>
        <xdr:cNvPr id="6" name="Imagen 14">
          <a:extLst>
            <a:ext uri="{FF2B5EF4-FFF2-40B4-BE49-F238E27FC236}">
              <a16:creationId xmlns:a16="http://schemas.microsoft.com/office/drawing/2014/main" id="{11F0E92B-BA2B-48C4-8100-B1062B3EED7F}"/>
            </a:ext>
            <a:ext uri="{147F2762-F138-4A5C-976F-8EAC2B608ADB}">
              <a16:predDERef xmlns:a16="http://schemas.microsoft.com/office/drawing/2014/main" pred="{57D1593B-49C5-4AAE-99FD-5A4411D5A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3667" t="3840" r="7667" b="640"/>
        <a:stretch/>
      </xdr:blipFill>
      <xdr:spPr>
        <a:xfrm>
          <a:off x="4019549" y="4200526"/>
          <a:ext cx="2137287" cy="1790700"/>
        </a:xfrm>
        <a:prstGeom prst="rect">
          <a:avLst/>
        </a:prstGeom>
      </xdr:spPr>
    </xdr:pic>
    <xdr:clientData/>
  </xdr:oneCellAnchor>
  <xdr:twoCellAnchor editAs="oneCell">
    <xdr:from>
      <xdr:col>4</xdr:col>
      <xdr:colOff>1000125</xdr:colOff>
      <xdr:row>5</xdr:row>
      <xdr:rowOff>349250</xdr:rowOff>
    </xdr:from>
    <xdr:to>
      <xdr:col>4</xdr:col>
      <xdr:colOff>1857375</xdr:colOff>
      <xdr:row>5</xdr:row>
      <xdr:rowOff>2400019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A899B5-F704-64E7-5398-7833B18FC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67250" y="6619875"/>
          <a:ext cx="857250" cy="2050769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4</xdr:row>
      <xdr:rowOff>317500</xdr:rowOff>
    </xdr:from>
    <xdr:to>
      <xdr:col>4</xdr:col>
      <xdr:colOff>2286000</xdr:colOff>
      <xdr:row>4</xdr:row>
      <xdr:rowOff>2032000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D350097B-07BA-49A1-BFF8-54D9CF454D9F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095750" y="4270375"/>
          <a:ext cx="1857375" cy="1714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0A03-7B16-4AA8-8702-BC0B0B1F6BA5}">
  <dimension ref="A2:IL19"/>
  <sheetViews>
    <sheetView showGridLines="0" tabSelected="1" topLeftCell="A3" zoomScale="60" zoomScaleNormal="60" workbookViewId="0">
      <selection activeCell="B2" sqref="B2:J8"/>
    </sheetView>
  </sheetViews>
  <sheetFormatPr baseColWidth="10" defaultRowHeight="15" x14ac:dyDescent="0.25"/>
  <cols>
    <col min="1" max="1" width="4" customWidth="1"/>
    <col min="2" max="2" width="5.140625" customWidth="1"/>
    <col min="3" max="3" width="14.28515625" customWidth="1"/>
    <col min="4" max="4" width="31.42578125" customWidth="1"/>
    <col min="5" max="5" width="40.28515625" customWidth="1"/>
    <col min="6" max="6" width="15.5703125" customWidth="1"/>
    <col min="7" max="7" width="26" customWidth="1"/>
    <col min="8" max="8" width="21.42578125" customWidth="1"/>
    <col min="9" max="9" width="82.42578125" customWidth="1"/>
    <col min="10" max="10" width="26.28515625" customWidth="1"/>
    <col min="13" max="13" width="22" customWidth="1"/>
    <col min="14" max="14" width="20" customWidth="1"/>
    <col min="15" max="15" width="28" customWidth="1"/>
    <col min="17" max="17" width="15.140625" customWidth="1"/>
    <col min="19" max="19" width="17.7109375" customWidth="1"/>
    <col min="20" max="20" width="19.7109375" customWidth="1"/>
    <col min="21" max="21" width="16.5703125" customWidth="1"/>
    <col min="22" max="22" width="19.140625" customWidth="1"/>
    <col min="23" max="23" width="18.42578125" customWidth="1"/>
    <col min="24" max="24" width="24.140625" customWidth="1"/>
    <col min="25" max="25" width="18.42578125" bestFit="1" customWidth="1"/>
    <col min="26" max="26" width="23.7109375" customWidth="1"/>
    <col min="27" max="27" width="21.7109375" customWidth="1"/>
    <col min="31" max="31" width="18.140625" bestFit="1" customWidth="1"/>
    <col min="32" max="32" width="16.7109375" customWidth="1"/>
    <col min="33" max="33" width="15.5703125" customWidth="1"/>
    <col min="34" max="34" width="18.42578125" bestFit="1" customWidth="1"/>
    <col min="35" max="35" width="15.85546875" bestFit="1" customWidth="1"/>
    <col min="36" max="36" width="12.42578125" bestFit="1" customWidth="1"/>
    <col min="37" max="37" width="14.140625" bestFit="1" customWidth="1"/>
  </cols>
  <sheetData>
    <row r="2" spans="1:246" s="41" customFormat="1" ht="23.25" x14ac:dyDescent="0.25">
      <c r="A2" s="36"/>
      <c r="B2" s="96" t="s">
        <v>73</v>
      </c>
      <c r="C2" s="96"/>
      <c r="D2" s="96"/>
      <c r="E2" s="96"/>
      <c r="F2" s="96"/>
      <c r="G2" s="96"/>
      <c r="H2" s="96"/>
      <c r="I2" s="96"/>
      <c r="J2" s="96"/>
      <c r="K2" s="20"/>
      <c r="L2" s="42"/>
      <c r="M2" s="22"/>
      <c r="N2" s="22"/>
      <c r="O2" s="22"/>
      <c r="P2" s="22"/>
      <c r="Q2" s="22"/>
      <c r="R2" s="22"/>
      <c r="S2" s="22"/>
      <c r="T2" s="22"/>
      <c r="U2" s="22"/>
      <c r="V2" s="22"/>
      <c r="W2" s="37"/>
      <c r="X2" s="38"/>
      <c r="Y2" s="39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40"/>
      <c r="AK2" s="40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</row>
    <row r="3" spans="1:246" s="1" customFormat="1" ht="54.75" customHeight="1" x14ac:dyDescent="0.25">
      <c r="A3" s="2"/>
      <c r="B3" s="14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21"/>
      <c r="L3" s="43"/>
      <c r="M3" s="24" t="s">
        <v>9</v>
      </c>
      <c r="N3" s="24" t="s">
        <v>10</v>
      </c>
      <c r="O3" s="24" t="s">
        <v>11</v>
      </c>
      <c r="P3" s="24" t="s">
        <v>12</v>
      </c>
      <c r="Q3" s="25" t="s">
        <v>13</v>
      </c>
      <c r="R3" s="25" t="s">
        <v>14</v>
      </c>
      <c r="S3" s="25" t="s">
        <v>15</v>
      </c>
      <c r="T3" s="25" t="s">
        <v>16</v>
      </c>
      <c r="U3" s="25" t="s">
        <v>17</v>
      </c>
      <c r="V3" s="25" t="s">
        <v>18</v>
      </c>
      <c r="W3" s="25" t="s">
        <v>19</v>
      </c>
      <c r="X3" s="24" t="s">
        <v>20</v>
      </c>
      <c r="Y3" s="24" t="s">
        <v>21</v>
      </c>
      <c r="Z3" s="23" t="s">
        <v>22</v>
      </c>
      <c r="AA3" s="23" t="s">
        <v>23</v>
      </c>
      <c r="AB3" s="23" t="s">
        <v>24</v>
      </c>
      <c r="AC3" s="23" t="s">
        <v>25</v>
      </c>
      <c r="AD3" s="23" t="s">
        <v>26</v>
      </c>
      <c r="AE3" s="23" t="s">
        <v>27</v>
      </c>
      <c r="AF3" s="24" t="s">
        <v>28</v>
      </c>
      <c r="AG3" s="24" t="s">
        <v>29</v>
      </c>
      <c r="AH3" s="26" t="s">
        <v>17</v>
      </c>
      <c r="AI3" s="26" t="s">
        <v>30</v>
      </c>
      <c r="AJ3" s="26" t="s">
        <v>31</v>
      </c>
      <c r="AK3" s="27" t="s">
        <v>32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</row>
    <row r="4" spans="1:246" ht="217.5" customHeight="1" x14ac:dyDescent="0.25">
      <c r="A4" s="28"/>
      <c r="B4" s="46">
        <v>1</v>
      </c>
      <c r="C4" s="97" t="s">
        <v>47</v>
      </c>
      <c r="D4" s="97"/>
      <c r="E4" s="100" t="s">
        <v>34</v>
      </c>
      <c r="F4" s="29">
        <v>250</v>
      </c>
      <c r="G4" s="50">
        <v>2.99</v>
      </c>
      <c r="H4" s="30" t="s">
        <v>33</v>
      </c>
      <c r="I4" s="51" t="s">
        <v>48</v>
      </c>
      <c r="J4" s="13">
        <f>F4*G4</f>
        <v>747.5</v>
      </c>
      <c r="K4" s="44"/>
      <c r="L4" s="49">
        <f>T4/J4</f>
        <v>0.46722408026755863</v>
      </c>
      <c r="M4" s="45" t="s">
        <v>36</v>
      </c>
      <c r="N4" s="48" t="s">
        <v>39</v>
      </c>
      <c r="O4" s="48" t="s">
        <v>38</v>
      </c>
      <c r="P4" s="48"/>
      <c r="Q4" s="31">
        <v>1.1000000000000001</v>
      </c>
      <c r="R4" s="6">
        <v>127</v>
      </c>
      <c r="S4" s="3">
        <f>Q4*R4/100</f>
        <v>1.3970000000000002</v>
      </c>
      <c r="T4" s="4">
        <f>S4*V4</f>
        <v>349.25000000000006</v>
      </c>
      <c r="U4" s="5">
        <f>Q4+S4</f>
        <v>2.4970000000000003</v>
      </c>
      <c r="V4" s="6">
        <f>F4</f>
        <v>250</v>
      </c>
      <c r="W4" s="7">
        <f>Q4*10</f>
        <v>11</v>
      </c>
      <c r="X4" s="19">
        <v>90</v>
      </c>
      <c r="Y4" s="8">
        <f>V4*U4+W4+X4</f>
        <v>725.25000000000011</v>
      </c>
      <c r="Z4" s="35" t="s">
        <v>37</v>
      </c>
      <c r="AA4" s="9">
        <v>0</v>
      </c>
      <c r="AB4" s="17">
        <v>1</v>
      </c>
      <c r="AC4" s="17">
        <v>1</v>
      </c>
      <c r="AD4" s="17">
        <v>1</v>
      </c>
      <c r="AE4" s="16">
        <f>AA4*AB4*AC4*AD4</f>
        <v>0</v>
      </c>
      <c r="AF4" s="18">
        <f>V4/140*4.85</f>
        <v>8.6607142857142847</v>
      </c>
      <c r="AG4" s="32">
        <f>1.5%*(Y4+AE4+AF4)</f>
        <v>11.008660714285716</v>
      </c>
      <c r="AH4" s="10">
        <f>Y4+AE4+AG4+AF4</f>
        <v>744.91937500000017</v>
      </c>
      <c r="AI4" s="11">
        <f>AH4/V4</f>
        <v>2.9796775000000006</v>
      </c>
      <c r="AJ4" s="33">
        <f>AI4*18%</f>
        <v>0.53634195000000007</v>
      </c>
      <c r="AK4" s="12">
        <f>AI4+AJ4</f>
        <v>3.5160194500000008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</row>
    <row r="5" spans="1:246" ht="183" customHeight="1" x14ac:dyDescent="0.35">
      <c r="A5" s="52"/>
      <c r="B5" s="53">
        <v>2</v>
      </c>
      <c r="C5" s="98" t="s">
        <v>69</v>
      </c>
      <c r="D5" s="98"/>
      <c r="E5" s="101" t="s">
        <v>34</v>
      </c>
      <c r="F5" s="55">
        <v>500</v>
      </c>
      <c r="G5" s="103">
        <v>1.9890000000000001</v>
      </c>
      <c r="H5" s="30" t="s">
        <v>33</v>
      </c>
      <c r="I5" s="56" t="s">
        <v>72</v>
      </c>
      <c r="J5" s="13">
        <f t="shared" ref="J5:J7" si="0">F5*G5</f>
        <v>994.5</v>
      </c>
      <c r="K5" s="58"/>
      <c r="L5" s="49">
        <f t="shared" ref="L5:L8" si="1">T5/J5</f>
        <v>0.31444129151008515</v>
      </c>
      <c r="M5" s="59" t="s">
        <v>70</v>
      </c>
      <c r="N5" s="60"/>
      <c r="O5" s="60"/>
      <c r="P5" s="61"/>
      <c r="Q5" s="62">
        <f>820/1000/1.18</f>
        <v>0.69491525423728817</v>
      </c>
      <c r="R5" s="63">
        <v>90</v>
      </c>
      <c r="S5" s="64">
        <f>Q5*R5/100</f>
        <v>0.62542372881355934</v>
      </c>
      <c r="T5" s="65">
        <f>S5*V5</f>
        <v>312.71186440677968</v>
      </c>
      <c r="U5" s="66">
        <f>Q5+S5</f>
        <v>1.3203389830508474</v>
      </c>
      <c r="V5" s="6">
        <f t="shared" ref="V5:V6" si="2">F5</f>
        <v>500</v>
      </c>
      <c r="W5" s="7">
        <f t="shared" ref="W5" si="3">Q5*5</f>
        <v>3.4745762711864407</v>
      </c>
      <c r="X5" s="19">
        <v>70</v>
      </c>
      <c r="Y5" s="67">
        <f>V5*U5+W5+X5</f>
        <v>733.64406779661022</v>
      </c>
      <c r="Z5" s="68" t="s">
        <v>71</v>
      </c>
      <c r="AA5" s="9">
        <v>200</v>
      </c>
      <c r="AB5" s="69">
        <v>1</v>
      </c>
      <c r="AC5" s="69">
        <v>1</v>
      </c>
      <c r="AD5" s="69">
        <v>1</v>
      </c>
      <c r="AE5" s="70">
        <f>AA5*AB5*AC5*AD5</f>
        <v>200</v>
      </c>
      <c r="AF5" s="18">
        <v>4.8499999999999996</v>
      </c>
      <c r="AG5" s="32">
        <f>1.5%*(Y5+AE5+AF5)</f>
        <v>14.077411016949153</v>
      </c>
      <c r="AH5" s="71">
        <f>Y5+AE5+AG5+AF5</f>
        <v>952.57147881355934</v>
      </c>
      <c r="AI5" s="72">
        <f>AH5/V5</f>
        <v>1.9051429576271186</v>
      </c>
      <c r="AJ5" s="73">
        <f>AI5*18%</f>
        <v>0.34292573237288132</v>
      </c>
      <c r="AK5" s="74">
        <f>AI5+AJ5</f>
        <v>2.2480686899999998</v>
      </c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</row>
    <row r="6" spans="1:246" s="77" customFormat="1" ht="216" customHeight="1" x14ac:dyDescent="0.25">
      <c r="B6" s="78">
        <v>3</v>
      </c>
      <c r="C6" s="79" t="s">
        <v>67</v>
      </c>
      <c r="D6" s="79" t="s">
        <v>66</v>
      </c>
      <c r="E6" s="102" t="s">
        <v>55</v>
      </c>
      <c r="F6" s="80">
        <v>1000</v>
      </c>
      <c r="G6" s="50">
        <v>0.76</v>
      </c>
      <c r="H6" s="30" t="s">
        <v>33</v>
      </c>
      <c r="I6" s="81" t="s">
        <v>68</v>
      </c>
      <c r="J6" s="13">
        <f t="shared" si="0"/>
        <v>760</v>
      </c>
      <c r="K6" s="82"/>
      <c r="L6" s="49">
        <f t="shared" si="1"/>
        <v>0.30107047279214988</v>
      </c>
      <c r="M6" s="83" t="s">
        <v>56</v>
      </c>
      <c r="N6" s="84"/>
      <c r="O6" s="84" t="s">
        <v>57</v>
      </c>
      <c r="P6" s="84"/>
      <c r="Q6" s="31">
        <f>270/1000/1.18</f>
        <v>0.22881355932203393</v>
      </c>
      <c r="R6" s="6">
        <v>100</v>
      </c>
      <c r="S6" s="3">
        <f t="shared" ref="S6" si="4">Q6*R6/100</f>
        <v>0.2288135593220339</v>
      </c>
      <c r="T6" s="4">
        <f t="shared" ref="T6" si="5">S6*V6</f>
        <v>228.81355932203391</v>
      </c>
      <c r="U6" s="5">
        <f t="shared" ref="U6" si="6">Q6+S6</f>
        <v>0.4576271186440678</v>
      </c>
      <c r="V6" s="6">
        <f t="shared" si="2"/>
        <v>1000</v>
      </c>
      <c r="W6" s="7">
        <f>Q6*10</f>
        <v>2.2881355932203391</v>
      </c>
      <c r="X6" s="19">
        <v>60</v>
      </c>
      <c r="Y6" s="8">
        <f t="shared" ref="Y6" si="7">V6*U6+W6+X6</f>
        <v>519.91525423728808</v>
      </c>
      <c r="Z6" s="35" t="s">
        <v>58</v>
      </c>
      <c r="AA6" s="9">
        <f>220</f>
        <v>220</v>
      </c>
      <c r="AB6" s="17">
        <v>1</v>
      </c>
      <c r="AC6" s="17">
        <v>1</v>
      </c>
      <c r="AD6" s="17">
        <v>1</v>
      </c>
      <c r="AE6" s="16">
        <f t="shared" ref="AE6" si="8">AA6*AB6*AC6*AD6</f>
        <v>220</v>
      </c>
      <c r="AF6" s="18">
        <v>4.8499999999999996</v>
      </c>
      <c r="AG6" s="32">
        <f t="shared" ref="AG6" si="9">1.5%*(Y6+AE6+AF6)</f>
        <v>11.171478813559322</v>
      </c>
      <c r="AH6" s="10">
        <f t="shared" ref="AH6" si="10">Y6+AE6+AG6+AF6</f>
        <v>755.93673305084747</v>
      </c>
      <c r="AI6" s="85">
        <f t="shared" ref="AI6" si="11">AH6/V6</f>
        <v>0.75593673305084752</v>
      </c>
      <c r="AJ6" s="33">
        <f t="shared" ref="AJ6" si="12">AI6*18%</f>
        <v>0.13606861194915254</v>
      </c>
      <c r="AK6" s="12">
        <f t="shared" ref="AK6" si="13">AI6+AJ6</f>
        <v>0.89200534500000006</v>
      </c>
    </row>
    <row r="7" spans="1:246" ht="229.5" customHeight="1" x14ac:dyDescent="0.25">
      <c r="A7" s="77" t="s">
        <v>59</v>
      </c>
      <c r="B7" s="46">
        <v>4</v>
      </c>
      <c r="C7" s="99" t="s">
        <v>60</v>
      </c>
      <c r="D7" s="99"/>
      <c r="E7" s="100"/>
      <c r="F7" s="86">
        <v>50</v>
      </c>
      <c r="G7" s="87">
        <v>9.9600000000000009</v>
      </c>
      <c r="H7" s="88" t="s">
        <v>33</v>
      </c>
      <c r="I7" s="89" t="s">
        <v>65</v>
      </c>
      <c r="J7" s="13">
        <f t="shared" si="0"/>
        <v>498.00000000000006</v>
      </c>
      <c r="K7" s="90"/>
      <c r="L7" s="49">
        <f t="shared" si="1"/>
        <v>0.25704512967122728</v>
      </c>
      <c r="M7" s="91" t="s">
        <v>61</v>
      </c>
      <c r="N7" s="30" t="s">
        <v>62</v>
      </c>
      <c r="O7" s="30"/>
      <c r="P7" s="30"/>
      <c r="Q7" s="92">
        <f>5.7/1.18</f>
        <v>4.8305084745762716</v>
      </c>
      <c r="R7" s="63">
        <v>53</v>
      </c>
      <c r="S7" s="3">
        <f>Q7*R7/100</f>
        <v>2.5601694915254241</v>
      </c>
      <c r="T7" s="4">
        <f>S7*V7</f>
        <v>128.0084745762712</v>
      </c>
      <c r="U7" s="5">
        <f>Q7+S7</f>
        <v>7.3906779661016957</v>
      </c>
      <c r="V7" s="6">
        <f>F7</f>
        <v>50</v>
      </c>
      <c r="W7" s="7">
        <f>Q7*1</f>
        <v>4.8305084745762716</v>
      </c>
      <c r="X7" s="19">
        <v>50</v>
      </c>
      <c r="Y7" s="8">
        <f>V7*U7+W7+X7</f>
        <v>424.36440677966107</v>
      </c>
      <c r="Z7" s="68" t="s">
        <v>63</v>
      </c>
      <c r="AA7" s="9">
        <f>1.2*50</f>
        <v>60</v>
      </c>
      <c r="AB7" s="17">
        <v>1</v>
      </c>
      <c r="AC7" s="17">
        <v>1</v>
      </c>
      <c r="AD7" s="17">
        <v>1</v>
      </c>
      <c r="AE7" s="16">
        <f>AA7*AB7*AC7*AD7</f>
        <v>60</v>
      </c>
      <c r="AF7" s="18">
        <f>V7/50*3.5</f>
        <v>3.5</v>
      </c>
      <c r="AG7" s="32">
        <f>1.5%*(Y7+AE7+AF7)</f>
        <v>7.3179661016949158</v>
      </c>
      <c r="AH7" s="10">
        <f>Y7+AE7+AG7+AF7</f>
        <v>495.182372881356</v>
      </c>
      <c r="AI7" s="11">
        <f>AH7/V7</f>
        <v>9.9036474576271196</v>
      </c>
      <c r="AJ7" s="93">
        <f>AI7*18%</f>
        <v>1.7826565423728815</v>
      </c>
      <c r="AK7" s="12">
        <f>AI7+AJ7</f>
        <v>11.686304000000002</v>
      </c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77"/>
      <c r="HP7" s="77"/>
      <c r="HQ7" s="77"/>
      <c r="HR7" s="77"/>
      <c r="HS7" s="77"/>
      <c r="HT7" s="77"/>
      <c r="HU7" s="77"/>
      <c r="HV7" s="77"/>
      <c r="HW7" s="77"/>
      <c r="HX7" s="77"/>
      <c r="HY7" s="77"/>
      <c r="HZ7" s="77"/>
      <c r="IA7" s="77"/>
      <c r="IB7" s="77"/>
      <c r="IC7" s="77"/>
      <c r="ID7" s="77"/>
      <c r="IE7" s="77"/>
      <c r="IF7" s="77"/>
      <c r="IG7" s="77"/>
      <c r="IH7" s="77"/>
      <c r="II7" s="77"/>
      <c r="IJ7" s="77"/>
      <c r="IK7" s="77"/>
      <c r="IL7" s="77"/>
    </row>
    <row r="8" spans="1:246" ht="23.25" x14ac:dyDescent="0.25">
      <c r="I8" s="15" t="s">
        <v>64</v>
      </c>
      <c r="J8" s="94">
        <f>SUM(J4:J7)</f>
        <v>3000</v>
      </c>
      <c r="L8" s="49">
        <f t="shared" si="1"/>
        <v>0.33959463276836166</v>
      </c>
      <c r="M8" s="95"/>
      <c r="T8" s="94">
        <f>SUM(T4:T7)</f>
        <v>1018.7838983050849</v>
      </c>
      <c r="X8" s="94">
        <f>SUM(X4:X6)</f>
        <v>220</v>
      </c>
      <c r="AF8" s="94">
        <f>SUM(AF4:AF6)</f>
        <v>18.360714285714284</v>
      </c>
      <c r="AG8" s="94">
        <f>SUM(AG4:AG6)</f>
        <v>36.257550544794185</v>
      </c>
    </row>
    <row r="10" spans="1:246" ht="183" customHeight="1" x14ac:dyDescent="0.35">
      <c r="A10" s="52"/>
      <c r="B10" s="53">
        <v>2</v>
      </c>
      <c r="C10" s="98" t="s">
        <v>49</v>
      </c>
      <c r="D10" s="98"/>
      <c r="E10" s="54" t="s">
        <v>34</v>
      </c>
      <c r="F10" s="55">
        <v>500</v>
      </c>
      <c r="G10" s="50">
        <v>1.75</v>
      </c>
      <c r="H10" s="30" t="s">
        <v>50</v>
      </c>
      <c r="I10" s="56" t="s">
        <v>51</v>
      </c>
      <c r="J10" s="57">
        <f t="shared" ref="J10" si="14">F10*G10</f>
        <v>875</v>
      </c>
      <c r="K10" s="58"/>
      <c r="L10" s="49"/>
      <c r="M10" s="59" t="s">
        <v>52</v>
      </c>
      <c r="N10" s="60" t="s">
        <v>53</v>
      </c>
      <c r="O10" s="60"/>
      <c r="P10" s="61"/>
      <c r="Q10" s="62">
        <v>1</v>
      </c>
      <c r="R10" s="63">
        <v>60</v>
      </c>
      <c r="S10" s="64">
        <f>Q10*R10/100</f>
        <v>0.6</v>
      </c>
      <c r="T10" s="65">
        <f>S10*V10</f>
        <v>300</v>
      </c>
      <c r="U10" s="66">
        <f>Q10+S10</f>
        <v>1.6</v>
      </c>
      <c r="V10" s="6">
        <f t="shared" ref="V10" si="15">F10</f>
        <v>500</v>
      </c>
      <c r="W10" s="7">
        <f t="shared" ref="W10" si="16">Q10*5</f>
        <v>5</v>
      </c>
      <c r="X10" s="19">
        <v>55</v>
      </c>
      <c r="Y10" s="67">
        <f>V10*U10+W10+X10</f>
        <v>860</v>
      </c>
      <c r="Z10" s="68" t="s">
        <v>54</v>
      </c>
      <c r="AA10" s="9">
        <v>0</v>
      </c>
      <c r="AB10" s="69">
        <v>1</v>
      </c>
      <c r="AC10" s="69">
        <v>1</v>
      </c>
      <c r="AD10" s="69">
        <v>1</v>
      </c>
      <c r="AE10" s="70">
        <f>AA10*AB10*AC10*AD10</f>
        <v>0</v>
      </c>
      <c r="AF10" s="18">
        <v>3.85</v>
      </c>
      <c r="AG10" s="32">
        <f>1.5%*(Y10+AE10+AF10)</f>
        <v>12.957749999999999</v>
      </c>
      <c r="AH10" s="71">
        <f>Y10+AE10+AG10+AF10</f>
        <v>876.80775000000006</v>
      </c>
      <c r="AI10" s="72">
        <f>AH10/V10</f>
        <v>1.7536155000000002</v>
      </c>
      <c r="AJ10" s="73">
        <f>AI10*18%</f>
        <v>0.31565079000000001</v>
      </c>
      <c r="AK10" s="74">
        <f>AI10+AJ10</f>
        <v>2.0692662900000003</v>
      </c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76"/>
      <c r="II10" s="76"/>
      <c r="IJ10" s="76"/>
      <c r="IK10" s="76"/>
      <c r="IL10" s="76"/>
    </row>
    <row r="12" spans="1:246" s="41" customFormat="1" ht="23.25" x14ac:dyDescent="0.25">
      <c r="A12" s="36"/>
      <c r="B12" s="96" t="s">
        <v>42</v>
      </c>
      <c r="C12" s="96"/>
      <c r="D12" s="96"/>
      <c r="E12" s="96"/>
      <c r="F12" s="96"/>
      <c r="G12" s="96"/>
      <c r="H12" s="96"/>
      <c r="I12" s="96"/>
      <c r="J12" s="96"/>
      <c r="K12" s="20"/>
      <c r="L12" s="4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37"/>
      <c r="X12" s="38"/>
      <c r="Y12" s="39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40"/>
      <c r="AK12" s="40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</row>
    <row r="13" spans="1:246" s="1" customFormat="1" ht="54.75" customHeight="1" x14ac:dyDescent="0.25">
      <c r="A13" s="2"/>
      <c r="B13" s="14" t="s">
        <v>0</v>
      </c>
      <c r="C13" s="14" t="s">
        <v>1</v>
      </c>
      <c r="D13" s="14" t="s">
        <v>2</v>
      </c>
      <c r="E13" s="14" t="s">
        <v>3</v>
      </c>
      <c r="F13" s="14" t="s">
        <v>4</v>
      </c>
      <c r="G13" s="15" t="s">
        <v>5</v>
      </c>
      <c r="H13" s="15" t="s">
        <v>6</v>
      </c>
      <c r="I13" s="15" t="s">
        <v>7</v>
      </c>
      <c r="J13" s="15" t="s">
        <v>8</v>
      </c>
      <c r="K13" s="21"/>
      <c r="L13" s="43"/>
      <c r="M13" s="24" t="s">
        <v>9</v>
      </c>
      <c r="N13" s="24" t="s">
        <v>10</v>
      </c>
      <c r="O13" s="24" t="s">
        <v>11</v>
      </c>
      <c r="P13" s="24" t="s">
        <v>12</v>
      </c>
      <c r="Q13" s="25" t="s">
        <v>13</v>
      </c>
      <c r="R13" s="25" t="s">
        <v>14</v>
      </c>
      <c r="S13" s="25" t="s">
        <v>15</v>
      </c>
      <c r="T13" s="25" t="s">
        <v>16</v>
      </c>
      <c r="U13" s="25" t="s">
        <v>17</v>
      </c>
      <c r="V13" s="25" t="s">
        <v>18</v>
      </c>
      <c r="W13" s="25" t="s">
        <v>19</v>
      </c>
      <c r="X13" s="24" t="s">
        <v>20</v>
      </c>
      <c r="Y13" s="24" t="s">
        <v>21</v>
      </c>
      <c r="Z13" s="23" t="s">
        <v>22</v>
      </c>
      <c r="AA13" s="23" t="s">
        <v>23</v>
      </c>
      <c r="AB13" s="23" t="s">
        <v>24</v>
      </c>
      <c r="AC13" s="23" t="s">
        <v>25</v>
      </c>
      <c r="AD13" s="23" t="s">
        <v>26</v>
      </c>
      <c r="AE13" s="23" t="s">
        <v>27</v>
      </c>
      <c r="AF13" s="24" t="s">
        <v>28</v>
      </c>
      <c r="AG13" s="24" t="s">
        <v>29</v>
      </c>
      <c r="AH13" s="26" t="s">
        <v>17</v>
      </c>
      <c r="AI13" s="26" t="s">
        <v>30</v>
      </c>
      <c r="AJ13" s="26" t="s">
        <v>31</v>
      </c>
      <c r="AK13" s="27" t="s">
        <v>32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</row>
    <row r="14" spans="1:246" ht="217.5" customHeight="1" x14ac:dyDescent="0.25">
      <c r="A14" s="28"/>
      <c r="B14" s="46">
        <v>1</v>
      </c>
      <c r="C14" s="97" t="s">
        <v>43</v>
      </c>
      <c r="D14" s="97"/>
      <c r="E14" s="47" t="s">
        <v>34</v>
      </c>
      <c r="F14" s="29">
        <v>50</v>
      </c>
      <c r="G14" s="50">
        <v>52.9</v>
      </c>
      <c r="H14" s="30" t="s">
        <v>33</v>
      </c>
      <c r="I14" s="51" t="s">
        <v>45</v>
      </c>
      <c r="J14" s="13">
        <f>F14*G14</f>
        <v>2645</v>
      </c>
      <c r="K14" s="44"/>
      <c r="L14" s="49">
        <f>T14/J14</f>
        <v>0.25848386786709815</v>
      </c>
      <c r="M14" s="45" t="s">
        <v>35</v>
      </c>
      <c r="N14" s="48"/>
      <c r="O14" s="48"/>
      <c r="P14" s="48"/>
      <c r="Q14" s="31">
        <f>35/1.18+2.2+60/50+1+1</f>
        <v>35.061016949152545</v>
      </c>
      <c r="R14" s="6">
        <v>39</v>
      </c>
      <c r="S14" s="3">
        <f>Q14*R14/100</f>
        <v>13.673796610169493</v>
      </c>
      <c r="T14" s="4">
        <f>S14*V14</f>
        <v>683.68983050847464</v>
      </c>
      <c r="U14" s="5">
        <f>Q14+S14</f>
        <v>48.734813559322035</v>
      </c>
      <c r="V14" s="6">
        <f>F14</f>
        <v>50</v>
      </c>
      <c r="W14" s="7">
        <f>Q14*1</f>
        <v>35.061016949152545</v>
      </c>
      <c r="X14" s="19">
        <v>100</v>
      </c>
      <c r="Y14" s="8">
        <f>V14*U14+W14+X14</f>
        <v>2571.8016949152543</v>
      </c>
      <c r="Z14" s="35" t="s">
        <v>37</v>
      </c>
      <c r="AA14" s="9">
        <v>0</v>
      </c>
      <c r="AB14" s="17">
        <v>1</v>
      </c>
      <c r="AC14" s="17">
        <v>1</v>
      </c>
      <c r="AD14" s="17">
        <v>1</v>
      </c>
      <c r="AE14" s="16">
        <f>AA14*AB14*AC14*AD14</f>
        <v>0</v>
      </c>
      <c r="AF14" s="18">
        <f>4.85*2</f>
        <v>9.6999999999999993</v>
      </c>
      <c r="AG14" s="32">
        <f>2.5%*(Y14+AE14+AF14)</f>
        <v>64.537542372881362</v>
      </c>
      <c r="AH14" s="10">
        <f>Y14+AE14+AG14+AF14</f>
        <v>2646.0392372881356</v>
      </c>
      <c r="AI14" s="11">
        <f>AH14/V14</f>
        <v>52.92078474576271</v>
      </c>
      <c r="AJ14" s="33">
        <f>AI14*18%</f>
        <v>9.5257412542372872</v>
      </c>
      <c r="AK14" s="12">
        <f>AI14+AJ14</f>
        <v>62.446525999999999</v>
      </c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</row>
    <row r="15" spans="1:246" ht="245.25" customHeight="1" x14ac:dyDescent="0.25">
      <c r="A15" s="28"/>
      <c r="B15" s="46">
        <v>2</v>
      </c>
      <c r="C15" s="97" t="s">
        <v>44</v>
      </c>
      <c r="D15" s="97"/>
      <c r="E15" s="47" t="s">
        <v>34</v>
      </c>
      <c r="F15" s="29">
        <v>50</v>
      </c>
      <c r="G15" s="50">
        <v>26.9</v>
      </c>
      <c r="H15" s="30" t="s">
        <v>33</v>
      </c>
      <c r="I15" s="51" t="s">
        <v>46</v>
      </c>
      <c r="J15" s="13">
        <f>F15*G15</f>
        <v>1345</v>
      </c>
      <c r="K15" s="44"/>
      <c r="L15" s="49">
        <f>T15/J15</f>
        <v>0.2458786465881167</v>
      </c>
      <c r="M15" s="45" t="s">
        <v>35</v>
      </c>
      <c r="N15" s="48"/>
      <c r="O15" s="48"/>
      <c r="P15" s="48"/>
      <c r="Q15" s="31">
        <f>16/1.18+1.2+1+1.2</f>
        <v>16.959322033898307</v>
      </c>
      <c r="R15" s="6">
        <v>39</v>
      </c>
      <c r="S15" s="3">
        <f>Q15*R15/100</f>
        <v>6.6141355932203396</v>
      </c>
      <c r="T15" s="4">
        <f>S15*V15</f>
        <v>330.70677966101698</v>
      </c>
      <c r="U15" s="5">
        <f>Q15+S15</f>
        <v>23.573457627118646</v>
      </c>
      <c r="V15" s="6">
        <f>F15</f>
        <v>50</v>
      </c>
      <c r="W15" s="7">
        <f>Q15*1</f>
        <v>16.959322033898307</v>
      </c>
      <c r="X15" s="19">
        <v>100</v>
      </c>
      <c r="Y15" s="8">
        <f>V15*U15+W15+X15</f>
        <v>1295.6322033898307</v>
      </c>
      <c r="Z15" s="35" t="s">
        <v>37</v>
      </c>
      <c r="AA15" s="9">
        <v>0</v>
      </c>
      <c r="AB15" s="17">
        <v>1</v>
      </c>
      <c r="AC15" s="17">
        <v>1</v>
      </c>
      <c r="AD15" s="17">
        <v>1</v>
      </c>
      <c r="AE15" s="16">
        <f>AA15*AB15*AC15*AD15</f>
        <v>0</v>
      </c>
      <c r="AF15" s="18">
        <f>4.85*2</f>
        <v>9.6999999999999993</v>
      </c>
      <c r="AG15" s="32">
        <f>2.5%*(Y15+AE15+AF15)</f>
        <v>32.633305084745771</v>
      </c>
      <c r="AH15" s="10">
        <f>Y15+AE15+AG15+AF15</f>
        <v>1337.9655084745766</v>
      </c>
      <c r="AI15" s="11">
        <f>AH15/V15</f>
        <v>26.759310169491531</v>
      </c>
      <c r="AJ15" s="33">
        <f>AI15*18%</f>
        <v>4.8166758305084754</v>
      </c>
      <c r="AK15" s="12">
        <f>AI15+AJ15</f>
        <v>31.575986000000007</v>
      </c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</row>
    <row r="17" spans="1:246" s="41" customFormat="1" ht="23.25" x14ac:dyDescent="0.25">
      <c r="A17" s="36"/>
      <c r="B17" s="96" t="s">
        <v>42</v>
      </c>
      <c r="C17" s="96"/>
      <c r="D17" s="96"/>
      <c r="E17" s="96"/>
      <c r="F17" s="96"/>
      <c r="G17" s="96"/>
      <c r="H17" s="96"/>
      <c r="I17" s="96"/>
      <c r="J17" s="96"/>
      <c r="K17" s="20"/>
      <c r="L17" s="4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37"/>
      <c r="X17" s="38"/>
      <c r="Y17" s="39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40"/>
      <c r="AK17" s="40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</row>
    <row r="18" spans="1:246" s="1" customFormat="1" ht="54.75" customHeight="1" x14ac:dyDescent="0.25">
      <c r="A18" s="2"/>
      <c r="B18" s="14" t="s">
        <v>0</v>
      </c>
      <c r="C18" s="14" t="s">
        <v>1</v>
      </c>
      <c r="D18" s="14" t="s">
        <v>2</v>
      </c>
      <c r="E18" s="14" t="s">
        <v>3</v>
      </c>
      <c r="F18" s="14" t="s">
        <v>4</v>
      </c>
      <c r="G18" s="15" t="s">
        <v>5</v>
      </c>
      <c r="H18" s="15" t="s">
        <v>6</v>
      </c>
      <c r="I18" s="15" t="s">
        <v>7</v>
      </c>
      <c r="J18" s="15" t="s">
        <v>8</v>
      </c>
      <c r="K18" s="21"/>
      <c r="L18" s="43"/>
      <c r="M18" s="24" t="s">
        <v>9</v>
      </c>
      <c r="N18" s="24" t="s">
        <v>10</v>
      </c>
      <c r="O18" s="24" t="s">
        <v>11</v>
      </c>
      <c r="P18" s="24" t="s">
        <v>12</v>
      </c>
      <c r="Q18" s="25" t="s">
        <v>13</v>
      </c>
      <c r="R18" s="25" t="s">
        <v>14</v>
      </c>
      <c r="S18" s="25" t="s">
        <v>15</v>
      </c>
      <c r="T18" s="25" t="s">
        <v>16</v>
      </c>
      <c r="U18" s="25" t="s">
        <v>17</v>
      </c>
      <c r="V18" s="25" t="s">
        <v>18</v>
      </c>
      <c r="W18" s="25" t="s">
        <v>19</v>
      </c>
      <c r="X18" s="24" t="s">
        <v>20</v>
      </c>
      <c r="Y18" s="24" t="s">
        <v>21</v>
      </c>
      <c r="Z18" s="23" t="s">
        <v>22</v>
      </c>
      <c r="AA18" s="23" t="s">
        <v>23</v>
      </c>
      <c r="AB18" s="23" t="s">
        <v>24</v>
      </c>
      <c r="AC18" s="23" t="s">
        <v>25</v>
      </c>
      <c r="AD18" s="23" t="s">
        <v>26</v>
      </c>
      <c r="AE18" s="23" t="s">
        <v>27</v>
      </c>
      <c r="AF18" s="24" t="s">
        <v>28</v>
      </c>
      <c r="AG18" s="24" t="s">
        <v>29</v>
      </c>
      <c r="AH18" s="26" t="s">
        <v>17</v>
      </c>
      <c r="AI18" s="26" t="s">
        <v>30</v>
      </c>
      <c r="AJ18" s="26" t="s">
        <v>31</v>
      </c>
      <c r="AK18" s="27" t="s">
        <v>32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</row>
    <row r="19" spans="1:246" ht="217.5" customHeight="1" x14ac:dyDescent="0.25">
      <c r="A19" s="28"/>
      <c r="B19" s="46">
        <v>1</v>
      </c>
      <c r="C19" s="97" t="s">
        <v>40</v>
      </c>
      <c r="D19" s="97"/>
      <c r="E19" s="47" t="s">
        <v>34</v>
      </c>
      <c r="F19" s="29">
        <v>50</v>
      </c>
      <c r="G19" s="50">
        <v>55</v>
      </c>
      <c r="H19" s="30" t="s">
        <v>33</v>
      </c>
      <c r="I19" s="51" t="s">
        <v>41</v>
      </c>
      <c r="J19" s="13">
        <f>F19*G19</f>
        <v>2750</v>
      </c>
      <c r="K19" s="44"/>
      <c r="L19" s="49">
        <f>T19/J19</f>
        <v>0.26378228638314472</v>
      </c>
      <c r="M19" s="45" t="s">
        <v>36</v>
      </c>
      <c r="N19" s="48" t="s">
        <v>39</v>
      </c>
      <c r="O19" s="48" t="s">
        <v>38</v>
      </c>
      <c r="P19" s="48"/>
      <c r="Q19" s="31">
        <f>35/1.165+2.2+1.5+0.8</f>
        <v>34.542918454935617</v>
      </c>
      <c r="R19" s="6">
        <v>42</v>
      </c>
      <c r="S19" s="3">
        <f>Q19*R19/100</f>
        <v>14.50802575107296</v>
      </c>
      <c r="T19" s="4">
        <f>S19*V19</f>
        <v>725.40128755364799</v>
      </c>
      <c r="U19" s="5">
        <f>Q19+S19</f>
        <v>49.05094420600858</v>
      </c>
      <c r="V19" s="6">
        <f>F19</f>
        <v>50</v>
      </c>
      <c r="W19" s="7">
        <f>Q19*1</f>
        <v>34.542918454935617</v>
      </c>
      <c r="X19" s="19">
        <v>100</v>
      </c>
      <c r="Y19" s="8">
        <f>V19*U19+W19+X19</f>
        <v>2587.0901287553647</v>
      </c>
      <c r="Z19" s="35" t="s">
        <v>37</v>
      </c>
      <c r="AA19" s="9">
        <v>0</v>
      </c>
      <c r="AB19" s="17">
        <v>1</v>
      </c>
      <c r="AC19" s="17">
        <v>1</v>
      </c>
      <c r="AD19" s="17">
        <v>1</v>
      </c>
      <c r="AE19" s="16">
        <f>AA19*AB19*AC19*AD19</f>
        <v>0</v>
      </c>
      <c r="AF19" s="18">
        <f>4.85*2</f>
        <v>9.6999999999999993</v>
      </c>
      <c r="AG19" s="32">
        <f>2.5%*(Y19+AE19+AF19)</f>
        <v>64.919753218884111</v>
      </c>
      <c r="AH19" s="10">
        <f>Y19+AE19+AG19+AF19</f>
        <v>2661.7098819742487</v>
      </c>
      <c r="AI19" s="11">
        <f>AH19/V19</f>
        <v>53.234197639484975</v>
      </c>
      <c r="AJ19" s="33">
        <f>AI19*18%</f>
        <v>9.5821555751072953</v>
      </c>
      <c r="AK19" s="12">
        <f>AI19+AJ19</f>
        <v>62.816353214592269</v>
      </c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</row>
  </sheetData>
  <mergeCells count="10">
    <mergeCell ref="C15:D15"/>
    <mergeCell ref="C14:D14"/>
    <mergeCell ref="B17:J17"/>
    <mergeCell ref="C19:D19"/>
    <mergeCell ref="C10:D10"/>
    <mergeCell ref="B2:J2"/>
    <mergeCell ref="C4:D4"/>
    <mergeCell ref="C5:D5"/>
    <mergeCell ref="C7:D7"/>
    <mergeCell ref="B12:J12"/>
  </mergeCells>
  <phoneticPr fontId="2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2025-01-09T15:17:53Z</dcterms:created>
  <dcterms:modified xsi:type="dcterms:W3CDTF">2026-06-04T21:40:48Z</dcterms:modified>
  <cp:category/>
  <cp:contentStatus/>
</cp:coreProperties>
</file>