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CKM/BD Cotizaciones/2026/"/>
    </mc:Choice>
  </mc:AlternateContent>
  <xr:revisionPtr revIDLastSave="17" documentId="13_ncr:1_{D41C1AD9-4542-4E1E-BA09-50CED6F08EBE}" xr6:coauthVersionLast="47" xr6:coauthVersionMax="47" xr10:uidLastSave="{E5D09B6E-363C-4A83-8FAD-77A5ED06ED85}"/>
  <bookViews>
    <workbookView xWindow="14295" yWindow="0" windowWidth="14610" windowHeight="15585" firstSheet="2" activeTab="2" xr2:uid="{2519D870-8596-474C-B319-8B329238787E}"/>
  </bookViews>
  <sheets>
    <sheet name="FEBRERO" sheetId="5" r:id="rId1"/>
    <sheet name="MARZO" sheetId="7" r:id="rId2"/>
    <sheet name="ABRIL" sheetId="8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J4" i="8" s="1"/>
  <c r="AE4" i="8"/>
  <c r="V4" i="8"/>
  <c r="AF4" i="8" s="1"/>
  <c r="S4" i="8"/>
  <c r="U4" i="8" s="1"/>
  <c r="Q4" i="8"/>
  <c r="W4" i="8" s="1"/>
  <c r="V8" i="8"/>
  <c r="Q8" i="8"/>
  <c r="W8" i="8" s="1"/>
  <c r="J8" i="8"/>
  <c r="Y4" i="8" l="1"/>
  <c r="T4" i="8"/>
  <c r="S8" i="8"/>
  <c r="T8" i="8" s="1"/>
  <c r="K8" i="8" s="1"/>
  <c r="AG4" i="8" l="1"/>
  <c r="AH4" i="8" s="1"/>
  <c r="AI4" i="8" s="1"/>
  <c r="U8" i="8"/>
  <c r="Y8" i="8" s="1"/>
  <c r="AG8" i="8"/>
  <c r="AH8" i="8" s="1"/>
  <c r="AI8" i="8" s="1"/>
  <c r="AJ4" i="8" l="1"/>
  <c r="AK4" i="8" s="1"/>
  <c r="AJ8" i="8"/>
  <c r="AK8" i="8" s="1"/>
  <c r="W13" i="8"/>
  <c r="V13" i="8"/>
  <c r="V12" i="8"/>
  <c r="Q13" i="8"/>
  <c r="S13" i="8" s="1"/>
  <c r="Q12" i="8"/>
  <c r="S12" i="8" s="1"/>
  <c r="Q18" i="8"/>
  <c r="W18" i="8" s="1"/>
  <c r="W12" i="8" l="1"/>
  <c r="T12" i="8"/>
  <c r="T13" i="8"/>
  <c r="U13" i="8"/>
  <c r="U12" i="8"/>
  <c r="AE18" i="8"/>
  <c r="S18" i="8"/>
  <c r="J22" i="8"/>
  <c r="Q22" i="8"/>
  <c r="S22" i="8" s="1"/>
  <c r="V22" i="8"/>
  <c r="AE22" i="8"/>
  <c r="J23" i="8"/>
  <c r="Q23" i="8"/>
  <c r="S23" i="8" s="1"/>
  <c r="V23" i="8"/>
  <c r="AE23" i="8"/>
  <c r="J24" i="8"/>
  <c r="Q24" i="8"/>
  <c r="S24" i="8" s="1"/>
  <c r="V24" i="8"/>
  <c r="AF24" i="8" s="1"/>
  <c r="AE24" i="8"/>
  <c r="Y13" i="8" l="1"/>
  <c r="AG13" i="8" s="1"/>
  <c r="Y12" i="8"/>
  <c r="AG12" i="8" s="1"/>
  <c r="T18" i="8"/>
  <c r="U24" i="8"/>
  <c r="U18" i="8"/>
  <c r="Y18" i="8" s="1"/>
  <c r="AG18" i="8" s="1"/>
  <c r="U23" i="8"/>
  <c r="W24" i="8"/>
  <c r="W23" i="8"/>
  <c r="T23" i="8"/>
  <c r="L23" i="8" s="1"/>
  <c r="U22" i="8"/>
  <c r="W22" i="8"/>
  <c r="T24" i="8"/>
  <c r="L24" i="8" s="1"/>
  <c r="T22" i="8"/>
  <c r="L22" i="8" s="1"/>
  <c r="AF23" i="8"/>
  <c r="Y23" i="8" l="1"/>
  <c r="AG23" i="8" s="1"/>
  <c r="AH23" i="8" s="1"/>
  <c r="AI23" i="8" s="1"/>
  <c r="Y24" i="8"/>
  <c r="AG24" i="8" s="1"/>
  <c r="AH24" i="8" s="1"/>
  <c r="AI24" i="8" s="1"/>
  <c r="AJ24" i="8" s="1"/>
  <c r="AK24" i="8" s="1"/>
  <c r="AH13" i="8"/>
  <c r="AI13" i="8" s="1"/>
  <c r="J13" i="8" s="1"/>
  <c r="K13" i="8" s="1"/>
  <c r="AH12" i="8"/>
  <c r="AI12" i="8" s="1"/>
  <c r="J12" i="8" s="1"/>
  <c r="K12" i="8" s="1"/>
  <c r="AH18" i="8"/>
  <c r="AI18" i="8" s="1"/>
  <c r="G18" i="8" s="1"/>
  <c r="J18" i="8" s="1"/>
  <c r="L18" i="8" s="1"/>
  <c r="Y22" i="8"/>
  <c r="AG22" i="8" s="1"/>
  <c r="AH22" i="8" s="1"/>
  <c r="AI22" i="8" s="1"/>
  <c r="AJ22" i="8" s="1"/>
  <c r="AJ23" i="8"/>
  <c r="AK23" i="8" s="1"/>
  <c r="AJ13" i="8" l="1"/>
  <c r="AK13" i="8" s="1"/>
  <c r="AJ12" i="8"/>
  <c r="AK12" i="8" s="1"/>
  <c r="AJ18" i="8"/>
  <c r="AK18" i="8" s="1"/>
  <c r="AK22" i="8"/>
  <c r="W5" i="7" l="1"/>
  <c r="J6" i="7"/>
  <c r="J5" i="7"/>
  <c r="J7" i="7" s="1"/>
  <c r="AE5" i="7"/>
  <c r="X5" i="7"/>
  <c r="V5" i="7"/>
  <c r="AF5" i="7" s="1"/>
  <c r="S5" i="7"/>
  <c r="U5" i="7" s="1"/>
  <c r="AF6" i="7"/>
  <c r="AE6" i="7"/>
  <c r="Q6" i="7"/>
  <c r="W6" i="7" s="1"/>
  <c r="Q13" i="7"/>
  <c r="S13" i="7" s="1"/>
  <c r="U13" i="7" s="1"/>
  <c r="AF13" i="7"/>
  <c r="AE13" i="7"/>
  <c r="J13" i="7"/>
  <c r="X20" i="7"/>
  <c r="T5" i="7" l="1"/>
  <c r="L5" i="7" s="1"/>
  <c r="S6" i="7"/>
  <c r="Y5" i="7"/>
  <c r="W13" i="7"/>
  <c r="Y13" i="7" s="1"/>
  <c r="AG13" i="7" s="1"/>
  <c r="AH13" i="7" s="1"/>
  <c r="AI13" i="7" s="1"/>
  <c r="T13" i="7"/>
  <c r="L13" i="7" s="1"/>
  <c r="W20" i="7"/>
  <c r="AF20" i="7"/>
  <c r="X19" i="7"/>
  <c r="W19" i="7"/>
  <c r="V19" i="7"/>
  <c r="AF19" i="7" s="1"/>
  <c r="Q18" i="7"/>
  <c r="W18" i="7" s="1"/>
  <c r="T6" i="7" l="1"/>
  <c r="L6" i="7" s="1"/>
  <c r="U6" i="7"/>
  <c r="Y6" i="7" s="1"/>
  <c r="AG5" i="7"/>
  <c r="AH5" i="7" s="1"/>
  <c r="AI5" i="7" s="1"/>
  <c r="AJ13" i="7"/>
  <c r="AK13" i="7" s="1"/>
  <c r="AE20" i="7"/>
  <c r="S20" i="7"/>
  <c r="U20" i="7" s="1"/>
  <c r="AE19" i="7"/>
  <c r="S19" i="7"/>
  <c r="T19" i="7" s="1"/>
  <c r="Q17" i="7"/>
  <c r="W17" i="7" s="1"/>
  <c r="AE18" i="7"/>
  <c r="V18" i="7"/>
  <c r="AF18" i="7" s="1"/>
  <c r="S18" i="7"/>
  <c r="J18" i="7"/>
  <c r="AE17" i="7"/>
  <c r="V17" i="7"/>
  <c r="W4" i="5"/>
  <c r="AA6" i="5"/>
  <c r="AE6" i="5" s="1"/>
  <c r="X6" i="5"/>
  <c r="V6" i="5"/>
  <c r="W6" i="5"/>
  <c r="AG6" i="7" l="1"/>
  <c r="AH6" i="7" s="1"/>
  <c r="AI6" i="7" s="1"/>
  <c r="AJ6" i="7" s="1"/>
  <c r="AK6" i="7" s="1"/>
  <c r="AJ5" i="7"/>
  <c r="AK5" i="7" s="1"/>
  <c r="Y20" i="7"/>
  <c r="AG20" i="7" s="1"/>
  <c r="AH20" i="7" s="1"/>
  <c r="AI20" i="7" s="1"/>
  <c r="T20" i="7"/>
  <c r="U19" i="7"/>
  <c r="Y19" i="7" s="1"/>
  <c r="AG19" i="7" s="1"/>
  <c r="AH19" i="7" s="1"/>
  <c r="AI19" i="7" s="1"/>
  <c r="J19" i="7" s="1"/>
  <c r="L19" i="7" s="1"/>
  <c r="S17" i="7"/>
  <c r="U18" i="7"/>
  <c r="Y18" i="7" s="1"/>
  <c r="T18" i="7"/>
  <c r="L18" i="7" s="1"/>
  <c r="S6" i="5"/>
  <c r="AE4" i="5"/>
  <c r="V4" i="5"/>
  <c r="S4" i="5"/>
  <c r="U4" i="5" s="1"/>
  <c r="AJ20" i="7" l="1"/>
  <c r="AK20" i="7" s="1"/>
  <c r="J20" i="7"/>
  <c r="L20" i="7" s="1"/>
  <c r="AJ19" i="7"/>
  <c r="AK19" i="7" s="1"/>
  <c r="U17" i="7"/>
  <c r="Y17" i="7" s="1"/>
  <c r="AG17" i="7" s="1"/>
  <c r="AH17" i="7" s="1"/>
  <c r="AI17" i="7" s="1"/>
  <c r="J17" i="7" s="1"/>
  <c r="T17" i="7"/>
  <c r="AG18" i="7"/>
  <c r="AH18" i="7" s="1"/>
  <c r="AI18" i="7" s="1"/>
  <c r="T6" i="5"/>
  <c r="U6" i="5"/>
  <c r="Y6" i="5" s="1"/>
  <c r="T4" i="5"/>
  <c r="Y4" i="5"/>
  <c r="AG4" i="5" s="1"/>
  <c r="AH4" i="5" s="1"/>
  <c r="AI4" i="5" s="1"/>
  <c r="J4" i="5" s="1"/>
  <c r="L17" i="7" l="1"/>
  <c r="AJ18" i="7"/>
  <c r="AK18" i="7" s="1"/>
  <c r="AJ17" i="7"/>
  <c r="AK17" i="7" s="1"/>
  <c r="L4" i="5"/>
  <c r="AG6" i="5"/>
  <c r="AH6" i="5" s="1"/>
  <c r="AI6" i="5" s="1"/>
  <c r="AJ4" i="5"/>
  <c r="AK4" i="5" s="1"/>
  <c r="AJ6" i="5" l="1"/>
  <c r="AK6" i="5" s="1"/>
  <c r="J6" i="5"/>
  <c r="L6" i="5" s="1"/>
</calcChain>
</file>

<file path=xl/sharedStrings.xml><?xml version="1.0" encoding="utf-8"?>
<sst xmlns="http://schemas.openxmlformats.org/spreadsheetml/2006/main" count="437" uniqueCount="102">
  <si>
    <t>COTIZACIÓN PROPUESTA_CKM_14.04.25</t>
  </si>
  <si>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</si>
  <si>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</si>
  <si>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</si>
  <si>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</si>
  <si>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</si>
  <si>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</si>
  <si>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</si>
  <si>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</si>
  <si>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</si>
  <si>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</si>
  <si>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</si>
  <si>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</si>
  <si>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</si>
  <si>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</si>
  <si>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</si>
  <si>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</si>
  <si>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</si>
  <si>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</si>
  <si>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</si>
  <si>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</si>
  <si>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</si>
  <si>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</si>
  <si>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</si>
  <si>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</si>
  <si>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</si>
  <si>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</si>
  <si>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</si>
  <si>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</si>
  <si>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</si>
  <si>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</si>
  <si>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</si>
  <si>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</si>
  <si>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</si>
  <si>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MUG TERMICO</t>
  </si>
  <si>
    <t>5 a 7 Días utiles</t>
  </si>
  <si>
    <r>
      <t>MUG TERMICO</t>
    </r>
    <r>
      <rPr>
        <sz val="16"/>
        <rFont val="Arial"/>
        <family val="2"/>
      </rPr>
      <t xml:space="preserve">
Descripcion: Jarro Mug de acero inoxidable                                                                                                                                   Material: acero inoxidable exterior e interior  y tapa plastica                                                                                                       Capacidad: 400 ml.                                                                                                                   Medidas: 11.5cm x 8 cm diametro 
Color: Azul                                                                                 
Presentación: Caja individual
</t>
    </r>
    <r>
      <rPr>
        <b/>
        <sz val="16"/>
        <color rgb="FFFF0000"/>
        <rFont val="Arial"/>
        <family val="2"/>
      </rPr>
      <t>*Incluye logo a 1 color a 1 lado en DTF.
*Diseño o arte facilitado por el cliente.</t>
    </r>
  </si>
  <si>
    <t>APROBADO</t>
  </si>
  <si>
    <t xml:space="preserve">HPM </t>
  </si>
  <si>
    <r>
      <t>MUG TERMICO</t>
    </r>
    <r>
      <rPr>
        <sz val="16"/>
        <rFont val="Arial"/>
        <family val="2"/>
      </rPr>
      <t xml:space="preserve">
Descripcion: Jarro Mug de acero inoxidable                                                                                                                                   Material: acero inoxidable exterior e interior  y tapa plastica                                                                                                       Capacidad: 400 ml.                                                                                                                   Medidas: 11.5cm x 8 cm diametro 
Color: Azul                                                                                 
Presentación: Caja individual
</t>
    </r>
    <r>
      <rPr>
        <b/>
        <sz val="16"/>
        <color rgb="FFFF0000"/>
        <rFont val="Arial"/>
        <family val="2"/>
      </rPr>
      <t>*Incluye logo a 1 color a 1 lado en UV 
*Diseño o arte facilitado por el cliente.</t>
    </r>
  </si>
  <si>
    <t>UV EDGAR</t>
  </si>
  <si>
    <t>COTIZACIÓN PROPUESTA_CKM_23.03.26</t>
  </si>
  <si>
    <t>LLAVERO PELUCHE</t>
  </si>
  <si>
    <t>Imagen Referencial</t>
  </si>
  <si>
    <t>14 a 15 Días utiles</t>
  </si>
  <si>
    <r>
      <rPr>
        <b/>
        <u/>
        <sz val="16"/>
        <color rgb="FF000000"/>
        <rFont val="Arial"/>
        <family val="2"/>
      </rPr>
      <t xml:space="preserve">LLAVERO PELUCHE
</t>
    </r>
    <r>
      <rPr>
        <sz val="16"/>
        <color rgb="FF000000"/>
        <rFont val="Arial"/>
        <family val="2"/>
      </rPr>
      <t xml:space="preserve">Material: Tela Bizon o terciopelo, napa de relleno.
Paño Lency para las manitas, patitas y su cresta.
Medida: 9 - 10 cm aprox de alto, ancho proporcional.
Modelo: Pollito con 1 gesto y lentes en bordado
Colores: a elegir.
Acabados: Antialergico, llavero con argolla metálico.
Presentacion: Empaque grupal, no bolsa individual
</t>
    </r>
    <r>
      <rPr>
        <b/>
        <sz val="16"/>
        <color rgb="FFFF0000"/>
        <rFont val="Arial"/>
        <family val="2"/>
      </rPr>
      <t>*Incluye 1 logo bordado a 1 lado.
*Arte y diseño facilitado por el cliente.</t>
    </r>
  </si>
  <si>
    <t>12.95-13.19</t>
  </si>
  <si>
    <t>ESCORP
Miguel
Cel.986 647 267
/
PELUCHES A&amp;E
Esteher
Cel.928 086 936
Prov. Nuevo
Manchay
/
GUSTAVO</t>
  </si>
  <si>
    <t>ESCORP
400 und a S/.7.00 Incluido IGV
Tiempo 6 dias
Muestra S/.300
Tiempo 2 dias
Si fuera con cambio de gesto carita
S/.7.80 Incluido IGV
/
PELUCHES A&amp;E
400 und a S/.7.00 +IGV
Tiempo 10 a 14 dias
Cambio de gesto carita mismo precio
Muestra S/.50</t>
  </si>
  <si>
    <t>INCLUYE</t>
  </si>
  <si>
    <t>MUESTRA FUNKO POLLITO</t>
  </si>
  <si>
    <t>5 a 7 Dïas útiles</t>
  </si>
  <si>
    <r>
      <rPr>
        <b/>
        <u/>
        <sz val="16"/>
        <color rgb="FF000000"/>
        <rFont val="Arial"/>
        <family val="2"/>
      </rPr>
      <t xml:space="preserve">MUESTRA FUNKO POLLITO
</t>
    </r>
    <r>
      <rPr>
        <sz val="16"/>
        <color rgb="FF000000"/>
        <rFont val="Arial"/>
        <family val="2"/>
      </rPr>
      <t xml:space="preserve">Material: Filamento de PLA (Calidad estandar)
Modelo 3D de funko pollito amarillo, partes armables.
Medida: 9.3 cm ancho x 8.4 cm
profundidad x 8 cm alto.
Base Delgado: Cuadrada, transparente
Presentacion: Cajita individual personalizada
</t>
    </r>
    <r>
      <rPr>
        <b/>
        <sz val="16"/>
        <color rgb="FFFF0000"/>
        <rFont val="Arial"/>
        <family val="2"/>
      </rPr>
      <t>*Incluye 1 logo a 1 color en la espalda del pollito.
*Arte y diseño facilitado por el cliente.</t>
    </r>
  </si>
  <si>
    <t>CREAMI
Bania
Cel.979 821 442</t>
  </si>
  <si>
    <t>S/ 78.00 + 4.50 +1.50</t>
  </si>
  <si>
    <t>S/.87.50 +IGV C/U
Incluye 1 logo de 1 a 2 colores
Costo adicional S/.1.00 por color en el logo
Tiempo 12 dias
Muestra S/.96</t>
  </si>
  <si>
    <t xml:space="preserve">SUB TOTAL </t>
  </si>
  <si>
    <t>COTIZACIÓN PROPUESTA_CKM_19.03.26</t>
  </si>
  <si>
    <t>FUNKO POLLITO</t>
  </si>
  <si>
    <t>15 a 17 Días utiles</t>
  </si>
  <si>
    <r>
      <rPr>
        <b/>
        <u/>
        <sz val="16"/>
        <rFont val="Arial"/>
        <family val="2"/>
      </rPr>
      <t>FUNKO POLLITO</t>
    </r>
    <r>
      <rPr>
        <sz val="16"/>
        <rFont val="Arial"/>
        <family val="2"/>
      </rPr>
      <t xml:space="preserve">
Material: Filamento de PLA (Calidad estandar)
Modelo 3D de funko pollito amarillo, partes armables.
Medida: 9.3 cm ancho x 8.4 cm
profundidad x 8 cm alto.
Base Delgado: Cuadrada
Presentacion: Cajita individual personalizada
</t>
    </r>
    <r>
      <rPr>
        <b/>
        <sz val="16"/>
        <color rgb="FFFF0000"/>
        <rFont val="Arial"/>
        <family val="2"/>
      </rPr>
      <t>*Incluye 1 logo a 1 color en la espalda del pollito.
*Arte y diseño facilitado por el cliente.</t>
    </r>
  </si>
  <si>
    <t>COTIZACIÓN PROPUESTA_CKM_10.03.26</t>
  </si>
  <si>
    <t>COCH-926NN</t>
  </si>
  <si>
    <t>LAPICERO ECOLOGICO</t>
  </si>
  <si>
    <r>
      <t xml:space="preserve">LAPICEROS ECOLOGICO 
</t>
    </r>
    <r>
      <rPr>
        <sz val="16"/>
        <rFont val="Arial"/>
        <family val="2"/>
      </rPr>
      <t xml:space="preserve">Material: Carton reciclado y Plástico
Modelo: Sistema retractil, cuerpo y  clip de un solo color 
Colores: Verde, azul, negro y rojo
Caja grupal, no individual
</t>
    </r>
    <r>
      <rPr>
        <b/>
        <sz val="16"/>
        <color rgb="FFFF0000"/>
        <rFont val="Arial"/>
        <family val="2"/>
      </rPr>
      <t>*Incluye 1 Logo a 1 color por 1 lado en serigrafia.
*Arte y diseño facilitado por el cliente.</t>
    </r>
  </si>
  <si>
    <t>CHIPPER</t>
  </si>
  <si>
    <t>926NN</t>
  </si>
  <si>
    <t>S/.0.33 incluido IGV</t>
  </si>
  <si>
    <t>Precio Ref.
Santos
S/.90 + IGV</t>
  </si>
  <si>
    <t>BOLSA NOTEX GRANDE PLANA</t>
  </si>
  <si>
    <r>
      <rPr>
        <b/>
        <u/>
        <sz val="16"/>
        <color theme="1"/>
        <rFont val="Arial"/>
        <family val="2"/>
      </rPr>
      <t>BOLSA NOTEX GRANDE PLANA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Notex de 80 gramos
Medidas: Alto 40 cm x Ancho 35 cm
Acabados: Con asas y termosellado
Color: Azul o a elegir.
Presentación: empaque grupal.
</t>
    </r>
    <r>
      <rPr>
        <b/>
        <sz val="16"/>
        <color rgb="FFFF0000"/>
        <rFont val="Arial"/>
        <family val="2"/>
      </rPr>
      <t>*Incluye impresion  a 1 color en ambos lados dentro de área limitada.
*Arte y diseño debe ser facilitado por el cliente.</t>
    </r>
  </si>
  <si>
    <t>OLAF</t>
  </si>
  <si>
    <t>S/.5.40 + IGV</t>
  </si>
  <si>
    <r>
      <rPr>
        <b/>
        <u/>
        <sz val="16"/>
        <rFont val="Arial"/>
        <family val="2"/>
      </rPr>
      <t>LLAVERO PELUCHE</t>
    </r>
    <r>
      <rPr>
        <sz val="16"/>
        <rFont val="Arial"/>
        <family val="2"/>
      </rPr>
      <t xml:space="preserve">
Material: Tela Bizon o terciopelo, napa de relleno.
Paño Lency para las manitas, patitas y su cresta.
Medida: 9 - 10 cm aprox de alto, ancho proporcional.
Modelo: Pollito con 1 gesto y lentes en bordado
Colores: a elegir.
Acabados: Antialergico, llavero con argolla metálico.
Presentacion: Empaque grupal, no bolsa individual
</t>
    </r>
    <r>
      <rPr>
        <b/>
        <sz val="16"/>
        <color rgb="FFFF0000"/>
        <rFont val="Arial"/>
        <family val="2"/>
      </rPr>
      <t>*Incluye 1 logo bordado a 1 lado.
*Arte y diseño facilitado por el cliente.</t>
    </r>
  </si>
  <si>
    <t>ESCORP
Miguel
Cel.986 647 267
/
PELUCHES A&amp;E
Esteher
Cel.928 086 936
Prov. Nuevo
Manchay</t>
  </si>
  <si>
    <r>
      <rPr>
        <b/>
        <u/>
        <sz val="16"/>
        <rFont val="Arial"/>
        <family val="2"/>
      </rPr>
      <t>FUNKO POLLITO</t>
    </r>
    <r>
      <rPr>
        <sz val="16"/>
        <rFont val="Arial"/>
        <family val="2"/>
      </rPr>
      <t xml:space="preserve">
Material: Filamento de PLA (Calidad estandar)
Modelo 3D de funko pollito amarillo
Medida: 9.3 cm ancho x 8.4 cm
profundidad x 8 cm alto.
Base: Cuadrada o circular
Medida: 2.5 cm de altura
Presentacion: Cajita individual personalizada
</t>
    </r>
    <r>
      <rPr>
        <b/>
        <sz val="16"/>
        <color rgb="FFFF0000"/>
        <rFont val="Arial"/>
        <family val="2"/>
      </rPr>
      <t>*Incluye 1 logo de 1 a 2 colores en la base
*Arte y diseño facilitado por el cliente.
S/.1.50 +IGV costo adicional color en el logo</t>
    </r>
  </si>
  <si>
    <t>COTIZACIÓN PROPUESTA_CKM_08.05.26</t>
  </si>
  <si>
    <t>APROBADA</t>
  </si>
  <si>
    <t>CAMISAS NOVA</t>
  </si>
  <si>
    <t>Imagen referencial</t>
  </si>
  <si>
    <t>10 a 12 Días útiles</t>
  </si>
  <si>
    <r>
      <rPr>
        <b/>
        <u/>
        <sz val="16"/>
        <color rgb="FF000000"/>
        <rFont val="Arial"/>
        <family val="2"/>
      </rPr>
      <t xml:space="preserve">CAMISAS NOVA
</t>
    </r>
    <r>
      <rPr>
        <sz val="16"/>
        <color rgb="FF000000"/>
        <rFont val="Arial"/>
        <family val="2"/>
      </rPr>
      <t xml:space="preserve">Modelo: Cuello camisero, mangas largas. Sin bolsillo en pecho
Material: Nova (poliester/spandex) 
Color: A elegir.
Tallas: S, M, L,XL(5), XXL(1)
Molde Mujer y hombre.
Presentación: Bolsa individual
</t>
    </r>
    <r>
      <rPr>
        <b/>
        <sz val="16"/>
        <color rgb="FFFF0000"/>
        <rFont val="Arial"/>
        <family val="2"/>
      </rPr>
      <t>* Incluye 1 logo bordado en Pecho, tipo insginia.
* Arte y diseño debe ser facilitado por el cliente</t>
    </r>
  </si>
  <si>
    <t>MAGALY</t>
  </si>
  <si>
    <t>45.00 soles incl IGV
XL 3.00
XXL 5.00</t>
  </si>
  <si>
    <t>Ya incluye</t>
  </si>
  <si>
    <t>COTIZACIÓN PROPUESTA_CKM_06.05.26</t>
  </si>
  <si>
    <t>CAMISAS OXFORD PARCELA</t>
  </si>
  <si>
    <r>
      <rPr>
        <b/>
        <u/>
        <sz val="16"/>
        <color rgb="FF000000"/>
        <rFont val="Arial"/>
        <family val="2"/>
      </rPr>
      <t xml:space="preserve">CAMISAS OXFORD PARCELA
</t>
    </r>
    <r>
      <rPr>
        <sz val="16"/>
        <color rgb="FF000000"/>
        <rFont val="Arial"/>
        <family val="2"/>
      </rPr>
      <t xml:space="preserve">Modelo: Cuello camisero, mangas largas. Sin bolsillo en pecho
Material: Oxford Parcela ( 35% algodon y 65% poliester)
Color (tipo jaspeado): A elegir..
Tallas: S, M, L,XL(5), XXL(1)
Molde Mujer y hombre.
Presentación: Bolsa individual
</t>
    </r>
    <r>
      <rPr>
        <b/>
        <sz val="16"/>
        <color rgb="FFFF0000"/>
        <rFont val="Arial"/>
        <family val="2"/>
      </rPr>
      <t>* Incluye 1 logo bordado en Pecho, tipo insginia.
* Arte y diseño debe ser facilitado por el cliente</t>
    </r>
  </si>
  <si>
    <t>CONFECCION REYES
DANIXA
 956 240 802</t>
  </si>
  <si>
    <t>en tallas: S-M-L LE SALDRIA EN 55.00 c/u .
en tallas: XL: 59.00 C/U 
y en XXL: 63.00 C/U</t>
  </si>
  <si>
    <t>COTIZACIÓN PROPUESTA_CKM_21.04.26</t>
  </si>
  <si>
    <t>COEF-M-0914</t>
  </si>
  <si>
    <t>NOTEBOOK A 6</t>
  </si>
  <si>
    <r>
      <t xml:space="preserve">NOTEBOOK A6
</t>
    </r>
    <r>
      <rPr>
        <sz val="16"/>
        <rFont val="Arial"/>
        <family val="2"/>
      </rPr>
      <t xml:space="preserve">Medida: 9 cm de ancho x 14 cm de largo.
Libreta tamaño A6 con liga y cinta separadora de color, 80 hojas rayadas color crema.
Color: Azul
Presentacion: Caja grupal, no bolsa individual
</t>
    </r>
    <r>
      <rPr>
        <b/>
        <sz val="16"/>
        <color rgb="FFFF0000"/>
        <rFont val="Arial"/>
        <family val="2"/>
      </rPr>
      <t>*Incluye 1 logo a 1 color a un lado
*Diseño o arte facilitado por el cliente</t>
    </r>
  </si>
  <si>
    <t xml:space="preserve">               
                                  PROMO MERCH
/                                            EYF 
/
PUBLITRADE
//
TIENDA PUBLICITARIA</t>
  </si>
  <si>
    <t xml:space="preserve">
ECO-12
/
M-0914
/ 
 M0914</t>
  </si>
  <si>
    <t>PROMO MERCH 
50 a 100: S/3.5
500 a 1000: S/3.3
+IGV
/
EYF
50 a 100: S/3.5
500 a 1000: S/3.3
+IGV 
/
PUBLITRADE
100 a 499 und: S/330
500 a 1000 und: S/ 3200
Incluye IGV
No hay color naranja gris y morado</t>
  </si>
  <si>
    <t>uv</t>
  </si>
  <si>
    <t>COTIZACIÓN PROPUESTA_CKM_06.04.25</t>
  </si>
  <si>
    <r>
      <rPr>
        <b/>
        <u/>
        <sz val="16"/>
        <color theme="1"/>
        <rFont val="Arial"/>
        <family val="2"/>
      </rPr>
      <t>BOLSA NOTEX GRANDE PLANA</t>
    </r>
    <r>
      <rPr>
        <b/>
        <u/>
        <sz val="16"/>
        <rFont val="Arial"/>
        <family val="2"/>
      </rPr>
      <t xml:space="preserve">
</t>
    </r>
    <r>
      <rPr>
        <sz val="16"/>
        <rFont val="Arial"/>
        <family val="2"/>
      </rPr>
      <t xml:space="preserve">Material: Notex de 80 gramos
Medidas: Alto 40 cm x Ancho 35 cm
Acabados: Con asas y termosellado
Color: Azul o a elegir.
Presentación: empaque grupal.
</t>
    </r>
    <r>
      <rPr>
        <b/>
        <sz val="16"/>
        <color rgb="FFFF0000"/>
        <rFont val="Arial"/>
        <family val="2"/>
      </rPr>
      <t>*Incluye impresion  logo + slogan a 1 color a 1 lado.
*Arte y diseño debe ser facilitado por el cliente.</t>
    </r>
  </si>
  <si>
    <t>Prov. Esppnjoosos Peluches
Anahi
901 246 532</t>
  </si>
  <si>
    <r>
      <rPr>
        <b/>
        <u/>
        <sz val="16"/>
        <rFont val="Arial"/>
        <family val="2"/>
      </rPr>
      <t>LLAVERO PELUCHE</t>
    </r>
    <r>
      <rPr>
        <sz val="16"/>
        <rFont val="Arial"/>
        <family val="2"/>
      </rPr>
      <t xml:space="preserve">
Material: Tela Bizon o terciopelo, napa de relleno.
Medida: 9 - 10 cm aprox de alto, ancho proporcional.
Modelo: Cerdito
Acabados: Antialergico, llavero metálico.
Presentacion: Empaque grupal, no bolsa individual
</t>
    </r>
    <r>
      <rPr>
        <b/>
        <sz val="16"/>
        <color rgb="FFFF0000"/>
        <rFont val="Arial"/>
        <family val="2"/>
      </rPr>
      <t>*Incluye 1 logo bordado a 1 lado.
*Arte y diseño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</si>
</sst>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&quot;S/.&quot;\ #,##0.00"/>
    <numFmt numFmtId="168" formatCode="[$S/.-280A]\ #,##0.00"/>
    <numFmt numFmtId="169" formatCode="_-[$$-409]* #,##0.00_ ;_-[$$-409]* \-#,##0.00\ ;_-[$$-409]* &quot;-&quot;??_ ;_-@_ "/>
    <numFmt numFmtId="170" formatCode="_ * #,##0.00_ ;_ * \-#,##0.00_ ;_ * &quot;-&quot;??_ ;_ @_ "/>
    <numFmt numFmtId="171" formatCode="_ &quot;S/.&quot;\ * #,##0.00_ ;_ &quot;S/.&quot;\ * \-#,##0.00_ ;_ &quot;S/.&quot;\ * &quot;-&quot;??_ ;_ @_ "/>
    <numFmt numFmtId="172" formatCode="_-* #,##0.00\ _€_-;\-* #,##0.00\ _€_-;_-* &quot;-&quot;??\ _€_-;_-@_-"/>
    <numFmt numFmtId="173" formatCode="_(&quot;$&quot;* #,##0.00_);_(&quot;$&quot;* \(#,##0.00\);_(&quot;$&quot;* &quot;-&quot;??_);_(@_)"/>
    <numFmt numFmtId="174" formatCode="_(&quot;$&quot;* #,##0_);_(&quot;$&quot;* \(#,##0\);_(&quot;$&quot;* &quot;-&quot;_);_(@_)"/>
    <numFmt numFmtId="175" formatCode="_([$€-2]\ * #,##0.00_);_([$€-2]\ * \(#,##0.00\);_([$€-2]\ * &quot;-&quot;??_)"/>
    <numFmt numFmtId="176" formatCode="_-[$€]* #,##0.00_-;\-[$€]* #,##0.00_-;_-[$€]* &quot;-&quot;??_-;_-@_-"/>
    <numFmt numFmtId="177" formatCode="[$S/.-280A]\ #,##0.000"/>
    <numFmt numFmtId="178" formatCode="_ &quot;S/.&quot;* #,##0.00_ ;_ &quot;S/.&quot;* \-#,##0.00_ ;_ &quot;S/.&quot;* &quot;-&quot;??_ ;_ @_ "/>
    <numFmt numFmtId="179" formatCode="_(&quot;S/.&quot;\ * #,##0.00_);_(&quot;S/.&quot;\ * \(#,##0.00\);_(&quot;S/.&quot;\ * &quot;-&quot;??_);_(@_)"/>
    <numFmt numFmtId="180" formatCode="_ &quot;€&quot;* #,##0.00_ ;_ &quot;€&quot;* \-#,##0.00_ ;_ &quot;€&quot;* &quot;-&quot;??_ ;_ @_ "/>
    <numFmt numFmtId="181" formatCode="&quot;S/. &quot;#,##0.00"/>
    <numFmt numFmtId="182" formatCode="_(* #,##0_);_(* \(#,##0\);_(* \-??_);_(@_)"/>
    <numFmt numFmtId="183" formatCode="_ &quot;S/&quot;\ * #,##0.00_ ;_ &quot;S/&quot;\ * \-#,##0.00_ ;_ &quot;S/&quot;\ * &quot;-&quot;??_ ;_ @_ "/>
    <numFmt numFmtId="184" formatCode="_(* #,##0_);_(* \(#,##0\);_(* &quot;-&quot;??_);_(@_)"/>
    <numFmt numFmtId="185" formatCode="&quot;€ &quot;#,##0.00"/>
  </numFmts>
  <fonts count="94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sz val="16"/>
      <name val="Arial"/>
      <family val="2"/>
    </font>
    <font>
      <b/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color indexed="8"/>
      <name val="Arial"/>
      <family val="2"/>
    </font>
    <font>
      <b/>
      <sz val="1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rgb="FFFF0000"/>
      <name val="Arial"/>
      <family val="2"/>
    </font>
    <font>
      <sz val="11"/>
      <color indexed="52"/>
      <name val="Tahoma"/>
      <family val="2"/>
      <charset val="1"/>
    </font>
    <font>
      <sz val="14"/>
      <color indexed="8"/>
      <name val="Arial"/>
      <family val="2"/>
    </font>
    <font>
      <b/>
      <sz val="11"/>
      <color indexed="8"/>
      <name val="Tahoma"/>
      <family val="2"/>
    </font>
    <font>
      <sz val="10"/>
      <color indexed="8"/>
      <name val="Arial"/>
      <family val="2"/>
    </font>
    <font>
      <b/>
      <u/>
      <sz val="16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1"/>
      <color indexed="8"/>
      <name val="Arial"/>
      <family val="2"/>
    </font>
    <font>
      <sz val="12"/>
      <name val="宋体"/>
      <charset val="134"/>
    </font>
    <font>
      <sz val="10"/>
      <name val="Times New Roman"/>
      <family val="1"/>
    </font>
    <font>
      <u/>
      <sz val="7.5"/>
      <color indexed="12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  <scheme val="minor"/>
    </font>
    <font>
      <u/>
      <sz val="6.05"/>
      <color theme="10"/>
      <name val="Calibri"/>
      <family val="2"/>
    </font>
    <font>
      <sz val="11"/>
      <color rgb="FF000000"/>
      <name val="Calibri"/>
      <family val="2"/>
    </font>
    <font>
      <sz val="14"/>
      <color theme="1"/>
      <name val="Arial"/>
      <family val="2"/>
    </font>
    <font>
      <b/>
      <sz val="14"/>
      <color indexed="10"/>
      <name val="Arial"/>
      <family val="2"/>
    </font>
    <font>
      <b/>
      <sz val="16"/>
      <color indexed="9"/>
      <name val="Arial"/>
      <family val="2"/>
    </font>
    <font>
      <sz val="11"/>
      <color indexed="10"/>
      <name val="Arial"/>
      <family val="2"/>
    </font>
    <font>
      <sz val="16"/>
      <color indexed="10"/>
      <name val="Arial"/>
      <family val="2"/>
    </font>
    <font>
      <b/>
      <u/>
      <sz val="16"/>
      <color theme="1"/>
      <name val="Arial"/>
      <family val="2"/>
    </font>
    <font>
      <sz val="12"/>
      <name val="Arial"/>
      <family val="2"/>
    </font>
    <font>
      <sz val="18"/>
      <color rgb="FFFF0000"/>
      <name val="Arial"/>
      <family val="2"/>
    </font>
    <font>
      <b/>
      <sz val="14"/>
      <color rgb="FFFF0000"/>
      <name val="Arial"/>
      <family val="2"/>
    </font>
    <font>
      <b/>
      <u/>
      <sz val="16"/>
      <color rgb="FF000000"/>
      <name val="Arial"/>
      <family val="2"/>
    </font>
    <font>
      <sz val="1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indexed="63"/>
      <name val="Arial"/>
      <family val="2"/>
    </font>
    <font>
      <sz val="14"/>
      <color indexed="63"/>
      <name val="Arial"/>
      <family val="2"/>
    </font>
    <font>
      <sz val="14"/>
      <color indexed="10"/>
      <name val="Arial"/>
      <family val="2"/>
    </font>
    <font>
      <b/>
      <sz val="18"/>
      <color rgb="FFFFFF00"/>
      <name val="Arial"/>
      <family val="2"/>
    </font>
    <font>
      <b/>
      <sz val="18"/>
      <color theme="1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sz val="14"/>
      <color rgb="FFFF0000"/>
      <name val="Arial"/>
      <family val="2"/>
    </font>
    <font>
      <b/>
      <sz val="14"/>
      <color theme="0"/>
      <name val="Arial"/>
      <family val="2"/>
    </font>
    <font>
      <sz val="20"/>
      <color indexed="8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indexed="13"/>
      </patternFill>
    </fill>
    <fill>
      <patternFill patternType="solid">
        <fgColor rgb="FFFFC000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10">
    <xf numFmtId="0" fontId="0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22" fillId="0" borderId="6" applyProtection="0">
      <alignment vertical="center"/>
    </xf>
    <xf numFmtId="169" fontId="7" fillId="0" borderId="0" applyFont="0" applyFill="0" applyBorder="0" applyAlignment="0" applyProtection="0"/>
    <xf numFmtId="0" fontId="5" fillId="0" borderId="0"/>
    <xf numFmtId="169" fontId="7" fillId="0" borderId="0" applyFont="0" applyFill="0" applyBorder="0" applyAlignment="0" applyProtection="0"/>
    <xf numFmtId="0" fontId="7" fillId="0" borderId="0"/>
    <xf numFmtId="0" fontId="4" fillId="0" borderId="0"/>
    <xf numFmtId="0" fontId="3" fillId="0" borderId="0"/>
    <xf numFmtId="0" fontId="31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50" fillId="23" borderId="0" applyProtection="0">
      <alignment vertical="center"/>
    </xf>
    <xf numFmtId="0" fontId="50" fillId="23" borderId="0" applyProtection="0">
      <alignment vertical="center"/>
    </xf>
    <xf numFmtId="0" fontId="50" fillId="24" borderId="0" applyProtection="0">
      <alignment vertical="center"/>
    </xf>
    <xf numFmtId="0" fontId="50" fillId="24" borderId="0" applyProtection="0">
      <alignment vertical="center"/>
    </xf>
    <xf numFmtId="0" fontId="50" fillId="25" borderId="0" applyProtection="0">
      <alignment vertical="center"/>
    </xf>
    <xf numFmtId="0" fontId="50" fillId="25" borderId="0" applyProtection="0">
      <alignment vertical="center"/>
    </xf>
    <xf numFmtId="0" fontId="50" fillId="26" borderId="0" applyProtection="0">
      <alignment vertical="center"/>
    </xf>
    <xf numFmtId="0" fontId="50" fillId="26" borderId="0" applyProtection="0">
      <alignment vertical="center"/>
    </xf>
    <xf numFmtId="0" fontId="50" fillId="27" borderId="0" applyProtection="0">
      <alignment vertical="center"/>
    </xf>
    <xf numFmtId="0" fontId="50" fillId="27" borderId="0" applyProtection="0">
      <alignment vertical="center"/>
    </xf>
    <xf numFmtId="0" fontId="50" fillId="28" borderId="0" applyProtection="0">
      <alignment vertical="center"/>
    </xf>
    <xf numFmtId="0" fontId="50" fillId="28" borderId="0" applyProtection="0">
      <alignment vertical="center"/>
    </xf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20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50" fillId="33" borderId="0" applyProtection="0">
      <alignment vertical="center"/>
    </xf>
    <xf numFmtId="0" fontId="50" fillId="33" borderId="0" applyProtection="0">
      <alignment vertical="center"/>
    </xf>
    <xf numFmtId="0" fontId="50" fillId="34" borderId="0" applyProtection="0">
      <alignment vertical="center"/>
    </xf>
    <xf numFmtId="0" fontId="50" fillId="34" borderId="0" applyProtection="0">
      <alignment vertical="center"/>
    </xf>
    <xf numFmtId="0" fontId="50" fillId="35" borderId="0" applyProtection="0">
      <alignment vertical="center"/>
    </xf>
    <xf numFmtId="0" fontId="50" fillId="35" borderId="0" applyProtection="0">
      <alignment vertical="center"/>
    </xf>
    <xf numFmtId="0" fontId="50" fillId="26" borderId="0" applyProtection="0">
      <alignment vertical="center"/>
    </xf>
    <xf numFmtId="0" fontId="50" fillId="26" borderId="0" applyProtection="0">
      <alignment vertical="center"/>
    </xf>
    <xf numFmtId="0" fontId="50" fillId="33" borderId="0" applyProtection="0">
      <alignment vertical="center"/>
    </xf>
    <xf numFmtId="0" fontId="50" fillId="33" borderId="0" applyProtection="0">
      <alignment vertical="center"/>
    </xf>
    <xf numFmtId="0" fontId="50" fillId="36" borderId="0" applyProtection="0">
      <alignment vertical="center"/>
    </xf>
    <xf numFmtId="0" fontId="50" fillId="36" borderId="0" applyProtection="0">
      <alignment vertical="center"/>
    </xf>
    <xf numFmtId="0" fontId="33" fillId="37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51" fillId="41" borderId="0" applyProtection="0">
      <alignment vertical="center"/>
    </xf>
    <xf numFmtId="0" fontId="51" fillId="41" borderId="0" applyProtection="0">
      <alignment vertical="center"/>
    </xf>
    <xf numFmtId="0" fontId="51" fillId="34" borderId="0" applyProtection="0">
      <alignment vertical="center"/>
    </xf>
    <xf numFmtId="0" fontId="51" fillId="34" borderId="0" applyProtection="0">
      <alignment vertical="center"/>
    </xf>
    <xf numFmtId="0" fontId="51" fillId="35" borderId="0" applyProtection="0">
      <alignment vertical="center"/>
    </xf>
    <xf numFmtId="0" fontId="51" fillId="35" borderId="0" applyProtection="0">
      <alignment vertical="center"/>
    </xf>
    <xf numFmtId="0" fontId="51" fillId="42" borderId="0" applyProtection="0">
      <alignment vertical="center"/>
    </xf>
    <xf numFmtId="0" fontId="51" fillId="42" borderId="0" applyProtection="0">
      <alignment vertical="center"/>
    </xf>
    <xf numFmtId="0" fontId="51" fillId="43" borderId="0" applyProtection="0">
      <alignment vertical="center"/>
    </xf>
    <xf numFmtId="0" fontId="51" fillId="43" borderId="0" applyProtection="0">
      <alignment vertical="center"/>
    </xf>
    <xf numFmtId="0" fontId="51" fillId="44" borderId="0" applyProtection="0">
      <alignment vertical="center"/>
    </xf>
    <xf numFmtId="0" fontId="51" fillId="44" borderId="0" applyProtection="0">
      <alignment vertical="center"/>
    </xf>
    <xf numFmtId="0" fontId="34" fillId="19" borderId="0" applyNumberFormat="0" applyBorder="0" applyAlignment="0" applyProtection="0"/>
    <xf numFmtId="0" fontId="35" fillId="45" borderId="9" applyNumberFormat="0" applyAlignment="0" applyProtection="0"/>
    <xf numFmtId="0" fontId="8" fillId="0" borderId="0"/>
    <xf numFmtId="0" fontId="36" fillId="46" borderId="10" applyNumberFormat="0" applyAlignment="0" applyProtection="0"/>
    <xf numFmtId="0" fontId="37" fillId="0" borderId="6" applyNumberFormat="0" applyFill="0" applyAlignment="0" applyProtection="0"/>
    <xf numFmtId="0" fontId="38" fillId="0" borderId="0" applyNumberFormat="0" applyFill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50" borderId="0" applyNumberFormat="0" applyBorder="0" applyAlignment="0" applyProtection="0"/>
    <xf numFmtId="0" fontId="39" fillId="22" borderId="9" applyNumberFormat="0" applyAlignment="0" applyProtection="0"/>
    <xf numFmtId="17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76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76" fontId="8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0" fillId="18" borderId="0" applyNumberFormat="0" applyBorder="0" applyAlignment="0" applyProtection="0"/>
    <xf numFmtId="0" fontId="8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70" fontId="7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30" fillId="0" borderId="0" applyFont="0" applyFill="0" applyBorder="0" applyAlignment="0" applyProtection="0"/>
    <xf numFmtId="178" fontId="8" fillId="0" borderId="0" applyFont="0" applyFill="0" applyBorder="0" applyAlignment="0" applyProtection="0"/>
    <xf numFmtId="180" fontId="30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41" fillId="5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7" fillId="0" borderId="0"/>
    <xf numFmtId="0" fontId="30" fillId="0" borderId="0"/>
    <xf numFmtId="0" fontId="7" fillId="0" borderId="0"/>
    <xf numFmtId="0" fontId="7" fillId="0" borderId="0"/>
    <xf numFmtId="0" fontId="30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0" fillId="0" borderId="0"/>
    <xf numFmtId="0" fontId="3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0" fillId="0" borderId="0"/>
    <xf numFmtId="0" fontId="30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25" fillId="0" borderId="0">
      <alignment vertical="top"/>
    </xf>
    <xf numFmtId="0" fontId="7" fillId="52" borderId="12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2" fillId="45" borderId="13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6" fillId="0" borderId="11" applyNumberFormat="0" applyFill="0" applyAlignment="0" applyProtection="0"/>
    <xf numFmtId="0" fontId="47" fillId="0" borderId="14" applyNumberFormat="0" applyFill="0" applyAlignment="0" applyProtection="0"/>
    <xf numFmtId="0" fontId="38" fillId="0" borderId="15" applyNumberFormat="0" applyFill="0" applyAlignment="0" applyProtection="0"/>
    <xf numFmtId="0" fontId="45" fillId="0" borderId="0" applyNumberFormat="0" applyFill="0" applyBorder="0" applyAlignment="0" applyProtection="0"/>
    <xf numFmtId="0" fontId="48" fillId="0" borderId="16" applyNumberFormat="0" applyFill="0" applyAlignment="0" applyProtection="0"/>
    <xf numFmtId="0" fontId="52" fillId="25" borderId="0" applyProtection="0">
      <alignment vertical="center"/>
    </xf>
    <xf numFmtId="0" fontId="52" fillId="25" borderId="0" applyProtection="0">
      <alignment vertical="center"/>
    </xf>
    <xf numFmtId="0" fontId="53" fillId="24" borderId="0" applyProtection="0">
      <alignment vertical="center"/>
    </xf>
    <xf numFmtId="0" fontId="53" fillId="24" borderId="0" applyProtection="0">
      <alignment vertical="center"/>
    </xf>
    <xf numFmtId="0" fontId="30" fillId="0" borderId="0" applyProtection="0"/>
    <xf numFmtId="0" fontId="51" fillId="53" borderId="0" applyProtection="0">
      <alignment vertical="center"/>
    </xf>
    <xf numFmtId="0" fontId="51" fillId="53" borderId="0" applyProtection="0">
      <alignment vertical="center"/>
    </xf>
    <xf numFmtId="0" fontId="51" fillId="54" borderId="0" applyProtection="0">
      <alignment vertical="center"/>
    </xf>
    <xf numFmtId="0" fontId="51" fillId="54" borderId="0" applyProtection="0">
      <alignment vertical="center"/>
    </xf>
    <xf numFmtId="0" fontId="51" fillId="55" borderId="0" applyProtection="0">
      <alignment vertical="center"/>
    </xf>
    <xf numFmtId="0" fontId="51" fillId="55" borderId="0" applyProtection="0">
      <alignment vertical="center"/>
    </xf>
    <xf numFmtId="0" fontId="51" fillId="42" borderId="0" applyProtection="0">
      <alignment vertical="center"/>
    </xf>
    <xf numFmtId="0" fontId="51" fillId="42" borderId="0" applyProtection="0">
      <alignment vertical="center"/>
    </xf>
    <xf numFmtId="0" fontId="51" fillId="43" borderId="0" applyProtection="0">
      <alignment vertical="center"/>
    </xf>
    <xf numFmtId="0" fontId="51" fillId="43" borderId="0" applyProtection="0">
      <alignment vertical="center"/>
    </xf>
    <xf numFmtId="0" fontId="51" fillId="56" borderId="0" applyProtection="0">
      <alignment vertical="center"/>
    </xf>
    <xf numFmtId="0" fontId="51" fillId="56" borderId="0" applyProtection="0">
      <alignment vertical="center"/>
    </xf>
    <xf numFmtId="0" fontId="54" fillId="0" borderId="0" applyProtection="0">
      <alignment vertical="center"/>
    </xf>
    <xf numFmtId="0" fontId="55" fillId="0" borderId="11" applyProtection="0">
      <alignment vertical="center"/>
    </xf>
    <xf numFmtId="0" fontId="55" fillId="0" borderId="11" applyProtection="0">
      <alignment vertical="center"/>
    </xf>
    <xf numFmtId="0" fontId="56" fillId="0" borderId="14" applyProtection="0">
      <alignment vertical="center"/>
    </xf>
    <xf numFmtId="0" fontId="56" fillId="0" borderId="14" applyProtection="0">
      <alignment vertical="center"/>
    </xf>
    <xf numFmtId="0" fontId="57" fillId="0" borderId="15" applyProtection="0">
      <alignment vertical="center"/>
    </xf>
    <xf numFmtId="0" fontId="57" fillId="0" borderId="15" applyProtection="0">
      <alignment vertical="center"/>
    </xf>
    <xf numFmtId="0" fontId="57" fillId="0" borderId="0" applyProtection="0">
      <alignment vertical="center"/>
    </xf>
    <xf numFmtId="0" fontId="57" fillId="0" borderId="0" applyProtection="0">
      <alignment vertical="center"/>
    </xf>
    <xf numFmtId="0" fontId="54" fillId="0" borderId="0" applyProtection="0">
      <alignment vertical="center"/>
    </xf>
    <xf numFmtId="0" fontId="58" fillId="13" borderId="10" applyProtection="0">
      <alignment vertical="center"/>
    </xf>
    <xf numFmtId="0" fontId="58" fillId="13" borderId="10" applyProtection="0">
      <alignment vertical="center"/>
    </xf>
    <xf numFmtId="0" fontId="24" fillId="0" borderId="16" applyProtection="0">
      <alignment vertical="center"/>
    </xf>
    <xf numFmtId="0" fontId="24" fillId="0" borderId="16" applyProtection="0">
      <alignment vertical="center"/>
    </xf>
    <xf numFmtId="0" fontId="30" fillId="57" borderId="12" applyProtection="0">
      <alignment vertical="center"/>
    </xf>
    <xf numFmtId="0" fontId="30" fillId="57" borderId="12" applyProtection="0">
      <alignment vertical="center"/>
    </xf>
    <xf numFmtId="0" fontId="59" fillId="0" borderId="0" applyProtection="0">
      <alignment vertical="center"/>
    </xf>
    <xf numFmtId="0" fontId="59" fillId="0" borderId="0" applyProtection="0">
      <alignment vertical="center"/>
    </xf>
    <xf numFmtId="0" fontId="60" fillId="0" borderId="0" applyProtection="0">
      <alignment vertical="center"/>
    </xf>
    <xf numFmtId="0" fontId="60" fillId="0" borderId="0" applyProtection="0">
      <alignment vertical="center"/>
    </xf>
    <xf numFmtId="0" fontId="61" fillId="12" borderId="9" applyProtection="0">
      <alignment vertical="center"/>
    </xf>
    <xf numFmtId="0" fontId="61" fillId="12" borderId="9" applyProtection="0">
      <alignment vertical="center"/>
    </xf>
    <xf numFmtId="0" fontId="62" fillId="28" borderId="9" applyProtection="0">
      <alignment vertical="center"/>
    </xf>
    <xf numFmtId="0" fontId="62" fillId="28" borderId="9" applyProtection="0">
      <alignment vertical="center"/>
    </xf>
    <xf numFmtId="0" fontId="63" fillId="12" borderId="13" applyProtection="0">
      <alignment vertical="center"/>
    </xf>
    <xf numFmtId="0" fontId="63" fillId="12" borderId="13" applyProtection="0">
      <alignment vertical="center"/>
    </xf>
    <xf numFmtId="0" fontId="64" fillId="58" borderId="0" applyProtection="0">
      <alignment vertical="center"/>
    </xf>
    <xf numFmtId="0" fontId="64" fillId="58" borderId="0" applyProtection="0">
      <alignment vertical="center"/>
    </xf>
    <xf numFmtId="0" fontId="65" fillId="0" borderId="6" applyProtection="0">
      <alignment vertical="center"/>
    </xf>
    <xf numFmtId="0" fontId="65" fillId="0" borderId="6" applyProtection="0">
      <alignment vertical="center"/>
    </xf>
    <xf numFmtId="0" fontId="68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3" fillId="0" borderId="0"/>
    <xf numFmtId="0" fontId="3" fillId="0" borderId="0"/>
    <xf numFmtId="16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66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167">
    <xf numFmtId="0" fontId="0" fillId="0" borderId="0" xfId="0"/>
    <xf numFmtId="0" fontId="10" fillId="2" borderId="0" xfId="2" applyFont="1" applyFill="1"/>
    <xf numFmtId="0" fontId="10" fillId="2" borderId="0" xfId="2" applyFont="1" applyFill="1" applyAlignment="1">
      <alignment vertical="center"/>
    </xf>
    <xf numFmtId="0" fontId="11" fillId="2" borderId="0" xfId="2" applyFont="1" applyFill="1" applyAlignment="1">
      <alignment horizontal="center"/>
    </xf>
    <xf numFmtId="0" fontId="10" fillId="2" borderId="0" xfId="2" applyFont="1" applyFill="1" applyAlignment="1">
      <alignment wrapText="1"/>
    </xf>
    <xf numFmtId="0" fontId="12" fillId="3" borderId="1" xfId="2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0" fontId="14" fillId="5" borderId="5" xfId="1" applyFont="1" applyFill="1" applyBorder="1" applyAlignment="1">
      <alignment horizontal="center" vertical="center" wrapText="1"/>
    </xf>
    <xf numFmtId="0" fontId="14" fillId="5" borderId="3" xfId="1" applyFont="1" applyFill="1" applyBorder="1" applyAlignment="1">
      <alignment horizontal="center" vertical="center" wrapText="1"/>
    </xf>
    <xf numFmtId="0" fontId="14" fillId="5" borderId="4" xfId="1" applyFont="1" applyFill="1" applyBorder="1" applyAlignment="1">
      <alignment horizontal="center" vertical="center" wrapText="1"/>
    </xf>
    <xf numFmtId="0" fontId="13" fillId="4" borderId="5" xfId="1" applyFont="1" applyFill="1" applyBorder="1" applyAlignment="1">
      <alignment horizontal="center" vertical="center" wrapText="1"/>
    </xf>
    <xf numFmtId="0" fontId="14" fillId="3" borderId="5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14" fillId="3" borderId="4" xfId="1" applyFont="1" applyFill="1" applyBorder="1" applyAlignment="1">
      <alignment horizontal="center" vertical="center" wrapText="1"/>
    </xf>
    <xf numFmtId="0" fontId="13" fillId="6" borderId="5" xfId="1" applyFont="1" applyFill="1" applyBorder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9" fontId="13" fillId="6" borderId="4" xfId="1" applyNumberFormat="1" applyFont="1" applyFill="1" applyBorder="1" applyAlignment="1">
      <alignment horizontal="center" vertical="center"/>
    </xf>
    <xf numFmtId="168" fontId="19" fillId="8" borderId="1" xfId="1" applyNumberFormat="1" applyFont="1" applyFill="1" applyBorder="1" applyAlignment="1">
      <alignment horizontal="center" vertical="center"/>
    </xf>
    <xf numFmtId="167" fontId="19" fillId="8" borderId="1" xfId="1" applyNumberFormat="1" applyFont="1" applyFill="1" applyBorder="1" applyAlignment="1">
      <alignment horizontal="center" vertical="center"/>
    </xf>
    <xf numFmtId="167" fontId="20" fillId="9" borderId="1" xfId="1" applyNumberFormat="1" applyFont="1" applyFill="1" applyBorder="1" applyAlignment="1">
      <alignment horizontal="center" vertical="center"/>
    </xf>
    <xf numFmtId="0" fontId="18" fillId="7" borderId="1" xfId="1" applyFont="1" applyFill="1" applyBorder="1" applyAlignment="1">
      <alignment horizontal="center" vertical="center"/>
    </xf>
    <xf numFmtId="167" fontId="19" fillId="10" borderId="1" xfId="1" applyNumberFormat="1" applyFont="1" applyFill="1" applyBorder="1" applyAlignment="1">
      <alignment horizontal="center" vertical="center"/>
    </xf>
    <xf numFmtId="167" fontId="27" fillId="14" borderId="1" xfId="1" applyNumberFormat="1" applyFont="1" applyFill="1" applyBorder="1" applyAlignment="1">
      <alignment horizontal="center" vertical="center"/>
    </xf>
    <xf numFmtId="167" fontId="28" fillId="14" borderId="1" xfId="1" applyNumberFormat="1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horizontal="center" vertical="center"/>
    </xf>
    <xf numFmtId="167" fontId="20" fillId="16" borderId="1" xfId="1" applyNumberFormat="1" applyFont="1" applyFill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167" fontId="17" fillId="9" borderId="1" xfId="1" applyNumberFormat="1" applyFont="1" applyFill="1" applyBorder="1" applyAlignment="1">
      <alignment horizontal="center" vertical="center"/>
    </xf>
    <xf numFmtId="0" fontId="29" fillId="0" borderId="0" xfId="0" applyFont="1"/>
    <xf numFmtId="49" fontId="8" fillId="2" borderId="0" xfId="1" applyNumberFormat="1" applyFill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wrapText="1"/>
    </xf>
    <xf numFmtId="0" fontId="16" fillId="0" borderId="1" xfId="8" applyFont="1" applyBorder="1" applyAlignment="1" applyProtection="1">
      <alignment horizontal="center" vertical="center" wrapText="1"/>
    </xf>
    <xf numFmtId="181" fontId="16" fillId="2" borderId="1" xfId="8" applyNumberFormat="1" applyFont="1" applyFill="1" applyBorder="1" applyAlignment="1" applyProtection="1">
      <alignment horizontal="center" vertical="center" wrapText="1"/>
    </xf>
    <xf numFmtId="167" fontId="19" fillId="15" borderId="1" xfId="1" applyNumberFormat="1" applyFont="1" applyFill="1" applyBorder="1" applyAlignment="1">
      <alignment horizontal="center" vertical="center" wrapText="1"/>
    </xf>
    <xf numFmtId="167" fontId="17" fillId="11" borderId="1" xfId="1" applyNumberFormat="1" applyFont="1" applyFill="1" applyBorder="1" applyAlignment="1">
      <alignment horizontal="center" vertical="center"/>
    </xf>
    <xf numFmtId="181" fontId="71" fillId="59" borderId="1" xfId="8" applyNumberFormat="1" applyFont="1" applyFill="1" applyBorder="1" applyAlignment="1" applyProtection="1">
      <alignment horizontal="center" vertical="center"/>
    </xf>
    <xf numFmtId="168" fontId="15" fillId="2" borderId="1" xfId="8" applyNumberFormat="1" applyFont="1" applyFill="1" applyBorder="1" applyAlignment="1" applyProtection="1">
      <alignment horizontal="center" vertical="center"/>
    </xf>
    <xf numFmtId="0" fontId="29" fillId="2" borderId="0" xfId="8" applyFont="1" applyFill="1" applyBorder="1" applyAlignment="1" applyProtection="1"/>
    <xf numFmtId="0" fontId="11" fillId="2" borderId="1" xfId="8" applyFont="1" applyFill="1" applyBorder="1" applyAlignment="1" applyProtection="1">
      <alignment horizontal="center" vertical="center"/>
    </xf>
    <xf numFmtId="0" fontId="72" fillId="2" borderId="1" xfId="8" applyFont="1" applyFill="1" applyBorder="1" applyAlignment="1" applyProtection="1">
      <alignment horizontal="center"/>
    </xf>
    <xf numFmtId="0" fontId="15" fillId="2" borderId="1" xfId="8" applyFont="1" applyFill="1" applyBorder="1" applyAlignment="1" applyProtection="1">
      <alignment horizontal="center" vertical="center" wrapText="1"/>
    </xf>
    <xf numFmtId="0" fontId="26" fillId="0" borderId="1" xfId="8" applyFont="1" applyBorder="1" applyAlignment="1" applyProtection="1">
      <alignment horizontal="left" vertical="center" wrapText="1"/>
    </xf>
    <xf numFmtId="0" fontId="15" fillId="0" borderId="0" xfId="8" applyFont="1" applyBorder="1" applyAlignment="1" applyProtection="1">
      <alignment horizontal="left" vertical="center" wrapText="1"/>
    </xf>
    <xf numFmtId="9" fontId="11" fillId="0" borderId="1" xfId="8" applyNumberFormat="1" applyFont="1" applyBorder="1" applyAlignment="1" applyProtection="1">
      <alignment horizontal="center" vertical="center" wrapText="1"/>
    </xf>
    <xf numFmtId="0" fontId="15" fillId="0" borderId="1" xfId="8" applyFont="1" applyBorder="1" applyAlignment="1" applyProtection="1">
      <alignment horizontal="center" vertical="center" wrapText="1"/>
    </xf>
    <xf numFmtId="181" fontId="69" fillId="0" borderId="1" xfId="8" applyNumberFormat="1" applyFont="1" applyBorder="1" applyAlignment="1" applyProtection="1">
      <alignment horizontal="center" vertical="center"/>
    </xf>
    <xf numFmtId="168" fontId="23" fillId="2" borderId="1" xfId="8" applyNumberFormat="1" applyFont="1" applyFill="1" applyBorder="1" applyAlignment="1" applyProtection="1">
      <alignment horizontal="center" vertical="center"/>
    </xf>
    <xf numFmtId="168" fontId="70" fillId="2" borderId="1" xfId="8" applyNumberFormat="1" applyFont="1" applyFill="1" applyBorder="1" applyAlignment="1" applyProtection="1">
      <alignment horizontal="center" vertical="center"/>
    </xf>
    <xf numFmtId="0" fontId="29" fillId="0" borderId="0" xfId="8" applyFont="1" applyBorder="1" applyAlignment="1" applyProtection="1"/>
    <xf numFmtId="0" fontId="8" fillId="0" borderId="17" xfId="8" applyFont="1" applyBorder="1" applyAlignment="1" applyProtection="1"/>
    <xf numFmtId="49" fontId="14" fillId="2" borderId="1" xfId="8" applyNumberFormat="1" applyFont="1" applyFill="1" applyBorder="1" applyAlignment="1" applyProtection="1">
      <alignment horizontal="center" vertical="center" wrapText="1"/>
    </xf>
    <xf numFmtId="9" fontId="11" fillId="0" borderId="0" xfId="448" applyFont="1" applyBorder="1" applyAlignment="1" applyProtection="1">
      <alignment horizontal="center" vertical="center"/>
    </xf>
    <xf numFmtId="0" fontId="73" fillId="2" borderId="1" xfId="8" applyFont="1" applyFill="1" applyBorder="1" applyAlignment="1" applyProtection="1">
      <alignment horizontal="center"/>
    </xf>
    <xf numFmtId="182" fontId="18" fillId="2" borderId="1" xfId="8" applyNumberFormat="1" applyFont="1" applyFill="1" applyBorder="1" applyAlignment="1" applyProtection="1">
      <alignment horizontal="center" vertical="center" wrapText="1"/>
    </xf>
    <xf numFmtId="0" fontId="11" fillId="0" borderId="1" xfId="8" applyFont="1" applyBorder="1" applyAlignment="1" applyProtection="1">
      <alignment horizontal="left" vertical="center" wrapText="1"/>
    </xf>
    <xf numFmtId="0" fontId="76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11" fillId="2" borderId="0" xfId="8" applyFont="1" applyFill="1" applyBorder="1" applyAlignment="1" applyProtection="1">
      <alignment horizontal="center" vertical="center"/>
    </xf>
    <xf numFmtId="182" fontId="18" fillId="2" borderId="0" xfId="8" applyNumberFormat="1" applyFont="1" applyFill="1" applyBorder="1" applyAlignment="1" applyProtection="1">
      <alignment horizontal="center" vertical="center" wrapText="1"/>
    </xf>
    <xf numFmtId="0" fontId="77" fillId="0" borderId="0" xfId="0" applyFont="1" applyAlignment="1">
      <alignment horizontal="center"/>
    </xf>
    <xf numFmtId="0" fontId="16" fillId="0" borderId="0" xfId="8" applyFont="1" applyBorder="1" applyAlignment="1" applyProtection="1">
      <alignment horizontal="center" vertical="center" wrapText="1"/>
    </xf>
    <xf numFmtId="181" fontId="16" fillId="2" borderId="0" xfId="8" applyNumberFormat="1" applyFont="1" applyFill="1" applyBorder="1" applyAlignment="1" applyProtection="1">
      <alignment horizontal="center" vertical="center" wrapText="1"/>
    </xf>
    <xf numFmtId="0" fontId="15" fillId="2" borderId="0" xfId="8" applyFont="1" applyFill="1" applyBorder="1" applyAlignment="1" applyProtection="1">
      <alignment horizontal="center" vertical="center" wrapText="1"/>
    </xf>
    <xf numFmtId="0" fontId="11" fillId="0" borderId="0" xfId="8" applyFont="1" applyBorder="1" applyAlignment="1" applyProtection="1">
      <alignment horizontal="left" vertical="center" wrapText="1"/>
    </xf>
    <xf numFmtId="49" fontId="14" fillId="2" borderId="0" xfId="8" applyNumberFormat="1" applyFont="1" applyFill="1" applyBorder="1" applyAlignment="1" applyProtection="1">
      <alignment horizontal="center" vertical="center" wrapText="1"/>
    </xf>
    <xf numFmtId="9" fontId="11" fillId="0" borderId="0" xfId="8" applyNumberFormat="1" applyFont="1" applyBorder="1" applyAlignment="1" applyProtection="1">
      <alignment horizontal="center" vertical="center" wrapText="1"/>
    </xf>
    <xf numFmtId="9" fontId="75" fillId="0" borderId="0" xfId="8" applyNumberFormat="1" applyFont="1" applyBorder="1" applyAlignment="1" applyProtection="1">
      <alignment horizontal="center" vertical="center" wrapText="1"/>
    </xf>
    <xf numFmtId="168" fontId="15" fillId="2" borderId="0" xfId="8" applyNumberFormat="1" applyFont="1" applyFill="1" applyBorder="1" applyAlignment="1" applyProtection="1">
      <alignment horizontal="center" vertical="center"/>
    </xf>
    <xf numFmtId="0" fontId="18" fillId="7" borderId="0" xfId="1" applyFont="1" applyFill="1" applyAlignment="1">
      <alignment horizontal="center" vertical="center"/>
    </xf>
    <xf numFmtId="168" fontId="19" fillId="8" borderId="0" xfId="1" applyNumberFormat="1" applyFont="1" applyFill="1" applyAlignment="1">
      <alignment horizontal="center" vertical="center"/>
    </xf>
    <xf numFmtId="167" fontId="27" fillId="14" borderId="0" xfId="1" applyNumberFormat="1" applyFont="1" applyFill="1" applyAlignment="1">
      <alignment horizontal="center" vertical="center"/>
    </xf>
    <xf numFmtId="167" fontId="28" fillId="14" borderId="0" xfId="1" applyNumberFormat="1" applyFont="1" applyFill="1" applyAlignment="1">
      <alignment horizontal="center" vertical="center"/>
    </xf>
    <xf numFmtId="167" fontId="19" fillId="8" borderId="0" xfId="1" applyNumberFormat="1" applyFont="1" applyFill="1" applyAlignment="1">
      <alignment horizontal="center" vertical="center"/>
    </xf>
    <xf numFmtId="167" fontId="20" fillId="9" borderId="0" xfId="1" applyNumberFormat="1" applyFont="1" applyFill="1" applyAlignment="1">
      <alignment horizontal="center" vertical="center"/>
    </xf>
    <xf numFmtId="167" fontId="21" fillId="9" borderId="0" xfId="1" applyNumberFormat="1" applyFont="1" applyFill="1" applyAlignment="1">
      <alignment horizontal="center" vertical="center"/>
    </xf>
    <xf numFmtId="167" fontId="19" fillId="15" borderId="0" xfId="1" applyNumberFormat="1" applyFont="1" applyFill="1" applyAlignment="1">
      <alignment horizontal="center" vertical="center" wrapText="1"/>
    </xf>
    <xf numFmtId="167" fontId="20" fillId="16" borderId="0" xfId="1" applyNumberFormat="1" applyFont="1" applyFill="1" applyAlignment="1">
      <alignment horizontal="center" vertical="center"/>
    </xf>
    <xf numFmtId="0" fontId="20" fillId="7" borderId="0" xfId="1" applyFont="1" applyFill="1" applyAlignment="1">
      <alignment horizontal="center" vertical="center"/>
    </xf>
    <xf numFmtId="167" fontId="17" fillId="9" borderId="0" xfId="1" applyNumberFormat="1" applyFont="1" applyFill="1" applyAlignment="1">
      <alignment horizontal="center" vertical="center"/>
    </xf>
    <xf numFmtId="167" fontId="19" fillId="10" borderId="0" xfId="1" applyNumberFormat="1" applyFont="1" applyFill="1" applyAlignment="1">
      <alignment horizontal="center" vertical="center"/>
    </xf>
    <xf numFmtId="167" fontId="17" fillId="11" borderId="0" xfId="1" applyNumberFormat="1" applyFont="1" applyFill="1" applyAlignment="1">
      <alignment horizontal="center" vertical="center"/>
    </xf>
    <xf numFmtId="181" fontId="69" fillId="0" borderId="0" xfId="8" applyNumberFormat="1" applyFont="1" applyBorder="1" applyAlignment="1" applyProtection="1">
      <alignment horizontal="center" vertical="center"/>
    </xf>
    <xf numFmtId="181" fontId="71" fillId="59" borderId="0" xfId="8" applyNumberFormat="1" applyFont="1" applyFill="1" applyBorder="1" applyAlignment="1" applyProtection="1">
      <alignment horizontal="center" vertical="center"/>
    </xf>
    <xf numFmtId="168" fontId="23" fillId="2" borderId="0" xfId="8" applyNumberFormat="1" applyFont="1" applyFill="1" applyBorder="1" applyAlignment="1" applyProtection="1">
      <alignment horizontal="center" vertical="center"/>
    </xf>
    <xf numFmtId="168" fontId="70" fillId="2" borderId="0" xfId="8" applyNumberFormat="1" applyFont="1" applyFill="1" applyBorder="1" applyAlignment="1" applyProtection="1">
      <alignment horizontal="center" vertical="center"/>
    </xf>
    <xf numFmtId="0" fontId="8" fillId="0" borderId="0" xfId="8" applyFont="1" applyBorder="1" applyAlignment="1" applyProtection="1"/>
    <xf numFmtId="4" fontId="12" fillId="60" borderId="1" xfId="3" applyNumberFormat="1" applyFont="1" applyFill="1" applyBorder="1" applyAlignment="1">
      <alignment horizontal="center" vertical="center" wrapText="1"/>
    </xf>
    <xf numFmtId="0" fontId="12" fillId="61" borderId="1" xfId="3" applyFont="1" applyFill="1" applyBorder="1" applyAlignment="1">
      <alignment horizontal="center" vertical="center" wrapText="1"/>
    </xf>
    <xf numFmtId="49" fontId="19" fillId="62" borderId="1" xfId="1" applyNumberFormat="1" applyFont="1" applyFill="1" applyBorder="1" applyAlignment="1">
      <alignment horizontal="center" vertical="center" wrapText="1"/>
    </xf>
    <xf numFmtId="49" fontId="19" fillId="62" borderId="19" xfId="1" applyNumberFormat="1" applyFont="1" applyFill="1" applyBorder="1" applyAlignment="1">
      <alignment horizontal="center" vertical="center" wrapText="1"/>
    </xf>
    <xf numFmtId="0" fontId="79" fillId="0" borderId="0" xfId="1" applyFont="1"/>
    <xf numFmtId="0" fontId="80" fillId="0" borderId="1" xfId="1" applyFont="1" applyBorder="1" applyAlignment="1">
      <alignment horizontal="center" vertical="center" wrapText="1"/>
    </xf>
    <xf numFmtId="0" fontId="15" fillId="62" borderId="1" xfId="1" applyFont="1" applyFill="1" applyBorder="1" applyAlignment="1">
      <alignment horizontal="center" vertical="center" wrapText="1"/>
    </xf>
    <xf numFmtId="0" fontId="11" fillId="62" borderId="1" xfId="0" applyFont="1" applyFill="1" applyBorder="1" applyAlignment="1">
      <alignment horizontal="left" vertical="center" wrapText="1"/>
    </xf>
    <xf numFmtId="0" fontId="81" fillId="0" borderId="1" xfId="1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168" fontId="81" fillId="0" borderId="1" xfId="1" applyNumberFormat="1" applyFont="1" applyBorder="1" applyAlignment="1">
      <alignment horizontal="center" vertical="center"/>
    </xf>
    <xf numFmtId="0" fontId="14" fillId="10" borderId="1" xfId="1" applyFont="1" applyFill="1" applyBorder="1" applyAlignment="1">
      <alignment horizontal="center" vertical="center"/>
    </xf>
    <xf numFmtId="168" fontId="23" fillId="63" borderId="1" xfId="1" applyNumberFormat="1" applyFont="1" applyFill="1" applyBorder="1" applyAlignment="1">
      <alignment horizontal="center" vertical="center"/>
    </xf>
    <xf numFmtId="167" fontId="83" fillId="63" borderId="1" xfId="1" applyNumberFormat="1" applyFont="1" applyFill="1" applyBorder="1" applyAlignment="1">
      <alignment horizontal="center" vertical="center"/>
    </xf>
    <xf numFmtId="167" fontId="84" fillId="63" borderId="1" xfId="1" applyNumberFormat="1" applyFont="1" applyFill="1" applyBorder="1" applyAlignment="1">
      <alignment horizontal="center" vertical="center"/>
    </xf>
    <xf numFmtId="0" fontId="14" fillId="64" borderId="1" xfId="1" applyFont="1" applyFill="1" applyBorder="1" applyAlignment="1">
      <alignment horizontal="center" vertical="center"/>
    </xf>
    <xf numFmtId="167" fontId="85" fillId="63" borderId="1" xfId="1" applyNumberFormat="1" applyFont="1" applyFill="1" applyBorder="1" applyAlignment="1">
      <alignment horizontal="center" vertical="center"/>
    </xf>
    <xf numFmtId="167" fontId="23" fillId="65" borderId="1" xfId="1" applyNumberFormat="1" applyFont="1" applyFill="1" applyBorder="1" applyAlignment="1">
      <alignment horizontal="center" vertical="center"/>
    </xf>
    <xf numFmtId="167" fontId="70" fillId="65" borderId="1" xfId="1" applyNumberFormat="1" applyFont="1" applyFill="1" applyBorder="1" applyAlignment="1">
      <alignment horizontal="center" vertical="center"/>
    </xf>
    <xf numFmtId="167" fontId="81" fillId="65" borderId="1" xfId="1" applyNumberFormat="1" applyFont="1" applyFill="1" applyBorder="1" applyAlignment="1">
      <alignment horizontal="center" vertical="center" wrapText="1"/>
    </xf>
    <xf numFmtId="167" fontId="23" fillId="66" borderId="1" xfId="1" applyNumberFormat="1" applyFont="1" applyFill="1" applyBorder="1" applyAlignment="1">
      <alignment horizontal="center" vertical="center"/>
    </xf>
    <xf numFmtId="0" fontId="23" fillId="64" borderId="1" xfId="1" applyFont="1" applyFill="1" applyBorder="1" applyAlignment="1">
      <alignment horizontal="center" vertical="center"/>
    </xf>
    <xf numFmtId="167" fontId="85" fillId="65" borderId="1" xfId="1" applyNumberFormat="1" applyFont="1" applyFill="1" applyBorder="1" applyAlignment="1">
      <alignment horizontal="center" vertical="center"/>
    </xf>
    <xf numFmtId="167" fontId="23" fillId="64" borderId="1" xfId="1" applyNumberFormat="1" applyFont="1" applyFill="1" applyBorder="1" applyAlignment="1">
      <alignment horizontal="center" vertical="center"/>
    </xf>
    <xf numFmtId="167" fontId="23" fillId="0" borderId="1" xfId="1" applyNumberFormat="1" applyFont="1" applyBorder="1" applyAlignment="1">
      <alignment horizontal="center" vertical="center"/>
    </xf>
    <xf numFmtId="167" fontId="13" fillId="67" borderId="1" xfId="1" applyNumberFormat="1" applyFont="1" applyFill="1" applyBorder="1" applyAlignment="1">
      <alignment horizontal="center" vertical="center"/>
    </xf>
    <xf numFmtId="168" fontId="23" fillId="65" borderId="1" xfId="3" applyNumberFormat="1" applyFont="1" applyFill="1" applyBorder="1" applyAlignment="1">
      <alignment horizontal="center" vertical="center"/>
    </xf>
    <xf numFmtId="168" fontId="70" fillId="65" borderId="1" xfId="1" applyNumberFormat="1" applyFont="1" applyFill="1" applyBorder="1" applyAlignment="1">
      <alignment horizontal="center" vertical="center"/>
    </xf>
    <xf numFmtId="9" fontId="16" fillId="0" borderId="0" xfId="448" applyFont="1" applyBorder="1" applyAlignment="1" applyProtection="1">
      <alignment horizontal="center" vertical="center" wrapText="1"/>
    </xf>
    <xf numFmtId="9" fontId="16" fillId="8" borderId="0" xfId="448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86" fillId="8" borderId="0" xfId="448" applyFont="1" applyFill="1" applyBorder="1" applyAlignment="1" applyProtection="1">
      <alignment horizontal="center" vertical="center" wrapText="1"/>
    </xf>
    <xf numFmtId="182" fontId="18" fillId="2" borderId="7" xfId="8" applyNumberFormat="1" applyFont="1" applyFill="1" applyBorder="1" applyAlignment="1" applyProtection="1">
      <alignment horizontal="center" vertical="center" wrapText="1"/>
    </xf>
    <xf numFmtId="182" fontId="18" fillId="2" borderId="8" xfId="8" applyNumberFormat="1" applyFont="1" applyFill="1" applyBorder="1" applyAlignment="1" applyProtection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9" fontId="75" fillId="0" borderId="7" xfId="8" applyNumberFormat="1" applyFont="1" applyBorder="1" applyAlignment="1" applyProtection="1">
      <alignment horizontal="center" vertical="center" wrapText="1"/>
    </xf>
    <xf numFmtId="9" fontId="75" fillId="0" borderId="8" xfId="8" applyNumberFormat="1" applyFont="1" applyBorder="1" applyAlignment="1" applyProtection="1">
      <alignment horizontal="center" vertical="center" wrapText="1"/>
    </xf>
    <xf numFmtId="9" fontId="11" fillId="0" borderId="7" xfId="8" applyNumberFormat="1" applyFont="1" applyBorder="1" applyAlignment="1" applyProtection="1">
      <alignment horizontal="center" vertical="center" wrapText="1"/>
    </xf>
    <xf numFmtId="9" fontId="11" fillId="0" borderId="8" xfId="8" applyNumberFormat="1" applyFont="1" applyBorder="1" applyAlignment="1" applyProtection="1">
      <alignment horizontal="center" vertical="center" wrapText="1"/>
    </xf>
    <xf numFmtId="184" fontId="14" fillId="0" borderId="1" xfId="444" applyNumberFormat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49" fontId="19" fillId="62" borderId="20" xfId="1" applyNumberFormat="1" applyFont="1" applyFill="1" applyBorder="1" applyAlignment="1">
      <alignment horizontal="center" vertical="top" wrapText="1"/>
    </xf>
    <xf numFmtId="49" fontId="19" fillId="62" borderId="21" xfId="1" applyNumberFormat="1" applyFont="1" applyFill="1" applyBorder="1" applyAlignment="1">
      <alignment horizontal="center" vertical="top" wrapText="1"/>
    </xf>
    <xf numFmtId="0" fontId="25" fillId="0" borderId="22" xfId="0" applyFont="1" applyBorder="1"/>
    <xf numFmtId="0" fontId="11" fillId="62" borderId="1" xfId="1" applyFont="1" applyFill="1" applyBorder="1" applyAlignment="1">
      <alignment horizontal="center" vertical="center" wrapText="1"/>
    </xf>
    <xf numFmtId="0" fontId="87" fillId="62" borderId="1" xfId="6" applyFont="1" applyFill="1" applyBorder="1" applyAlignment="1">
      <alignment horizontal="center" vertical="center" wrapText="1"/>
    </xf>
    <xf numFmtId="0" fontId="0" fillId="0" borderId="22" xfId="0" applyBorder="1"/>
    <xf numFmtId="0" fontId="87" fillId="0" borderId="1" xfId="5" applyFont="1" applyBorder="1" applyAlignment="1">
      <alignment horizontal="center" vertical="center"/>
    </xf>
    <xf numFmtId="167" fontId="16" fillId="62" borderId="1" xfId="1" applyNumberFormat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167" fontId="16" fillId="0" borderId="1" xfId="1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85" fontId="11" fillId="0" borderId="0" xfId="7" applyNumberFormat="1" applyFont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8" fontId="19" fillId="62" borderId="1" xfId="1" applyNumberFormat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168" fontId="88" fillId="14" borderId="1" xfId="1" applyNumberFormat="1" applyFont="1" applyFill="1" applyBorder="1" applyAlignment="1">
      <alignment horizontal="center" vertical="center"/>
    </xf>
    <xf numFmtId="167" fontId="89" fillId="14" borderId="1" xfId="1" applyNumberFormat="1" applyFont="1" applyFill="1" applyBorder="1" applyAlignment="1">
      <alignment horizontal="center" vertical="center"/>
    </xf>
    <xf numFmtId="167" fontId="90" fillId="14" borderId="1" xfId="1" applyNumberFormat="1" applyFont="1" applyFill="1" applyBorder="1" applyAlignment="1">
      <alignment horizontal="center" vertical="center"/>
    </xf>
    <xf numFmtId="167" fontId="77" fillId="9" borderId="1" xfId="1" applyNumberFormat="1" applyFont="1" applyFill="1" applyBorder="1" applyAlignment="1">
      <alignment horizontal="center" vertical="center"/>
    </xf>
    <xf numFmtId="168" fontId="69" fillId="62" borderId="1" xfId="1" applyNumberFormat="1" applyFont="1" applyFill="1" applyBorder="1" applyAlignment="1">
      <alignment horizontal="center" vertical="center" wrapText="1"/>
    </xf>
    <xf numFmtId="167" fontId="69" fillId="68" borderId="1" xfId="1" applyNumberFormat="1" applyFont="1" applyFill="1" applyBorder="1" applyAlignment="1">
      <alignment horizontal="center" vertical="center"/>
    </xf>
    <xf numFmtId="0" fontId="69" fillId="10" borderId="1" xfId="1" applyFont="1" applyFill="1" applyBorder="1" applyAlignment="1">
      <alignment horizontal="center" vertical="center"/>
    </xf>
    <xf numFmtId="167" fontId="91" fillId="62" borderId="1" xfId="1" applyNumberFormat="1" applyFont="1" applyFill="1" applyBorder="1" applyAlignment="1">
      <alignment horizontal="center" vertical="center"/>
    </xf>
    <xf numFmtId="167" fontId="18" fillId="10" borderId="1" xfId="1" applyNumberFormat="1" applyFont="1" applyFill="1" applyBorder="1" applyAlignment="1">
      <alignment horizontal="center" vertical="center"/>
    </xf>
    <xf numFmtId="167" fontId="19" fillId="69" borderId="1" xfId="4" applyNumberFormat="1" applyFont="1" applyFill="1" applyBorder="1" applyAlignment="1">
      <alignment horizontal="center" vertical="center"/>
    </xf>
    <xf numFmtId="167" fontId="69" fillId="0" borderId="1" xfId="1" applyNumberFormat="1" applyFont="1" applyBorder="1" applyAlignment="1">
      <alignment horizontal="center" vertical="center"/>
    </xf>
    <xf numFmtId="167" fontId="92" fillId="70" borderId="1" xfId="1" applyNumberFormat="1" applyFont="1" applyFill="1" applyBorder="1" applyAlignment="1">
      <alignment horizontal="center" vertical="center"/>
    </xf>
    <xf numFmtId="168" fontId="69" fillId="62" borderId="1" xfId="5" applyNumberFormat="1" applyFont="1" applyFill="1" applyBorder="1" applyAlignment="1">
      <alignment horizontal="center" vertical="center"/>
    </xf>
    <xf numFmtId="168" fontId="77" fillId="62" borderId="1" xfId="1" applyNumberFormat="1" applyFont="1" applyFill="1" applyBorder="1" applyAlignment="1">
      <alignment horizontal="center" vertical="center"/>
    </xf>
    <xf numFmtId="0" fontId="81" fillId="0" borderId="0" xfId="1" applyFont="1"/>
    <xf numFmtId="0" fontId="93" fillId="0" borderId="0" xfId="0" applyFont="1"/>
    <xf numFmtId="0" fontId="25" fillId="0" borderId="0" xfId="0" applyFont="1"/>
  </cellXfs>
  <cellStyles count="510">
    <cellStyle name="          _x000d__x000a_386grabber=VGA.3GR_x000d__x000a_" xfId="15" xr:uid="{3C970102-E5F2-4C29-855D-1975C4062CB2}"/>
    <cellStyle name="_Hoja1" xfId="16" xr:uid="{5FF423BF-01E1-4A86-85DA-A64EEC2DCA7A}"/>
    <cellStyle name="_Hoja1_1" xfId="17" xr:uid="{630A6A2A-ECBA-4DA6-8576-BCFF9C8DC302}"/>
    <cellStyle name="_Hoja1_1 2" xfId="440" xr:uid="{467C61CA-0712-4F29-847F-B6F58CFECC07}"/>
    <cellStyle name="_Hoja1_1 2 2" xfId="505" xr:uid="{0EEE3210-6132-4DF5-B9FC-75A299AD9A55}"/>
    <cellStyle name="_Hoja1_2" xfId="18" xr:uid="{B50CB75E-A65A-4054-A905-C6A107BDBC96}"/>
    <cellStyle name="_Hoja1_2 2" xfId="441" xr:uid="{0E4256CD-57D6-4E0B-86BC-9489750376FB}"/>
    <cellStyle name="_Hoja1_3" xfId="19" xr:uid="{997C6E94-8A18-4D33-B933-9749F8001262}"/>
    <cellStyle name="_Hoja1_4" xfId="20" xr:uid="{E92B434A-8CCB-42DF-BF22-194225ECEE74}"/>
    <cellStyle name="_Hoja1_4 2" xfId="442" xr:uid="{3BDDAF8A-1149-4B45-8A73-09C871B5B9F2}"/>
    <cellStyle name="_Hoja1_4 2 2" xfId="506" xr:uid="{1EC08554-3858-470F-AAF5-B579EA25F05E}"/>
    <cellStyle name="20% - Énfasis1 2" xfId="21" xr:uid="{190D8122-A8FC-437E-B79B-F82C1760AEC7}"/>
    <cellStyle name="20% - Énfasis2 2" xfId="22" xr:uid="{57E1992C-AE5F-458C-A0DD-A415AAAEE7E5}"/>
    <cellStyle name="20% - Énfasis3 2" xfId="23" xr:uid="{3661506C-9F74-4C8E-B96F-37536FFF3567}"/>
    <cellStyle name="20% - Énfasis4 2" xfId="24" xr:uid="{ACDED2DC-C8F1-460A-939B-879AAFF09D1A}"/>
    <cellStyle name="20% - Énfasis5 2" xfId="25" xr:uid="{3BC0DF6B-D552-4C47-969C-52FD39FCB06B}"/>
    <cellStyle name="20% - Énfasis6 2" xfId="26" xr:uid="{8C5818B5-3BBE-4DD0-9D05-3DB31910610F}"/>
    <cellStyle name="20% - 强调文字颜色 1" xfId="27" xr:uid="{8A1B8749-AE52-4AE3-A8ED-B9B8A2E0A69A}"/>
    <cellStyle name="20% - 强调文字颜色 1 2" xfId="28" xr:uid="{0BB18AC3-09EA-41A6-966B-A5A15C89745A}"/>
    <cellStyle name="20% - 强调文字颜色 2" xfId="29" xr:uid="{E2067188-CBC1-4ABF-995B-4423CFCD72C8}"/>
    <cellStyle name="20% - 强调文字颜色 2 2" xfId="30" xr:uid="{713C195B-7DEB-44E9-B639-5D4164C421B7}"/>
    <cellStyle name="20% - 强调文字颜色 3" xfId="31" xr:uid="{FEF6B9F3-86D6-4F33-938D-880CD3DB79C8}"/>
    <cellStyle name="20% - 强调文字颜色 3 2" xfId="32" xr:uid="{0C5F8FB5-594D-4EE1-B8C4-DCF472C35884}"/>
    <cellStyle name="20% - 强调文字颜色 4" xfId="33" xr:uid="{AC2B7B2C-61B5-4E94-A23C-0E9A566AFC69}"/>
    <cellStyle name="20% - 强调文字颜色 4 2" xfId="34" xr:uid="{16990478-5894-4A5F-81D1-E15FEC273E3E}"/>
    <cellStyle name="20% - 强调文字颜色 5" xfId="35" xr:uid="{7C59E65C-48BA-44ED-A2B5-305B6B7D4B66}"/>
    <cellStyle name="20% - 强调文字颜色 5 2" xfId="36" xr:uid="{B8D39400-48A1-4561-A125-AAD766C9BCDC}"/>
    <cellStyle name="20% - 强调文字颜色 6" xfId="37" xr:uid="{89F3BB88-ACA3-4CFA-BF90-83A536679CF2}"/>
    <cellStyle name="20% - 强调文字颜色 6 2" xfId="38" xr:uid="{C7F96B36-C6E9-4623-9C90-67AC3D5723DB}"/>
    <cellStyle name="40% - Énfasis1 2" xfId="39" xr:uid="{FB60CDC4-C234-4C89-89A8-74E29D00D2F7}"/>
    <cellStyle name="40% - Énfasis2 2" xfId="40" xr:uid="{AD0483B6-3ACA-4D4E-B716-A17EC0B4E1FF}"/>
    <cellStyle name="40% - Énfasis3 2" xfId="41" xr:uid="{D2BD7FC7-4F22-4CE2-81A2-2CF886684911}"/>
    <cellStyle name="40% - Énfasis4 2" xfId="42" xr:uid="{BE7A22E3-998D-48C6-A3D7-9CA6DB4FF030}"/>
    <cellStyle name="40% - Énfasis5 2" xfId="43" xr:uid="{F162650F-5A81-4573-9AF2-21482EC9B989}"/>
    <cellStyle name="40% - Énfasis6 2" xfId="44" xr:uid="{86590B36-AF24-4DD9-9FA5-FB82B7E3B55E}"/>
    <cellStyle name="40% - 强调文字颜色 1" xfId="45" xr:uid="{47A0ED90-04F8-458B-9C7D-6381539EFA06}"/>
    <cellStyle name="40% - 强调文字颜色 1 2" xfId="46" xr:uid="{9291EF51-173C-4CE4-AF43-70EEF5A94825}"/>
    <cellStyle name="40% - 强调文字颜色 2" xfId="47" xr:uid="{0541EB12-B582-4FE8-AF95-1994716A054E}"/>
    <cellStyle name="40% - 强调文字颜色 2 2" xfId="48" xr:uid="{EECFE306-CD0F-42AD-9D4D-9EB603827BC2}"/>
    <cellStyle name="40% - 强调文字颜色 3" xfId="49" xr:uid="{2881BF79-2B52-424C-9B5D-422B04F426C8}"/>
    <cellStyle name="40% - 强调文字颜色 3 2" xfId="50" xr:uid="{65051295-5D3B-4817-8080-6BFB7A33D45E}"/>
    <cellStyle name="40% - 强调文字颜色 4" xfId="51" xr:uid="{46230802-CCDA-46E1-8AA9-3CCDBF5923D8}"/>
    <cellStyle name="40% - 强调文字颜色 4 2" xfId="52" xr:uid="{DC4D6F0F-3AE0-4ADE-8C96-F4FC12F86C29}"/>
    <cellStyle name="40% - 强调文字颜色 5" xfId="53" xr:uid="{54936387-4DBD-4376-A2A3-91463AE46B30}"/>
    <cellStyle name="40% - 强调文字颜色 5 2" xfId="54" xr:uid="{A647C8E0-FE5A-4A55-BA2B-AF6B5E6D6D25}"/>
    <cellStyle name="40% - 强调文字颜色 6" xfId="55" xr:uid="{BB63BDE8-BF86-4F83-9741-1A112058F97B}"/>
    <cellStyle name="40% - 强调文字颜色 6 2" xfId="56" xr:uid="{C49B37AF-4080-47A0-AF48-F576069F4DAE}"/>
    <cellStyle name="60% - Énfasis1 2" xfId="57" xr:uid="{CA3B9229-FD63-4DC8-94E1-849634A99C8D}"/>
    <cellStyle name="60% - Énfasis2 2" xfId="58" xr:uid="{81E14211-1EAD-43C4-B7D3-5A9A1F60BB26}"/>
    <cellStyle name="60% - Énfasis3 2" xfId="59" xr:uid="{A2414D4E-DEB3-429E-BFC5-B3DD206FA32B}"/>
    <cellStyle name="60% - Énfasis4 2" xfId="60" xr:uid="{FD40FB18-B7E0-48E0-A619-7426A8F6B403}"/>
    <cellStyle name="60% - Énfasis5 2" xfId="61" xr:uid="{86B50698-D799-4CA9-B18A-1AB21EBE0550}"/>
    <cellStyle name="60% - Énfasis6 2" xfId="62" xr:uid="{3BF71ABD-0C5C-40B2-9D33-FE11CC0EB473}"/>
    <cellStyle name="60% - 强调文字颜色 1" xfId="63" xr:uid="{AEAA8049-3C9D-45D9-A2D9-286681F97B03}"/>
    <cellStyle name="60% - 强调文字颜色 1 2" xfId="64" xr:uid="{6FD14FCE-E097-405F-B33E-D497C0474986}"/>
    <cellStyle name="60% - 强调文字颜色 2" xfId="65" xr:uid="{68D28DF9-7BC0-43BC-AB76-C0F7A7891061}"/>
    <cellStyle name="60% - 强调文字颜色 2 2" xfId="66" xr:uid="{F2364F31-58B4-4891-B81F-7DF1E48DB588}"/>
    <cellStyle name="60% - 强调文字颜色 3" xfId="67" xr:uid="{A5AF47BF-EA46-4493-A3F3-776E737880F5}"/>
    <cellStyle name="60% - 强调文字颜色 3 2" xfId="68" xr:uid="{DABE98AB-5F1E-4E38-A4C7-9AEA450C7566}"/>
    <cellStyle name="60% - 强调文字颜色 4" xfId="69" xr:uid="{9721E756-2C6C-4B26-B956-FDD72FBD9992}"/>
    <cellStyle name="60% - 强调文字颜色 4 2" xfId="70" xr:uid="{BF4C8FE7-B1ED-4573-BF20-29C6D24D5A98}"/>
    <cellStyle name="60% - 强调文字颜色 5" xfId="71" xr:uid="{0387DB68-2E4D-4C53-959E-0970D2C4F0B3}"/>
    <cellStyle name="60% - 强调文字颜色 5 2" xfId="72" xr:uid="{C029A403-0C70-4D90-92A7-0A87E6EED697}"/>
    <cellStyle name="60% - 强调文字颜色 6" xfId="73" xr:uid="{21ECED83-C717-43E4-9637-DF88335F05BF}"/>
    <cellStyle name="60% - 强调文字颜色 6 2" xfId="74" xr:uid="{3F5B7B6D-A413-4368-BA1D-4F1D6344A6F1}"/>
    <cellStyle name="Buena 2" xfId="75" xr:uid="{D78E3B88-3789-4DEA-8681-2D099C299E92}"/>
    <cellStyle name="Cálculo 2" xfId="76" xr:uid="{709B09B2-7700-45B1-ADED-19835575EBF3}"/>
    <cellStyle name="Cancel" xfId="77" xr:uid="{F3B54FBD-F303-48FF-803A-29C0BB469370}"/>
    <cellStyle name="Celda de comprobación 2" xfId="78" xr:uid="{AAF0F511-D932-469E-8B63-743D678362E8}"/>
    <cellStyle name="Celda vinculada 2" xfId="79" xr:uid="{64F11983-47E9-4A52-B917-EC45E31ABB4C}"/>
    <cellStyle name="Encabezado 4 2" xfId="80" xr:uid="{A9F52E59-B447-4222-9CB2-50D55C73C0E3}"/>
    <cellStyle name="Énfasis1 2" xfId="81" xr:uid="{36390A40-E3FD-4989-8B5A-61856C9059A7}"/>
    <cellStyle name="Énfasis2 2" xfId="82" xr:uid="{8359230B-EC97-4FC1-B055-0EC276432ABA}"/>
    <cellStyle name="Énfasis3 2" xfId="83" xr:uid="{7D8024EE-BE1A-4978-9F82-84A98B645625}"/>
    <cellStyle name="Énfasis4 2" xfId="84" xr:uid="{DD4B4B3B-CE4A-40AB-942F-0767BC0D0A02}"/>
    <cellStyle name="Énfasis5 2" xfId="85" xr:uid="{DDD731BA-5243-4B3B-98E7-3B5A976D1CD8}"/>
    <cellStyle name="Énfasis6 2" xfId="86" xr:uid="{B988B35B-1A94-439F-A542-4C3C3A6E3EE2}"/>
    <cellStyle name="Entrada 2" xfId="87" xr:uid="{09FAEC9B-469A-4A45-9284-DD4683A07111}"/>
    <cellStyle name="Estilo 1" xfId="88" xr:uid="{CDCB1A55-E8C0-4277-9942-3BCF99728455}"/>
    <cellStyle name="Estilo 1 2" xfId="443" xr:uid="{4E805862-8E76-4791-AF17-44BE4845783A}"/>
    <cellStyle name="Euro" xfId="89" xr:uid="{9D495D8D-5EBA-4EF2-AF6F-81448903D0A0}"/>
    <cellStyle name="Euro 2" xfId="90" xr:uid="{2962FA7B-2B03-4A61-B50A-DFFA0EF143F4}"/>
    <cellStyle name="Euro 2 2" xfId="91" xr:uid="{FACFAF01-1015-4017-B998-A330AEF25484}"/>
    <cellStyle name="Euro 2 2 2" xfId="92" xr:uid="{60943827-F101-49E4-85A0-3899FD4F3E2E}"/>
    <cellStyle name="Euro 2 2 3" xfId="93" xr:uid="{BD6ECF1A-6C42-4C12-BD96-5AB80B13B1E1}"/>
    <cellStyle name="Euro 2 3" xfId="94" xr:uid="{032C1535-00F8-427F-92CA-B9F978D9B158}"/>
    <cellStyle name="Euro 2 4" xfId="95" xr:uid="{D21592D0-C92C-4E9A-AB06-2BE847C21CB3}"/>
    <cellStyle name="Euro 3" xfId="96" xr:uid="{E77F0A59-3D59-45E8-B726-90B99A7F8F11}"/>
    <cellStyle name="Euro 4" xfId="97" xr:uid="{242782AE-3556-4B37-B31C-7E63BA5C28B7}"/>
    <cellStyle name="Euro 5" xfId="98" xr:uid="{27A257D3-4040-484F-A0EC-83B16B185627}"/>
    <cellStyle name="Euro 6" xfId="99" xr:uid="{B47B1B79-67EC-422D-A651-BB7C4FBBE38B}"/>
    <cellStyle name="Excel Built-in Explanatory Text" xfId="8" xr:uid="{8527C258-493C-4FF9-8F93-2A86B5CEA5FC}"/>
    <cellStyle name="Hipervínculo 2" xfId="101" xr:uid="{D336DDC3-0D1E-4379-B832-A381CBC7C44B}"/>
    <cellStyle name="Hipervínculo 2 2" xfId="102" xr:uid="{0B10980B-31B7-4227-80A8-6BC686AF6654}"/>
    <cellStyle name="Hipervínculo 2 2 2" xfId="103" xr:uid="{69DBD553-ACA2-4DE2-8F80-497E5DA8AACF}"/>
    <cellStyle name="Hipervínculo 2 2 2 2" xfId="104" xr:uid="{EBA15346-3C60-461D-B1F5-917F5ED54F63}"/>
    <cellStyle name="Hipervínculo 2 2 2 2 2" xfId="105" xr:uid="{7BB9B58A-3D6B-49BA-B3F9-AB903A0B6F08}"/>
    <cellStyle name="Hipervínculo 2 2 2 3" xfId="106" xr:uid="{0495333C-1F14-4BAC-90EE-A084069BA2A2}"/>
    <cellStyle name="Hipervínculo 2 2 2 3 2" xfId="107" xr:uid="{86B1B725-52A7-47CB-BB28-DEDBB609E97A}"/>
    <cellStyle name="Hipervínculo 2 2 3" xfId="108" xr:uid="{DA08CEEA-B49C-4C20-882C-43D4A37F6605}"/>
    <cellStyle name="Hipervínculo 2 3" xfId="109" xr:uid="{B4783E24-FB9C-4083-BB4F-EC1BBFAED021}"/>
    <cellStyle name="Hipervínculo 2 3 2" xfId="110" xr:uid="{9723A80C-B52B-40BA-85DF-B9E86005D7CD}"/>
    <cellStyle name="Hipervínculo 2 3 2 2" xfId="111" xr:uid="{325E840A-C5C8-4B22-8E26-C3B3C24377A0}"/>
    <cellStyle name="Hipervínculo 2 3 2 2 2" xfId="112" xr:uid="{35B89520-BB00-47C9-B539-B125E1FBB3E5}"/>
    <cellStyle name="Hipervínculo 2 3 2 3" xfId="113" xr:uid="{853FD341-27E4-4E6B-8E0D-1BB868AFE412}"/>
    <cellStyle name="Hipervínculo 2 3 3" xfId="114" xr:uid="{E1E88B6D-2028-47C3-9103-01D53CFFF994}"/>
    <cellStyle name="Hipervínculo 2 4" xfId="115" xr:uid="{F7D8FAB9-653A-401C-83B9-076919C93442}"/>
    <cellStyle name="Hipervínculo 2 4 2" xfId="116" xr:uid="{98BC2483-6558-4F64-89F5-518F9E2AAEE4}"/>
    <cellStyle name="Hipervínculo 2_Canguros" xfId="117" xr:uid="{9052BF4B-100C-40E6-A2FF-5D01628D8DAC}"/>
    <cellStyle name="Hipervínculo 3" xfId="118" xr:uid="{7320302C-BC49-4084-A27D-9F58CC20B0DA}"/>
    <cellStyle name="Hipervínculo 4" xfId="100" xr:uid="{E8CED659-22BC-4E5A-91D7-A8E82E2AA838}"/>
    <cellStyle name="Hipervínculo 5" xfId="452" xr:uid="{7280CAFF-90FD-4F1E-ADCD-816DA31FD459}"/>
    <cellStyle name="Incorrecto 2" xfId="119" xr:uid="{63169528-D6EA-4F42-8B7A-564A08220F64}"/>
    <cellStyle name="Millares 2" xfId="120" xr:uid="{24A8D54F-D5EA-416A-A379-4BA74A3B9FF4}"/>
    <cellStyle name="Millares 2 2" xfId="121" xr:uid="{AD0B5091-4B15-476C-97BE-0C49EC56B4AE}"/>
    <cellStyle name="Millares 2 2 2" xfId="122" xr:uid="{A78AAC09-E0C2-4467-ADE7-987BCB3E05F0}"/>
    <cellStyle name="Millares 2 2 2 2" xfId="123" xr:uid="{31FDE4FE-AE99-4ED5-BD13-76EBBF772305}"/>
    <cellStyle name="Millares 2 2 2 2 2" xfId="124" xr:uid="{6B095DF0-E159-4D29-8395-66552C6E4A52}"/>
    <cellStyle name="Millares 2 2 2 2 2 2" xfId="125" xr:uid="{E6F430EB-5D6F-457F-8FDE-DFF430D40D6D}"/>
    <cellStyle name="Millares 2 2 2 2 2 2 2" xfId="126" xr:uid="{49604EE0-4E47-4499-9E8D-C73A11534F52}"/>
    <cellStyle name="Millares 2 2 2 2 2 3" xfId="127" xr:uid="{2243E1CA-18A9-4333-9C83-9E5E26201852}"/>
    <cellStyle name="Millares 2 2 2 2 3" xfId="128" xr:uid="{6A805C9B-FABE-4A07-BCB8-2D6F02BF822D}"/>
    <cellStyle name="Millares 2 2 2 2 3 2" xfId="129" xr:uid="{5923CBD5-D89B-45D1-8CBE-15E1A2B2DC26}"/>
    <cellStyle name="Millares 2 2 2 2 4" xfId="130" xr:uid="{756167F2-29A7-438E-B74A-7F208354D7AA}"/>
    <cellStyle name="Millares 2 2 2 2 5" xfId="131" xr:uid="{240A4F15-1488-48AF-A80E-94DC5B28FA3C}"/>
    <cellStyle name="Millares 2 2 2 3" xfId="132" xr:uid="{E656EEF5-3686-40FB-91F0-96C45978E19A}"/>
    <cellStyle name="Millares 2 2 2 3 2" xfId="133" xr:uid="{5EF3D6F3-FF34-4C33-B9E0-8F2AA430D39A}"/>
    <cellStyle name="Millares 2 2 2 3 2 2" xfId="134" xr:uid="{27041B5B-48F6-47F6-B36F-0DB58EF07ED7}"/>
    <cellStyle name="Millares 2 2 2 3 3" xfId="135" xr:uid="{39C9251E-5892-4283-B5A2-CDDF6E18B680}"/>
    <cellStyle name="Millares 2 2 2 3 3 2" xfId="136" xr:uid="{F51182C6-547F-4C03-9F57-599AA4E50BF5}"/>
    <cellStyle name="Millares 2 2 2 3 4" xfId="137" xr:uid="{1C7D2A71-9952-4C94-848E-F38B77319761}"/>
    <cellStyle name="Millares 2 2 2 4" xfId="138" xr:uid="{F17B2640-C69E-43BA-A8FD-37630EC95494}"/>
    <cellStyle name="Millares 2 2 2 4 2" xfId="139" xr:uid="{5B167312-0142-4024-A338-0B7BDD53C7AA}"/>
    <cellStyle name="Millares 2 2 2 5" xfId="140" xr:uid="{0DD6DE14-F0A0-4A3E-AB01-FDA0E1D5AFDD}"/>
    <cellStyle name="Millares 2 2 2 6" xfId="141" xr:uid="{A8E8BD0A-083D-4219-BA41-C8D466BF0AE5}"/>
    <cellStyle name="Millares 2 2 3" xfId="142" xr:uid="{80F3F2CF-9758-43EC-9138-D372C1B606D6}"/>
    <cellStyle name="Millares 2 2 3 2" xfId="143" xr:uid="{49C4F2A9-54F4-4A5E-97F0-31F5CE6B1515}"/>
    <cellStyle name="Millares 2 2 3 2 2" xfId="144" xr:uid="{9C7AC95E-C411-4021-9C0B-D1F4D0E903C8}"/>
    <cellStyle name="Millares 2 2 3 2 2 2" xfId="145" xr:uid="{EA3ABC62-1934-4751-91B6-41A7FBBD7739}"/>
    <cellStyle name="Millares 2 2 3 2 2 2 2" xfId="146" xr:uid="{55F73396-56FD-4154-BB34-1F124D1EF8CF}"/>
    <cellStyle name="Millares 2 2 3 2 2 2 2 2 2 2 2" xfId="9" xr:uid="{7D98B1A4-085F-424D-BFA5-8B25703402E0}"/>
    <cellStyle name="Millares 2 2 3 2 2 2 2 2 2 2 2 2" xfId="444" xr:uid="{AFBD174C-028C-4D1A-894D-62541AA9AF85}"/>
    <cellStyle name="Millares 2 2 3 2 2 2 2 2 3" xfId="447" xr:uid="{DEB3614D-0689-40D0-9B35-73A447800F09}"/>
    <cellStyle name="Millares 2 2 3 2 2 3" xfId="147" xr:uid="{1A47F308-E3BD-476B-8A84-BDEE547B954A}"/>
    <cellStyle name="Millares 2 2 3 2 2 4" xfId="148" xr:uid="{91CE41DA-672D-4ADC-95F5-43E06BC4B427}"/>
    <cellStyle name="Millares 2 2 3 2 3" xfId="149" xr:uid="{D73A55A1-4F85-4230-B51E-C3D406E8E9F4}"/>
    <cellStyle name="Millares 2 2 3 2 3 2" xfId="150" xr:uid="{7FDD7B95-91A4-47AA-A429-8718D5E54B29}"/>
    <cellStyle name="Millares 2 2 3 2 4" xfId="151" xr:uid="{ED18D692-5B22-40D1-BD40-D4B0239B046B}"/>
    <cellStyle name="Millares 2 2 3 3" xfId="152" xr:uid="{A9BE4B8A-EAB2-4148-9A7E-4CE0D1085ECB}"/>
    <cellStyle name="Millares 2 2 3 3 2" xfId="153" xr:uid="{7B37CDB9-4BFA-478E-BDB7-920342BD5E86}"/>
    <cellStyle name="Millares 2 2 3 3 2 2" xfId="154" xr:uid="{1C3C949C-3A1A-4A04-9EB5-A244233E4621}"/>
    <cellStyle name="Millares 2 2 3 3 3" xfId="155" xr:uid="{FE26DA6F-25DE-4785-89A4-64F7C8E38764}"/>
    <cellStyle name="Millares 2 2 3 3 4" xfId="156" xr:uid="{C7CBCD5B-1ABA-4894-B132-CBE7F5FCC56B}"/>
    <cellStyle name="Millares 2 2 3 4" xfId="157" xr:uid="{98EBA95C-FCBA-4C40-9E40-744D1223D91E}"/>
    <cellStyle name="Millares 2 2 3 4 2" xfId="158" xr:uid="{EB9A8D51-EEF6-4FA9-B016-807DE64CDDC2}"/>
    <cellStyle name="Millares 2 2 3 4 2 2 2 2 2" xfId="11" xr:uid="{5AAC4BEF-2AE0-4975-A725-B17C855CED84}"/>
    <cellStyle name="Millares 2 2 3 4 3" xfId="159" xr:uid="{73696C78-0D44-4FBC-BE4B-96E0B00D5A81}"/>
    <cellStyle name="Millares 2 2 3 5" xfId="160" xr:uid="{72C48296-A126-4BDF-B045-BCD1FCBD78F5}"/>
    <cellStyle name="Millares 2 2 3 6" xfId="161" xr:uid="{D75F118D-86E1-489D-9A27-F55227DF68E2}"/>
    <cellStyle name="Millares 2 2 3 7" xfId="162" xr:uid="{08261770-B5F0-4255-A71B-BDE17D2A9C53}"/>
    <cellStyle name="Millares 2 2 4" xfId="163" xr:uid="{1051CE61-6C6C-4CD9-9818-7A2435256129}"/>
    <cellStyle name="Millares 2 2 4 2" xfId="164" xr:uid="{B398945E-867C-485F-82F4-074BDD50F330}"/>
    <cellStyle name="Millares 2 2 4 2 2" xfId="165" xr:uid="{83DC7507-E443-48EE-BAFC-54D6505006B1}"/>
    <cellStyle name="Millares 2 2 4 2 2 2" xfId="166" xr:uid="{DBBFE769-5F56-4CD2-82EF-4659700F17D7}"/>
    <cellStyle name="Millares 2 2 4 2 3" xfId="167" xr:uid="{5D5C1069-1BCD-477F-8DE5-902B1C5E7CE3}"/>
    <cellStyle name="Millares 2 2 4 3" xfId="168" xr:uid="{337CDF6A-95EB-45AD-B569-E17E37A171B3}"/>
    <cellStyle name="Millares 2 2 4 3 2" xfId="169" xr:uid="{05ED9C01-BDAD-44E1-B649-5F4E88A2BCD1}"/>
    <cellStyle name="Millares 2 2 4 4" xfId="170" xr:uid="{12EBDCC4-F8E9-43A1-B33D-085580441F70}"/>
    <cellStyle name="Millares 2 2 4 5" xfId="171" xr:uid="{3C93C0FD-53DB-4A79-84FF-931B99444383}"/>
    <cellStyle name="Millares 2 2 4 6" xfId="172" xr:uid="{B4A6B8D7-C0F9-4CF5-98E2-3DDAA1341004}"/>
    <cellStyle name="Millares 2 2 4 7" xfId="173" xr:uid="{974B3D01-DC0A-4941-B585-E36C42CE0D02}"/>
    <cellStyle name="Millares 2 2 5" xfId="174" xr:uid="{86D8FC24-5F4B-4E3D-800C-32C8F96DA6D4}"/>
    <cellStyle name="Millares 2 2 5 2" xfId="175" xr:uid="{41421D80-C144-4288-A72A-5B3AFE0DF983}"/>
    <cellStyle name="Millares 2 2 5 2 2" xfId="176" xr:uid="{7557C9A2-7C77-417F-A1F0-235A0E47DE33}"/>
    <cellStyle name="Millares 2 2 5 3" xfId="177" xr:uid="{76AD2143-062D-44AE-B7C1-9B24588634DC}"/>
    <cellStyle name="Millares 2 2 5 4" xfId="178" xr:uid="{996434C8-7F4F-483C-BF8F-40726E09FE90}"/>
    <cellStyle name="Millares 2 2 6" xfId="179" xr:uid="{C7FE77FD-2EE1-4567-A975-290818B9D91A}"/>
    <cellStyle name="Millares 2 2 6 2" xfId="180" xr:uid="{BB41C01C-78C1-49BE-9A20-78F06696B677}"/>
    <cellStyle name="Millares 2 2 6 2 2" xfId="181" xr:uid="{63DF8202-960E-43BE-B2CB-28308EF03578}"/>
    <cellStyle name="Millares 2 2 6 3" xfId="182" xr:uid="{A294AAB8-E740-4758-B603-D3440BECBBC8}"/>
    <cellStyle name="Millares 2 2 6 3 2" xfId="183" xr:uid="{6D086CAF-7CC0-44D9-A138-8633891E6EC7}"/>
    <cellStyle name="Millares 2 2 6 4" xfId="184" xr:uid="{0AF68725-3B79-4175-BED5-DEA3F467A427}"/>
    <cellStyle name="Millares 2 2 7" xfId="185" xr:uid="{AE02B56B-4A62-4C8A-9CB7-FAB4EDB60FF7}"/>
    <cellStyle name="Millares 2 2 7 2" xfId="186" xr:uid="{D8218620-71FC-4102-A4F8-4229096D7CFE}"/>
    <cellStyle name="Millares 2 2 8" xfId="187" xr:uid="{4E4274E3-C371-4B48-A6A8-6F3F9171CAA6}"/>
    <cellStyle name="Millares 2 2 8 2" xfId="188" xr:uid="{3C636587-891A-4511-B5AC-7FA15E700870}"/>
    <cellStyle name="Millares 2 2 8 3" xfId="189" xr:uid="{6D1F7028-4D4A-4ADF-BD86-DDE2473BC627}"/>
    <cellStyle name="Millares 2 2 9" xfId="190" xr:uid="{BFA76131-5727-45B5-8F99-A860584A725D}"/>
    <cellStyle name="Millares 2 2_13.02 (2)" xfId="191" xr:uid="{2EBFAE58-7AE4-494A-B8B3-10D2D1CEA8D4}"/>
    <cellStyle name="Millares 2 3" xfId="192" xr:uid="{ED429EE8-F3E5-447D-A6BB-3E7A6D01AA68}"/>
    <cellStyle name="Millares 2 3 2" xfId="193" xr:uid="{8ECE4EFF-C11F-4CE0-B747-0559E9A43566}"/>
    <cellStyle name="Millares 2 3 2 2" xfId="194" xr:uid="{59F1B99F-9D97-4BB9-9390-69DD2CF61AEE}"/>
    <cellStyle name="Millares 2 3 2 2 2" xfId="195" xr:uid="{0A2D64B4-D7DF-4391-8362-A7BB6830BF89}"/>
    <cellStyle name="Millares 2 3 2 2 2 2" xfId="196" xr:uid="{C3898AF5-DD6A-4C82-97A2-C26E7EDF8061}"/>
    <cellStyle name="Millares 2 3 2 2 2 2 2" xfId="197" xr:uid="{908932DC-84F6-45A1-9524-360BBF2882B4}"/>
    <cellStyle name="Millares 2 3 2 2 2 3" xfId="198" xr:uid="{E4B70692-958D-490C-A829-66D0F60E6135}"/>
    <cellStyle name="Millares 2 3 2 2 3" xfId="199" xr:uid="{86E781C0-EEAB-4692-858B-7F45AD8E9865}"/>
    <cellStyle name="Millares 2 3 2 2 3 2" xfId="200" xr:uid="{F5409B07-86E7-489D-8508-7B32EC70D1C0}"/>
    <cellStyle name="Millares 2 3 2 2 4" xfId="201" xr:uid="{0CE0DA4E-D1A2-4452-B04C-9E673E201C7E}"/>
    <cellStyle name="Millares 2 3 2 3" xfId="202" xr:uid="{4C76D641-36C3-48A1-91E6-3A320F586AD2}"/>
    <cellStyle name="Millares 2 3 2 3 2" xfId="203" xr:uid="{DAD12FD3-B941-4430-9E01-A0E0DBDAF06A}"/>
    <cellStyle name="Millares 2 3 2 3 2 2" xfId="204" xr:uid="{D7B99EC4-4745-4211-B344-72E0C30B77CD}"/>
    <cellStyle name="Millares 2 3 2 3 3" xfId="205" xr:uid="{F8B3926E-1509-4B75-A9EE-414F3970E63E}"/>
    <cellStyle name="Millares 2 3 2 3 3 2" xfId="206" xr:uid="{7E30293E-4273-49C1-88C2-7CF2DCA205A6}"/>
    <cellStyle name="Millares 2 3 2 3 4" xfId="207" xr:uid="{8340DB40-EEDC-47D7-B95A-E320E328EA08}"/>
    <cellStyle name="Millares 2 3 2 4" xfId="208" xr:uid="{EDCF8FE4-80FA-4540-9B33-AAF87FEA2CC4}"/>
    <cellStyle name="Millares 2 3 2 4 2" xfId="209" xr:uid="{8B2217FC-6CE1-4434-A7AB-551EA03F32AC}"/>
    <cellStyle name="Millares 2 3 2 5" xfId="210" xr:uid="{F39C0EDF-FB12-4707-B788-ECDAB31404AF}"/>
    <cellStyle name="Millares 2 3 2 6" xfId="211" xr:uid="{093B504A-7FC8-4D77-B4D8-93F289B7563D}"/>
    <cellStyle name="Millares 2 3 3" xfId="212" xr:uid="{E7014604-8FD1-437A-8DEA-6B9D9DE01E7A}"/>
    <cellStyle name="Millares 2 3 3 2" xfId="213" xr:uid="{8112E14B-79B9-4421-A832-8D6EA9E1EC49}"/>
    <cellStyle name="Millares 2 3 3 2 2" xfId="214" xr:uid="{4F115BE8-D92A-4FDC-95F7-2DC9539A2557}"/>
    <cellStyle name="Millares 2 3 3 2 2 2" xfId="215" xr:uid="{AD063275-8891-4321-B6F7-F11EA63E6871}"/>
    <cellStyle name="Millares 2 3 3 2 3" xfId="216" xr:uid="{39EFE512-305D-4CE9-A178-A2190B0CFF2F}"/>
    <cellStyle name="Millares 2 3 3 3" xfId="217" xr:uid="{C5DD3A07-BE6B-40C1-B0CE-645C2667B2B5}"/>
    <cellStyle name="Millares 2 3 3 3 2" xfId="218" xr:uid="{A3A51B8B-049D-4D29-B27E-1D1823BCD489}"/>
    <cellStyle name="Millares 2 3 3 4" xfId="219" xr:uid="{DA81A65E-5F4C-4CD4-B8EC-BD98A0A697EE}"/>
    <cellStyle name="Millares 2 3 3 5" xfId="220" xr:uid="{74056801-430B-431C-8512-CF4DB5A9ED7E}"/>
    <cellStyle name="Millares 2 3 3 6" xfId="221" xr:uid="{ECD91A64-3F26-4631-85F9-99ED20BBB3EF}"/>
    <cellStyle name="Millares 2 3 3 7" xfId="222" xr:uid="{610B5D6D-5D4B-48BE-A883-6354C656427C}"/>
    <cellStyle name="Millares 2 3 4" xfId="223" xr:uid="{8ECDD457-CCA1-443B-9B6B-E520E46CD909}"/>
    <cellStyle name="Millares 2 3 4 2" xfId="224" xr:uid="{9F3B6A81-B3D6-40DD-9343-BCB04EF94075}"/>
    <cellStyle name="Millares 2 3 4 2 2" xfId="225" xr:uid="{3E8442D4-15F1-471C-8732-6E2718D9F017}"/>
    <cellStyle name="Millares 2 3 4 3" xfId="226" xr:uid="{6631469E-E636-416D-B75D-069562C6D260}"/>
    <cellStyle name="Millares 2 3 4 3 2" xfId="227" xr:uid="{BA5C4626-38F8-4431-A042-757A2F14448C}"/>
    <cellStyle name="Millares 2 3 4 4" xfId="228" xr:uid="{779026B4-33F0-498C-8C4F-D7D8373F8D35}"/>
    <cellStyle name="Millares 2 3 5" xfId="229" xr:uid="{8B61144A-3CBE-4261-A125-E151860790A9}"/>
    <cellStyle name="Millares 2 3 5 2" xfId="230" xr:uid="{4BE2121B-F9E2-4346-8F50-6774B65A86A6}"/>
    <cellStyle name="Millares 2 3 5 3" xfId="231" xr:uid="{677970BC-2D04-4E59-8F7F-834D1A45EC17}"/>
    <cellStyle name="Millares 2 3 6" xfId="232" xr:uid="{B3AD4563-AD2F-4E86-8642-A2A58D62D2A2}"/>
    <cellStyle name="Millares 2 3 6 2" xfId="233" xr:uid="{AA1DDBC9-411D-4C83-9D1A-E2FC1D960171}"/>
    <cellStyle name="Millares 2 3 7" xfId="234" xr:uid="{65C292A9-F0CD-4091-BD0C-102907677AB5}"/>
    <cellStyle name="Millares 2 3_13.02 (2)" xfId="235" xr:uid="{E7040E8B-7A27-499C-892D-95FA078217E3}"/>
    <cellStyle name="Millares 2 4" xfId="236" xr:uid="{94A2B205-2773-4067-9870-1E009771A6E6}"/>
    <cellStyle name="Millares 2 4 2" xfId="237" xr:uid="{2EE36CE2-E87F-4225-86D1-3692B43705F0}"/>
    <cellStyle name="Millares 2 4 3" xfId="238" xr:uid="{5502A149-B1CE-4DF9-9CAD-3344F4D3453B}"/>
    <cellStyle name="Millares 2 5" xfId="239" xr:uid="{2A928FDC-F8C1-47BC-A867-C7D0948E7ADC}"/>
    <cellStyle name="Millares 3" xfId="240" xr:uid="{344E5A6C-5C89-42BA-9CB4-10C67A057957}"/>
    <cellStyle name="Millares 3 2" xfId="241" xr:uid="{0CD00F0A-8C2F-4761-A30F-F1E39A99F85F}"/>
    <cellStyle name="Millares 3 2 2" xfId="242" xr:uid="{6B1B1B9C-6F05-40E8-AAB3-9120AF2FA5AE}"/>
    <cellStyle name="Millares 3 2 2 2" xfId="243" xr:uid="{DC9F846F-D4B8-4446-B168-742DA6006446}"/>
    <cellStyle name="Millares 3 3" xfId="244" xr:uid="{10031E5F-E987-43B8-AAC8-D9DE6D46D34A}"/>
    <cellStyle name="Millares 3 4" xfId="245" xr:uid="{ABACBAB4-BD11-4846-99D5-3237401550C0}"/>
    <cellStyle name="Millares 3 5" xfId="453" xr:uid="{C7716C47-2287-4843-B858-289B38873BA9}"/>
    <cellStyle name="Millares 4" xfId="246" xr:uid="{9BEEA67C-24AD-48F8-8CE2-6C8B71B0E72F}"/>
    <cellStyle name="Millares 4 2" xfId="247" xr:uid="{050B70D0-D7D7-439C-A957-E98511F7EDDA}"/>
    <cellStyle name="Millares 4 2 2" xfId="248" xr:uid="{6D93EA32-7DAE-4D52-89EA-D78B84AB3DF8}"/>
    <cellStyle name="Millares 4 3" xfId="249" xr:uid="{9D78E7E3-9808-4248-ABD4-2D00FE1C37F8}"/>
    <cellStyle name="Millares 4 3 2" xfId="455" xr:uid="{801D8971-40A1-4C43-AF4D-ABC44C2585AC}"/>
    <cellStyle name="Millares 4 4" xfId="250" xr:uid="{69929E99-FE93-40FF-816B-0823597AE9E6}"/>
    <cellStyle name="Millares 4 5" xfId="454" xr:uid="{48B0ACCA-395D-4474-AA63-394050F2E9F6}"/>
    <cellStyle name="Millares 5" xfId="251" xr:uid="{EF004476-F16F-4BE0-BB04-659CB6C125FB}"/>
    <cellStyle name="Moneda 2" xfId="252" xr:uid="{0BE086D8-A54C-41AA-A9C9-E4FDDA2F8C2B}"/>
    <cellStyle name="Moneda 2 2" xfId="253" xr:uid="{7C47CD52-E557-47C4-8BFF-CADDD8435D12}"/>
    <cellStyle name="Moneda 3" xfId="254" xr:uid="{3A639B2B-B1E9-4F57-807D-F13050A0A5E3}"/>
    <cellStyle name="Moneda 3 2" xfId="255" xr:uid="{0F90DF8D-7226-4B23-BADB-0EF76B8C4F58}"/>
    <cellStyle name="Moneda 3 2 2" xfId="256" xr:uid="{8DAEFE27-FA35-487F-9047-56F3C562AF39}"/>
    <cellStyle name="Moneda 3 2 2 2" xfId="257" xr:uid="{2F84183B-90E3-479A-9EDA-51DB53FFC179}"/>
    <cellStyle name="Moneda 3 2 2 2 2" xfId="258" xr:uid="{CCD9CFFC-4536-433C-B307-CF5CC8F15476}"/>
    <cellStyle name="Moneda 3 2 2 3" xfId="259" xr:uid="{DD1133E2-4626-4A94-8F44-B6D0EB8A0223}"/>
    <cellStyle name="Moneda 3 2 3" xfId="260" xr:uid="{9F133909-3E56-44CB-9A7E-7CFDA9684969}"/>
    <cellStyle name="Moneda 3 2 3 2" xfId="261" xr:uid="{BA30BBED-C3A8-4AFD-AC92-156962B0B191}"/>
    <cellStyle name="Moneda 3 2 4" xfId="262" xr:uid="{351C268C-E2FC-408B-9545-6FC1EA14DC45}"/>
    <cellStyle name="Moneda 3 2 5" xfId="263" xr:uid="{39E494D8-848F-4B18-845E-25EF77E8B6A9}"/>
    <cellStyle name="Moneda 3 3" xfId="264" xr:uid="{15379145-527C-4F2F-9A42-BC64E8544BA8}"/>
    <cellStyle name="Moneda 3 3 2" xfId="265" xr:uid="{DD61C87D-8F1D-4A3E-989C-7B3066B7C729}"/>
    <cellStyle name="Moneda 3 3 2 2" xfId="266" xr:uid="{CFF73E23-AAA8-4D02-B782-E58CB93B924C}"/>
    <cellStyle name="Moneda 3 3 3" xfId="267" xr:uid="{2AD50EE5-DEDC-4EE9-8EBC-581B60E030D0}"/>
    <cellStyle name="Moneda 3 3 3 2" xfId="268" xr:uid="{42539DCD-15E0-4159-8E23-634B384F34FC}"/>
    <cellStyle name="Moneda 3 3 4" xfId="269" xr:uid="{864327B7-1DDE-4800-9424-584E67AECE14}"/>
    <cellStyle name="Moneda 3 4" xfId="270" xr:uid="{ECF4930E-F9D3-42F4-9EE2-AAC24D343284}"/>
    <cellStyle name="Moneda 3 4 2" xfId="271" xr:uid="{9A2C54DE-73FE-4136-A58D-DC2CEF2D88EC}"/>
    <cellStyle name="Moneda 3 5" xfId="272" xr:uid="{EBB71F43-FAA8-448E-AD08-28CBE3655CC4}"/>
    <cellStyle name="Moneda 3 6" xfId="273" xr:uid="{31E14A8E-45B4-4FA3-81EB-882E6BB4C32C}"/>
    <cellStyle name="Moneda 4" xfId="274" xr:uid="{3DA8E7D3-92EE-4B38-843F-E1F068AF1351}"/>
    <cellStyle name="Moneda 4 2" xfId="275" xr:uid="{F37CCC85-4D1C-46DC-B3AF-91D9D7ED1991}"/>
    <cellStyle name="Moneda 6" xfId="509" xr:uid="{A47945A3-85E5-47DD-9041-09A158E4C872}"/>
    <cellStyle name="Neutral 2" xfId="276" xr:uid="{AC435B03-4ADB-472A-B9E4-A122D6E9AF75}"/>
    <cellStyle name="Normal" xfId="0" builtinId="0"/>
    <cellStyle name="Normal 10" xfId="277" xr:uid="{42393296-B469-490F-880C-AA9F0543FDA9}"/>
    <cellStyle name="Normal 10 2" xfId="7" xr:uid="{5FAD63D0-F773-4442-93FC-E43EEE64C254}"/>
    <cellStyle name="Normal 10 2 2" xfId="278" xr:uid="{2BE52A9B-E943-444C-AFB8-23FFB22014DE}"/>
    <cellStyle name="Normal 10 2 3" xfId="279" xr:uid="{E12C1CC6-ED3A-4F1D-A3AB-60A3D448C15F}"/>
    <cellStyle name="Normal 10 3" xfId="280" xr:uid="{BE806A87-0158-4987-AF81-DDBE7A26F179}"/>
    <cellStyle name="Normal 10 3 2" xfId="456" xr:uid="{CCB97C38-00AF-4DAD-8182-2013CFD540FD}"/>
    <cellStyle name="Normal 11" xfId="281" xr:uid="{59A68A7A-3BEE-42D6-9EE8-0384F5A27D16}"/>
    <cellStyle name="Normal 11 2" xfId="282" xr:uid="{E6DFE2B9-4CED-4CA7-B3E9-2576A36A5E7C}"/>
    <cellStyle name="Normal 11 3" xfId="283" xr:uid="{64E83B8D-396D-40CB-AEB9-CCBE5751A1E3}"/>
    <cellStyle name="Normal 11 3 2" xfId="457" xr:uid="{46CB8128-B739-4D58-ACCE-D02A16EACF7B}"/>
    <cellStyle name="Normal 12" xfId="284" xr:uid="{01371A54-10E0-44A5-8B81-FAF3182DCDCA}"/>
    <cellStyle name="Normal 12 2" xfId="458" xr:uid="{5760E547-869A-4F2A-BA4A-1E1DC3E0DEC2}"/>
    <cellStyle name="Normal 13" xfId="285" xr:uid="{092F7CED-DD59-4F52-AC89-8256F787385B}"/>
    <cellStyle name="Normal 13 2" xfId="459" xr:uid="{250AB461-CFCD-4864-9E91-418970E83243}"/>
    <cellStyle name="Normal 14" xfId="286" xr:uid="{62FC3007-458B-48DA-9407-678D9CB909E7}"/>
    <cellStyle name="Normal 15" xfId="439" xr:uid="{5729C941-0E42-420E-8244-762DCDB1CAD9}"/>
    <cellStyle name="Normal 16" xfId="451" xr:uid="{062DD942-D94D-4512-9089-BA0FFDAAAA8E}"/>
    <cellStyle name="Normal 2" xfId="287" xr:uid="{743E126E-EF14-4A94-AACD-F49CD2241600}"/>
    <cellStyle name="Normal 2 10" xfId="288" xr:uid="{30C5A685-0AE1-4B21-B9A5-DAEE9E16C81B}"/>
    <cellStyle name="Normal 2 10 2" xfId="461" xr:uid="{671CD8BF-BEF5-475B-9C52-7538CFB7B02D}"/>
    <cellStyle name="Normal 2 11" xfId="460" xr:uid="{A03C61F6-F1B9-42E4-BF5A-EC738B09668C}"/>
    <cellStyle name="Normal 2 2" xfId="1" xr:uid="{622D02F0-0A10-4AFC-8DB6-17DC78BD1A77}"/>
    <cellStyle name="Normal 2 2 2" xfId="289" xr:uid="{F307F855-763C-4725-8CFF-190399BE5382}"/>
    <cellStyle name="Normal 2 2 3" xfId="290" xr:uid="{E81A89C7-B503-4937-A9C6-40ADDF3EB1EA}"/>
    <cellStyle name="Normal 2 2 4" xfId="291" xr:uid="{B536DCDA-4B85-4869-BB87-7762F5703349}"/>
    <cellStyle name="Normal 2 2 5" xfId="292" xr:uid="{34EF4033-2423-46A4-91D9-DDA041711C1E}"/>
    <cellStyle name="Normal 2 2 6" xfId="293" xr:uid="{663816DE-07AD-4EAD-B3E0-A9990794A5C2}"/>
    <cellStyle name="Normal 2 2 6 2" xfId="4" xr:uid="{3361DA36-1C9E-4416-A9D7-BDE16EB881A8}"/>
    <cellStyle name="Normal 2 2_PLANTILLA FINAL CON ANALISIS" xfId="294" xr:uid="{88FDBBFC-CE20-4F77-BFFC-906BD4BF098C}"/>
    <cellStyle name="Normal 2 3" xfId="295" xr:uid="{C104AE38-3AC8-4666-830D-4A9F94BA00C3}"/>
    <cellStyle name="Normal 2 3 2" xfId="296" xr:uid="{41D96C22-E0E3-4EE3-B06E-E010A4A960DA}"/>
    <cellStyle name="Normal 2 3 2 2" xfId="10" xr:uid="{2BA07376-E1B4-4BA2-A1BB-DB96AC509191}"/>
    <cellStyle name="Normal 2 3 2 2 2" xfId="298" xr:uid="{34505BE1-4CE2-4655-B14C-26EEFB927BCD}"/>
    <cellStyle name="Normal 2 3 2 2 2 2" xfId="449" xr:uid="{FAD17174-7D6A-4D7A-B8BC-762E0DF719A5}"/>
    <cellStyle name="Normal 2 3 2 2 2 3" xfId="465" xr:uid="{010575E6-1BA5-4FAB-999A-15BC6B445622}"/>
    <cellStyle name="Normal 2 3 2 2 3" xfId="299" xr:uid="{8C9A1447-53D9-449D-A998-BDA7E149E930}"/>
    <cellStyle name="Normal 2 3 2 2 3 2" xfId="466" xr:uid="{93A8E7BF-D111-4122-8F77-25E1272A583A}"/>
    <cellStyle name="Normal 2 3 2 2 4" xfId="6" xr:uid="{8C7BCF62-DE50-42D6-AFE7-3E70EB1EDB11}"/>
    <cellStyle name="Normal 2 3 2 2 4 2" xfId="445" xr:uid="{066CCC6F-9569-4F94-BADD-0C970622C1FE}"/>
    <cellStyle name="Normal 2 3 2 2 4 3" xfId="507" xr:uid="{104A566A-C4A1-47DA-9F73-D112C6FEE212}"/>
    <cellStyle name="Normal 2 3 2 2 5" xfId="297" xr:uid="{DA372A36-4614-4ACA-AE45-36C618E25BAD}"/>
    <cellStyle name="Normal 2 3 2 2 6" xfId="464" xr:uid="{3E6A4175-B034-4C2F-9797-5ECA8D3C4969}"/>
    <cellStyle name="Normal 2 3 2 3" xfId="300" xr:uid="{A96C87DA-1787-4A86-A272-3CCC9CE0226D}"/>
    <cellStyle name="Normal 2 3 2 4" xfId="463" xr:uid="{1B6B8C8F-69E6-4568-9E0C-084815E25392}"/>
    <cellStyle name="Normal 2 3 3" xfId="301" xr:uid="{D13256F1-034E-4764-A899-458AD610945C}"/>
    <cellStyle name="Normal 2 3 3 2" xfId="302" xr:uid="{679FBC02-E860-42E6-AB40-16F4826F3DD9}"/>
    <cellStyle name="Normal 2 3 3 2 2" xfId="467" xr:uid="{5BC41F55-39DD-42CD-9BE7-FC1DFD4FBE1C}"/>
    <cellStyle name="Normal 2 3 3 3" xfId="303" xr:uid="{D8846CEF-E89D-4076-AE4E-F41BA3EDC4DB}"/>
    <cellStyle name="Normal 2 3 4" xfId="304" xr:uid="{DB309E73-25C2-4E79-B3D4-D0875FE51CE9}"/>
    <cellStyle name="Normal 2 3 4 2" xfId="468" xr:uid="{E504765B-1A1C-453B-8E6C-6A6B385A8850}"/>
    <cellStyle name="Normal 2 3 5" xfId="305" xr:uid="{2BA69FAA-0A59-4F74-A2F7-C93233F4E792}"/>
    <cellStyle name="Normal 2 3 5 2" xfId="469" xr:uid="{61BADC0E-7E42-4108-959E-0391A5AAB5F7}"/>
    <cellStyle name="Normal 2 3 6" xfId="306" xr:uid="{29C330C1-1996-472D-A444-C2F2FF1B565D}"/>
    <cellStyle name="Normal 2 3 6 2" xfId="470" xr:uid="{10CE8A42-BB62-440B-8788-96B83582A567}"/>
    <cellStyle name="Normal 2 3 7" xfId="462" xr:uid="{B0F39F69-C748-40C7-ADF4-FA4BA6AC82C0}"/>
    <cellStyle name="Normal 2 4" xfId="307" xr:uid="{BE02582C-4FE8-4EF7-AE0B-EB50955435FB}"/>
    <cellStyle name="Normal 2 4 2" xfId="308" xr:uid="{B885360B-C0FC-4297-834F-76163638DB17}"/>
    <cellStyle name="Normal 2 4 3" xfId="471" xr:uid="{0E10187B-3C53-431C-82C4-6D77955C44D1}"/>
    <cellStyle name="Normal 2 5" xfId="309" xr:uid="{D10F8BD4-8EC4-46C5-A2AB-1E0A699BB6BC}"/>
    <cellStyle name="Normal 2 5 2" xfId="472" xr:uid="{D9986872-82D8-4937-8CCE-C193F8A46D95}"/>
    <cellStyle name="Normal 2 6" xfId="310" xr:uid="{BF124ABB-7769-4791-AD28-B443D80CB26E}"/>
    <cellStyle name="Normal 2 6 2" xfId="473" xr:uid="{2CFC2947-069B-4B83-A910-3EE983473368}"/>
    <cellStyle name="Normal 2 7" xfId="311" xr:uid="{27D54167-9A49-4DEA-8351-81384AE00FFC}"/>
    <cellStyle name="Normal 2 7 2" xfId="474" xr:uid="{C8DFC810-D0BA-48D0-9949-634C5A0AA252}"/>
    <cellStyle name="Normal 2 8" xfId="312" xr:uid="{4616EEAB-6192-478D-8A72-0525E963E34E}"/>
    <cellStyle name="Normal 2 8 2" xfId="475" xr:uid="{EC92A7C3-07A3-4F3E-8A77-C40DCF14C3B5}"/>
    <cellStyle name="Normal 2 9" xfId="313" xr:uid="{63CD8320-8212-4C2A-AE28-A736BF5A8AB4}"/>
    <cellStyle name="Normal 2 9 2" xfId="476" xr:uid="{FA5CF59E-1702-4E9B-A5C6-EB3371F1E6F1}"/>
    <cellStyle name="Normal 2_13.02 (2)" xfId="314" xr:uid="{28A31CB8-E51F-4DC5-8011-0A790D25D829}"/>
    <cellStyle name="Normal 3" xfId="13" xr:uid="{DB4F0F1D-86D1-4689-96E9-9B63C53B128F}"/>
    <cellStyle name="Normal 3 2" xfId="315" xr:uid="{90E72527-486F-463B-B3E0-D83998D79ED2}"/>
    <cellStyle name="Normal 3 2 2" xfId="316" xr:uid="{1B216DC8-3BDA-4018-814D-782610B29BE8}"/>
    <cellStyle name="Normal 3 2 2 2" xfId="317" xr:uid="{536CBAD3-6A82-4EC4-BD11-28DE719C20BC}"/>
    <cellStyle name="Normal 3 2 2 2 2" xfId="318" xr:uid="{7A8915AE-BB0F-4826-8CEC-D1113DF013EF}"/>
    <cellStyle name="Normal 3 2 2 2 3" xfId="319" xr:uid="{7FD705F0-AD00-4048-940F-2EBCB4E7891F}"/>
    <cellStyle name="Normal 3 2 2 3" xfId="320" xr:uid="{EA8E3AD7-35F5-49A7-968D-A8B1C9C4091B}"/>
    <cellStyle name="Normal 3 2 3" xfId="321" xr:uid="{B8A7B3DC-F6D0-4BBD-A2F0-764660855165}"/>
    <cellStyle name="Normal 3 2 3 2" xfId="479" xr:uid="{6598C4F2-5324-43FB-B76B-6979DF9E39C4}"/>
    <cellStyle name="Normal 3 2 4" xfId="322" xr:uid="{2C6F8D80-D027-40CA-81FD-2F87319B4ABB}"/>
    <cellStyle name="Normal 3 2 5" xfId="478" xr:uid="{D3104857-EADB-48A4-B23F-9E1BD38DD9FB}"/>
    <cellStyle name="Normal 3 3" xfId="323" xr:uid="{D29EA387-32D0-4BD7-9712-BAD5FE85C31B}"/>
    <cellStyle name="Normal 3 3 2" xfId="324" xr:uid="{CE5F90A6-01ED-463C-B2AB-F1E4FDF23E31}"/>
    <cellStyle name="Normal 3 3 2 2" xfId="325" xr:uid="{0279510C-BB10-493B-9A8F-4217A8EAC0B7}"/>
    <cellStyle name="Normal 3 3 2 2 2" xfId="482" xr:uid="{A21F3EED-1A9F-4DB8-B49C-5E5104E05CD8}"/>
    <cellStyle name="Normal 3 3 2 3" xfId="326" xr:uid="{1B3D9D65-AE13-4831-AA63-6F086F17FFFE}"/>
    <cellStyle name="Normal 3 3 2 3 2" xfId="483" xr:uid="{AC0C0676-2BF0-48F7-A73C-F397CD5ECCCE}"/>
    <cellStyle name="Normal 3 3 2 4" xfId="481" xr:uid="{733699E8-C2CC-4E75-9084-1876CB5CA409}"/>
    <cellStyle name="Normal 3 3 2 5" xfId="14" xr:uid="{974E7BD5-BA10-49F9-A0DC-F4D7DF96B88C}"/>
    <cellStyle name="Normal 3 3 2 5 2" xfId="5" xr:uid="{59E9C2E6-C0BF-4864-ABC6-DFCC7252B8BF}"/>
    <cellStyle name="Normal 3 3 2 5 2 2" xfId="446" xr:uid="{58A26E3B-29B5-4A30-9F92-0E52249D1D33}"/>
    <cellStyle name="Normal 3 3 3" xfId="327" xr:uid="{FBD55DF4-DBAC-4CBE-8B40-065768009094}"/>
    <cellStyle name="Normal 3 3 4" xfId="480" xr:uid="{C44A6E0D-26D9-43D9-9DEF-16DC756E72FC}"/>
    <cellStyle name="Normal 3 4" xfId="328" xr:uid="{28614473-3068-4F9B-9B44-F6227A326387}"/>
    <cellStyle name="Normal 3 4 2" xfId="3" xr:uid="{F60D39EA-04F1-45DC-967A-3458BA95A7D0}"/>
    <cellStyle name="Normal 3 4 2 2" xfId="12" xr:uid="{52EA5C24-BC2F-489F-B8D4-804C38B0E19F}"/>
    <cellStyle name="Normal 3 4 2 3" xfId="329" xr:uid="{22D5BF57-174A-407A-87A5-C29203458819}"/>
    <cellStyle name="Normal 3 4 2 4" xfId="450" xr:uid="{B2EB1FC5-8646-42C0-8044-E94BF5E8BDFE}"/>
    <cellStyle name="Normal 3 4 2 5" xfId="485" xr:uid="{52F6A978-4E92-422C-B972-957A91566217}"/>
    <cellStyle name="Normal 3 4 3" xfId="330" xr:uid="{051D5FF1-2009-47AA-A94A-F99A7195541E}"/>
    <cellStyle name="Normal 3 4 4" xfId="484" xr:uid="{E7514E26-0D7E-41F7-9D50-7C759F646BC7}"/>
    <cellStyle name="Normal 3 5" xfId="477" xr:uid="{240810B5-D3EA-46D7-924E-0EED04727F3A}"/>
    <cellStyle name="Normal 3 6" xfId="331" xr:uid="{B14A9E86-8A8A-4CB0-B2CC-E5E938A42809}"/>
    <cellStyle name="Normal 3 6 2" xfId="486" xr:uid="{6D2D4467-9CEB-4C39-A235-BE2C49780219}"/>
    <cellStyle name="Normal 4" xfId="332" xr:uid="{A2773507-433B-4556-B792-AD34BAED213E}"/>
    <cellStyle name="Normal 4 2" xfId="2" xr:uid="{02F7CA38-C8DE-4BB0-9FCD-783722B37E42}"/>
    <cellStyle name="Normal 4 3" xfId="333" xr:uid="{70B9A584-8FA1-414A-97D7-7D4A935B50DD}"/>
    <cellStyle name="Normal 4 3 2" xfId="334" xr:uid="{87E53957-D883-4542-A9E6-61E2A3C1CBC9}"/>
    <cellStyle name="Normal 4 3 2 2" xfId="335" xr:uid="{FA68631A-34ED-4276-8E3B-A74126278969}"/>
    <cellStyle name="Normal 4 3 2 3" xfId="336" xr:uid="{2A6C4001-B775-408F-A1D7-7CBC3EE93CE0}"/>
    <cellStyle name="Normal 4 3 3" xfId="337" xr:uid="{4DAC61A8-7E30-43BA-9FA1-A07BBE686916}"/>
    <cellStyle name="Normal 4 4" xfId="338" xr:uid="{44AFC4A2-C260-4B63-B72B-213CA37A09ED}"/>
    <cellStyle name="Normal 5" xfId="339" xr:uid="{A7674BC7-D1E5-41CA-8450-809539A743D3}"/>
    <cellStyle name="Normal 5 2" xfId="340" xr:uid="{4C3B7224-AC4B-4533-B887-AE1B848D710B}"/>
    <cellStyle name="Normal 5 2 2" xfId="341" xr:uid="{5738627C-C99F-4444-8436-1415EB885F2F}"/>
    <cellStyle name="Normal 5 2 2 2" xfId="488" xr:uid="{1FC1C584-E7DD-4F16-B89D-B916C0F463BB}"/>
    <cellStyle name="Normal 5 2 3" xfId="487" xr:uid="{61CCD44C-227F-4C3A-AF63-DE65D2E48B67}"/>
    <cellStyle name="Normal 5 3" xfId="342" xr:uid="{999BCE2D-9526-4B75-8870-3520B01E67DA}"/>
    <cellStyle name="Normal 5 3 2" xfId="343" xr:uid="{8BD7CFE1-D4A7-45DE-89EE-89BC590FC48A}"/>
    <cellStyle name="Normal 5 3 2 2" xfId="489" xr:uid="{AB7642D2-6420-4AA9-9CE1-6B4B3B9F3678}"/>
    <cellStyle name="Normal 5 3 3" xfId="344" xr:uid="{0C2B4633-3D7B-40F4-9867-6222643EAA24}"/>
    <cellStyle name="Normal 5 3 4" xfId="345" xr:uid="{32425168-EADC-4763-B759-AA3DB7E40FF5}"/>
    <cellStyle name="Normal 5 3 5" xfId="346" xr:uid="{02961E28-4CA8-4A11-8943-92F145FF4B54}"/>
    <cellStyle name="Normal 5 3 5 2" xfId="490" xr:uid="{A4B6DEED-AB46-442A-84BC-C88D565D5AB1}"/>
    <cellStyle name="Normal 5 4" xfId="347" xr:uid="{A151B87F-67AC-41CE-819C-2CC63F130192}"/>
    <cellStyle name="Normal 5 4 2" xfId="348" xr:uid="{28188003-23D3-47F7-BCC6-2BD69FBF386D}"/>
    <cellStyle name="Normal 5 4 2 2" xfId="492" xr:uid="{C82DB27B-1685-433A-AF57-435142782BF7}"/>
    <cellStyle name="Normal 5 4 3" xfId="491" xr:uid="{3FAF4E7D-AB74-4DFA-8A85-186B4738361A}"/>
    <cellStyle name="Normal 5 5" xfId="349" xr:uid="{62E09148-9263-42B0-BE62-337520805BBB}"/>
    <cellStyle name="Normal 5 5 2" xfId="350" xr:uid="{8E1F9117-77B1-4A04-936F-F57237CA9201}"/>
    <cellStyle name="Normal 5 5 2 2" xfId="494" xr:uid="{CA1D801A-FCDE-477B-A8B2-604CFA0C7711}"/>
    <cellStyle name="Normal 5 5 3" xfId="493" xr:uid="{160E744F-DD04-40FD-BFC3-421AE8AF93C4}"/>
    <cellStyle name="Normal 5 6" xfId="351" xr:uid="{150A23AB-4E42-46BE-9DA0-82E09AD4441E}"/>
    <cellStyle name="Normal 5 6 2" xfId="495" xr:uid="{D95410C4-9301-4E1E-A534-9C72DC8324BF}"/>
    <cellStyle name="Normal 5 7" xfId="352" xr:uid="{B7FB8644-0BA1-4129-A79B-6E205B676E43}"/>
    <cellStyle name="Normal 5 7 2" xfId="496" xr:uid="{C49EC4E2-0D61-4365-8FE9-3E9D6A77A58D}"/>
    <cellStyle name="Normal 6" xfId="353" xr:uid="{48B74C25-CAC0-4CDF-91D3-B14600F7AE39}"/>
    <cellStyle name="Normal 6 2" xfId="354" xr:uid="{2B77D0E7-5F7D-4361-B73D-36A1682A1BE4}"/>
    <cellStyle name="Normal 6 2 2" xfId="497" xr:uid="{245BD5D4-7488-4E67-ADCF-76DACA8FDF2A}"/>
    <cellStyle name="Normal 6 3" xfId="355" xr:uid="{97954559-D3FA-4267-B5D1-0A9171CE4B71}"/>
    <cellStyle name="Normal 6 3 2" xfId="356" xr:uid="{556F8C7E-2E57-4E43-AB18-9DCFC054AF40}"/>
    <cellStyle name="Normal 6 3 2 2" xfId="357" xr:uid="{5576352A-F07E-4AC7-A9E2-34E3BB96E2CA}"/>
    <cellStyle name="Normal 6 3 2 2 2" xfId="499" xr:uid="{BE2227ED-C800-4DDB-8128-AC83208CC9D9}"/>
    <cellStyle name="Normal 6 3 2 3" xfId="498" xr:uid="{FB73A841-53F1-443E-8D99-08476B11D322}"/>
    <cellStyle name="Normal 6 3 3" xfId="358" xr:uid="{FB1926F5-BC33-4A1E-A507-7AC1DE339B76}"/>
    <cellStyle name="Normal 6 3 3 2" xfId="359" xr:uid="{6F0FB7F6-BFE7-4B7C-A904-C26BD53998E6}"/>
    <cellStyle name="Normal 6 3 4" xfId="360" xr:uid="{840ED7EC-15C0-46E9-9607-6F9A7FD8985D}"/>
    <cellStyle name="Normal 6 3 4 2" xfId="500" xr:uid="{80818A3F-729F-40EB-8360-493EA7882170}"/>
    <cellStyle name="Normal 6 4" xfId="361" xr:uid="{41190BB7-B46E-42DA-8E04-BFE2C8A495CA}"/>
    <cellStyle name="Normal 6 5" xfId="362" xr:uid="{6CEA32F6-282E-497A-BA3B-14185318D123}"/>
    <cellStyle name="Normal 7" xfId="363" xr:uid="{79954DDE-89F6-425F-992A-B824D7E82A4D}"/>
    <cellStyle name="Normal 7 2" xfId="364" xr:uid="{193A53FF-FDAE-494C-92A1-CE014A2D043C}"/>
    <cellStyle name="Normal 7 2 2" xfId="501" xr:uid="{2137D8E8-0DDA-49AC-84AA-EBC6921DD092}"/>
    <cellStyle name="Normal 7 3" xfId="365" xr:uid="{8F7FDD53-6A25-4ED7-8979-9214AF675E62}"/>
    <cellStyle name="Normal 7 3 2" xfId="502" xr:uid="{949E5DA1-E9A3-4B7B-825C-62DC109BFD4C}"/>
    <cellStyle name="Normal 7 4" xfId="366" xr:uid="{5088D78F-86C0-4E15-829A-68160E0F01BB}"/>
    <cellStyle name="Normal 7 5" xfId="367" xr:uid="{19394146-D819-4A4E-8382-A600C7578CDD}"/>
    <cellStyle name="Normal 7 5 2" xfId="503" xr:uid="{3A1F4A6D-8FF5-40E6-AADA-D549E78922D9}"/>
    <cellStyle name="Normal 8" xfId="368" xr:uid="{86E03AF2-AEBF-441F-94C7-47DA67B694EC}"/>
    <cellStyle name="Normal 8 2" xfId="369" xr:uid="{EF3E119B-2C4B-4D99-B8F9-C38E166AD2E3}"/>
    <cellStyle name="Normal 8 2 2" xfId="370" xr:uid="{FB4DE30B-3BE9-435F-ADAE-B2C997B84778}"/>
    <cellStyle name="Normal 8 2 3" xfId="371" xr:uid="{8F01BB55-CE16-427E-96F4-957BC7F18B5B}"/>
    <cellStyle name="Normal 8 3" xfId="372" xr:uid="{6C1256C2-7386-44D1-847B-5F53340ED2F0}"/>
    <cellStyle name="Normal 9" xfId="373" xr:uid="{583CE11B-4086-4436-AA9A-044FE9B90138}"/>
    <cellStyle name="Normal 9 2" xfId="374" xr:uid="{B795CA53-27AB-49D1-910C-0CCC100976B0}"/>
    <cellStyle name="Normal 9 2 2" xfId="375" xr:uid="{CAC0AF28-682A-47F7-B5BF-E1C8434743F5}"/>
    <cellStyle name="Normal 9 2 3" xfId="376" xr:uid="{418EF751-4403-4C6E-B3EB-B67A00DE2A07}"/>
    <cellStyle name="Normal 9 3" xfId="377" xr:uid="{2FE77971-4C45-46B4-9D0E-0FE0115FECC0}"/>
    <cellStyle name="Normal 9 3 2" xfId="504" xr:uid="{A7152937-A5E1-4B7B-9E84-14EE67742BC1}"/>
    <cellStyle name="Normal 9 4" xfId="378" xr:uid="{EBCF55B4-C73C-4D70-8470-E16F42F27236}"/>
    <cellStyle name="Normal 9 5" xfId="379" xr:uid="{1CA204DA-493E-4550-AADA-2AD429569B6E}"/>
    <cellStyle name="Notas 2" xfId="380" xr:uid="{98EC9C25-99CE-48FF-B71E-D4B297869C8A}"/>
    <cellStyle name="Porcentaje" xfId="448" builtinId="5"/>
    <cellStyle name="Porcentaje 2" xfId="508" xr:uid="{E7A1C11D-0EA2-4EDC-A75E-4A076EED8C70}"/>
    <cellStyle name="Porcentual 2" xfId="381" xr:uid="{565F2E87-62BC-466B-8B80-1B6BCE8C1355}"/>
    <cellStyle name="Porcentual 2 2" xfId="382" xr:uid="{A80664EA-B1AB-4031-BB0A-449216D4E020}"/>
    <cellStyle name="Porcentual 3" xfId="383" xr:uid="{F706BAA3-F2A0-45C6-8D06-B351479BAD00}"/>
    <cellStyle name="Salida 2" xfId="384" xr:uid="{44E0CB34-8F13-492E-BB97-82BC0035ADE3}"/>
    <cellStyle name="Texto de advertencia 2" xfId="385" xr:uid="{8091E17F-1051-45FF-BA40-01650E0F262A}"/>
    <cellStyle name="Texto explicativo 2" xfId="386" xr:uid="{84418D11-9579-4C67-95CB-1100FA7F0AA4}"/>
    <cellStyle name="Título 1 2" xfId="387" xr:uid="{05300446-085F-45EC-95A1-FCA8A3358D9F}"/>
    <cellStyle name="Título 2 2" xfId="388" xr:uid="{706CE169-9F6C-4035-95A8-03D256E2527A}"/>
    <cellStyle name="Título 3 2" xfId="389" xr:uid="{70147F54-88D6-435F-BD11-1C931A535FBA}"/>
    <cellStyle name="Título 4" xfId="390" xr:uid="{A57866E8-6C65-4632-A55D-ECCABC26DD18}"/>
    <cellStyle name="Total 2" xfId="391" xr:uid="{3576B1CC-7DD0-4C6C-9DEC-F501FB591496}"/>
    <cellStyle name="好" xfId="392" xr:uid="{27508A67-EDDF-4504-8923-276959BEBE74}"/>
    <cellStyle name="好 2" xfId="393" xr:uid="{D3809958-CC02-4133-AB8F-83DBCBA83D77}"/>
    <cellStyle name="差" xfId="394" xr:uid="{D3B37DB8-D35E-4928-B18F-55E18E8F8319}"/>
    <cellStyle name="差 2" xfId="395" xr:uid="{F208C205-F207-444C-9760-1B9FB55A192F}"/>
    <cellStyle name="常规_Sheet1" xfId="396" xr:uid="{C05A8B52-8C07-4AE9-A6E0-BFFC1F39C399}"/>
    <cellStyle name="强调文字颜色 1" xfId="397" xr:uid="{579C3C7A-3AF8-44BD-BD6A-240BBB86EDC2}"/>
    <cellStyle name="强调文字颜色 1 2" xfId="398" xr:uid="{C32E3617-0BAA-4F0F-B65A-9F324929EB12}"/>
    <cellStyle name="强调文字颜色 2" xfId="399" xr:uid="{C837C93A-2BA9-4004-97F4-BDDB9A0E1F9F}"/>
    <cellStyle name="强调文字颜色 2 2" xfId="400" xr:uid="{54DAA880-25C6-4F88-8CBF-652D201BD9F0}"/>
    <cellStyle name="强调文字颜色 3" xfId="401" xr:uid="{C67AE0DB-81C8-402E-B9D1-921AE39F0290}"/>
    <cellStyle name="强调文字颜色 3 2" xfId="402" xr:uid="{6D868847-5C68-45C9-999B-EFB0C176387E}"/>
    <cellStyle name="强调文字颜色 4" xfId="403" xr:uid="{57106BD0-5737-4D5E-8286-2C3647F1F7C6}"/>
    <cellStyle name="强调文字颜色 4 2" xfId="404" xr:uid="{8A6F0BED-A4F1-4192-AB6C-9D43E1F5F5E6}"/>
    <cellStyle name="强调文字颜色 5" xfId="405" xr:uid="{80E9627C-3BBF-441E-B54A-CA8CE330455A}"/>
    <cellStyle name="强调文字颜色 5 2" xfId="406" xr:uid="{64604B41-FC30-4AD6-9544-97DB79DA8EEC}"/>
    <cellStyle name="强调文字颜色 6" xfId="407" xr:uid="{1DA3E502-95FD-4F0A-9F77-257584D32F79}"/>
    <cellStyle name="强调文字颜色 6 2" xfId="408" xr:uid="{8606845A-0FD0-4415-B373-DE1C6ACC1210}"/>
    <cellStyle name="标题" xfId="409" xr:uid="{D0C807BF-B6A0-4D15-BA3F-DC9E6EA96531}"/>
    <cellStyle name="标题 1" xfId="410" xr:uid="{75A2A415-25E7-4024-A8D7-CA946AF9F72F}"/>
    <cellStyle name="标题 1 2" xfId="411" xr:uid="{7FBE6B5C-B1A7-4F38-A571-BBF2651072D6}"/>
    <cellStyle name="标题 2" xfId="412" xr:uid="{EFDF1410-0790-49EA-BCE4-30C36B4658E8}"/>
    <cellStyle name="标题 2 2" xfId="413" xr:uid="{366A09F7-4C6A-4F67-BB1E-3F689AD4D7E2}"/>
    <cellStyle name="标题 3" xfId="414" xr:uid="{27E57F5D-1252-4129-9CF8-22F5F6089CC6}"/>
    <cellStyle name="标题 3 2" xfId="415" xr:uid="{9C12F07A-B362-4F4F-AC64-4B8244372B85}"/>
    <cellStyle name="标题 4" xfId="416" xr:uid="{2C80A5EC-4CE9-4E0D-A2C6-315D10B38686}"/>
    <cellStyle name="标题 4 2" xfId="417" xr:uid="{C7D856F9-81C4-482C-9252-0F4E5C4CE769}"/>
    <cellStyle name="标题 5" xfId="418" xr:uid="{019EFCD4-60B9-4221-9810-54370900F3F8}"/>
    <cellStyle name="检查单元格" xfId="419" xr:uid="{0CABAEF4-2025-4DBC-B36B-F48DA6D2B541}"/>
    <cellStyle name="检查单元格 2" xfId="420" xr:uid="{6777DA53-B68B-440D-8FBB-3220F89C6E5D}"/>
    <cellStyle name="汇总" xfId="421" xr:uid="{3382DAE2-EEC5-424D-8242-9444EAC0B83E}"/>
    <cellStyle name="汇总 2" xfId="422" xr:uid="{1B584289-3072-455C-9269-CBE407E342C7}"/>
    <cellStyle name="注释" xfId="423" xr:uid="{51D643B3-D111-4624-ACA8-8BD4C6E9A1BF}"/>
    <cellStyle name="注释 2" xfId="424" xr:uid="{764EF011-D181-4EDF-9D2E-178A9AE35B10}"/>
    <cellStyle name="解释性文本" xfId="425" xr:uid="{90B6603F-5939-4CD5-84AC-FC944EC15CBC}"/>
    <cellStyle name="解释性文本 2" xfId="426" xr:uid="{1EEC9312-72F2-4524-9DFD-6D2EBF8CDABE}"/>
    <cellStyle name="警告文本" xfId="427" xr:uid="{25615648-5CF7-4E75-80F6-BD212B7D8183}"/>
    <cellStyle name="警告文本 2" xfId="428" xr:uid="{31F53253-142C-4AA7-9EC8-A064A9B9BFAE}"/>
    <cellStyle name="计算" xfId="429" xr:uid="{4BC385E3-607B-4C4D-8D4F-F5803C5BEB49}"/>
    <cellStyle name="计算 2" xfId="430" xr:uid="{87896B74-C6F5-4101-BB3D-92595EE3A02B}"/>
    <cellStyle name="输入" xfId="431" xr:uid="{159190EC-F106-46F8-8FE9-E37510E64D8C}"/>
    <cellStyle name="输入 2" xfId="432" xr:uid="{B2141806-B530-451C-B9F2-5A4ECCA300F3}"/>
    <cellStyle name="输出" xfId="433" xr:uid="{07869891-A053-4AA0-835C-8CD1B5F08FCD}"/>
    <cellStyle name="输出 2" xfId="434" xr:uid="{1E10CAB1-FE9C-48A6-8B48-A563BC83CA87}"/>
    <cellStyle name="适中" xfId="435" xr:uid="{C4EFDA55-F46D-429E-97B2-5420E12BD3BE}"/>
    <cellStyle name="适中 2" xfId="436" xr:uid="{868316E6-F789-49AA-B0FE-999DFC8AE05D}"/>
    <cellStyle name="链接单元格" xfId="437" xr:uid="{891687E7-91B3-4165-8D39-82647550736D}"/>
    <cellStyle name="链接单元格 2" xfId="438" xr:uid="{C37A00F7-4660-4DAF-BFDA-3FC59C016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2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396875</xdr:colOff>
      <xdr:row>3</xdr:row>
      <xdr:rowOff>269875</xdr:rowOff>
    </xdr:from>
    <xdr:to>
      <xdr:col>4</xdr:col>
      <xdr:colOff>2555875</xdr:colOff>
      <xdr:row>3</xdr:row>
      <xdr:rowOff>2651125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2A6B1D-EA16-D1B6-EA9B-E0989A843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1301750"/>
          <a:ext cx="2159000" cy="2381250"/>
        </a:xfrm>
        <a:prstGeom prst="rect">
          <a:avLst/>
        </a:prstGeom>
      </xdr:spPr>
    </xdr:pic>
    <xdr:clientData/>
  </xdr:twoCellAnchor>
  <xdr:oneCellAnchor>
    <xdr:from>
      <xdr:col>4</xdr:col>
      <xdr:colOff>396875</xdr:colOff>
      <xdr:row>5</xdr:row>
      <xdr:rowOff>269875</xdr:rowOff>
    </xdr:from>
    <xdr:ext cx="2159000" cy="2381250"/>
    <xdr:pic>
      <xdr:nvPicPr>
        <xdr:cNvPr id="8" name="Imagen 7">
          <a:extLst>
            <a:ext uri="{FF2B5EF4-FFF2-40B4-BE49-F238E27FC236}">
              <a16:creationId xmlns:a16="http://schemas.microsoft.com/office/drawing/2014/main" id="{4E9F415D-8E32-4936-9A0D-A821AB75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0" y="1301750"/>
          <a:ext cx="2159000" cy="2381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16</xdr:row>
      <xdr:rowOff>1234901</xdr:rowOff>
    </xdr:from>
    <xdr:to>
      <xdr:col>4</xdr:col>
      <xdr:colOff>2730500</xdr:colOff>
      <xdr:row>16</xdr:row>
      <xdr:rowOff>2320925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2A675C-613D-487A-AE7F-6039AEC1DF3E}"/>
            </a:ext>
            <a:ext uri="{147F2762-F138-4A5C-976F-8EAC2B608ADB}">
              <a16:predDERef xmlns:a16="http://schemas.microsoft.com/office/drawing/2014/main" pred="{EDD30D91-F932-4670-9AD6-6C0FF5E3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8375" y="2266776"/>
          <a:ext cx="2444750" cy="1086024"/>
        </a:xfrm>
        <a:prstGeom prst="rect">
          <a:avLst/>
        </a:prstGeom>
      </xdr:spPr>
    </xdr:pic>
    <xdr:clientData/>
  </xdr:twoCellAnchor>
  <xdr:oneCellAnchor>
    <xdr:from>
      <xdr:col>4</xdr:col>
      <xdr:colOff>206375</xdr:colOff>
      <xdr:row>17</xdr:row>
      <xdr:rowOff>1095375</xdr:rowOff>
    </xdr:from>
    <xdr:ext cx="2420786" cy="1304924"/>
    <xdr:pic>
      <xdr:nvPicPr>
        <xdr:cNvPr id="6" name="Imagen 5" descr="3P Alianza Gráfica">
          <a:extLst>
            <a:ext uri="{FF2B5EF4-FFF2-40B4-BE49-F238E27FC236}">
              <a16:creationId xmlns:a16="http://schemas.microsoft.com/office/drawing/2014/main" id="{B55FC22C-BD03-4DE5-BA25-513EB574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5095875"/>
          <a:ext cx="2420786" cy="130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226142</xdr:colOff>
      <xdr:row>18</xdr:row>
      <xdr:rowOff>273050</xdr:rowOff>
    </xdr:from>
    <xdr:to>
      <xdr:col>4</xdr:col>
      <xdr:colOff>1104900</xdr:colOff>
      <xdr:row>18</xdr:row>
      <xdr:rowOff>971550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FB977F-BBDB-4222-BAA8-0B51F23B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642" y="7264400"/>
          <a:ext cx="878758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927099</xdr:colOff>
      <xdr:row>18</xdr:row>
      <xdr:rowOff>965200</xdr:rowOff>
    </xdr:from>
    <xdr:to>
      <xdr:col>4</xdr:col>
      <xdr:colOff>2657474</xdr:colOff>
      <xdr:row>18</xdr:row>
      <xdr:rowOff>2894041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83CD1E-2DF9-4601-BAC0-F624EF46A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599" y="7956550"/>
          <a:ext cx="1730375" cy="1928841"/>
        </a:xfrm>
        <a:prstGeom prst="rect">
          <a:avLst/>
        </a:prstGeom>
      </xdr:spPr>
    </xdr:pic>
    <xdr:clientData/>
  </xdr:twoCellAnchor>
  <xdr:twoCellAnchor editAs="oneCell">
    <xdr:from>
      <xdr:col>4</xdr:col>
      <xdr:colOff>577850</xdr:colOff>
      <xdr:row>19</xdr:row>
      <xdr:rowOff>723900</xdr:rowOff>
    </xdr:from>
    <xdr:to>
      <xdr:col>4</xdr:col>
      <xdr:colOff>2461677</xdr:colOff>
      <xdr:row>19</xdr:row>
      <xdr:rowOff>2912554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085DE3-DE0E-48CD-826E-3290EBC0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6350" y="10972800"/>
          <a:ext cx="1883827" cy="2188654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12</xdr:row>
      <xdr:rowOff>247651</xdr:rowOff>
    </xdr:from>
    <xdr:to>
      <xdr:col>4</xdr:col>
      <xdr:colOff>2753926</xdr:colOff>
      <xdr:row>12</xdr:row>
      <xdr:rowOff>2857501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7A85A9-48A1-C894-92FA-305F6944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00450" y="1295401"/>
          <a:ext cx="2391976" cy="2609850"/>
        </a:xfrm>
        <a:prstGeom prst="rect">
          <a:avLst/>
        </a:prstGeom>
      </xdr:spPr>
    </xdr:pic>
    <xdr:clientData/>
  </xdr:twoCellAnchor>
  <xdr:oneCellAnchor>
    <xdr:from>
      <xdr:col>4</xdr:col>
      <xdr:colOff>226142</xdr:colOff>
      <xdr:row>4</xdr:row>
      <xdr:rowOff>273050</xdr:rowOff>
    </xdr:from>
    <xdr:ext cx="878758" cy="698500"/>
    <xdr:pic>
      <xdr:nvPicPr>
        <xdr:cNvPr id="9" name="Imagen 8">
          <a:extLst>
            <a:ext uri="{FF2B5EF4-FFF2-40B4-BE49-F238E27FC236}">
              <a16:creationId xmlns:a16="http://schemas.microsoft.com/office/drawing/2014/main" id="{6681BF3A-9C06-4F38-96B7-41915BB6F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4642" y="16579850"/>
          <a:ext cx="878758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927099</xdr:colOff>
      <xdr:row>4</xdr:row>
      <xdr:rowOff>965200</xdr:rowOff>
    </xdr:from>
    <xdr:ext cx="1730375" cy="1928841"/>
    <xdr:pic>
      <xdr:nvPicPr>
        <xdr:cNvPr id="10" name="Imagen 9">
          <a:extLst>
            <a:ext uri="{FF2B5EF4-FFF2-40B4-BE49-F238E27FC236}">
              <a16:creationId xmlns:a16="http://schemas.microsoft.com/office/drawing/2014/main" id="{CBF60CED-E478-46F8-BE5E-4C2E19B1D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5599" y="17272000"/>
          <a:ext cx="1730375" cy="1928841"/>
        </a:xfrm>
        <a:prstGeom prst="rect">
          <a:avLst/>
        </a:prstGeom>
      </xdr:spPr>
    </xdr:pic>
    <xdr:clientData/>
  </xdr:oneCellAnchor>
  <xdr:twoCellAnchor editAs="oneCell">
    <xdr:from>
      <xdr:col>4</xdr:col>
      <xdr:colOff>419100</xdr:colOff>
      <xdr:row>5</xdr:row>
      <xdr:rowOff>728126</xdr:rowOff>
    </xdr:from>
    <xdr:to>
      <xdr:col>4</xdr:col>
      <xdr:colOff>2591579</xdr:colOff>
      <xdr:row>5</xdr:row>
      <xdr:rowOff>2915434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BA73CA-32AA-9177-CB42-41B9C8B6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5033426"/>
          <a:ext cx="2172479" cy="21873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21</xdr:row>
      <xdr:rowOff>682451</xdr:rowOff>
    </xdr:from>
    <xdr:ext cx="2444750" cy="1086024"/>
    <xdr:pic>
      <xdr:nvPicPr>
        <xdr:cNvPr id="11" name="Imagen 10">
          <a:extLst>
            <a:ext uri="{FF2B5EF4-FFF2-40B4-BE49-F238E27FC236}">
              <a16:creationId xmlns:a16="http://schemas.microsoft.com/office/drawing/2014/main" id="{D067D0E3-2B69-4436-9C84-F7783349FDDA}"/>
            </a:ext>
            <a:ext uri="{147F2762-F138-4A5C-976F-8EAC2B608ADB}">
              <a16:predDERef xmlns:a16="http://schemas.microsoft.com/office/drawing/2014/main" pred="{EDD30D91-F932-4670-9AD6-6C0FF5E3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1711151"/>
          <a:ext cx="2444750" cy="1086024"/>
        </a:xfrm>
        <a:prstGeom prst="rect">
          <a:avLst/>
        </a:prstGeom>
      </xdr:spPr>
    </xdr:pic>
    <xdr:clientData/>
  </xdr:oneCellAnchor>
  <xdr:oneCellAnchor>
    <xdr:from>
      <xdr:col>4</xdr:col>
      <xdr:colOff>206375</xdr:colOff>
      <xdr:row>23</xdr:row>
      <xdr:rowOff>1095375</xdr:rowOff>
    </xdr:from>
    <xdr:ext cx="2420786" cy="1304924"/>
    <xdr:pic>
      <xdr:nvPicPr>
        <xdr:cNvPr id="12" name="Imagen 11" descr="3P Alianza Gráfica">
          <a:extLst>
            <a:ext uri="{FF2B5EF4-FFF2-40B4-BE49-F238E27FC236}">
              <a16:creationId xmlns:a16="http://schemas.microsoft.com/office/drawing/2014/main" id="{97BD1871-8801-42E4-AA92-5F8B9D3E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5825" y="7667625"/>
          <a:ext cx="2420786" cy="130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206375</xdr:colOff>
      <xdr:row>22</xdr:row>
      <xdr:rowOff>1095375</xdr:rowOff>
    </xdr:from>
    <xdr:ext cx="2420786" cy="1304924"/>
    <xdr:pic>
      <xdr:nvPicPr>
        <xdr:cNvPr id="13" name="Imagen 12" descr="3P Alianza Gráfica">
          <a:extLst>
            <a:ext uri="{FF2B5EF4-FFF2-40B4-BE49-F238E27FC236}">
              <a16:creationId xmlns:a16="http://schemas.microsoft.com/office/drawing/2014/main" id="{C1EEAF55-41E1-4E79-8F40-EDF5972BB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5825" y="4695825"/>
          <a:ext cx="2420786" cy="1304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628651</xdr:colOff>
      <xdr:row>17</xdr:row>
      <xdr:rowOff>344414</xdr:rowOff>
    </xdr:from>
    <xdr:to>
      <xdr:col>4</xdr:col>
      <xdr:colOff>2038351</xdr:colOff>
      <xdr:row>17</xdr:row>
      <xdr:rowOff>2028825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EA50ED7-E287-48A8-883F-B12124BFD085}"/>
            </a:ext>
            <a:ext uri="{147F2762-F138-4A5C-976F-8EAC2B608ADB}">
              <a16:predDERef xmlns:a16="http://schemas.microsoft.com/office/drawing/2014/main" pred="{1B34CE26-DD55-412D-918F-7128168CC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1" y="1392164"/>
          <a:ext cx="1409700" cy="16844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489857</xdr:colOff>
      <xdr:row>11</xdr:row>
      <xdr:rowOff>190500</xdr:rowOff>
    </xdr:from>
    <xdr:to>
      <xdr:col>4</xdr:col>
      <xdr:colOff>2299607</xdr:colOff>
      <xdr:row>11</xdr:row>
      <xdr:rowOff>2335893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44FCEE-DE0D-39EB-C618-25CC9C90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0643" y="1211036"/>
          <a:ext cx="1809750" cy="2145393"/>
        </a:xfrm>
        <a:prstGeom prst="rect">
          <a:avLst/>
        </a:prstGeom>
      </xdr:spPr>
    </xdr:pic>
    <xdr:clientData/>
  </xdr:twoCellAnchor>
  <xdr:twoCellAnchor editAs="oneCell">
    <xdr:from>
      <xdr:col>4</xdr:col>
      <xdr:colOff>193222</xdr:colOff>
      <xdr:row>12</xdr:row>
      <xdr:rowOff>506186</xdr:rowOff>
    </xdr:from>
    <xdr:to>
      <xdr:col>4</xdr:col>
      <xdr:colOff>1645633</xdr:colOff>
      <xdr:row>12</xdr:row>
      <xdr:rowOff>2227966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5F2E6F-C2EA-4620-B648-CF194E3DB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4008" y="4343400"/>
          <a:ext cx="1452411" cy="1721780"/>
        </a:xfrm>
        <a:prstGeom prst="rect">
          <a:avLst/>
        </a:prstGeom>
      </xdr:spPr>
    </xdr:pic>
    <xdr:clientData/>
  </xdr:twoCellAnchor>
  <xdr:twoCellAnchor editAs="oneCell">
    <xdr:from>
      <xdr:col>4</xdr:col>
      <xdr:colOff>1578428</xdr:colOff>
      <xdr:row>12</xdr:row>
      <xdr:rowOff>517071</xdr:rowOff>
    </xdr:from>
    <xdr:to>
      <xdr:col>4</xdr:col>
      <xdr:colOff>2762250</xdr:colOff>
      <xdr:row>12</xdr:row>
      <xdr:rowOff>2231571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DCBE65-E84E-819D-AE16-CF8A4E2EA4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9981" r="11075"/>
        <a:stretch>
          <a:fillRect/>
        </a:stretch>
      </xdr:blipFill>
      <xdr:spPr>
        <a:xfrm>
          <a:off x="4599214" y="4354285"/>
          <a:ext cx="1183822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435429</xdr:colOff>
      <xdr:row>7</xdr:row>
      <xdr:rowOff>299357</xdr:rowOff>
    </xdr:from>
    <xdr:to>
      <xdr:col>4</xdr:col>
      <xdr:colOff>2762250</xdr:colOff>
      <xdr:row>7</xdr:row>
      <xdr:rowOff>2550589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35E3AF-6C2D-907F-08C5-75D75E7EE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56215" y="1319893"/>
          <a:ext cx="2326821" cy="2251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F771-E57C-4093-A46C-004D2B22B31A}">
  <dimension ref="A1:BE6"/>
  <sheetViews>
    <sheetView showGridLines="0" zoomScale="60" zoomScaleNormal="60" workbookViewId="0">
      <selection activeCell="F6" sqref="F6"/>
    </sheetView>
  </sheetViews>
  <sheetFormatPr baseColWidth="10" defaultColWidth="11.42578125" defaultRowHeight="14.25"/>
  <cols>
    <col min="1" max="1" width="3.140625" style="31" customWidth="1"/>
    <col min="2" max="2" width="5.85546875" style="31" customWidth="1"/>
    <col min="3" max="3" width="15.42578125" style="31" customWidth="1"/>
    <col min="4" max="4" width="14.28515625" style="31" customWidth="1"/>
    <col min="5" max="5" width="44.28515625" style="31" customWidth="1"/>
    <col min="6" max="6" width="9.140625" style="31"/>
    <col min="7" max="7" width="23.140625" style="31" customWidth="1"/>
    <col min="8" max="8" width="18.42578125" style="31" customWidth="1"/>
    <col min="9" max="9" width="82.140625" style="31" customWidth="1"/>
    <col min="10" max="10" width="25.42578125" style="31" customWidth="1"/>
    <col min="11" max="11" width="9.85546875" style="31" customWidth="1"/>
    <col min="12" max="12" width="12.85546875" style="31" customWidth="1"/>
    <col min="13" max="13" width="23.42578125" style="31" customWidth="1"/>
    <col min="14" max="14" width="23" style="31" customWidth="1"/>
    <col min="15" max="15" width="15" style="31" customWidth="1"/>
    <col min="16" max="16" width="9.140625" style="31"/>
    <col min="17" max="17" width="18.140625" style="31" customWidth="1"/>
    <col min="18" max="18" width="9.140625" style="31"/>
    <col min="19" max="19" width="18.7109375" style="31" customWidth="1"/>
    <col min="20" max="20" width="23.140625" style="31" customWidth="1"/>
    <col min="21" max="21" width="16.7109375" style="31" customWidth="1"/>
    <col min="22" max="22" width="9.140625" style="31"/>
    <col min="23" max="23" width="17.85546875" style="31" customWidth="1"/>
    <col min="24" max="24" width="18" style="31" customWidth="1"/>
    <col min="25" max="25" width="25.7109375" style="31" customWidth="1"/>
    <col min="26" max="26" width="22.140625" style="31" customWidth="1"/>
    <col min="27" max="27" width="19.140625" style="31" customWidth="1"/>
    <col min="28" max="30" width="9.140625" style="31"/>
    <col min="31" max="31" width="16.140625" style="31" customWidth="1"/>
    <col min="32" max="32" width="18.42578125" style="31" customWidth="1"/>
    <col min="33" max="33" width="19.7109375" style="31" customWidth="1"/>
    <col min="34" max="34" width="18" style="31" bestFit="1" customWidth="1"/>
    <col min="35" max="35" width="21.140625" style="31" customWidth="1"/>
    <col min="36" max="36" width="14.7109375" style="31" customWidth="1"/>
    <col min="37" max="37" width="13.5703125" style="31" bestFit="1" customWidth="1"/>
    <col min="38" max="16384" width="11.42578125" style="31"/>
  </cols>
  <sheetData>
    <row r="1" spans="1:57" ht="15" customHeight="1"/>
    <row r="2" spans="1:57" ht="21.75" customHeight="1" thickBot="1">
      <c r="B2" s="124" t="s">
        <v>0</v>
      </c>
      <c r="C2" s="124"/>
      <c r="D2" s="124"/>
      <c r="E2" s="124"/>
      <c r="F2" s="124"/>
      <c r="G2" s="124"/>
      <c r="H2" s="124"/>
      <c r="I2" s="124"/>
      <c r="J2" s="124"/>
      <c r="K2" s="1"/>
      <c r="L2" s="1"/>
      <c r="M2" s="32"/>
      <c r="N2" s="1"/>
      <c r="O2" s="2"/>
      <c r="P2" s="1"/>
      <c r="Q2" s="1"/>
      <c r="R2" s="1"/>
      <c r="S2" s="1"/>
      <c r="T2" s="1"/>
      <c r="U2" s="1"/>
      <c r="V2" s="1"/>
      <c r="W2" s="1"/>
      <c r="X2" s="3"/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57" s="33" customFormat="1" ht="45" customHeight="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34"/>
      <c r="L3" s="34"/>
      <c r="M3" s="7" t="s">
        <v>10</v>
      </c>
      <c r="N3" s="8" t="s">
        <v>11</v>
      </c>
      <c r="O3" s="8" t="s">
        <v>12</v>
      </c>
      <c r="P3" s="9" t="s">
        <v>13</v>
      </c>
      <c r="Q3" s="10" t="s">
        <v>14</v>
      </c>
      <c r="R3" s="11" t="s">
        <v>15</v>
      </c>
      <c r="S3" s="11" t="s">
        <v>16</v>
      </c>
      <c r="T3" s="11" t="s">
        <v>17</v>
      </c>
      <c r="U3" s="11" t="s">
        <v>18</v>
      </c>
      <c r="V3" s="11" t="s">
        <v>19</v>
      </c>
      <c r="W3" s="12" t="s">
        <v>20</v>
      </c>
      <c r="X3" s="13" t="s">
        <v>21</v>
      </c>
      <c r="Y3" s="9" t="s">
        <v>22</v>
      </c>
      <c r="Z3" s="14" t="s">
        <v>23</v>
      </c>
      <c r="AA3" s="15" t="s">
        <v>24</v>
      </c>
      <c r="AB3" s="15" t="s">
        <v>25</v>
      </c>
      <c r="AC3" s="15" t="s">
        <v>26</v>
      </c>
      <c r="AD3" s="15" t="s">
        <v>27</v>
      </c>
      <c r="AE3" s="16" t="s">
        <v>28</v>
      </c>
      <c r="AF3" s="13" t="s">
        <v>29</v>
      </c>
      <c r="AG3" s="13" t="s">
        <v>30</v>
      </c>
      <c r="AH3" s="17" t="s">
        <v>18</v>
      </c>
      <c r="AI3" s="18" t="s">
        <v>31</v>
      </c>
      <c r="AJ3" s="18" t="s">
        <v>32</v>
      </c>
      <c r="AK3" s="19" t="s">
        <v>33</v>
      </c>
    </row>
    <row r="4" spans="1:57" s="53" customFormat="1" ht="234" customHeight="1">
      <c r="A4" s="41"/>
      <c r="B4" s="42">
        <v>1</v>
      </c>
      <c r="C4" s="122" t="s">
        <v>34</v>
      </c>
      <c r="D4" s="123"/>
      <c r="E4" s="43"/>
      <c r="F4" s="35">
        <v>20</v>
      </c>
      <c r="G4" s="36">
        <v>34.9</v>
      </c>
      <c r="H4" s="44" t="s">
        <v>35</v>
      </c>
      <c r="I4" s="45" t="s">
        <v>36</v>
      </c>
      <c r="J4" s="36">
        <f>F4*G4</f>
        <v>698</v>
      </c>
      <c r="K4" s="46" t="s">
        <v>37</v>
      </c>
      <c r="L4" s="55">
        <f>T4/J4</f>
        <v>0.31575931232091686</v>
      </c>
      <c r="M4" s="54" t="s">
        <v>38</v>
      </c>
      <c r="N4" s="47"/>
      <c r="O4" s="47"/>
      <c r="P4" s="48"/>
      <c r="Q4" s="40">
        <v>19</v>
      </c>
      <c r="R4" s="23">
        <v>58</v>
      </c>
      <c r="S4" s="20">
        <f t="shared" ref="S4" si="0">Q4*R4/100</f>
        <v>11.02</v>
      </c>
      <c r="T4" s="25">
        <f t="shared" ref="T4" si="1">S4*V4</f>
        <v>220.39999999999998</v>
      </c>
      <c r="U4" s="26">
        <f t="shared" ref="U4" si="2">Q4+S4</f>
        <v>30.02</v>
      </c>
      <c r="V4" s="23">
        <f>F4</f>
        <v>20</v>
      </c>
      <c r="W4" s="21">
        <f>Q4*1</f>
        <v>19</v>
      </c>
      <c r="X4" s="22">
        <v>60</v>
      </c>
      <c r="Y4" s="27">
        <f t="shared" ref="Y4" si="3">V4*U4+W4+X4</f>
        <v>679.4</v>
      </c>
      <c r="Z4" s="37"/>
      <c r="AA4" s="28">
        <v>0</v>
      </c>
      <c r="AB4" s="29">
        <v>1</v>
      </c>
      <c r="AC4" s="29">
        <v>1</v>
      </c>
      <c r="AD4" s="29">
        <v>1</v>
      </c>
      <c r="AE4" s="30">
        <f t="shared" ref="AE4" si="4">AA4*AB4*AC4*AD4</f>
        <v>0</v>
      </c>
      <c r="AF4" s="24">
        <v>3.85</v>
      </c>
      <c r="AG4" s="38">
        <f t="shared" ref="AG4" si="5">2%*(Y4+AE4+AF4)</f>
        <v>13.665000000000001</v>
      </c>
      <c r="AH4" s="49">
        <f t="shared" ref="AH4" si="6">Y4+AE4+AG4+AF4</f>
        <v>696.91499999999996</v>
      </c>
      <c r="AI4" s="39">
        <f t="shared" ref="AI4" si="7">AH4/V4</f>
        <v>34.845749999999995</v>
      </c>
      <c r="AJ4" s="50">
        <f t="shared" ref="AJ4" si="8">AI4*0.18</f>
        <v>6.2722349999999993</v>
      </c>
      <c r="AK4" s="51">
        <f t="shared" ref="AK4" si="9">AI4+AJ4</f>
        <v>41.117984999999997</v>
      </c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</row>
    <row r="5" spans="1:57" ht="50.25" customHeight="1"/>
    <row r="6" spans="1:57" s="53" customFormat="1" ht="234" customHeight="1">
      <c r="A6" s="41"/>
      <c r="B6" s="42">
        <v>2</v>
      </c>
      <c r="C6" s="122" t="s">
        <v>34</v>
      </c>
      <c r="D6" s="123"/>
      <c r="E6" s="43"/>
      <c r="F6" s="35">
        <v>20</v>
      </c>
      <c r="G6" s="36">
        <v>33.9</v>
      </c>
      <c r="H6" s="44" t="s">
        <v>35</v>
      </c>
      <c r="I6" s="45" t="s">
        <v>39</v>
      </c>
      <c r="J6" s="36">
        <f>F6*G6</f>
        <v>678</v>
      </c>
      <c r="K6" s="46"/>
      <c r="L6" s="55">
        <f>T6/J6</f>
        <v>0.30973451327433627</v>
      </c>
      <c r="M6" s="54" t="s">
        <v>38</v>
      </c>
      <c r="N6" s="47"/>
      <c r="O6" s="47"/>
      <c r="P6" s="48"/>
      <c r="Q6" s="40">
        <v>15</v>
      </c>
      <c r="R6" s="23">
        <v>70</v>
      </c>
      <c r="S6" s="20">
        <f t="shared" ref="S6" si="10">Q6*R6/100</f>
        <v>10.5</v>
      </c>
      <c r="T6" s="25">
        <f t="shared" ref="T6" si="11">S6*V6</f>
        <v>210</v>
      </c>
      <c r="U6" s="26">
        <f t="shared" ref="U6" si="12">Q6+S6</f>
        <v>25.5</v>
      </c>
      <c r="V6" s="23">
        <f>F6</f>
        <v>20</v>
      </c>
      <c r="W6" s="21">
        <f>Q6*1</f>
        <v>15</v>
      </c>
      <c r="X6" s="22">
        <f>20+20+50</f>
        <v>90</v>
      </c>
      <c r="Y6" s="27">
        <f t="shared" ref="Y6" si="13">V6*U6+W6+X6</f>
        <v>615</v>
      </c>
      <c r="Z6" s="37" t="s">
        <v>40</v>
      </c>
      <c r="AA6" s="28">
        <f>(2.5+2.5)*21</f>
        <v>105</v>
      </c>
      <c r="AB6" s="29">
        <v>1</v>
      </c>
      <c r="AC6" s="29">
        <v>1</v>
      </c>
      <c r="AD6" s="29">
        <v>1</v>
      </c>
      <c r="AE6" s="30">
        <f t="shared" ref="AE6" si="14">AA6*AB6*AC6*AD6</f>
        <v>105</v>
      </c>
      <c r="AF6" s="24">
        <v>3.85</v>
      </c>
      <c r="AG6" s="38">
        <f t="shared" ref="AG6" si="15">2%*(Y6+AE6+AF6)</f>
        <v>14.477</v>
      </c>
      <c r="AH6" s="49">
        <f t="shared" ref="AH6" si="16">Y6+AE6+AG6+AF6</f>
        <v>738.327</v>
      </c>
      <c r="AI6" s="39">
        <f t="shared" ref="AI6" si="17">AH6/V6</f>
        <v>36.916350000000001</v>
      </c>
      <c r="AJ6" s="50">
        <f t="shared" ref="AJ6" si="18">AI6*0.18</f>
        <v>6.6449429999999996</v>
      </c>
      <c r="AK6" s="51">
        <f t="shared" ref="AK6" si="19">AI6+AJ6</f>
        <v>43.561292999999999</v>
      </c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</sheetData>
  <mergeCells count="3">
    <mergeCell ref="C4:D4"/>
    <mergeCell ref="C6:D6"/>
    <mergeCell ref="B2:J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B491-8D46-4535-B402-99BB77E899EE}">
  <dimension ref="A2:BE20"/>
  <sheetViews>
    <sheetView showGridLines="0" zoomScale="50" zoomScaleNormal="50" workbookViewId="0">
      <selection activeCell="G6" sqref="G6"/>
    </sheetView>
  </sheetViews>
  <sheetFormatPr baseColWidth="10" defaultColWidth="11.42578125" defaultRowHeight="14.25"/>
  <cols>
    <col min="1" max="1" width="3.140625" style="31" customWidth="1"/>
    <col min="2" max="2" width="5.85546875" style="31" customWidth="1"/>
    <col min="3" max="3" width="15.42578125" style="31" customWidth="1"/>
    <col min="4" max="4" width="23.85546875" style="31" customWidth="1"/>
    <col min="5" max="5" width="44.28515625" style="31" customWidth="1"/>
    <col min="6" max="6" width="11.5703125" style="31" bestFit="1" customWidth="1"/>
    <col min="7" max="7" width="23.140625" style="31" customWidth="1"/>
    <col min="8" max="8" width="18.42578125" style="31" customWidth="1"/>
    <col min="9" max="9" width="84.7109375" style="31" customWidth="1"/>
    <col min="10" max="10" width="25.7109375" style="31" customWidth="1"/>
    <col min="11" max="11" width="9.85546875" style="31" customWidth="1"/>
    <col min="12" max="12" width="12.85546875" style="31" customWidth="1"/>
    <col min="13" max="13" width="23.42578125" style="31" customWidth="1"/>
    <col min="14" max="14" width="21" style="31" customWidth="1"/>
    <col min="15" max="15" width="15" style="31" customWidth="1"/>
    <col min="16" max="16" width="19.5703125" style="31" customWidth="1"/>
    <col min="17" max="17" width="18.140625" style="31" customWidth="1"/>
    <col min="18" max="18" width="11.5703125" style="31" bestFit="1" customWidth="1"/>
    <col min="19" max="19" width="18.7109375" style="31" customWidth="1"/>
    <col min="20" max="20" width="23.140625" style="31" customWidth="1"/>
    <col min="21" max="21" width="16.7109375" style="31" customWidth="1"/>
    <col min="22" max="22" width="11.5703125" style="31" bestFit="1" customWidth="1"/>
    <col min="23" max="23" width="17.85546875" style="31" customWidth="1"/>
    <col min="24" max="24" width="18" style="31" customWidth="1"/>
    <col min="25" max="25" width="25.7109375" style="31" customWidth="1"/>
    <col min="26" max="26" width="22.140625" style="31" customWidth="1"/>
    <col min="27" max="27" width="19.140625" style="31" customWidth="1"/>
    <col min="28" max="30" width="11.5703125" style="31" bestFit="1" customWidth="1"/>
    <col min="31" max="31" width="16.140625" style="31" customWidth="1"/>
    <col min="32" max="32" width="18.42578125" style="31" customWidth="1"/>
    <col min="33" max="33" width="19.7109375" style="31" customWidth="1"/>
    <col min="34" max="34" width="18.140625" style="31" bestFit="1" customWidth="1"/>
    <col min="35" max="35" width="21.140625" style="31" customWidth="1"/>
    <col min="36" max="36" width="14.7109375" style="31" customWidth="1"/>
    <col min="37" max="37" width="16.140625" style="31" bestFit="1" customWidth="1"/>
    <col min="38" max="16384" width="11.42578125" style="31"/>
  </cols>
  <sheetData>
    <row r="2" spans="1:57" ht="15" customHeight="1"/>
    <row r="3" spans="1:57" ht="21.75" customHeight="1" thickBot="1">
      <c r="B3" s="124" t="s">
        <v>41</v>
      </c>
      <c r="C3" s="124"/>
      <c r="D3" s="124"/>
      <c r="E3" s="124"/>
      <c r="F3" s="124"/>
      <c r="G3" s="124"/>
      <c r="H3" s="124"/>
      <c r="I3" s="124"/>
      <c r="J3" s="124"/>
      <c r="K3" s="1"/>
      <c r="L3" s="1"/>
      <c r="M3" s="32"/>
      <c r="N3" s="1"/>
      <c r="O3" s="2"/>
      <c r="P3" s="1"/>
      <c r="Q3" s="1"/>
      <c r="R3" s="1"/>
      <c r="S3" s="1"/>
      <c r="T3" s="1"/>
      <c r="U3" s="1"/>
      <c r="V3" s="1"/>
      <c r="W3" s="1"/>
      <c r="X3" s="3"/>
      <c r="Y3" s="1"/>
      <c r="Z3" s="4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57" s="33" customFormat="1" ht="45" customHeigh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34"/>
      <c r="L4" s="34"/>
      <c r="M4" s="7" t="s">
        <v>10</v>
      </c>
      <c r="N4" s="8" t="s">
        <v>11</v>
      </c>
      <c r="O4" s="8" t="s">
        <v>12</v>
      </c>
      <c r="P4" s="9" t="s">
        <v>13</v>
      </c>
      <c r="Q4" s="10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2" t="s">
        <v>20</v>
      </c>
      <c r="X4" s="13" t="s">
        <v>21</v>
      </c>
      <c r="Y4" s="9" t="s">
        <v>22</v>
      </c>
      <c r="Z4" s="14" t="s">
        <v>23</v>
      </c>
      <c r="AA4" s="15" t="s">
        <v>24</v>
      </c>
      <c r="AB4" s="15" t="s">
        <v>25</v>
      </c>
      <c r="AC4" s="15" t="s">
        <v>26</v>
      </c>
      <c r="AD4" s="15" t="s">
        <v>27</v>
      </c>
      <c r="AE4" s="16" t="s">
        <v>28</v>
      </c>
      <c r="AF4" s="13" t="s">
        <v>29</v>
      </c>
      <c r="AG4" s="13" t="s">
        <v>30</v>
      </c>
      <c r="AH4" s="17" t="s">
        <v>18</v>
      </c>
      <c r="AI4" s="18" t="s">
        <v>31</v>
      </c>
      <c r="AJ4" s="18" t="s">
        <v>32</v>
      </c>
      <c r="AK4" s="19" t="s">
        <v>33</v>
      </c>
    </row>
    <row r="5" spans="1:57" s="53" customFormat="1" ht="256.5" customHeight="1">
      <c r="A5" s="41"/>
      <c r="B5" s="42">
        <v>1</v>
      </c>
      <c r="C5" s="122" t="s">
        <v>42</v>
      </c>
      <c r="D5" s="123"/>
      <c r="E5" s="60" t="s">
        <v>43</v>
      </c>
      <c r="F5" s="35">
        <v>300</v>
      </c>
      <c r="G5" s="36">
        <v>13.19</v>
      </c>
      <c r="H5" s="44" t="s">
        <v>44</v>
      </c>
      <c r="I5" s="58" t="s">
        <v>45</v>
      </c>
      <c r="J5" s="36">
        <f>F5*G5</f>
        <v>3957</v>
      </c>
      <c r="K5" s="46" t="s">
        <v>46</v>
      </c>
      <c r="L5" s="55">
        <f>T5/J5</f>
        <v>0.26611068991660347</v>
      </c>
      <c r="M5" s="54" t="s">
        <v>47</v>
      </c>
      <c r="N5" s="47"/>
      <c r="O5" s="125" t="s">
        <v>48</v>
      </c>
      <c r="P5" s="126"/>
      <c r="Q5" s="40">
        <v>7.8</v>
      </c>
      <c r="R5" s="23">
        <v>45</v>
      </c>
      <c r="S5" s="20">
        <f t="shared" ref="S5" si="0">Q5*R5/100</f>
        <v>3.51</v>
      </c>
      <c r="T5" s="25">
        <f t="shared" ref="T5" si="1">S5*V5</f>
        <v>1053</v>
      </c>
      <c r="U5" s="26">
        <f t="shared" ref="U5" si="2">Q5+S5</f>
        <v>11.309999999999999</v>
      </c>
      <c r="V5" s="23">
        <f>F5</f>
        <v>300</v>
      </c>
      <c r="W5" s="21">
        <f>Q5*8+150</f>
        <v>212.4</v>
      </c>
      <c r="X5" s="22">
        <f>20+20+20+40+100</f>
        <v>200</v>
      </c>
      <c r="Y5" s="27">
        <f t="shared" ref="Y5" si="3">V5*U5+W5+X5</f>
        <v>3805.3999999999996</v>
      </c>
      <c r="Z5" s="37" t="s">
        <v>49</v>
      </c>
      <c r="AA5" s="28">
        <v>0</v>
      </c>
      <c r="AB5" s="29">
        <v>1</v>
      </c>
      <c r="AC5" s="29">
        <v>1</v>
      </c>
      <c r="AD5" s="29">
        <v>1</v>
      </c>
      <c r="AE5" s="30">
        <f t="shared" ref="AE5" si="4">AA5*AB5*AC5*AD5</f>
        <v>0</v>
      </c>
      <c r="AF5" s="24">
        <f>V5/150*4.85</f>
        <v>9.6999999999999993</v>
      </c>
      <c r="AG5" s="38">
        <f t="shared" ref="AG5" si="5">2%*(Y5+AE5+AF5)</f>
        <v>76.301999999999992</v>
      </c>
      <c r="AH5" s="49">
        <f t="shared" ref="AH5" si="6">Y5+AE5+AG5+AF5</f>
        <v>3891.4019999999996</v>
      </c>
      <c r="AI5" s="39">
        <f t="shared" ref="AI5" si="7">AH5/V5</f>
        <v>12.971339999999998</v>
      </c>
      <c r="AJ5" s="50">
        <f t="shared" ref="AJ5" si="8">AI5*0.18</f>
        <v>2.3348411999999996</v>
      </c>
      <c r="AK5" s="51">
        <f t="shared" ref="AK5" si="9">AI5+AJ5</f>
        <v>15.306181199999997</v>
      </c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spans="1:57" s="53" customFormat="1" ht="262.5" customHeight="1">
      <c r="A6" s="41"/>
      <c r="B6" s="42">
        <v>2</v>
      </c>
      <c r="C6" s="122" t="s">
        <v>50</v>
      </c>
      <c r="D6" s="123"/>
      <c r="E6" s="60" t="s">
        <v>43</v>
      </c>
      <c r="F6" s="35">
        <v>1</v>
      </c>
      <c r="G6" s="36">
        <v>115</v>
      </c>
      <c r="H6" s="44" t="s">
        <v>51</v>
      </c>
      <c r="I6" s="58" t="s">
        <v>52</v>
      </c>
      <c r="J6" s="36">
        <f>F6*G6</f>
        <v>115</v>
      </c>
      <c r="K6" s="46"/>
      <c r="L6" s="55">
        <f>T6/J6</f>
        <v>12.6</v>
      </c>
      <c r="M6" s="54" t="s">
        <v>53</v>
      </c>
      <c r="N6" s="47" t="s">
        <v>54</v>
      </c>
      <c r="O6" s="125" t="s">
        <v>55</v>
      </c>
      <c r="P6" s="126"/>
      <c r="Q6" s="40">
        <f>78+4.5+1.5</f>
        <v>84</v>
      </c>
      <c r="R6" s="23">
        <v>34.5</v>
      </c>
      <c r="S6" s="20">
        <f t="shared" ref="S6" si="10">Q6*R6/100</f>
        <v>28.98</v>
      </c>
      <c r="T6" s="25">
        <f t="shared" ref="T6" si="11">S6*V6</f>
        <v>1449</v>
      </c>
      <c r="U6" s="26">
        <f t="shared" ref="U6" si="12">Q6+S6</f>
        <v>112.98</v>
      </c>
      <c r="V6" s="23">
        <v>50</v>
      </c>
      <c r="W6" s="21">
        <f>Q6*1+50</f>
        <v>134</v>
      </c>
      <c r="X6" s="22">
        <v>85</v>
      </c>
      <c r="Y6" s="27">
        <f t="shared" ref="Y6" si="13">V6*U6+W6+X6</f>
        <v>5868</v>
      </c>
      <c r="Z6" s="37" t="s">
        <v>49</v>
      </c>
      <c r="AA6" s="28">
        <v>0</v>
      </c>
      <c r="AB6" s="29">
        <v>1</v>
      </c>
      <c r="AC6" s="29">
        <v>1</v>
      </c>
      <c r="AD6" s="29">
        <v>1</v>
      </c>
      <c r="AE6" s="30">
        <f t="shared" ref="AE6" si="14">AA6*AB6*AC6*AD6</f>
        <v>0</v>
      </c>
      <c r="AF6" s="24">
        <f>3.85*2</f>
        <v>7.7</v>
      </c>
      <c r="AG6" s="38">
        <f t="shared" ref="AG6" si="15">2%*(Y6+AE6+AF6)</f>
        <v>117.514</v>
      </c>
      <c r="AH6" s="49">
        <f t="shared" ref="AH6" si="16">Y6+AE6+AG6+AF6</f>
        <v>5993.2139999999999</v>
      </c>
      <c r="AI6" s="39">
        <f t="shared" ref="AI6" si="17">AH6/V6</f>
        <v>119.86427999999999</v>
      </c>
      <c r="AJ6" s="50">
        <f t="shared" ref="AJ6" si="18">AI6*0.18</f>
        <v>21.575570399999997</v>
      </c>
      <c r="AK6" s="51">
        <f t="shared" ref="AK6" si="19">AI6+AJ6</f>
        <v>141.43985039999998</v>
      </c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spans="1:57" s="89" customFormat="1" ht="55.5" customHeight="1">
      <c r="A7" s="41"/>
      <c r="B7" s="61"/>
      <c r="C7" s="62"/>
      <c r="D7" s="62"/>
      <c r="E7" s="63"/>
      <c r="F7" s="64"/>
      <c r="G7" s="65"/>
      <c r="H7" s="66"/>
      <c r="I7" s="91" t="s">
        <v>56</v>
      </c>
      <c r="J7" s="90">
        <f>J5+J6</f>
        <v>4072</v>
      </c>
      <c r="K7" s="46"/>
      <c r="L7" s="55"/>
      <c r="M7" s="68"/>
      <c r="N7" s="69"/>
      <c r="O7" s="70"/>
      <c r="P7" s="70"/>
      <c r="Q7" s="71"/>
      <c r="R7" s="72"/>
      <c r="S7" s="73"/>
      <c r="T7" s="74"/>
      <c r="U7" s="75"/>
      <c r="V7" s="72"/>
      <c r="W7" s="76"/>
      <c r="X7" s="77"/>
      <c r="Y7" s="78"/>
      <c r="Z7" s="79"/>
      <c r="AA7" s="80"/>
      <c r="AB7" s="81"/>
      <c r="AC7" s="81"/>
      <c r="AD7" s="81"/>
      <c r="AE7" s="82"/>
      <c r="AF7" s="83"/>
      <c r="AG7" s="84"/>
      <c r="AH7" s="85"/>
      <c r="AI7" s="86"/>
      <c r="AJ7" s="87"/>
      <c r="AK7" s="88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</row>
    <row r="8" spans="1:57" s="89" customFormat="1" ht="40.5" customHeight="1">
      <c r="A8" s="41"/>
      <c r="B8" s="61"/>
      <c r="C8" s="62"/>
      <c r="D8" s="62"/>
      <c r="E8" s="63"/>
      <c r="F8" s="64"/>
      <c r="G8" s="65"/>
      <c r="H8" s="66"/>
      <c r="I8" s="67"/>
      <c r="J8" s="65"/>
      <c r="K8" s="46"/>
      <c r="L8" s="55"/>
      <c r="M8" s="68"/>
      <c r="N8" s="69"/>
      <c r="O8" s="70"/>
      <c r="P8" s="70"/>
      <c r="Q8" s="71"/>
      <c r="R8" s="72"/>
      <c r="S8" s="73"/>
      <c r="T8" s="74"/>
      <c r="U8" s="75"/>
      <c r="V8" s="72"/>
      <c r="W8" s="76"/>
      <c r="X8" s="77"/>
      <c r="Y8" s="78"/>
      <c r="Z8" s="79"/>
      <c r="AA8" s="80"/>
      <c r="AB8" s="81"/>
      <c r="AC8" s="81"/>
      <c r="AD8" s="81"/>
      <c r="AE8" s="82"/>
      <c r="AF8" s="83"/>
      <c r="AG8" s="84"/>
      <c r="AH8" s="85"/>
      <c r="AI8" s="86"/>
      <c r="AJ8" s="87"/>
      <c r="AK8" s="88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</row>
    <row r="9" spans="1:57" s="89" customFormat="1" ht="3" customHeight="1">
      <c r="A9" s="41"/>
      <c r="B9" s="61"/>
      <c r="C9" s="62"/>
      <c r="D9" s="62"/>
      <c r="E9" s="63"/>
      <c r="F9" s="64"/>
      <c r="G9" s="65"/>
      <c r="H9" s="66"/>
      <c r="I9" s="67"/>
      <c r="J9" s="65"/>
      <c r="K9" s="46"/>
      <c r="L9" s="55"/>
      <c r="M9" s="68"/>
      <c r="N9" s="69"/>
      <c r="O9" s="70"/>
      <c r="P9" s="70"/>
      <c r="Q9" s="71"/>
      <c r="R9" s="72"/>
      <c r="S9" s="73"/>
      <c r="T9" s="74"/>
      <c r="U9" s="75"/>
      <c r="V9" s="72"/>
      <c r="W9" s="76"/>
      <c r="X9" s="77"/>
      <c r="Y9" s="78"/>
      <c r="Z9" s="79"/>
      <c r="AA9" s="80"/>
      <c r="AB9" s="81"/>
      <c r="AC9" s="81"/>
      <c r="AD9" s="81"/>
      <c r="AE9" s="82"/>
      <c r="AF9" s="83"/>
      <c r="AG9" s="84"/>
      <c r="AH9" s="85"/>
      <c r="AI9" s="86"/>
      <c r="AJ9" s="87"/>
      <c r="AK9" s="88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</row>
    <row r="10" spans="1:57" ht="15" hidden="1" customHeight="1"/>
    <row r="11" spans="1:57" ht="21.75" customHeight="1" thickBot="1">
      <c r="B11" s="124" t="s">
        <v>57</v>
      </c>
      <c r="C11" s="124"/>
      <c r="D11" s="124"/>
      <c r="E11" s="124"/>
      <c r="F11" s="124"/>
      <c r="G11" s="124"/>
      <c r="H11" s="124"/>
      <c r="I11" s="124"/>
      <c r="J11" s="124"/>
      <c r="K11" s="1"/>
      <c r="L11" s="1"/>
      <c r="M11" s="32"/>
      <c r="N11" s="1"/>
      <c r="O11" s="2"/>
      <c r="P11" s="1"/>
      <c r="Q11" s="1"/>
      <c r="R11" s="1"/>
      <c r="S11" s="1"/>
      <c r="T11" s="1"/>
      <c r="U11" s="1"/>
      <c r="V11" s="1"/>
      <c r="W11" s="1"/>
      <c r="X11" s="3"/>
      <c r="Y11" s="1"/>
      <c r="Z11" s="4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57" s="33" customFormat="1" ht="45" customHeight="1">
      <c r="B12" s="5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K12" s="34"/>
      <c r="L12" s="34"/>
      <c r="M12" s="7" t="s">
        <v>10</v>
      </c>
      <c r="N12" s="8" t="s">
        <v>11</v>
      </c>
      <c r="O12" s="8" t="s">
        <v>12</v>
      </c>
      <c r="P12" s="9" t="s">
        <v>13</v>
      </c>
      <c r="Q12" s="10" t="s">
        <v>14</v>
      </c>
      <c r="R12" s="11" t="s">
        <v>15</v>
      </c>
      <c r="S12" s="11" t="s">
        <v>16</v>
      </c>
      <c r="T12" s="11" t="s">
        <v>17</v>
      </c>
      <c r="U12" s="11" t="s">
        <v>18</v>
      </c>
      <c r="V12" s="11" t="s">
        <v>19</v>
      </c>
      <c r="W12" s="12" t="s">
        <v>20</v>
      </c>
      <c r="X12" s="13" t="s">
        <v>21</v>
      </c>
      <c r="Y12" s="9" t="s">
        <v>22</v>
      </c>
      <c r="Z12" s="14" t="s">
        <v>23</v>
      </c>
      <c r="AA12" s="15" t="s">
        <v>24</v>
      </c>
      <c r="AB12" s="15" t="s">
        <v>25</v>
      </c>
      <c r="AC12" s="15" t="s">
        <v>26</v>
      </c>
      <c r="AD12" s="15" t="s">
        <v>27</v>
      </c>
      <c r="AE12" s="16" t="s">
        <v>28</v>
      </c>
      <c r="AF12" s="13" t="s">
        <v>29</v>
      </c>
      <c r="AG12" s="13" t="s">
        <v>30</v>
      </c>
      <c r="AH12" s="17" t="s">
        <v>18</v>
      </c>
      <c r="AI12" s="18" t="s">
        <v>31</v>
      </c>
      <c r="AJ12" s="18" t="s">
        <v>32</v>
      </c>
      <c r="AK12" s="19" t="s">
        <v>33</v>
      </c>
    </row>
    <row r="13" spans="1:57" s="53" customFormat="1" ht="262.5" customHeight="1">
      <c r="A13" s="41"/>
      <c r="B13" s="42">
        <v>1</v>
      </c>
      <c r="C13" s="122" t="s">
        <v>58</v>
      </c>
      <c r="D13" s="123"/>
      <c r="E13" s="60" t="s">
        <v>43</v>
      </c>
      <c r="F13" s="35">
        <v>50</v>
      </c>
      <c r="G13" s="36">
        <v>120.9</v>
      </c>
      <c r="H13" s="44" t="s">
        <v>59</v>
      </c>
      <c r="I13" s="58" t="s">
        <v>60</v>
      </c>
      <c r="J13" s="36">
        <f>F13*G13</f>
        <v>6045</v>
      </c>
      <c r="K13" s="46"/>
      <c r="L13" s="55">
        <f>T13/J13</f>
        <v>0.23970223325062034</v>
      </c>
      <c r="M13" s="54" t="s">
        <v>53</v>
      </c>
      <c r="N13" s="47" t="s">
        <v>54</v>
      </c>
      <c r="O13" s="125" t="s">
        <v>55</v>
      </c>
      <c r="P13" s="126"/>
      <c r="Q13" s="40">
        <f>78+4.5+1.5</f>
        <v>84</v>
      </c>
      <c r="R13" s="23">
        <v>34.5</v>
      </c>
      <c r="S13" s="20">
        <f t="shared" ref="S13" si="20">Q13*R13/100</f>
        <v>28.98</v>
      </c>
      <c r="T13" s="25">
        <f t="shared" ref="T13" si="21">S13*V13</f>
        <v>1449</v>
      </c>
      <c r="U13" s="26">
        <f t="shared" ref="U13" si="22">Q13+S13</f>
        <v>112.98</v>
      </c>
      <c r="V13" s="23">
        <v>50</v>
      </c>
      <c r="W13" s="21">
        <f>Q13*1+50</f>
        <v>134</v>
      </c>
      <c r="X13" s="22">
        <v>85</v>
      </c>
      <c r="Y13" s="27">
        <f t="shared" ref="Y13" si="23">V13*U13+W13+X13</f>
        <v>5868</v>
      </c>
      <c r="Z13" s="37" t="s">
        <v>49</v>
      </c>
      <c r="AA13" s="28">
        <v>0</v>
      </c>
      <c r="AB13" s="29">
        <v>1</v>
      </c>
      <c r="AC13" s="29">
        <v>1</v>
      </c>
      <c r="AD13" s="29">
        <v>1</v>
      </c>
      <c r="AE13" s="30">
        <f t="shared" ref="AE13" si="24">AA13*AB13*AC13*AD13</f>
        <v>0</v>
      </c>
      <c r="AF13" s="24">
        <f>3.85*2</f>
        <v>7.7</v>
      </c>
      <c r="AG13" s="38">
        <f t="shared" ref="AG13" si="25">2%*(Y13+AE13+AF13)</f>
        <v>117.514</v>
      </c>
      <c r="AH13" s="49">
        <f t="shared" ref="AH13" si="26">Y13+AE13+AG13+AF13</f>
        <v>5993.2139999999999</v>
      </c>
      <c r="AI13" s="39">
        <f t="shared" ref="AI13" si="27">AH13/V13</f>
        <v>119.86427999999999</v>
      </c>
      <c r="AJ13" s="50">
        <f t="shared" ref="AJ13" si="28">AI13*0.18</f>
        <v>21.575570399999997</v>
      </c>
      <c r="AK13" s="51">
        <f t="shared" ref="AK13" si="29">AI13+AJ13</f>
        <v>141.43985039999998</v>
      </c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</row>
    <row r="14" spans="1:57" ht="13.5" customHeight="1"/>
    <row r="15" spans="1:57" ht="21.75" customHeight="1" thickBot="1">
      <c r="B15" s="124" t="s">
        <v>61</v>
      </c>
      <c r="C15" s="124"/>
      <c r="D15" s="124"/>
      <c r="E15" s="124"/>
      <c r="F15" s="124"/>
      <c r="G15" s="124"/>
      <c r="H15" s="124"/>
      <c r="I15" s="124"/>
      <c r="J15" s="124"/>
      <c r="K15" s="1"/>
      <c r="L15" s="1"/>
      <c r="M15" s="32"/>
      <c r="N15" s="1"/>
      <c r="O15" s="2"/>
      <c r="P15" s="1"/>
      <c r="Q15" s="1"/>
      <c r="R15" s="1"/>
      <c r="S15" s="1"/>
      <c r="T15" s="1"/>
      <c r="U15" s="1"/>
      <c r="V15" s="1"/>
      <c r="W15" s="1"/>
      <c r="X15" s="3"/>
      <c r="Y15" s="1"/>
      <c r="Z15" s="4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57" s="33" customFormat="1" ht="45" customHeight="1"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6" t="s">
        <v>6</v>
      </c>
      <c r="H16" s="6" t="s">
        <v>7</v>
      </c>
      <c r="I16" s="6" t="s">
        <v>8</v>
      </c>
      <c r="J16" s="6" t="s">
        <v>9</v>
      </c>
      <c r="K16" s="34"/>
      <c r="L16" s="34"/>
      <c r="M16" s="7" t="s">
        <v>10</v>
      </c>
      <c r="N16" s="8" t="s">
        <v>11</v>
      </c>
      <c r="O16" s="8" t="s">
        <v>12</v>
      </c>
      <c r="P16" s="9" t="s">
        <v>13</v>
      </c>
      <c r="Q16" s="10" t="s">
        <v>14</v>
      </c>
      <c r="R16" s="11" t="s">
        <v>15</v>
      </c>
      <c r="S16" s="11" t="s">
        <v>16</v>
      </c>
      <c r="T16" s="11" t="s">
        <v>17</v>
      </c>
      <c r="U16" s="11" t="s">
        <v>18</v>
      </c>
      <c r="V16" s="11" t="s">
        <v>19</v>
      </c>
      <c r="W16" s="12" t="s">
        <v>20</v>
      </c>
      <c r="X16" s="13" t="s">
        <v>21</v>
      </c>
      <c r="Y16" s="9" t="s">
        <v>22</v>
      </c>
      <c r="Z16" s="14" t="s">
        <v>23</v>
      </c>
      <c r="AA16" s="15" t="s">
        <v>24</v>
      </c>
      <c r="AB16" s="15" t="s">
        <v>25</v>
      </c>
      <c r="AC16" s="15" t="s">
        <v>26</v>
      </c>
      <c r="AD16" s="15" t="s">
        <v>27</v>
      </c>
      <c r="AE16" s="16" t="s">
        <v>28</v>
      </c>
      <c r="AF16" s="13" t="s">
        <v>29</v>
      </c>
      <c r="AG16" s="13" t="s">
        <v>30</v>
      </c>
      <c r="AH16" s="17" t="s">
        <v>18</v>
      </c>
      <c r="AI16" s="18" t="s">
        <v>31</v>
      </c>
      <c r="AJ16" s="18" t="s">
        <v>32</v>
      </c>
      <c r="AK16" s="19" t="s">
        <v>33</v>
      </c>
    </row>
    <row r="17" spans="1:57" s="53" customFormat="1" ht="234" customHeight="1">
      <c r="A17" s="41"/>
      <c r="B17" s="42">
        <v>1</v>
      </c>
      <c r="C17" s="57" t="s">
        <v>62</v>
      </c>
      <c r="D17" s="57" t="s">
        <v>63</v>
      </c>
      <c r="E17" s="56" t="s">
        <v>43</v>
      </c>
      <c r="F17" s="35">
        <v>500</v>
      </c>
      <c r="G17" s="36">
        <v>1.19</v>
      </c>
      <c r="H17" s="44" t="s">
        <v>35</v>
      </c>
      <c r="I17" s="45" t="s">
        <v>64</v>
      </c>
      <c r="J17" s="36">
        <f>F17*G17</f>
        <v>595</v>
      </c>
      <c r="K17" s="46">
        <v>1.19</v>
      </c>
      <c r="L17" s="55">
        <f>T17/J17</f>
        <v>0.36170990135184516</v>
      </c>
      <c r="M17" s="54" t="s">
        <v>65</v>
      </c>
      <c r="N17" s="47" t="s">
        <v>66</v>
      </c>
      <c r="O17" s="127" t="s">
        <v>67</v>
      </c>
      <c r="P17" s="128"/>
      <c r="Q17" s="40">
        <f>330/1000/1.15</f>
        <v>0.28695652173913044</v>
      </c>
      <c r="R17" s="23">
        <v>150</v>
      </c>
      <c r="S17" s="20">
        <f t="shared" ref="S17" si="30">Q17*R17/100</f>
        <v>0.43043478260869572</v>
      </c>
      <c r="T17" s="25">
        <f t="shared" ref="T17" si="31">S17*V17</f>
        <v>215.21739130434787</v>
      </c>
      <c r="U17" s="26">
        <f t="shared" ref="U17" si="32">Q17+S17</f>
        <v>0.71739130434782616</v>
      </c>
      <c r="V17" s="23">
        <f>F17</f>
        <v>500</v>
      </c>
      <c r="W17" s="21">
        <f>Q17*10</f>
        <v>2.8695652173913047</v>
      </c>
      <c r="X17" s="22">
        <v>80</v>
      </c>
      <c r="Y17" s="27">
        <f t="shared" ref="Y17" si="33">V17*U17+W17+X17</f>
        <v>441.56521739130437</v>
      </c>
      <c r="Z17" s="37" t="s">
        <v>68</v>
      </c>
      <c r="AA17" s="28">
        <v>110</v>
      </c>
      <c r="AB17" s="29">
        <v>1</v>
      </c>
      <c r="AC17" s="29">
        <v>1</v>
      </c>
      <c r="AD17" s="29">
        <v>1</v>
      </c>
      <c r="AE17" s="30">
        <f t="shared" ref="AE17" si="34">AA17*AB17*AC17*AD17</f>
        <v>110</v>
      </c>
      <c r="AF17" s="24">
        <v>3.85</v>
      </c>
      <c r="AG17" s="38">
        <f t="shared" ref="AG17" si="35">2%*(Y17+AE17+AF17)</f>
        <v>11.108304347826088</v>
      </c>
      <c r="AH17" s="49">
        <f t="shared" ref="AH17" si="36">Y17+AE17+AG17+AF17</f>
        <v>566.5235217391305</v>
      </c>
      <c r="AI17" s="39">
        <f t="shared" ref="AI17" si="37">AH17/V17</f>
        <v>1.1330470434782609</v>
      </c>
      <c r="AJ17" s="50">
        <f t="shared" ref="AJ17" si="38">AI17*0.18</f>
        <v>0.20394846782608694</v>
      </c>
      <c r="AK17" s="51">
        <f t="shared" ref="AK17" si="39">AI17+AJ17</f>
        <v>1.3369955113043479</v>
      </c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</row>
    <row r="18" spans="1:57" s="53" customFormat="1" ht="234" customHeight="1">
      <c r="A18" s="41"/>
      <c r="B18" s="42">
        <v>2</v>
      </c>
      <c r="C18" s="122" t="s">
        <v>69</v>
      </c>
      <c r="D18" s="123"/>
      <c r="E18" s="56" t="s">
        <v>43</v>
      </c>
      <c r="F18" s="35">
        <v>300</v>
      </c>
      <c r="G18" s="36">
        <v>3.99</v>
      </c>
      <c r="H18" s="44" t="s">
        <v>35</v>
      </c>
      <c r="I18" s="45" t="s">
        <v>70</v>
      </c>
      <c r="J18" s="36">
        <f>F18*G18</f>
        <v>1197</v>
      </c>
      <c r="K18" s="46">
        <v>3.79</v>
      </c>
      <c r="L18" s="55">
        <f>T18/J18</f>
        <v>0.36090225563909772</v>
      </c>
      <c r="M18" s="54" t="s">
        <v>71</v>
      </c>
      <c r="N18" s="47"/>
      <c r="O18" s="127" t="s">
        <v>72</v>
      </c>
      <c r="P18" s="128"/>
      <c r="Q18" s="40">
        <f>540/300</f>
        <v>1.8</v>
      </c>
      <c r="R18" s="23">
        <v>80</v>
      </c>
      <c r="S18" s="20">
        <f t="shared" ref="S18" si="40">Q18*R18/100</f>
        <v>1.44</v>
      </c>
      <c r="T18" s="25">
        <f t="shared" ref="T18" si="41">S18*V18</f>
        <v>432</v>
      </c>
      <c r="U18" s="26">
        <f t="shared" ref="U18" si="42">Q18+S18</f>
        <v>3.24</v>
      </c>
      <c r="V18" s="23">
        <f>F18</f>
        <v>300</v>
      </c>
      <c r="W18" s="21">
        <f>Q18*10</f>
        <v>18</v>
      </c>
      <c r="X18" s="22">
        <v>140</v>
      </c>
      <c r="Y18" s="27">
        <f t="shared" ref="Y18" si="43">V18*U18+W18+X18</f>
        <v>1130</v>
      </c>
      <c r="Z18" s="37"/>
      <c r="AA18" s="28">
        <v>0</v>
      </c>
      <c r="AB18" s="29">
        <v>1</v>
      </c>
      <c r="AC18" s="29">
        <v>1</v>
      </c>
      <c r="AD18" s="29">
        <v>1</v>
      </c>
      <c r="AE18" s="30">
        <f t="shared" ref="AE18" si="44">AA18*AB18*AC18*AD18</f>
        <v>0</v>
      </c>
      <c r="AF18" s="24">
        <f>V18/150*4.85</f>
        <v>9.6999999999999993</v>
      </c>
      <c r="AG18" s="38">
        <f t="shared" ref="AG18" si="45">2%*(Y18+AE18+AF18)</f>
        <v>22.794</v>
      </c>
      <c r="AH18" s="49">
        <f t="shared" ref="AH18" si="46">Y18+AE18+AG18+AF18</f>
        <v>1162.4940000000001</v>
      </c>
      <c r="AI18" s="39">
        <f t="shared" ref="AI18" si="47">AH18/V18</f>
        <v>3.8749800000000003</v>
      </c>
      <c r="AJ18" s="50">
        <f t="shared" ref="AJ18" si="48">AI18*0.18</f>
        <v>0.69749640000000002</v>
      </c>
      <c r="AK18" s="51">
        <f t="shared" ref="AK18" si="49">AI18+AJ18</f>
        <v>4.5724764000000002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</row>
    <row r="19" spans="1:57" s="53" customFormat="1" ht="256.5" customHeight="1">
      <c r="A19" s="41"/>
      <c r="B19" s="42">
        <v>3</v>
      </c>
      <c r="C19" s="122" t="s">
        <v>42</v>
      </c>
      <c r="D19" s="123"/>
      <c r="E19" s="59" t="s">
        <v>43</v>
      </c>
      <c r="F19" s="35">
        <v>300</v>
      </c>
      <c r="G19" s="36">
        <v>13.19</v>
      </c>
      <c r="H19" s="44" t="s">
        <v>44</v>
      </c>
      <c r="I19" s="58" t="s">
        <v>73</v>
      </c>
      <c r="J19" s="36">
        <f>F19*G19</f>
        <v>3957</v>
      </c>
      <c r="K19" s="46" t="s">
        <v>46</v>
      </c>
      <c r="L19" s="55">
        <f>T19/J19</f>
        <v>0.26611068991660347</v>
      </c>
      <c r="M19" s="54" t="s">
        <v>74</v>
      </c>
      <c r="N19" s="47"/>
      <c r="O19" s="125" t="s">
        <v>48</v>
      </c>
      <c r="P19" s="126"/>
      <c r="Q19" s="40">
        <v>7.8</v>
      </c>
      <c r="R19" s="23">
        <v>45</v>
      </c>
      <c r="S19" s="20">
        <f t="shared" ref="S19" si="50">Q19*R19/100</f>
        <v>3.51</v>
      </c>
      <c r="T19" s="25">
        <f t="shared" ref="T19" si="51">S19*V19</f>
        <v>1053</v>
      </c>
      <c r="U19" s="26">
        <f t="shared" ref="U19" si="52">Q19+S19</f>
        <v>11.309999999999999</v>
      </c>
      <c r="V19" s="23">
        <f>F19</f>
        <v>300</v>
      </c>
      <c r="W19" s="21">
        <f>Q19*8+150</f>
        <v>212.4</v>
      </c>
      <c r="X19" s="22">
        <f>20+20+20+40+100</f>
        <v>200</v>
      </c>
      <c r="Y19" s="27">
        <f t="shared" ref="Y19" si="53">V19*U19+W19+X19</f>
        <v>3805.3999999999996</v>
      </c>
      <c r="Z19" s="37" t="s">
        <v>49</v>
      </c>
      <c r="AA19" s="28">
        <v>0</v>
      </c>
      <c r="AB19" s="29">
        <v>1</v>
      </c>
      <c r="AC19" s="29">
        <v>1</v>
      </c>
      <c r="AD19" s="29">
        <v>1</v>
      </c>
      <c r="AE19" s="30">
        <f t="shared" ref="AE19" si="54">AA19*AB19*AC19*AD19</f>
        <v>0</v>
      </c>
      <c r="AF19" s="24">
        <f>V19/150*4.85</f>
        <v>9.6999999999999993</v>
      </c>
      <c r="AG19" s="38">
        <f t="shared" ref="AG19" si="55">2%*(Y19+AE19+AF19)</f>
        <v>76.301999999999992</v>
      </c>
      <c r="AH19" s="49">
        <f t="shared" ref="AH19" si="56">Y19+AE19+AG19+AF19</f>
        <v>3891.4019999999996</v>
      </c>
      <c r="AI19" s="39">
        <f t="shared" ref="AI19" si="57">AH19/V19</f>
        <v>12.971339999999998</v>
      </c>
      <c r="AJ19" s="50">
        <f t="shared" ref="AJ19" si="58">AI19*0.18</f>
        <v>2.3348411999999996</v>
      </c>
      <c r="AK19" s="51">
        <f t="shared" ref="AK19" si="59">AI19+AJ19</f>
        <v>15.306181199999997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</row>
    <row r="20" spans="1:57" s="53" customFormat="1" ht="295.5" customHeight="1">
      <c r="A20" s="41"/>
      <c r="B20" s="42">
        <v>4</v>
      </c>
      <c r="C20" s="122" t="s">
        <v>58</v>
      </c>
      <c r="D20" s="123"/>
      <c r="E20" s="59" t="s">
        <v>43</v>
      </c>
      <c r="F20" s="35">
        <v>50</v>
      </c>
      <c r="G20" s="36">
        <v>129</v>
      </c>
      <c r="H20" s="44" t="s">
        <v>59</v>
      </c>
      <c r="I20" s="58" t="s">
        <v>75</v>
      </c>
      <c r="J20" s="36">
        <f>F20*G20</f>
        <v>6450</v>
      </c>
      <c r="K20" s="46"/>
      <c r="L20" s="55">
        <f>T20/J20</f>
        <v>0.2374031007751938</v>
      </c>
      <c r="M20" s="54" t="s">
        <v>53</v>
      </c>
      <c r="N20" s="47"/>
      <c r="O20" s="125" t="s">
        <v>55</v>
      </c>
      <c r="P20" s="126"/>
      <c r="Q20" s="40">
        <v>87.5</v>
      </c>
      <c r="R20" s="23">
        <v>35</v>
      </c>
      <c r="S20" s="20">
        <f t="shared" ref="S20" si="60">Q20*R20/100</f>
        <v>30.625</v>
      </c>
      <c r="T20" s="25">
        <f t="shared" ref="T20" si="61">S20*V20</f>
        <v>1531.25</v>
      </c>
      <c r="U20" s="26">
        <f t="shared" ref="U20" si="62">Q20+S20</f>
        <v>118.125</v>
      </c>
      <c r="V20" s="23">
        <v>50</v>
      </c>
      <c r="W20" s="21">
        <f>Q20*1+100</f>
        <v>187.5</v>
      </c>
      <c r="X20" s="22">
        <f>15+15+20+40</f>
        <v>90</v>
      </c>
      <c r="Y20" s="27">
        <f t="shared" ref="Y20" si="63">V20*U20+W20+X20</f>
        <v>6183.75</v>
      </c>
      <c r="Z20" s="37" t="s">
        <v>49</v>
      </c>
      <c r="AA20" s="28">
        <v>0</v>
      </c>
      <c r="AB20" s="29">
        <v>1</v>
      </c>
      <c r="AC20" s="29">
        <v>1</v>
      </c>
      <c r="AD20" s="29">
        <v>1</v>
      </c>
      <c r="AE20" s="30">
        <f t="shared" ref="AE20" si="64">AA20*AB20*AC20*AD20</f>
        <v>0</v>
      </c>
      <c r="AF20" s="24">
        <f>3.85*2</f>
        <v>7.7</v>
      </c>
      <c r="AG20" s="38">
        <f t="shared" ref="AG20" si="65">2%*(Y20+AE20+AF20)</f>
        <v>123.82899999999999</v>
      </c>
      <c r="AH20" s="49">
        <f t="shared" ref="AH20" si="66">Y20+AE20+AG20+AF20</f>
        <v>6315.2789999999995</v>
      </c>
      <c r="AI20" s="39">
        <f t="shared" ref="AI20" si="67">AH20/V20</f>
        <v>126.30557999999999</v>
      </c>
      <c r="AJ20" s="50">
        <f t="shared" ref="AJ20" si="68">AI20*0.18</f>
        <v>22.735004399999998</v>
      </c>
      <c r="AK20" s="51">
        <f t="shared" ref="AK20" si="69">AI20+AJ20</f>
        <v>149.0405844</v>
      </c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</row>
  </sheetData>
  <mergeCells count="16">
    <mergeCell ref="B3:J3"/>
    <mergeCell ref="C6:D6"/>
    <mergeCell ref="O6:P6"/>
    <mergeCell ref="C5:D5"/>
    <mergeCell ref="O5:P5"/>
    <mergeCell ref="B11:J11"/>
    <mergeCell ref="C13:D13"/>
    <mergeCell ref="O13:P13"/>
    <mergeCell ref="C20:D20"/>
    <mergeCell ref="O20:P20"/>
    <mergeCell ref="B15:J15"/>
    <mergeCell ref="C18:D18"/>
    <mergeCell ref="O17:P17"/>
    <mergeCell ref="O18:P18"/>
    <mergeCell ref="C19:D19"/>
    <mergeCell ref="O19:P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533E-3281-4B11-91B2-E09C9DF8C528}">
  <dimension ref="A2:BE25"/>
  <sheetViews>
    <sheetView showGridLines="0" tabSelected="1" zoomScale="70" zoomScaleNormal="70" workbookViewId="0">
      <selection activeCell="A5" sqref="A5"/>
    </sheetView>
  </sheetViews>
  <sheetFormatPr baseColWidth="10" defaultColWidth="11.42578125" defaultRowHeight="14.25"/>
  <cols>
    <col min="1" max="1" width="3.140625" style="31" customWidth="1"/>
    <col min="2" max="2" width="5.85546875" style="31" customWidth="1"/>
    <col min="3" max="3" width="15.42578125" style="31" customWidth="1"/>
    <col min="4" max="4" width="20.7109375" style="31" customWidth="1"/>
    <col min="5" max="5" width="44.28515625" style="31" customWidth="1"/>
    <col min="6" max="6" width="11.5703125" style="31" bestFit="1" customWidth="1"/>
    <col min="7" max="7" width="23.140625" style="31" customWidth="1"/>
    <col min="8" max="8" width="18.42578125" style="31" customWidth="1"/>
    <col min="9" max="9" width="84.7109375" style="31" customWidth="1"/>
    <col min="10" max="10" width="29.28515625" style="31" customWidth="1"/>
    <col min="11" max="11" width="18.5703125" style="31" customWidth="1"/>
    <col min="12" max="12" width="5.7109375" style="31" customWidth="1"/>
    <col min="13" max="13" width="19.7109375" style="31" customWidth="1"/>
    <col min="14" max="14" width="21" style="31" customWidth="1"/>
    <col min="15" max="15" width="15" style="31" customWidth="1"/>
    <col min="16" max="16" width="19.5703125" style="31" customWidth="1"/>
    <col min="17" max="17" width="18.140625" style="31" customWidth="1"/>
    <col min="18" max="18" width="11.5703125" style="31" bestFit="1" customWidth="1"/>
    <col min="19" max="19" width="18.7109375" style="31" customWidth="1"/>
    <col min="20" max="20" width="23.140625" style="31" customWidth="1"/>
    <col min="21" max="21" width="16.7109375" style="31" customWidth="1"/>
    <col min="22" max="22" width="11.5703125" style="31" bestFit="1" customWidth="1"/>
    <col min="23" max="23" width="17.85546875" style="31" customWidth="1"/>
    <col min="24" max="24" width="18" style="31" customWidth="1"/>
    <col min="25" max="25" width="25.7109375" style="31" customWidth="1"/>
    <col min="26" max="26" width="22.140625" style="31" customWidth="1"/>
    <col min="27" max="27" width="19.140625" style="31" customWidth="1"/>
    <col min="28" max="30" width="11.5703125" style="31" bestFit="1" customWidth="1"/>
    <col min="31" max="31" width="16.140625" style="31" customWidth="1"/>
    <col min="32" max="32" width="18.42578125" style="31" customWidth="1"/>
    <col min="33" max="33" width="19.7109375" style="31" customWidth="1"/>
    <col min="34" max="34" width="18.140625" style="31" bestFit="1" customWidth="1"/>
    <col min="35" max="35" width="21.140625" style="31" customWidth="1"/>
    <col min="36" max="36" width="14.7109375" style="31" customWidth="1"/>
    <col min="37" max="37" width="16.140625" style="31" bestFit="1" customWidth="1"/>
    <col min="38" max="16384" width="11.42578125" style="31"/>
  </cols>
  <sheetData>
    <row r="2" spans="1:39" ht="21.75" customHeight="1" thickBot="1">
      <c r="B2" s="124" t="s">
        <v>76</v>
      </c>
      <c r="C2" s="124"/>
      <c r="D2" s="124"/>
      <c r="E2" s="124"/>
      <c r="F2" s="124"/>
      <c r="G2" s="124"/>
      <c r="H2" s="124"/>
      <c r="I2" s="124"/>
      <c r="J2" s="124"/>
      <c r="K2" s="1"/>
      <c r="L2" s="1"/>
      <c r="M2" s="32"/>
      <c r="N2" s="1"/>
      <c r="O2" s="2"/>
      <c r="P2" s="1"/>
      <c r="Q2" s="1"/>
      <c r="R2" s="1"/>
      <c r="S2" s="1"/>
      <c r="T2" s="1"/>
      <c r="U2" s="1"/>
      <c r="V2" s="1"/>
      <c r="W2" s="1"/>
      <c r="X2" s="3"/>
      <c r="Y2" s="1"/>
      <c r="Z2" s="4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9" s="33" customFormat="1" ht="45" customHeight="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120" t="s">
        <v>77</v>
      </c>
      <c r="L3" s="34"/>
      <c r="M3" s="7" t="s">
        <v>10</v>
      </c>
      <c r="N3" s="8" t="s">
        <v>11</v>
      </c>
      <c r="O3" s="8" t="s">
        <v>12</v>
      </c>
      <c r="P3" s="9" t="s">
        <v>13</v>
      </c>
      <c r="Q3" s="10" t="s">
        <v>14</v>
      </c>
      <c r="R3" s="11" t="s">
        <v>15</v>
      </c>
      <c r="S3" s="11" t="s">
        <v>16</v>
      </c>
      <c r="T3" s="11" t="s">
        <v>17</v>
      </c>
      <c r="U3" s="11" t="s">
        <v>18</v>
      </c>
      <c r="V3" s="11" t="s">
        <v>19</v>
      </c>
      <c r="W3" s="12" t="s">
        <v>20</v>
      </c>
      <c r="X3" s="13" t="s">
        <v>21</v>
      </c>
      <c r="Y3" s="9" t="s">
        <v>22</v>
      </c>
      <c r="Z3" s="14" t="s">
        <v>23</v>
      </c>
      <c r="AA3" s="15" t="s">
        <v>24</v>
      </c>
      <c r="AB3" s="15" t="s">
        <v>25</v>
      </c>
      <c r="AC3" s="15" t="s">
        <v>26</v>
      </c>
      <c r="AD3" s="15" t="s">
        <v>27</v>
      </c>
      <c r="AE3" s="16" t="s">
        <v>28</v>
      </c>
      <c r="AF3" s="13" t="s">
        <v>29</v>
      </c>
      <c r="AG3" s="13" t="s">
        <v>30</v>
      </c>
      <c r="AH3" s="17" t="s">
        <v>18</v>
      </c>
      <c r="AI3" s="18" t="s">
        <v>31</v>
      </c>
      <c r="AJ3" s="18" t="s">
        <v>32</v>
      </c>
      <c r="AK3" s="19" t="s">
        <v>33</v>
      </c>
    </row>
    <row r="4" spans="1:39" s="166" customFormat="1" ht="206.25" customHeight="1">
      <c r="A4" s="135"/>
      <c r="B4" s="136">
        <v>1</v>
      </c>
      <c r="C4" s="137" t="s">
        <v>42</v>
      </c>
      <c r="D4" s="137"/>
      <c r="E4" s="138"/>
      <c r="F4" s="139">
        <v>250</v>
      </c>
      <c r="G4" s="140">
        <f>AI4</f>
        <v>11.647495652173914</v>
      </c>
      <c r="H4" s="96" t="s">
        <v>80</v>
      </c>
      <c r="I4" s="141" t="s">
        <v>101</v>
      </c>
      <c r="J4" s="142">
        <f t="shared" ref="J4" si="0">F4*G4</f>
        <v>2911.8739130434788</v>
      </c>
      <c r="K4" s="143">
        <v>11.5</v>
      </c>
      <c r="L4" s="144"/>
      <c r="M4" s="145" t="s">
        <v>100</v>
      </c>
      <c r="N4" s="146"/>
      <c r="O4" s="147"/>
      <c r="P4" s="147"/>
      <c r="Q4" s="148">
        <f>8.5/1.15</f>
        <v>7.3913043478260878</v>
      </c>
      <c r="R4" s="149">
        <v>44</v>
      </c>
      <c r="S4" s="150">
        <f>Q4*R4/100</f>
        <v>3.2521739130434786</v>
      </c>
      <c r="T4" s="151">
        <f t="shared" ref="T4" si="1">S4*V4</f>
        <v>813.04347826086962</v>
      </c>
      <c r="U4" s="152">
        <f>Q4+S4</f>
        <v>10.643478260869566</v>
      </c>
      <c r="V4" s="23">
        <f>F4</f>
        <v>250</v>
      </c>
      <c r="W4" s="21">
        <f>Q4*3+50</f>
        <v>72.173913043478265</v>
      </c>
      <c r="X4" s="22">
        <v>140</v>
      </c>
      <c r="Y4" s="153">
        <f t="shared" ref="Y4" si="2">V4*U4+W4+X4</f>
        <v>2873.04347826087</v>
      </c>
      <c r="Z4" s="154"/>
      <c r="AA4" s="155">
        <v>0</v>
      </c>
      <c r="AB4" s="156">
        <v>1</v>
      </c>
      <c r="AC4" s="156">
        <v>1</v>
      </c>
      <c r="AD4" s="156">
        <v>1</v>
      </c>
      <c r="AE4" s="157">
        <f t="shared" ref="AE4" si="3">AA4*AB4*AC4*AD4</f>
        <v>0</v>
      </c>
      <c r="AF4" s="158">
        <f>V4/50*2</f>
        <v>10</v>
      </c>
      <c r="AG4" s="159">
        <f>1%*(Y4+AE4+AF4)</f>
        <v>28.830434782608702</v>
      </c>
      <c r="AH4" s="160">
        <f>Y4+AE4+AG4+AF4</f>
        <v>2911.8739130434788</v>
      </c>
      <c r="AI4" s="161">
        <f>AH4/V4</f>
        <v>11.647495652173914</v>
      </c>
      <c r="AJ4" s="162">
        <f t="shared" ref="AJ4" si="4">AI4*18%</f>
        <v>2.0965492173913045</v>
      </c>
      <c r="AK4" s="163">
        <f>AI4+AJ4</f>
        <v>13.744044869565219</v>
      </c>
      <c r="AL4" s="164"/>
      <c r="AM4" s="165"/>
    </row>
    <row r="6" spans="1:39" ht="21.75" customHeight="1" thickBot="1">
      <c r="B6" s="124" t="s">
        <v>76</v>
      </c>
      <c r="C6" s="124"/>
      <c r="D6" s="124"/>
      <c r="E6" s="124"/>
      <c r="F6" s="124"/>
      <c r="G6" s="124"/>
      <c r="H6" s="124"/>
      <c r="I6" s="124"/>
      <c r="J6" s="124"/>
      <c r="K6" s="1"/>
      <c r="L6" s="1"/>
      <c r="M6" s="32"/>
      <c r="N6" s="1"/>
      <c r="O6" s="2"/>
      <c r="P6" s="1"/>
      <c r="Q6" s="1"/>
      <c r="R6" s="1"/>
      <c r="S6" s="1"/>
      <c r="T6" s="1"/>
      <c r="U6" s="1"/>
      <c r="V6" s="1"/>
      <c r="W6" s="1"/>
      <c r="X6" s="3"/>
      <c r="Y6" s="1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9" s="33" customFormat="1" ht="45" customHeight="1"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120" t="s">
        <v>77</v>
      </c>
      <c r="L7" s="34"/>
      <c r="M7" s="7" t="s">
        <v>10</v>
      </c>
      <c r="N7" s="8" t="s">
        <v>11</v>
      </c>
      <c r="O7" s="8" t="s">
        <v>12</v>
      </c>
      <c r="P7" s="9" t="s">
        <v>13</v>
      </c>
      <c r="Q7" s="10" t="s">
        <v>14</v>
      </c>
      <c r="R7" s="11" t="s">
        <v>15</v>
      </c>
      <c r="S7" s="11" t="s">
        <v>16</v>
      </c>
      <c r="T7" s="11" t="s">
        <v>17</v>
      </c>
      <c r="U7" s="11" t="s">
        <v>18</v>
      </c>
      <c r="V7" s="11" t="s">
        <v>19</v>
      </c>
      <c r="W7" s="12" t="s">
        <v>20</v>
      </c>
      <c r="X7" s="13" t="s">
        <v>21</v>
      </c>
      <c r="Y7" s="9" t="s">
        <v>22</v>
      </c>
      <c r="Z7" s="14" t="s">
        <v>23</v>
      </c>
      <c r="AA7" s="15" t="s">
        <v>24</v>
      </c>
      <c r="AB7" s="15" t="s">
        <v>25</v>
      </c>
      <c r="AC7" s="15" t="s">
        <v>26</v>
      </c>
      <c r="AD7" s="15" t="s">
        <v>27</v>
      </c>
      <c r="AE7" s="16" t="s">
        <v>28</v>
      </c>
      <c r="AF7" s="13" t="s">
        <v>29</v>
      </c>
      <c r="AG7" s="13" t="s">
        <v>30</v>
      </c>
      <c r="AH7" s="17" t="s">
        <v>18</v>
      </c>
      <c r="AI7" s="18" t="s">
        <v>31</v>
      </c>
      <c r="AJ7" s="18" t="s">
        <v>32</v>
      </c>
      <c r="AK7" s="19" t="s">
        <v>33</v>
      </c>
    </row>
    <row r="8" spans="1:39" s="94" customFormat="1" ht="222" customHeight="1">
      <c r="B8" s="95">
        <v>1</v>
      </c>
      <c r="C8" s="129" t="s">
        <v>78</v>
      </c>
      <c r="D8" s="129"/>
      <c r="E8" s="60" t="s">
        <v>79</v>
      </c>
      <c r="F8" s="35">
        <v>48</v>
      </c>
      <c r="G8" s="36">
        <v>65</v>
      </c>
      <c r="H8" s="96" t="s">
        <v>80</v>
      </c>
      <c r="I8" s="97" t="s">
        <v>81</v>
      </c>
      <c r="J8" s="36">
        <f>F8*G8</f>
        <v>3120</v>
      </c>
      <c r="K8" s="121">
        <f>T8/J8</f>
        <v>0.31975228161668834</v>
      </c>
      <c r="M8" s="98" t="s">
        <v>82</v>
      </c>
      <c r="N8" s="99" t="s">
        <v>83</v>
      </c>
      <c r="O8" s="99"/>
      <c r="P8" s="99"/>
      <c r="Q8" s="100">
        <f>(45*42+48*5+50)/48/1.18</f>
        <v>38.488700564971751</v>
      </c>
      <c r="R8" s="101">
        <v>54</v>
      </c>
      <c r="S8" s="102">
        <f t="shared" ref="S8" si="5">Q8*R8/100</f>
        <v>20.783898305084744</v>
      </c>
      <c r="T8" s="103">
        <f t="shared" ref="T8" si="6">S8*V8</f>
        <v>997.62711864406765</v>
      </c>
      <c r="U8" s="104">
        <f t="shared" ref="U8" si="7">Q8+S8</f>
        <v>59.272598870056498</v>
      </c>
      <c r="V8" s="105">
        <f>F8</f>
        <v>48</v>
      </c>
      <c r="W8" s="106">
        <f>Q8*3</f>
        <v>115.46610169491525</v>
      </c>
      <c r="X8" s="107">
        <v>100</v>
      </c>
      <c r="Y8" s="108">
        <f t="shared" ref="Y8" si="8">V8*U8+W8+X8</f>
        <v>3060.5508474576272</v>
      </c>
      <c r="Z8" s="109" t="s">
        <v>84</v>
      </c>
      <c r="AA8" s="110">
        <v>0</v>
      </c>
      <c r="AB8" s="111">
        <v>1</v>
      </c>
      <c r="AC8" s="111">
        <v>1</v>
      </c>
      <c r="AD8" s="111">
        <v>1</v>
      </c>
      <c r="AE8" s="112">
        <v>0</v>
      </c>
      <c r="AF8" s="113">
        <v>4.8499999999999996</v>
      </c>
      <c r="AG8" s="112">
        <f>1.5%*(Y8+AE8+AF8)</f>
        <v>45.981012711864409</v>
      </c>
      <c r="AH8" s="114">
        <f t="shared" ref="AH8" si="9">Y8+AE8+AG8+AF8</f>
        <v>3111.3818601694916</v>
      </c>
      <c r="AI8" s="115">
        <f t="shared" ref="AI8" si="10">AH8/V8</f>
        <v>64.820455420197746</v>
      </c>
      <c r="AJ8" s="116">
        <f>AI8*18%</f>
        <v>11.667681975635594</v>
      </c>
      <c r="AK8" s="117">
        <f>AI8+AJ8</f>
        <v>76.488137395833334</v>
      </c>
    </row>
    <row r="10" spans="1:39" ht="21.75" customHeight="1" thickBot="1">
      <c r="B10" s="124" t="s">
        <v>85</v>
      </c>
      <c r="C10" s="124"/>
      <c r="D10" s="124"/>
      <c r="E10" s="124"/>
      <c r="F10" s="124"/>
      <c r="G10" s="124"/>
      <c r="H10" s="124"/>
      <c r="I10" s="124"/>
      <c r="J10" s="124"/>
      <c r="K10" s="1"/>
      <c r="L10" s="1"/>
      <c r="M10" s="32"/>
      <c r="N10" s="1"/>
      <c r="O10" s="2"/>
      <c r="P10" s="1"/>
      <c r="Q10" s="1"/>
      <c r="R10" s="1"/>
      <c r="S10" s="1"/>
      <c r="T10" s="1"/>
      <c r="U10" s="1"/>
      <c r="V10" s="1"/>
      <c r="W10" s="1"/>
      <c r="X10" s="3"/>
      <c r="Y10" s="1"/>
      <c r="Z10" s="4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9" s="33" customFormat="1" ht="45" customHeight="1"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34"/>
      <c r="L11" s="34"/>
      <c r="M11" s="7" t="s">
        <v>10</v>
      </c>
      <c r="N11" s="8" t="s">
        <v>11</v>
      </c>
      <c r="O11" s="8" t="s">
        <v>12</v>
      </c>
      <c r="P11" s="9" t="s">
        <v>13</v>
      </c>
      <c r="Q11" s="10" t="s">
        <v>14</v>
      </c>
      <c r="R11" s="11" t="s">
        <v>15</v>
      </c>
      <c r="S11" s="11" t="s">
        <v>16</v>
      </c>
      <c r="T11" s="11" t="s">
        <v>17</v>
      </c>
      <c r="U11" s="11" t="s">
        <v>18</v>
      </c>
      <c r="V11" s="11" t="s">
        <v>19</v>
      </c>
      <c r="W11" s="12" t="s">
        <v>20</v>
      </c>
      <c r="X11" s="13" t="s">
        <v>21</v>
      </c>
      <c r="Y11" s="9" t="s">
        <v>22</v>
      </c>
      <c r="Z11" s="14" t="s">
        <v>23</v>
      </c>
      <c r="AA11" s="15" t="s">
        <v>24</v>
      </c>
      <c r="AB11" s="15" t="s">
        <v>25</v>
      </c>
      <c r="AC11" s="15" t="s">
        <v>26</v>
      </c>
      <c r="AD11" s="15" t="s">
        <v>27</v>
      </c>
      <c r="AE11" s="16" t="s">
        <v>28</v>
      </c>
      <c r="AF11" s="13" t="s">
        <v>29</v>
      </c>
      <c r="AG11" s="13" t="s">
        <v>30</v>
      </c>
      <c r="AH11" s="17" t="s">
        <v>18</v>
      </c>
      <c r="AI11" s="18" t="s">
        <v>31</v>
      </c>
      <c r="AJ11" s="18" t="s">
        <v>32</v>
      </c>
      <c r="AK11" s="19" t="s">
        <v>33</v>
      </c>
    </row>
    <row r="12" spans="1:39" s="94" customFormat="1" ht="222" customHeight="1">
      <c r="B12" s="95">
        <v>1</v>
      </c>
      <c r="C12" s="129" t="s">
        <v>78</v>
      </c>
      <c r="D12" s="129"/>
      <c r="E12" s="60" t="s">
        <v>79</v>
      </c>
      <c r="F12" s="35">
        <v>48</v>
      </c>
      <c r="G12" s="36">
        <v>65</v>
      </c>
      <c r="H12" s="96" t="s">
        <v>80</v>
      </c>
      <c r="I12" s="97" t="s">
        <v>81</v>
      </c>
      <c r="J12" s="36">
        <f>F12*G12</f>
        <v>3120</v>
      </c>
      <c r="K12" s="119">
        <f>T12/J12</f>
        <v>0.31975228161668834</v>
      </c>
      <c r="M12" s="98" t="s">
        <v>82</v>
      </c>
      <c r="N12" s="99" t="s">
        <v>83</v>
      </c>
      <c r="O12" s="99"/>
      <c r="P12" s="99"/>
      <c r="Q12" s="100">
        <f>(45*42+48*5+50)/48/1.18</f>
        <v>38.488700564971751</v>
      </c>
      <c r="R12" s="101">
        <v>54</v>
      </c>
      <c r="S12" s="102">
        <f t="shared" ref="S12" si="11">Q12*R12/100</f>
        <v>20.783898305084744</v>
      </c>
      <c r="T12" s="103">
        <f t="shared" ref="T12" si="12">S12*V12</f>
        <v>997.62711864406765</v>
      </c>
      <c r="U12" s="104">
        <f t="shared" ref="U12" si="13">Q12+S12</f>
        <v>59.272598870056498</v>
      </c>
      <c r="V12" s="105">
        <f>F12</f>
        <v>48</v>
      </c>
      <c r="W12" s="106">
        <f>Q12*3</f>
        <v>115.46610169491525</v>
      </c>
      <c r="X12" s="107">
        <v>100</v>
      </c>
      <c r="Y12" s="108">
        <f t="shared" ref="Y12" si="14">V12*U12+W12+X12</f>
        <v>3060.5508474576272</v>
      </c>
      <c r="Z12" s="109" t="s">
        <v>84</v>
      </c>
      <c r="AA12" s="110">
        <v>0</v>
      </c>
      <c r="AB12" s="111">
        <v>1</v>
      </c>
      <c r="AC12" s="111">
        <v>1</v>
      </c>
      <c r="AD12" s="111">
        <v>1</v>
      </c>
      <c r="AE12" s="112">
        <v>0</v>
      </c>
      <c r="AF12" s="113">
        <v>4.8499999999999996</v>
      </c>
      <c r="AG12" s="112">
        <f>1.5%*(Y12+AE12+AF12)</f>
        <v>45.981012711864409</v>
      </c>
      <c r="AH12" s="114">
        <f t="shared" ref="AH12" si="15">Y12+AE12+AG12+AF12</f>
        <v>3111.3818601694916</v>
      </c>
      <c r="AI12" s="115">
        <f t="shared" ref="AI12" si="16">AH12/V12</f>
        <v>64.820455420197746</v>
      </c>
      <c r="AJ12" s="116">
        <f>AI12*18%</f>
        <v>11.667681975635594</v>
      </c>
      <c r="AK12" s="117">
        <f>AI12+AJ12</f>
        <v>76.488137395833334</v>
      </c>
    </row>
    <row r="13" spans="1:39" s="94" customFormat="1" ht="222" customHeight="1">
      <c r="B13" s="95">
        <v>2</v>
      </c>
      <c r="C13" s="129" t="s">
        <v>86</v>
      </c>
      <c r="D13" s="129"/>
      <c r="E13" s="60" t="s">
        <v>79</v>
      </c>
      <c r="F13" s="35">
        <v>48</v>
      </c>
      <c r="G13" s="36">
        <v>72</v>
      </c>
      <c r="H13" s="96" t="s">
        <v>80</v>
      </c>
      <c r="I13" s="97" t="s">
        <v>87</v>
      </c>
      <c r="J13" s="36">
        <f>F13*G13</f>
        <v>3456</v>
      </c>
      <c r="K13" s="118">
        <f>T13/J13</f>
        <v>0.28131865976145642</v>
      </c>
      <c r="M13" s="98" t="s">
        <v>88</v>
      </c>
      <c r="N13" s="99" t="s">
        <v>89</v>
      </c>
      <c r="O13" s="99"/>
      <c r="P13" s="99"/>
      <c r="Q13" s="100">
        <f>(55*42+59*5+63)/48/1.18</f>
        <v>47.104519774011301</v>
      </c>
      <c r="R13" s="101">
        <v>43</v>
      </c>
      <c r="S13" s="102">
        <f t="shared" ref="S13" si="17">Q13*R13/100</f>
        <v>20.254943502824862</v>
      </c>
      <c r="T13" s="103">
        <f t="shared" ref="T13" si="18">S13*V13</f>
        <v>972.23728813559342</v>
      </c>
      <c r="U13" s="104">
        <f t="shared" ref="U13" si="19">Q13+S13</f>
        <v>67.359463276836166</v>
      </c>
      <c r="V13" s="105">
        <f>F13</f>
        <v>48</v>
      </c>
      <c r="W13" s="106">
        <f>Q13*1.5</f>
        <v>70.656779661016955</v>
      </c>
      <c r="X13" s="107">
        <v>90</v>
      </c>
      <c r="Y13" s="108">
        <f t="shared" ref="Y13" si="20">V13*U13+W13+X13</f>
        <v>3393.9110169491532</v>
      </c>
      <c r="Z13" s="109" t="s">
        <v>84</v>
      </c>
      <c r="AA13" s="110">
        <v>0</v>
      </c>
      <c r="AB13" s="111">
        <v>1</v>
      </c>
      <c r="AC13" s="111">
        <v>1</v>
      </c>
      <c r="AD13" s="111">
        <v>1</v>
      </c>
      <c r="AE13" s="112">
        <v>0</v>
      </c>
      <c r="AF13" s="113">
        <v>4.8499999999999996</v>
      </c>
      <c r="AG13" s="112">
        <f>1.5%*(Y13+AE13+AF13)</f>
        <v>50.981415254237298</v>
      </c>
      <c r="AH13" s="114">
        <f t="shared" ref="AH13" si="21">Y13+AE13+AG13+AF13</f>
        <v>3449.7424322033903</v>
      </c>
      <c r="AI13" s="115">
        <f t="shared" ref="AI13" si="22">AH13/V13</f>
        <v>71.869634004237298</v>
      </c>
      <c r="AJ13" s="116">
        <f>AI13*18%</f>
        <v>12.936534120762714</v>
      </c>
      <c r="AK13" s="117">
        <f>AI13+AJ13</f>
        <v>84.806168125000013</v>
      </c>
    </row>
    <row r="16" spans="1:39" ht="21.75" customHeight="1" thickBot="1">
      <c r="B16" s="130" t="s">
        <v>90</v>
      </c>
      <c r="C16" s="131"/>
      <c r="D16" s="131"/>
      <c r="E16" s="131"/>
      <c r="F16" s="131"/>
      <c r="G16" s="131"/>
      <c r="H16" s="131"/>
      <c r="I16" s="131"/>
      <c r="J16" s="132"/>
      <c r="K16" s="1"/>
      <c r="L16" s="1"/>
      <c r="M16" s="32"/>
      <c r="N16" s="1"/>
      <c r="O16" s="2"/>
      <c r="P16" s="1"/>
      <c r="Q16" s="1"/>
      <c r="R16" s="1"/>
      <c r="S16" s="1"/>
      <c r="T16" s="1"/>
      <c r="U16" s="1"/>
      <c r="V16" s="1"/>
      <c r="W16" s="1"/>
      <c r="X16" s="3"/>
      <c r="Y16" s="1"/>
      <c r="Z16" s="4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57" s="33" customFormat="1" ht="45" customHeight="1"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6" t="s">
        <v>6</v>
      </c>
      <c r="H17" s="6" t="s">
        <v>7</v>
      </c>
      <c r="I17" s="6" t="s">
        <v>8</v>
      </c>
      <c r="J17" s="6" t="s">
        <v>9</v>
      </c>
      <c r="K17" s="34"/>
      <c r="L17" s="34"/>
      <c r="M17" s="7" t="s">
        <v>10</v>
      </c>
      <c r="N17" s="8" t="s">
        <v>11</v>
      </c>
      <c r="O17" s="8" t="s">
        <v>12</v>
      </c>
      <c r="P17" s="9" t="s">
        <v>13</v>
      </c>
      <c r="Q17" s="10" t="s">
        <v>14</v>
      </c>
      <c r="R17" s="11" t="s">
        <v>15</v>
      </c>
      <c r="S17" s="11" t="s">
        <v>16</v>
      </c>
      <c r="T17" s="11" t="s">
        <v>17</v>
      </c>
      <c r="U17" s="11" t="s">
        <v>18</v>
      </c>
      <c r="V17" s="11" t="s">
        <v>19</v>
      </c>
      <c r="W17" s="12" t="s">
        <v>20</v>
      </c>
      <c r="X17" s="13" t="s">
        <v>21</v>
      </c>
      <c r="Y17" s="9" t="s">
        <v>22</v>
      </c>
      <c r="Z17" s="14" t="s">
        <v>23</v>
      </c>
      <c r="AA17" s="15" t="s">
        <v>24</v>
      </c>
      <c r="AB17" s="15" t="s">
        <v>25</v>
      </c>
      <c r="AC17" s="15" t="s">
        <v>26</v>
      </c>
      <c r="AD17" s="15" t="s">
        <v>27</v>
      </c>
      <c r="AE17" s="16" t="s">
        <v>28</v>
      </c>
      <c r="AF17" s="13" t="s">
        <v>29</v>
      </c>
      <c r="AG17" s="13" t="s">
        <v>30</v>
      </c>
      <c r="AH17" s="17" t="s">
        <v>18</v>
      </c>
      <c r="AI17" s="18" t="s">
        <v>31</v>
      </c>
      <c r="AJ17" s="18" t="s">
        <v>32</v>
      </c>
      <c r="AK17" s="19" t="s">
        <v>33</v>
      </c>
    </row>
    <row r="18" spans="1:57" s="53" customFormat="1" ht="202.5" customHeight="1">
      <c r="A18" s="41"/>
      <c r="B18" s="42">
        <v>1</v>
      </c>
      <c r="C18" s="57" t="s">
        <v>91</v>
      </c>
      <c r="D18" s="57" t="s">
        <v>92</v>
      </c>
      <c r="E18" s="56" t="s">
        <v>43</v>
      </c>
      <c r="F18" s="35">
        <v>500</v>
      </c>
      <c r="G18" s="36">
        <f>AI18</f>
        <v>7.1420487931034486</v>
      </c>
      <c r="H18" s="44" t="s">
        <v>35</v>
      </c>
      <c r="I18" s="45" t="s">
        <v>93</v>
      </c>
      <c r="J18" s="36">
        <f>F18*G18</f>
        <v>3571.0243965517243</v>
      </c>
      <c r="K18" s="46">
        <v>1.19</v>
      </c>
      <c r="L18" s="55">
        <f>T18/J18</f>
        <v>0.15454852457940751</v>
      </c>
      <c r="M18" s="92" t="s">
        <v>94</v>
      </c>
      <c r="N18" s="93" t="s">
        <v>95</v>
      </c>
      <c r="O18" s="133" t="s">
        <v>96</v>
      </c>
      <c r="P18" s="134"/>
      <c r="Q18" s="40">
        <f>3.3/1.16</f>
        <v>2.8448275862068968</v>
      </c>
      <c r="R18" s="23">
        <v>97</v>
      </c>
      <c r="S18" s="20">
        <f t="shared" ref="S18" si="23">Q18*R18/100</f>
        <v>2.75948275862069</v>
      </c>
      <c r="T18" s="25">
        <f t="shared" ref="T18" si="24">S18*V18</f>
        <v>551.89655172413802</v>
      </c>
      <c r="U18" s="26">
        <f t="shared" ref="U18" si="25">Q18+S18</f>
        <v>5.6043103448275868</v>
      </c>
      <c r="V18" s="23">
        <v>200</v>
      </c>
      <c r="W18" s="21">
        <f>Q18*2</f>
        <v>5.6896551724137936</v>
      </c>
      <c r="X18" s="22">
        <v>120</v>
      </c>
      <c r="Y18" s="27">
        <f t="shared" ref="Y18" si="26">V18*U18+W18+X18</f>
        <v>1246.5517241379312</v>
      </c>
      <c r="Z18" s="37" t="s">
        <v>97</v>
      </c>
      <c r="AA18" s="28">
        <v>150</v>
      </c>
      <c r="AB18" s="29">
        <v>1</v>
      </c>
      <c r="AC18" s="29">
        <v>1</v>
      </c>
      <c r="AD18" s="29">
        <v>1</v>
      </c>
      <c r="AE18" s="30">
        <f t="shared" ref="AE18" si="27">AA18*AB18*AC18*AD18</f>
        <v>150</v>
      </c>
      <c r="AF18" s="24">
        <v>3.85</v>
      </c>
      <c r="AG18" s="38">
        <f>2%*(Y18+AE18+AF18)</f>
        <v>28.008034482758621</v>
      </c>
      <c r="AH18" s="49">
        <f t="shared" ref="AH18" si="28">Y18+AE18+AG18+AF18</f>
        <v>1428.4097586206897</v>
      </c>
      <c r="AI18" s="39">
        <f t="shared" ref="AI18" si="29">AH18/V18</f>
        <v>7.1420487931034486</v>
      </c>
      <c r="AJ18" s="50">
        <f t="shared" ref="AJ18" si="30">AI18*0.18</f>
        <v>1.2855687827586206</v>
      </c>
      <c r="AK18" s="51">
        <f t="shared" ref="AK18" si="31">AI18+AJ18</f>
        <v>8.4276175758620688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</row>
    <row r="20" spans="1:57" ht="21.75" customHeight="1" thickBot="1">
      <c r="B20" s="130" t="s">
        <v>98</v>
      </c>
      <c r="C20" s="131"/>
      <c r="D20" s="131"/>
      <c r="E20" s="131"/>
      <c r="F20" s="131"/>
      <c r="G20" s="131"/>
      <c r="H20" s="131"/>
      <c r="I20" s="131"/>
      <c r="J20" s="132"/>
      <c r="K20" s="1"/>
      <c r="L20" s="1"/>
      <c r="M20" s="32"/>
      <c r="N20" s="1"/>
      <c r="O20" s="2"/>
      <c r="P20" s="1"/>
      <c r="Q20" s="1"/>
      <c r="R20" s="1"/>
      <c r="S20" s="1"/>
      <c r="T20" s="1"/>
      <c r="U20" s="1"/>
      <c r="V20" s="1"/>
      <c r="W20" s="1"/>
      <c r="X20" s="3"/>
      <c r="Y20" s="1"/>
      <c r="Z20" s="4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57" s="33" customFormat="1" ht="45" customHeight="1">
      <c r="B21" s="5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6" t="s">
        <v>6</v>
      </c>
      <c r="H21" s="6" t="s">
        <v>7</v>
      </c>
      <c r="I21" s="6" t="s">
        <v>8</v>
      </c>
      <c r="J21" s="6" t="s">
        <v>9</v>
      </c>
      <c r="K21" s="34"/>
      <c r="L21" s="34"/>
      <c r="M21" s="7" t="s">
        <v>10</v>
      </c>
      <c r="N21" s="8" t="s">
        <v>11</v>
      </c>
      <c r="O21" s="8" t="s">
        <v>12</v>
      </c>
      <c r="P21" s="9" t="s">
        <v>13</v>
      </c>
      <c r="Q21" s="10" t="s">
        <v>14</v>
      </c>
      <c r="R21" s="11" t="s">
        <v>15</v>
      </c>
      <c r="S21" s="11" t="s">
        <v>16</v>
      </c>
      <c r="T21" s="11" t="s">
        <v>17</v>
      </c>
      <c r="U21" s="11" t="s">
        <v>18</v>
      </c>
      <c r="V21" s="11" t="s">
        <v>19</v>
      </c>
      <c r="W21" s="12" t="s">
        <v>20</v>
      </c>
      <c r="X21" s="13" t="s">
        <v>21</v>
      </c>
      <c r="Y21" s="9" t="s">
        <v>22</v>
      </c>
      <c r="Z21" s="14" t="s">
        <v>23</v>
      </c>
      <c r="AA21" s="15" t="s">
        <v>24</v>
      </c>
      <c r="AB21" s="15" t="s">
        <v>25</v>
      </c>
      <c r="AC21" s="15" t="s">
        <v>26</v>
      </c>
      <c r="AD21" s="15" t="s">
        <v>27</v>
      </c>
      <c r="AE21" s="16" t="s">
        <v>28</v>
      </c>
      <c r="AF21" s="13" t="s">
        <v>29</v>
      </c>
      <c r="AG21" s="13" t="s">
        <v>30</v>
      </c>
      <c r="AH21" s="17" t="s">
        <v>18</v>
      </c>
      <c r="AI21" s="18" t="s">
        <v>31</v>
      </c>
      <c r="AJ21" s="18" t="s">
        <v>32</v>
      </c>
      <c r="AK21" s="19" t="s">
        <v>33</v>
      </c>
    </row>
    <row r="22" spans="1:57" s="53" customFormat="1" ht="202.5" customHeight="1">
      <c r="A22" s="41"/>
      <c r="B22" s="42">
        <v>1</v>
      </c>
      <c r="C22" s="57" t="s">
        <v>62</v>
      </c>
      <c r="D22" s="57" t="s">
        <v>63</v>
      </c>
      <c r="E22" s="56" t="s">
        <v>43</v>
      </c>
      <c r="F22" s="35">
        <v>500</v>
      </c>
      <c r="G22" s="36">
        <v>1.19</v>
      </c>
      <c r="H22" s="44" t="s">
        <v>35</v>
      </c>
      <c r="I22" s="45" t="s">
        <v>64</v>
      </c>
      <c r="J22" s="36">
        <f>F22*G22</f>
        <v>595</v>
      </c>
      <c r="K22" s="46">
        <v>1.19</v>
      </c>
      <c r="L22" s="55">
        <f>T22/J22</f>
        <v>0.36170990135184516</v>
      </c>
      <c r="M22" s="54" t="s">
        <v>65</v>
      </c>
      <c r="N22" s="47" t="s">
        <v>66</v>
      </c>
      <c r="O22" s="127" t="s">
        <v>67</v>
      </c>
      <c r="P22" s="128"/>
      <c r="Q22" s="40">
        <f>330/1000/1.15</f>
        <v>0.28695652173913044</v>
      </c>
      <c r="R22" s="23">
        <v>150</v>
      </c>
      <c r="S22" s="20">
        <f t="shared" ref="S22:S24" si="32">Q22*R22/100</f>
        <v>0.43043478260869572</v>
      </c>
      <c r="T22" s="25">
        <f t="shared" ref="T22:T24" si="33">S22*V22</f>
        <v>215.21739130434787</v>
      </c>
      <c r="U22" s="26">
        <f t="shared" ref="U22:U24" si="34">Q22+S22</f>
        <v>0.71739130434782616</v>
      </c>
      <c r="V22" s="23">
        <f>F22</f>
        <v>500</v>
      </c>
      <c r="W22" s="21">
        <f>Q22*10</f>
        <v>2.8695652173913047</v>
      </c>
      <c r="X22" s="22">
        <v>80</v>
      </c>
      <c r="Y22" s="27">
        <f t="shared" ref="Y22:Y24" si="35">V22*U22+W22+X22</f>
        <v>441.56521739130437</v>
      </c>
      <c r="Z22" s="37" t="s">
        <v>68</v>
      </c>
      <c r="AA22" s="28">
        <v>110</v>
      </c>
      <c r="AB22" s="29">
        <v>1</v>
      </c>
      <c r="AC22" s="29">
        <v>1</v>
      </c>
      <c r="AD22" s="29">
        <v>1</v>
      </c>
      <c r="AE22" s="30">
        <f t="shared" ref="AE22:AE24" si="36">AA22*AB22*AC22*AD22</f>
        <v>110</v>
      </c>
      <c r="AF22" s="24">
        <v>3.85</v>
      </c>
      <c r="AG22" s="38">
        <f t="shared" ref="AG22:AG24" si="37">2%*(Y22+AE22+AF22)</f>
        <v>11.108304347826088</v>
      </c>
      <c r="AH22" s="49">
        <f t="shared" ref="AH22:AH24" si="38">Y22+AE22+AG22+AF22</f>
        <v>566.5235217391305</v>
      </c>
      <c r="AI22" s="39">
        <f t="shared" ref="AI22:AI24" si="39">AH22/V22</f>
        <v>1.1330470434782609</v>
      </c>
      <c r="AJ22" s="50">
        <f t="shared" ref="AJ22:AJ24" si="40">AI22*0.18</f>
        <v>0.20394846782608694</v>
      </c>
      <c r="AK22" s="51">
        <f t="shared" ref="AK22:AK24" si="41">AI22+AJ22</f>
        <v>1.3369955113043479</v>
      </c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</row>
    <row r="23" spans="1:57" s="53" customFormat="1" ht="234" customHeight="1">
      <c r="A23" s="41"/>
      <c r="B23" s="42">
        <v>2</v>
      </c>
      <c r="C23" s="122" t="s">
        <v>69</v>
      </c>
      <c r="D23" s="123"/>
      <c r="E23" s="56" t="s">
        <v>43</v>
      </c>
      <c r="F23" s="35">
        <v>300</v>
      </c>
      <c r="G23" s="36">
        <v>3.99</v>
      </c>
      <c r="H23" s="44" t="s">
        <v>35</v>
      </c>
      <c r="I23" s="45" t="s">
        <v>70</v>
      </c>
      <c r="J23" s="36">
        <f>F23*G23</f>
        <v>1197</v>
      </c>
      <c r="K23" s="46">
        <v>3.79</v>
      </c>
      <c r="L23" s="55">
        <f>T23/J23</f>
        <v>0.36090225563909772</v>
      </c>
      <c r="M23" s="54" t="s">
        <v>71</v>
      </c>
      <c r="N23" s="47"/>
      <c r="O23" s="127" t="s">
        <v>72</v>
      </c>
      <c r="P23" s="128"/>
      <c r="Q23" s="40">
        <f>540/300</f>
        <v>1.8</v>
      </c>
      <c r="R23" s="23">
        <v>80</v>
      </c>
      <c r="S23" s="20">
        <f t="shared" si="32"/>
        <v>1.44</v>
      </c>
      <c r="T23" s="25">
        <f t="shared" si="33"/>
        <v>432</v>
      </c>
      <c r="U23" s="26">
        <f t="shared" si="34"/>
        <v>3.24</v>
      </c>
      <c r="V23" s="23">
        <f>F23</f>
        <v>300</v>
      </c>
      <c r="W23" s="21">
        <f>Q23*10</f>
        <v>18</v>
      </c>
      <c r="X23" s="22">
        <v>140</v>
      </c>
      <c r="Y23" s="27">
        <f t="shared" si="35"/>
        <v>1130</v>
      </c>
      <c r="Z23" s="37"/>
      <c r="AA23" s="28">
        <v>0</v>
      </c>
      <c r="AB23" s="29">
        <v>1</v>
      </c>
      <c r="AC23" s="29">
        <v>1</v>
      </c>
      <c r="AD23" s="29">
        <v>1</v>
      </c>
      <c r="AE23" s="30">
        <f t="shared" si="36"/>
        <v>0</v>
      </c>
      <c r="AF23" s="24">
        <f>V23/150*4.85</f>
        <v>9.6999999999999993</v>
      </c>
      <c r="AG23" s="38">
        <f t="shared" si="37"/>
        <v>22.794</v>
      </c>
      <c r="AH23" s="49">
        <f t="shared" si="38"/>
        <v>1162.4940000000001</v>
      </c>
      <c r="AI23" s="39">
        <f t="shared" si="39"/>
        <v>3.8749800000000003</v>
      </c>
      <c r="AJ23" s="50">
        <f t="shared" si="40"/>
        <v>0.69749640000000002</v>
      </c>
      <c r="AK23" s="51">
        <f t="shared" si="41"/>
        <v>4.5724764000000002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</row>
    <row r="24" spans="1:57" s="53" customFormat="1" ht="234" customHeight="1">
      <c r="A24" s="41"/>
      <c r="B24" s="42">
        <v>3</v>
      </c>
      <c r="C24" s="122" t="s">
        <v>69</v>
      </c>
      <c r="D24" s="123"/>
      <c r="E24" s="56" t="s">
        <v>43</v>
      </c>
      <c r="F24" s="35">
        <v>500</v>
      </c>
      <c r="G24" s="36">
        <v>3.19</v>
      </c>
      <c r="H24" s="44" t="s">
        <v>35</v>
      </c>
      <c r="I24" s="45" t="s">
        <v>99</v>
      </c>
      <c r="J24" s="36">
        <f>F24*G24</f>
        <v>1595</v>
      </c>
      <c r="K24" s="46">
        <v>3.79</v>
      </c>
      <c r="L24" s="55">
        <f>T24/J24</f>
        <v>0.39968652037617552</v>
      </c>
      <c r="M24" s="54" t="s">
        <v>71</v>
      </c>
      <c r="N24" s="47"/>
      <c r="O24" s="127" t="s">
        <v>72</v>
      </c>
      <c r="P24" s="128"/>
      <c r="Q24" s="40">
        <f>1.5</f>
        <v>1.5</v>
      </c>
      <c r="R24" s="23">
        <v>85</v>
      </c>
      <c r="S24" s="20">
        <f t="shared" si="32"/>
        <v>1.2749999999999999</v>
      </c>
      <c r="T24" s="25">
        <f t="shared" si="33"/>
        <v>637.5</v>
      </c>
      <c r="U24" s="26">
        <f t="shared" si="34"/>
        <v>2.7749999999999999</v>
      </c>
      <c r="V24" s="23">
        <f>F24</f>
        <v>500</v>
      </c>
      <c r="W24" s="21">
        <f>Q24*10</f>
        <v>15</v>
      </c>
      <c r="X24" s="22">
        <v>140</v>
      </c>
      <c r="Y24" s="27">
        <f t="shared" si="35"/>
        <v>1542.5</v>
      </c>
      <c r="Z24" s="37"/>
      <c r="AA24" s="28">
        <v>0</v>
      </c>
      <c r="AB24" s="29">
        <v>1</v>
      </c>
      <c r="AC24" s="29">
        <v>1</v>
      </c>
      <c r="AD24" s="29">
        <v>1</v>
      </c>
      <c r="AE24" s="30">
        <f t="shared" si="36"/>
        <v>0</v>
      </c>
      <c r="AF24" s="24">
        <f>V24/150*4.85</f>
        <v>16.166666666666668</v>
      </c>
      <c r="AG24" s="38">
        <f t="shared" si="37"/>
        <v>31.173333333333336</v>
      </c>
      <c r="AH24" s="49">
        <f t="shared" si="38"/>
        <v>1589.8400000000001</v>
      </c>
      <c r="AI24" s="39">
        <f t="shared" si="39"/>
        <v>3.1796800000000003</v>
      </c>
      <c r="AJ24" s="50">
        <f t="shared" si="40"/>
        <v>0.57234240000000003</v>
      </c>
      <c r="AK24" s="51">
        <f t="shared" si="41"/>
        <v>3.7520224000000004</v>
      </c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</row>
    <row r="25" spans="1:57" ht="15" customHeight="1"/>
  </sheetData>
  <mergeCells count="16">
    <mergeCell ref="B2:J2"/>
    <mergeCell ref="C4:D4"/>
    <mergeCell ref="O4:P4"/>
    <mergeCell ref="B6:J6"/>
    <mergeCell ref="C8:D8"/>
    <mergeCell ref="C24:D24"/>
    <mergeCell ref="O24:P24"/>
    <mergeCell ref="B10:J10"/>
    <mergeCell ref="C12:D12"/>
    <mergeCell ref="C13:D13"/>
    <mergeCell ref="B16:J16"/>
    <mergeCell ref="O18:P18"/>
    <mergeCell ref="B20:J20"/>
    <mergeCell ref="O22:P22"/>
    <mergeCell ref="C23:D23"/>
    <mergeCell ref="O23:P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MARZO</vt:lpstr>
      <vt:lpstr>ABRIL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2023-06-01T00:46:42Z</dcterms:created>
  <dcterms:modified xsi:type="dcterms:W3CDTF">2026-06-05T15:45:49Z</dcterms:modified>
  <cp:category/>
  <cp:contentStatus/>
</cp:coreProperties>
</file>