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CENTELSA (COBRECON SA)/BD Cotizaciones/2026/"/>
    </mc:Choice>
  </mc:AlternateContent>
  <xr:revisionPtr revIDLastSave="10" documentId="8_{C813104E-EAD9-4255-B215-EE03CB4E1575}" xr6:coauthVersionLast="47" xr6:coauthVersionMax="47" xr10:uidLastSave="{A3778771-8963-4E01-8A6A-8036F605E046}"/>
  <bookViews>
    <workbookView xWindow="-120" yWindow="-120" windowWidth="29040" windowHeight="15720" activeTab="2" xr2:uid="{DB45ECAB-0285-416A-B751-06C2CEAFBC97}"/>
  </bookViews>
  <sheets>
    <sheet name="FEBRERO" sheetId="1" r:id="rId1"/>
    <sheet name="MAYO" sheetId="2" r:id="rId2"/>
    <sheet name="JUNIO" sheetId="3" r:id="rId3"/>
  </sheets>
  <externalReferences>
    <externalReference r:id="rId4"/>
    <externalReference r:id="rId5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6" i="3" l="1"/>
  <c r="W5" i="3"/>
  <c r="W4" i="3"/>
  <c r="Q4" i="3"/>
  <c r="AE5" i="3"/>
  <c r="V5" i="3"/>
  <c r="S5" i="3"/>
  <c r="U5" i="3" s="1"/>
  <c r="Q6" i="3"/>
  <c r="AE6" i="3"/>
  <c r="V6" i="3"/>
  <c r="S6" i="3"/>
  <c r="T6" i="3" s="1"/>
  <c r="AE4" i="3"/>
  <c r="V4" i="3"/>
  <c r="S4" i="3"/>
  <c r="U4" i="3" s="1"/>
  <c r="AA5" i="2"/>
  <c r="AA6" i="2"/>
  <c r="AA4" i="2"/>
  <c r="X6" i="2"/>
  <c r="X5" i="2"/>
  <c r="X4" i="2"/>
  <c r="T5" i="3" l="1"/>
  <c r="Y5" i="3"/>
  <c r="AG5" i="3" s="1"/>
  <c r="AH5" i="3" s="1"/>
  <c r="AI5" i="3" s="1"/>
  <c r="J5" i="3" s="1"/>
  <c r="U6" i="3"/>
  <c r="Y6" i="3" s="1"/>
  <c r="Y4" i="3"/>
  <c r="AG4" i="3" s="1"/>
  <c r="AH4" i="3" s="1"/>
  <c r="AI4" i="3" s="1"/>
  <c r="T4" i="3"/>
  <c r="AE4" i="2"/>
  <c r="W4" i="2"/>
  <c r="V4" i="2"/>
  <c r="AF4" i="2" s="1"/>
  <c r="S4" i="2"/>
  <c r="U4" i="2" s="1"/>
  <c r="AE6" i="2"/>
  <c r="V6" i="2"/>
  <c r="AF6" i="2" s="1"/>
  <c r="S6" i="2"/>
  <c r="T6" i="2" s="1"/>
  <c r="L5" i="3" l="1"/>
  <c r="AJ5" i="3"/>
  <c r="AK5" i="3" s="1"/>
  <c r="J4" i="3"/>
  <c r="L4" i="3" s="1"/>
  <c r="AG6" i="3"/>
  <c r="AH6" i="3" s="1"/>
  <c r="AI6" i="3" s="1"/>
  <c r="AJ4" i="3"/>
  <c r="AK4" i="3" s="1"/>
  <c r="Y4" i="2"/>
  <c r="T4" i="2"/>
  <c r="U6" i="2"/>
  <c r="Y6" i="2" s="1"/>
  <c r="W6" i="2"/>
  <c r="J6" i="3" l="1"/>
  <c r="L6" i="3" s="1"/>
  <c r="AJ6" i="3"/>
  <c r="AK6" i="3" s="1"/>
  <c r="AG4" i="2"/>
  <c r="AH4" i="2" s="1"/>
  <c r="AI4" i="2" s="1"/>
  <c r="AG6" i="2"/>
  <c r="AH6" i="2" s="1"/>
  <c r="AI6" i="2" s="1"/>
  <c r="W5" i="2"/>
  <c r="AE5" i="2"/>
  <c r="V5" i="2"/>
  <c r="AF5" i="2" s="1"/>
  <c r="X6" i="1"/>
  <c r="Q6" i="1"/>
  <c r="Q5" i="1"/>
  <c r="X5" i="1"/>
  <c r="X4" i="1"/>
  <c r="AJ4" i="2" l="1"/>
  <c r="AK4" i="2" s="1"/>
  <c r="J4" i="2"/>
  <c r="L4" i="2" s="1"/>
  <c r="AJ6" i="2"/>
  <c r="AK6" i="2" s="1"/>
  <c r="J6" i="2"/>
  <c r="L6" i="2" s="1"/>
  <c r="S5" i="2"/>
  <c r="T5" i="2" s="1"/>
  <c r="AE5" i="1"/>
  <c r="V5" i="1"/>
  <c r="AF5" i="1" s="1"/>
  <c r="S5" i="1"/>
  <c r="J5" i="1"/>
  <c r="U5" i="2" l="1"/>
  <c r="Y5" i="2" s="1"/>
  <c r="T5" i="1"/>
  <c r="L5" i="1" s="1"/>
  <c r="U5" i="1"/>
  <c r="W5" i="1"/>
  <c r="AG5" i="2" l="1"/>
  <c r="AH5" i="2" s="1"/>
  <c r="Y5" i="1"/>
  <c r="AG5" i="1"/>
  <c r="AH5" i="1" s="1"/>
  <c r="AI5" i="1" s="1"/>
  <c r="AI5" i="2" l="1"/>
  <c r="AJ5" i="1"/>
  <c r="AK5" i="1" s="1"/>
  <c r="J5" i="2" l="1"/>
  <c r="L5" i="2" s="1"/>
  <c r="AJ5" i="2"/>
  <c r="AK5" i="2" s="1"/>
  <c r="X7" i="1"/>
  <c r="AE6" i="1"/>
  <c r="V6" i="1"/>
  <c r="AF6" i="1" s="1"/>
  <c r="W6" i="1"/>
  <c r="J6" i="1"/>
  <c r="AE4" i="1"/>
  <c r="V4" i="1"/>
  <c r="AF4" i="1" s="1"/>
  <c r="Q4" i="1"/>
  <c r="J4" i="1"/>
  <c r="J7" i="1" s="1"/>
  <c r="AF7" i="1" l="1"/>
  <c r="W4" i="1"/>
  <c r="S4" i="1"/>
  <c r="T4" i="1" s="1"/>
  <c r="L4" i="1" s="1"/>
  <c r="S6" i="1"/>
  <c r="T6" i="1" s="1"/>
  <c r="L6" i="1" s="1"/>
  <c r="U6" i="1" l="1"/>
  <c r="Y6" i="1" s="1"/>
  <c r="U4" i="1"/>
  <c r="Y4" i="1" s="1"/>
  <c r="AG4" i="1" s="1"/>
  <c r="T7" i="1"/>
  <c r="K7" i="1" s="1"/>
  <c r="AG6" i="1" l="1"/>
  <c r="AH6" i="1" s="1"/>
  <c r="AI6" i="1" s="1"/>
  <c r="AJ6" i="1" s="1"/>
  <c r="AK6" i="1" s="1"/>
  <c r="AH4" i="1"/>
  <c r="AI4" i="1" s="1"/>
  <c r="AG7" i="1" l="1"/>
  <c r="AJ4" i="1"/>
  <c r="AK4" i="1" s="1"/>
</calcChain>
</file>

<file path=xl/sharedStrings.xml><?xml version="1.0" encoding="utf-8"?>
<sst xmlns="http://schemas.openxmlformats.org/spreadsheetml/2006/main" count="168" uniqueCount="79">
  <si>
    <t>Cód. Artíc.</t>
  </si>
  <si>
    <t>Art.</t>
  </si>
  <si>
    <t>Foto</t>
  </si>
  <si>
    <t>Cant.</t>
  </si>
  <si>
    <t>Costo Uni.
NO. IGV(S/.)</t>
  </si>
  <si>
    <t xml:space="preserve">Tiempo Entrega </t>
  </si>
  <si>
    <t>Detalle</t>
  </si>
  <si>
    <t>Costo TOTAL
NO. IGV (S/.)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</si>
  <si>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</si>
  <si>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</si>
  <si>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</si>
  <si>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</si>
  <si>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</si>
  <si>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</si>
  <si>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</si>
  <si>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</si>
  <si>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</si>
  <si>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</si>
  <si>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</si>
  <si>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</si>
  <si>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</si>
  <si>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</si>
  <si>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</si>
  <si>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</si>
  <si>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</si>
  <si>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</si>
  <si>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</si>
  <si>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</si>
  <si>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</si>
  <si>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</si>
  <si>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</si>
  <si>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</si>
  <si>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MOCHILA PORTA LAPTOP</t>
  </si>
  <si>
    <t>Imagen Referencial</t>
  </si>
  <si>
    <t>10 a 12 Días útiles</t>
  </si>
  <si>
    <r>
      <rPr>
        <b/>
        <u/>
        <sz val="16"/>
        <color rgb="FF000000"/>
        <rFont val="Arial"/>
        <family val="2"/>
      </rPr>
      <t>MOCHILA PORTA LAPTOP</t>
    </r>
    <r>
      <rPr>
        <sz val="16"/>
        <color rgb="FF000000"/>
        <rFont val="Arial"/>
        <family val="2"/>
      </rPr>
      <t xml:space="preserve">
Material: Nylon
Medida: 45x35 cm (sugerida)
Color: Negro
Acabado:  Con 3 bolsillos parte exterior y 1 bolsillo chico delantero, a aparte de lateral, con asa mano parte superior.
Acolchado interno con divión para Porta laptop.
Reforzarmiento en costuras.
Presentación: Embolsado 25 unidades
</t>
    </r>
    <r>
      <rPr>
        <b/>
        <sz val="16"/>
        <color rgb="FFFF0000"/>
        <rFont val="Arial"/>
        <family val="2"/>
      </rPr>
      <t>*Incluye 1 logo bordado a 1 lado.
*Arte y diseño debe ser facilitado por el cliente.</t>
    </r>
  </si>
  <si>
    <t>EDILBERTO
949 775 137</t>
  </si>
  <si>
    <t>Precio
100 und: S/30.00 
50 und- S/ 33.</t>
  </si>
  <si>
    <t>Ya Incluye</t>
  </si>
  <si>
    <t>7 a 10 Días útiles</t>
  </si>
  <si>
    <t>YA INCLUYE</t>
  </si>
  <si>
    <t>SUBTOTAL SIN IGV</t>
  </si>
  <si>
    <t>COTIZACIÓN PROPUESTA_COBRECON_02.02.26</t>
  </si>
  <si>
    <t>N°</t>
  </si>
  <si>
    <t>MOCHILA PORTA-LAPTOP 3</t>
  </si>
  <si>
    <t>*Imagen Referencial</t>
  </si>
  <si>
    <t>44 incl IGV</t>
  </si>
  <si>
    <t>CUADERNO 20X15cm - TAPA DURA</t>
  </si>
  <si>
    <r>
      <rPr>
        <b/>
        <u/>
        <sz val="16"/>
        <color rgb="FF000000"/>
        <rFont val="Arial"/>
        <family val="2"/>
      </rPr>
      <t xml:space="preserve">CUADERNO 20X15cm - TAPA DURA
</t>
    </r>
    <r>
      <rPr>
        <sz val="16"/>
        <color rgb="FF000000"/>
        <rFont val="Arial"/>
        <family val="2"/>
      </rPr>
      <t xml:space="preserve">TAPA y  CONTRA TAPA
Tamaño cerrado:  20cm x 15cm
Impresión Tapa y contra tapa: Full color 
Interior (la guarda) tapa y contratapa: Full color
Material: Carton duro forrado en couche de 150 gr, plastificado 
INTERIORES 
100  Hojas interiores, material: bond de 75 gr, impresion: 1 color  tira y retira (rayadas, cuadriculado o a eleccion)
ADICIONALES: Guardas con diseño de Cadena de Elec. y Calendario
ACABADOS : 
Tapa dura, anillado, compaginado, plastificado mate la tapa, doble ring color negro o blanco.
Presentación: Empaque film grupal
</t>
    </r>
    <r>
      <rPr>
        <b/>
        <sz val="16"/>
        <color rgb="FFFF0000"/>
        <rFont val="Arial"/>
        <family val="2"/>
      </rPr>
      <t>*Arte y diseño facilitado por el cliente.</t>
    </r>
  </si>
  <si>
    <t>MARCO ACGRAF
JM IMPRENTA
NANCY</t>
  </si>
  <si>
    <t xml:space="preserve"> </t>
  </si>
  <si>
    <t>S/ 7.00 + IGV
S/ 6.00 
+ S/ 1.28</t>
  </si>
  <si>
    <r>
      <rPr>
        <b/>
        <u/>
        <sz val="16"/>
        <color rgb="FF000000"/>
        <rFont val="Arial"/>
        <family val="2"/>
      </rPr>
      <t xml:space="preserve">MOCHILA PORTA-LAPTOP 3 </t>
    </r>
    <r>
      <rPr>
        <b/>
        <u/>
        <sz val="16"/>
        <color rgb="FFFF0000"/>
        <rFont val="Arial"/>
        <family val="2"/>
      </rPr>
      <t xml:space="preserve">-FABRICACIÓN NACIONAL
</t>
    </r>
    <r>
      <rPr>
        <sz val="16"/>
        <color rgb="FF000000"/>
        <rFont val="Arial"/>
        <family val="2"/>
      </rPr>
      <t xml:space="preserve">Medidas :39 cm de alto x 29 cm ancho x 10 cm Aprox.
Material: CATIONE
Modelo: Asa de mano.2 compartimientos, </t>
    </r>
    <r>
      <rPr>
        <b/>
        <u/>
        <sz val="16"/>
        <color rgb="FF000000"/>
        <rFont val="Arial"/>
        <family val="2"/>
      </rPr>
      <t>1 principal con cierre y 1 bolsillo exterior</t>
    </r>
    <r>
      <rPr>
        <sz val="16"/>
        <color rgb="FF000000"/>
        <rFont val="Arial"/>
        <family val="2"/>
      </rPr>
      <t xml:space="preserve">.  Organizador simple y  portalaptop.Respaldar acolchado con faja </t>
    </r>
    <r>
      <rPr>
        <b/>
        <u/>
        <sz val="16"/>
        <color rgb="FF000000"/>
        <rFont val="Arial"/>
        <family val="2"/>
      </rPr>
      <t>carry on</t>
    </r>
    <r>
      <rPr>
        <sz val="16"/>
        <color rgb="FF000000"/>
        <rFont val="Arial"/>
        <family val="2"/>
      </rPr>
      <t xml:space="preserve"> y reguladores.
Colores: A elegir.
Empaque : Empaque grupal en bolsa manga
</t>
    </r>
    <r>
      <rPr>
        <b/>
        <sz val="16"/>
        <color rgb="FFFF0000"/>
        <rFont val="Arial"/>
        <family val="2"/>
      </rPr>
      <t>*Incluye 1 logo bordado por 1 lado
*Arte y diseño debe ser facilitado por el cliente.</t>
    </r>
  </si>
  <si>
    <t>5 a 7 Días útiles</t>
  </si>
  <si>
    <t>COTIZACIÓN PROPUESTA_COBRECON_29.05.26</t>
  </si>
  <si>
    <t>COIT-WAT-2201</t>
  </si>
  <si>
    <t>MUG TERMICO</t>
  </si>
  <si>
    <t>ITEC-PROMOCIONES</t>
  </si>
  <si>
    <t>COIT-WAT-2304</t>
  </si>
  <si>
    <t>Precio
S/.29.90 +  IGV</t>
  </si>
  <si>
    <t>Precio
S/.36,27 + IGV</t>
  </si>
  <si>
    <t>COEF-LSD42005</t>
  </si>
  <si>
    <r>
      <rPr>
        <b/>
        <u/>
        <sz val="16"/>
        <color theme="1"/>
        <rFont val="Arial"/>
        <family val="2"/>
      </rPr>
      <t>MUG TERMICO- PROMOCIONAL</t>
    </r>
    <r>
      <rPr>
        <sz val="16"/>
        <color theme="1"/>
        <rFont val="Arial"/>
        <family val="2"/>
      </rPr>
      <t xml:space="preserve">
Descripcion: jarro de acero inoxidable                                                                                                                                 Material: acero inoxidable exterior e interior  y tapa plastica                                                                                                       </t>
    </r>
    <r>
      <rPr>
        <b/>
        <sz val="16"/>
        <color theme="1"/>
        <rFont val="Arial"/>
        <family val="2"/>
      </rPr>
      <t xml:space="preserve">Capacidad: 850ml.    </t>
    </r>
    <r>
      <rPr>
        <sz val="16"/>
        <color theme="1"/>
        <rFont val="Arial"/>
        <family val="2"/>
      </rPr>
      <t xml:space="preserve">                                                                                                               Medidas: 26.8cm x 7.5 cm diametro   
Color: Blanco, gris, azul, verde, naranja, rosado.                                                                                      
Presentación: Caja blanca
</t>
    </r>
    <r>
      <rPr>
        <b/>
        <sz val="16"/>
        <color rgb="FFFF0000"/>
        <rFont val="Arial"/>
        <family val="2"/>
      </rPr>
      <t>*Incluye 1 logo a 1 color por 1 lado
* Arte y diseño debe ser facilitado por el cliente.</t>
    </r>
  </si>
  <si>
    <r>
      <rPr>
        <b/>
        <u/>
        <sz val="16"/>
        <color theme="1"/>
        <rFont val="Arial"/>
        <family val="2"/>
      </rPr>
      <t>MUG TERMICO</t>
    </r>
    <r>
      <rPr>
        <sz val="16"/>
        <color theme="1"/>
        <rFont val="Arial"/>
        <family val="2"/>
      </rPr>
      <t xml:space="preserve">
Material por dentro: Acero inoxidable 304
Material por fuera: Acero inoxidable 201
Mantiene frio o calor hasta 12 horas
Capacidad: 40 Onzas (1,200 ml.)
Medida: 26cm altura x 10cm de boca x 7.3cm de base
Incluye: Sorbete de plastico.
Color: Blanco y negro
Presentación: Cajita individual cartón blanca
</t>
    </r>
    <r>
      <rPr>
        <b/>
        <sz val="16"/>
        <color rgb="FFFF0000"/>
        <rFont val="Arial"/>
        <family val="2"/>
      </rPr>
      <t>*Incluye 1 logo a 1 color por 1 lado
* Arte y diseño debe ser facilitado por el cliente.</t>
    </r>
  </si>
  <si>
    <r>
      <rPr>
        <b/>
        <u/>
        <sz val="16"/>
        <color theme="1"/>
        <rFont val="Arial"/>
        <family val="2"/>
      </rPr>
      <t>MUG TERMICO CON SORBETE DE ACERO</t>
    </r>
    <r>
      <rPr>
        <sz val="16"/>
        <color theme="1"/>
        <rFont val="Arial"/>
        <family val="2"/>
      </rPr>
      <t xml:space="preserve">
Material por dentro: Acero inoxidable 304
Material por fuera: Acero inoxidable 304
Mantiene frio o calor por mas de 12 horas
Capacidad: 40 Onzas (1,200 ml.)
Medida: 26cm altura x 10cm de boca x 7.3cm de base
Color: Blanco y negro
</t>
    </r>
    <r>
      <rPr>
        <b/>
        <sz val="16"/>
        <color rgb="FFFF0000"/>
        <rFont val="Arial"/>
        <family val="2"/>
      </rPr>
      <t xml:space="preserve">Incluye: Sorbete de acero inoxidable y cepillo.
</t>
    </r>
    <r>
      <rPr>
        <sz val="16"/>
        <color theme="1"/>
        <rFont val="Arial"/>
        <family val="2"/>
      </rPr>
      <t xml:space="preserve">Presentación: Cajita individual cartón blanca
</t>
    </r>
    <r>
      <rPr>
        <b/>
        <sz val="16"/>
        <color rgb="FFFF0000"/>
        <rFont val="Arial"/>
        <family val="2"/>
      </rPr>
      <t>*Incluye 1 logo a 1 color por 1 lado
* Arte y diseño debe ser facilitado por el cliente.</t>
    </r>
  </si>
  <si>
    <t>EYF</t>
  </si>
  <si>
    <t>UV- S/ 2.2
GRAVOART
Laser- S/ 2.00
Wilfredo Tampografia
S/ 80.00</t>
  </si>
  <si>
    <t>COTIZACIÓN PROPUESTA_COBRECON_03.06.26</t>
  </si>
  <si>
    <r>
      <rPr>
        <b/>
        <u/>
        <sz val="16"/>
        <color theme="1"/>
        <rFont val="Arial"/>
        <family val="2"/>
      </rPr>
      <t xml:space="preserve">PIN PROMOCIONAL
</t>
    </r>
    <r>
      <rPr>
        <sz val="16"/>
        <color theme="1"/>
        <rFont val="Arial"/>
        <family val="2"/>
      </rPr>
      <t>Medidas: Diámetro: 5.5 cm 
Base de plastico u ojalata
Diseño full color encimado
Presentación: Caja grupal</t>
    </r>
    <r>
      <rPr>
        <b/>
        <sz val="16"/>
        <color rgb="FFFF0000"/>
        <rFont val="Arial"/>
        <family val="2"/>
      </rPr>
      <t xml:space="preserve">
* Arte y diseño debe ser facilitado por el cliente.</t>
    </r>
  </si>
  <si>
    <t xml:space="preserve">PIN PROMOCIONAL </t>
  </si>
  <si>
    <t>HOSH</t>
  </si>
  <si>
    <t>S/. 0,6
 incluido IGV</t>
  </si>
  <si>
    <t xml:space="preserve">PIN BRONCE </t>
  </si>
  <si>
    <r>
      <rPr>
        <b/>
        <u/>
        <sz val="16"/>
        <color theme="1"/>
        <rFont val="Arial"/>
        <family val="2"/>
      </rPr>
      <t xml:space="preserve">PIN BRONCE 
</t>
    </r>
    <r>
      <rPr>
        <sz val="16"/>
        <color theme="1"/>
        <rFont val="Arial"/>
        <family val="2"/>
      </rPr>
      <t>Medidas: Diámetro: 2.5 cm
Base de bronce baño plateado.
Diseño full color foto resinado
Acabados: 1 broche
Presentación: Caja grupal</t>
    </r>
    <r>
      <rPr>
        <b/>
        <sz val="16"/>
        <color rgb="FFFF0000"/>
        <rFont val="Arial"/>
        <family val="2"/>
      </rPr>
      <t xml:space="preserve">
* Arte y diseño debe ser facilitado por el cliente.</t>
    </r>
  </si>
  <si>
    <t>HAYDEE</t>
  </si>
  <si>
    <r>
      <rPr>
        <b/>
        <u/>
        <sz val="16"/>
        <color theme="1"/>
        <rFont val="Arial"/>
        <family val="2"/>
      </rPr>
      <t>TARJETAS PERSONALIZADAS</t>
    </r>
    <r>
      <rPr>
        <sz val="16"/>
        <color theme="1"/>
        <rFont val="Arial"/>
        <family val="2"/>
      </rPr>
      <t xml:space="preserve">
Material: Couche 200 gr
Medida: 6 cm x 6 cm
Incluye: Impresión a full color por ambas caras           
Acabados: Corte recto, sin plastificado                                                                       
Presentación: Grupal, no bolsita individual</t>
    </r>
    <r>
      <rPr>
        <b/>
        <sz val="16"/>
        <color rgb="FFFF0000"/>
        <rFont val="Arial"/>
        <family val="2"/>
      </rPr>
      <t xml:space="preserve">
* Arte y diseño debe ser facilitado por el cliente.</t>
    </r>
  </si>
  <si>
    <t>G&amp;L
LASER COLOR VELOZ</t>
  </si>
  <si>
    <t>S/.50+ IGV
S/ 0.38</t>
  </si>
  <si>
    <t>TARJETAS PERSONALIZADAS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</si>
</sst>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S/.&quot;\ #,##0.00"/>
    <numFmt numFmtId="165" formatCode="[$S/.-280A]\ #,##0.00"/>
    <numFmt numFmtId="166" formatCode="_-[$$-409]* #,##0.00_ ;_-[$$-409]* \-#,##0.00\ ;_-[$$-409]* &quot;-&quot;??_ ;_-@_ "/>
    <numFmt numFmtId="167" formatCode="_(* #,##0_);_(* \(#,##0\);_(* &quot;-&quot;??_);_(@_)"/>
    <numFmt numFmtId="168" formatCode="_ * #,##0.00_ ;_ * \-#,##0.00_ ;_ * &quot;-&quot;??_ ;_ @_ "/>
  </numFmts>
  <fonts count="3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6"/>
      <color indexed="8"/>
      <name val="Arial"/>
      <family val="2"/>
    </font>
    <font>
      <sz val="11"/>
      <name val="Arial"/>
      <family val="2"/>
    </font>
    <font>
      <b/>
      <sz val="14"/>
      <color indexed="8"/>
      <name val="Arial"/>
      <family val="2"/>
    </font>
    <font>
      <b/>
      <sz val="14"/>
      <color indexed="9"/>
      <name val="Arial"/>
      <family val="2"/>
    </font>
    <font>
      <b/>
      <sz val="14"/>
      <name val="Arial"/>
      <family val="2"/>
    </font>
    <font>
      <sz val="14"/>
      <color theme="1"/>
      <name val="Arial"/>
      <family val="2"/>
    </font>
    <font>
      <b/>
      <sz val="16"/>
      <name val="Arial"/>
      <family val="2"/>
    </font>
    <font>
      <sz val="14"/>
      <color rgb="FFFF0000"/>
      <name val="Arial"/>
      <family val="2"/>
    </font>
    <font>
      <b/>
      <sz val="18"/>
      <color theme="1"/>
      <name val="Arial"/>
      <family val="2"/>
    </font>
    <font>
      <b/>
      <sz val="18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u/>
      <sz val="16"/>
      <color rgb="FF000000"/>
      <name val="Arial"/>
      <family val="2"/>
    </font>
    <font>
      <sz val="16"/>
      <color rgb="FF000000"/>
      <name val="Arial"/>
      <family val="2"/>
    </font>
    <font>
      <b/>
      <sz val="16"/>
      <color rgb="FFFF0000"/>
      <name val="Arial"/>
      <family val="2"/>
    </font>
    <font>
      <b/>
      <sz val="16"/>
      <color theme="1"/>
      <name val="Arial"/>
      <family val="2"/>
    </font>
    <font>
      <b/>
      <sz val="16"/>
      <color indexed="63"/>
      <name val="Arial"/>
      <family val="2"/>
    </font>
    <font>
      <sz val="16"/>
      <color indexed="63"/>
      <name val="Arial"/>
      <family val="2"/>
    </font>
    <font>
      <b/>
      <sz val="16"/>
      <color indexed="10"/>
      <name val="Arial"/>
      <family val="2"/>
    </font>
    <font>
      <sz val="16"/>
      <name val="Arial"/>
      <family val="2"/>
    </font>
    <font>
      <sz val="16"/>
      <color indexed="10"/>
      <name val="Arial"/>
      <family val="2"/>
    </font>
    <font>
      <b/>
      <sz val="16"/>
      <color indexed="9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4"/>
      <color indexed="8"/>
      <name val="Arial"/>
      <family val="2"/>
    </font>
    <font>
      <sz val="18"/>
      <color theme="1"/>
      <name val="Arial"/>
      <family val="2"/>
    </font>
    <font>
      <sz val="11"/>
      <color indexed="8"/>
      <name val="Calibri"/>
      <family val="2"/>
    </font>
    <font>
      <b/>
      <u/>
      <sz val="16"/>
      <color rgb="FFFF0000"/>
      <name val="Arial"/>
      <family val="2"/>
    </font>
    <font>
      <sz val="14"/>
      <name val="Arial"/>
      <family val="2"/>
    </font>
    <font>
      <sz val="18"/>
      <name val="Arial"/>
      <family val="2"/>
    </font>
    <font>
      <b/>
      <sz val="18"/>
      <color rgb="FFFF0000"/>
      <name val="Arial"/>
      <family val="2"/>
    </font>
    <font>
      <b/>
      <sz val="18"/>
      <color theme="0"/>
      <name val="Arial"/>
      <family val="2"/>
    </font>
    <font>
      <b/>
      <u/>
      <sz val="16"/>
      <color theme="1"/>
      <name val="Arial"/>
      <family val="2"/>
    </font>
    <font>
      <b/>
      <sz val="14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56"/>
        <bgColor indexed="62"/>
      </patternFill>
    </fill>
    <fill>
      <patternFill patternType="solid">
        <fgColor indexed="13"/>
        <bgColor indexed="34"/>
      </patternFill>
    </fill>
    <fill>
      <patternFill patternType="solid">
        <fgColor indexed="10"/>
        <bgColor indexed="60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indexed="9"/>
        <bgColor indexed="8"/>
      </patternFill>
    </fill>
    <fill>
      <patternFill patternType="solid">
        <fgColor indexed="1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166" fontId="29" fillId="0" borderId="0" applyFont="0" applyFill="0" applyBorder="0" applyAlignment="0" applyProtection="0"/>
    <xf numFmtId="0" fontId="1" fillId="0" borderId="0"/>
  </cellStyleXfs>
  <cellXfs count="93">
    <xf numFmtId="0" fontId="0" fillId="0" borderId="0" xfId="0"/>
    <xf numFmtId="0" fontId="4" fillId="2" borderId="0" xfId="3" applyFont="1" applyFill="1"/>
    <xf numFmtId="0" fontId="4" fillId="2" borderId="0" xfId="3" applyFont="1" applyFill="1" applyAlignment="1">
      <alignment vertical="center"/>
    </xf>
    <xf numFmtId="0" fontId="4" fillId="2" borderId="0" xfId="3" applyFont="1" applyFill="1" applyAlignment="1">
      <alignment wrapText="1"/>
    </xf>
    <xf numFmtId="0" fontId="6" fillId="4" borderId="0" xfId="2" applyFont="1" applyFill="1" applyAlignment="1">
      <alignment horizontal="center" vertical="center" wrapText="1"/>
    </xf>
    <xf numFmtId="0" fontId="6" fillId="4" borderId="1" xfId="2" applyFont="1" applyFill="1" applyBorder="1" applyAlignment="1">
      <alignment horizontal="center" vertical="center" wrapText="1"/>
    </xf>
    <xf numFmtId="0" fontId="6" fillId="4" borderId="2" xfId="2" applyFont="1" applyFill="1" applyBorder="1" applyAlignment="1">
      <alignment horizontal="center" vertical="center" wrapText="1"/>
    </xf>
    <xf numFmtId="0" fontId="7" fillId="5" borderId="3" xfId="2" applyFont="1" applyFill="1" applyBorder="1" applyAlignment="1">
      <alignment horizontal="center" vertical="center" wrapText="1"/>
    </xf>
    <xf numFmtId="0" fontId="7" fillId="5" borderId="1" xfId="2" applyFont="1" applyFill="1" applyBorder="1" applyAlignment="1">
      <alignment horizontal="center" vertical="center" wrapText="1"/>
    </xf>
    <xf numFmtId="0" fontId="7" fillId="5" borderId="2" xfId="2" applyFont="1" applyFill="1" applyBorder="1" applyAlignment="1">
      <alignment horizontal="center" vertical="center" wrapText="1"/>
    </xf>
    <xf numFmtId="0" fontId="6" fillId="4" borderId="3" xfId="2" applyFont="1" applyFill="1" applyBorder="1" applyAlignment="1">
      <alignment horizontal="center" vertical="center" wrapText="1"/>
    </xf>
    <xf numFmtId="0" fontId="7" fillId="3" borderId="3" xfId="2" applyFont="1" applyFill="1" applyBorder="1" applyAlignment="1">
      <alignment horizontal="center" vertical="center" wrapText="1"/>
    </xf>
    <xf numFmtId="0" fontId="7" fillId="3" borderId="1" xfId="2" applyFont="1" applyFill="1" applyBorder="1" applyAlignment="1">
      <alignment horizontal="center" vertical="center" wrapText="1"/>
    </xf>
    <xf numFmtId="0" fontId="7" fillId="3" borderId="2" xfId="2" applyFont="1" applyFill="1" applyBorder="1" applyAlignment="1">
      <alignment horizontal="center" vertical="center" wrapText="1"/>
    </xf>
    <xf numFmtId="0" fontId="6" fillId="6" borderId="3" xfId="2" applyFont="1" applyFill="1" applyBorder="1" applyAlignment="1">
      <alignment horizontal="center" vertical="center" wrapText="1"/>
    </xf>
    <xf numFmtId="0" fontId="6" fillId="6" borderId="1" xfId="2" applyFont="1" applyFill="1" applyBorder="1" applyAlignment="1">
      <alignment horizontal="center" vertical="center" wrapText="1"/>
    </xf>
    <xf numFmtId="9" fontId="6" fillId="6" borderId="2" xfId="2" applyNumberFormat="1" applyFont="1" applyFill="1" applyBorder="1" applyAlignment="1">
      <alignment horizontal="center" vertical="center"/>
    </xf>
    <xf numFmtId="0" fontId="8" fillId="7" borderId="0" xfId="0" applyFont="1" applyFill="1"/>
    <xf numFmtId="49" fontId="18" fillId="0" borderId="4" xfId="2" applyNumberFormat="1" applyFont="1" applyBorder="1" applyAlignment="1">
      <alignment horizontal="center" vertical="center" wrapText="1"/>
    </xf>
    <xf numFmtId="165" fontId="14" fillId="7" borderId="4" xfId="2" applyNumberFormat="1" applyFont="1" applyFill="1" applyBorder="1" applyAlignment="1">
      <alignment horizontal="center" vertical="center"/>
    </xf>
    <xf numFmtId="0" fontId="9" fillId="8" borderId="4" xfId="2" applyFont="1" applyFill="1" applyBorder="1" applyAlignment="1">
      <alignment horizontal="center" vertical="center"/>
    </xf>
    <xf numFmtId="165" fontId="13" fillId="9" borderId="4" xfId="2" applyNumberFormat="1" applyFont="1" applyFill="1" applyBorder="1" applyAlignment="1">
      <alignment horizontal="center" vertical="center"/>
    </xf>
    <xf numFmtId="164" fontId="19" fillId="9" borderId="4" xfId="2" applyNumberFormat="1" applyFont="1" applyFill="1" applyBorder="1" applyAlignment="1">
      <alignment horizontal="center" vertical="center"/>
    </xf>
    <xf numFmtId="164" fontId="20" fillId="9" borderId="4" xfId="2" applyNumberFormat="1" applyFont="1" applyFill="1" applyBorder="1" applyAlignment="1">
      <alignment horizontal="center" vertical="center"/>
    </xf>
    <xf numFmtId="164" fontId="13" fillId="9" borderId="4" xfId="2" applyNumberFormat="1" applyFont="1" applyFill="1" applyBorder="1" applyAlignment="1">
      <alignment horizontal="center" vertical="center"/>
    </xf>
    <xf numFmtId="164" fontId="13" fillId="7" borderId="4" xfId="2" applyNumberFormat="1" applyFont="1" applyFill="1" applyBorder="1" applyAlignment="1">
      <alignment horizontal="center" vertical="center"/>
    </xf>
    <xf numFmtId="164" fontId="21" fillId="11" borderId="4" xfId="2" applyNumberFormat="1" applyFont="1" applyFill="1" applyBorder="1" applyAlignment="1">
      <alignment horizontal="center" vertical="center"/>
    </xf>
    <xf numFmtId="0" fontId="13" fillId="8" borderId="4" xfId="2" applyFont="1" applyFill="1" applyBorder="1" applyAlignment="1">
      <alignment horizontal="center" vertical="center"/>
    </xf>
    <xf numFmtId="164" fontId="23" fillId="11" borderId="4" xfId="2" applyNumberFormat="1" applyFont="1" applyFill="1" applyBorder="1" applyAlignment="1">
      <alignment horizontal="center" vertical="center"/>
    </xf>
    <xf numFmtId="164" fontId="23" fillId="14" borderId="4" xfId="2" applyNumberFormat="1" applyFont="1" applyFill="1" applyBorder="1" applyAlignment="1">
      <alignment horizontal="center" vertical="center"/>
    </xf>
    <xf numFmtId="164" fontId="13" fillId="0" borderId="4" xfId="2" applyNumberFormat="1" applyFont="1" applyBorder="1" applyAlignment="1">
      <alignment horizontal="center" vertical="center"/>
    </xf>
    <xf numFmtId="164" fontId="24" fillId="15" borderId="4" xfId="2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/>
    <xf numFmtId="0" fontId="9" fillId="0" borderId="4" xfId="0" applyFont="1" applyBorder="1" applyAlignment="1">
      <alignment horizontal="center" vertical="center" wrapText="1"/>
    </xf>
    <xf numFmtId="49" fontId="22" fillId="0" borderId="4" xfId="0" applyNumberFormat="1" applyFont="1" applyBorder="1" applyAlignment="1">
      <alignment vertical="center" wrapText="1"/>
    </xf>
    <xf numFmtId="0" fontId="9" fillId="10" borderId="4" xfId="2" applyFont="1" applyFill="1" applyBorder="1" applyAlignment="1">
      <alignment horizontal="center" vertical="center"/>
    </xf>
    <xf numFmtId="0" fontId="25" fillId="7" borderId="0" xfId="0" applyFont="1" applyFill="1"/>
    <xf numFmtId="0" fontId="14" fillId="7" borderId="0" xfId="2" applyFont="1" applyFill="1" applyAlignment="1">
      <alignment horizontal="center" vertical="center" wrapText="1"/>
    </xf>
    <xf numFmtId="0" fontId="26" fillId="0" borderId="0" xfId="0" applyFont="1"/>
    <xf numFmtId="49" fontId="2" fillId="2" borderId="0" xfId="2" applyNumberFormat="1" applyFill="1" applyAlignment="1">
      <alignment vertical="center" wrapText="1"/>
    </xf>
    <xf numFmtId="0" fontId="27" fillId="0" borderId="0" xfId="0" applyFont="1"/>
    <xf numFmtId="0" fontId="2" fillId="0" borderId="0" xfId="2"/>
    <xf numFmtId="0" fontId="2" fillId="0" borderId="0" xfId="2" applyAlignment="1">
      <alignment horizontal="center"/>
    </xf>
    <xf numFmtId="164" fontId="19" fillId="9" borderId="5" xfId="2" applyNumberFormat="1" applyFont="1" applyFill="1" applyBorder="1" applyAlignment="1">
      <alignment horizontal="center" vertical="center"/>
    </xf>
    <xf numFmtId="164" fontId="22" fillId="7" borderId="4" xfId="2" applyNumberFormat="1" applyFont="1" applyFill="1" applyBorder="1" applyAlignment="1">
      <alignment horizontal="center" vertical="center" wrapText="1"/>
    </xf>
    <xf numFmtId="164" fontId="14" fillId="12" borderId="4" xfId="2" applyNumberFormat="1" applyFont="1" applyFill="1" applyBorder="1" applyAlignment="1">
      <alignment horizontal="center" vertical="center"/>
    </xf>
    <xf numFmtId="164" fontId="16" fillId="13" borderId="4" xfId="2" applyNumberFormat="1" applyFont="1" applyFill="1" applyBorder="1" applyAlignment="1">
      <alignment horizontal="center" vertical="center"/>
    </xf>
    <xf numFmtId="165" fontId="14" fillId="7" borderId="4" xfId="6" applyNumberFormat="1" applyFont="1" applyFill="1" applyBorder="1" applyAlignment="1">
      <alignment horizontal="center" vertical="center"/>
    </xf>
    <xf numFmtId="165" fontId="18" fillId="7" borderId="4" xfId="2" applyNumberFormat="1" applyFont="1" applyFill="1" applyBorder="1" applyAlignment="1">
      <alignment horizontal="center" vertical="center"/>
    </xf>
    <xf numFmtId="0" fontId="28" fillId="0" borderId="0" xfId="0" applyFont="1"/>
    <xf numFmtId="168" fontId="17" fillId="7" borderId="4" xfId="2" applyNumberFormat="1" applyFont="1" applyFill="1" applyBorder="1" applyAlignment="1">
      <alignment horizontal="center"/>
    </xf>
    <xf numFmtId="0" fontId="12" fillId="0" borderId="4" xfId="2" applyFont="1" applyBorder="1" applyAlignment="1">
      <alignment horizontal="center" vertical="center" wrapText="1"/>
    </xf>
    <xf numFmtId="164" fontId="12" fillId="0" borderId="4" xfId="2" applyNumberFormat="1" applyFont="1" applyBorder="1" applyAlignment="1">
      <alignment horizontal="center" vertical="center" wrapText="1"/>
    </xf>
    <xf numFmtId="0" fontId="13" fillId="7" borderId="4" xfId="2" applyFont="1" applyFill="1" applyBorder="1" applyAlignment="1">
      <alignment horizontal="left" vertical="center" wrapText="1"/>
    </xf>
    <xf numFmtId="0" fontId="31" fillId="0" borderId="0" xfId="2" applyFont="1" applyAlignment="1">
      <alignment vertical="center"/>
    </xf>
    <xf numFmtId="49" fontId="32" fillId="17" borderId="4" xfId="2" applyNumberFormat="1" applyFont="1" applyFill="1" applyBorder="1" applyAlignment="1">
      <alignment horizontal="center" vertical="center" wrapText="1"/>
    </xf>
    <xf numFmtId="164" fontId="28" fillId="0" borderId="4" xfId="2" applyNumberFormat="1" applyFont="1" applyBorder="1" applyAlignment="1">
      <alignment horizontal="center" vertical="center"/>
    </xf>
    <xf numFmtId="164" fontId="34" fillId="16" borderId="4" xfId="2" applyNumberFormat="1" applyFont="1" applyFill="1" applyBorder="1" applyAlignment="1">
      <alignment horizontal="center" vertical="center"/>
    </xf>
    <xf numFmtId="165" fontId="28" fillId="7" borderId="4" xfId="6" applyNumberFormat="1" applyFont="1" applyFill="1" applyBorder="1" applyAlignment="1">
      <alignment horizontal="center" vertical="center"/>
    </xf>
    <xf numFmtId="165" fontId="33" fillId="7" borderId="4" xfId="2" applyNumberFormat="1" applyFont="1" applyFill="1" applyBorder="1" applyAlignment="1">
      <alignment horizontal="center" vertical="center"/>
    </xf>
    <xf numFmtId="0" fontId="28" fillId="0" borderId="0" xfId="8" applyFont="1"/>
    <xf numFmtId="164" fontId="12" fillId="7" borderId="7" xfId="0" applyNumberFormat="1" applyFont="1" applyFill="1" applyBorder="1" applyAlignment="1">
      <alignment horizontal="center" vertical="center" wrapText="1"/>
    </xf>
    <xf numFmtId="0" fontId="13" fillId="7" borderId="4" xfId="2" applyFont="1" applyFill="1" applyBorder="1" applyAlignment="1">
      <alignment horizontal="center" vertical="center" wrapText="1"/>
    </xf>
    <xf numFmtId="0" fontId="22" fillId="2" borderId="0" xfId="3" applyFont="1" applyFill="1"/>
    <xf numFmtId="0" fontId="13" fillId="0" borderId="0" xfId="0" applyFont="1" applyAlignment="1">
      <alignment horizontal="center" wrapText="1"/>
    </xf>
    <xf numFmtId="9" fontId="14" fillId="0" borderId="0" xfId="1" applyFont="1" applyAlignment="1">
      <alignment horizontal="center" vertical="center"/>
    </xf>
    <xf numFmtId="0" fontId="22" fillId="0" borderId="0" xfId="2" applyFont="1"/>
    <xf numFmtId="0" fontId="22" fillId="0" borderId="0" xfId="3" applyFont="1" applyAlignment="1">
      <alignment horizontal="center" wrapText="1"/>
    </xf>
    <xf numFmtId="0" fontId="22" fillId="0" borderId="0" xfId="2" applyFont="1" applyAlignment="1">
      <alignment horizontal="center"/>
    </xf>
    <xf numFmtId="0" fontId="5" fillId="3" borderId="7" xfId="4" applyFont="1" applyFill="1" applyBorder="1" applyAlignment="1">
      <alignment horizontal="center" vertical="center" wrapText="1"/>
    </xf>
    <xf numFmtId="0" fontId="5" fillId="3" borderId="4" xfId="3" applyFont="1" applyFill="1" applyBorder="1" applyAlignment="1">
      <alignment horizontal="center" vertical="center" wrapText="1"/>
    </xf>
    <xf numFmtId="0" fontId="5" fillId="3" borderId="4" xfId="4" applyFont="1" applyFill="1" applyBorder="1" applyAlignment="1">
      <alignment horizontal="center" vertical="center" wrapText="1"/>
    </xf>
    <xf numFmtId="0" fontId="3" fillId="0" borderId="4" xfId="3" applyFont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/>
    </xf>
    <xf numFmtId="0" fontId="11" fillId="7" borderId="4" xfId="5" applyFont="1" applyFill="1" applyBorder="1" applyAlignment="1">
      <alignment horizontal="center" vertical="center"/>
    </xf>
    <xf numFmtId="164" fontId="12" fillId="7" borderId="4" xfId="0" applyNumberFormat="1" applyFont="1" applyFill="1" applyBorder="1" applyAlignment="1">
      <alignment horizontal="center" vertical="center" wrapText="1"/>
    </xf>
    <xf numFmtId="0" fontId="14" fillId="7" borderId="4" xfId="2" applyFont="1" applyFill="1" applyBorder="1" applyAlignment="1">
      <alignment horizontal="left" vertical="center" wrapText="1"/>
    </xf>
    <xf numFmtId="164" fontId="12" fillId="7" borderId="4" xfId="2" applyNumberFormat="1" applyFont="1" applyFill="1" applyBorder="1" applyAlignment="1">
      <alignment horizontal="center" vertical="center" wrapText="1"/>
    </xf>
    <xf numFmtId="0" fontId="9" fillId="0" borderId="4" xfId="2" applyFont="1" applyBorder="1" applyAlignment="1">
      <alignment horizontal="center" vertical="center"/>
    </xf>
    <xf numFmtId="16" fontId="14" fillId="7" borderId="4" xfId="6" applyNumberFormat="1" applyFont="1" applyFill="1" applyBorder="1" applyAlignment="1">
      <alignment horizontal="center" vertical="center" wrapText="1"/>
    </xf>
    <xf numFmtId="0" fontId="14" fillId="7" borderId="4" xfId="0" applyFont="1" applyFill="1" applyBorder="1" applyAlignment="1">
      <alignment vertical="center" wrapText="1"/>
    </xf>
    <xf numFmtId="0" fontId="36" fillId="7" borderId="4" xfId="0" applyFont="1" applyFill="1" applyBorder="1" applyAlignment="1">
      <alignment horizontal="center"/>
    </xf>
    <xf numFmtId="0" fontId="3" fillId="2" borderId="6" xfId="2" applyFont="1" applyFill="1" applyBorder="1" applyAlignment="1">
      <alignment horizontal="center" vertical="center"/>
    </xf>
    <xf numFmtId="0" fontId="3" fillId="0" borderId="4" xfId="3" applyFont="1" applyBorder="1" applyAlignment="1">
      <alignment horizontal="center" vertical="center" wrapText="1"/>
    </xf>
    <xf numFmtId="0" fontId="14" fillId="7" borderId="4" xfId="0" applyFont="1" applyFill="1" applyBorder="1" applyAlignment="1">
      <alignment horizontal="center" vertical="center" wrapText="1"/>
    </xf>
    <xf numFmtId="167" fontId="9" fillId="0" borderId="4" xfId="7" applyNumberFormat="1" applyFont="1" applyFill="1" applyBorder="1" applyAlignment="1">
      <alignment horizontal="center" vertical="center" wrapText="1"/>
    </xf>
    <xf numFmtId="49" fontId="22" fillId="0" borderId="4" xfId="0" applyNumberFormat="1" applyFont="1" applyBorder="1" applyAlignment="1">
      <alignment horizontal="center" vertical="center" wrapText="1"/>
    </xf>
    <xf numFmtId="49" fontId="32" fillId="17" borderId="4" xfId="2" applyNumberFormat="1" applyFont="1" applyFill="1" applyBorder="1" applyAlignment="1">
      <alignment horizontal="center" vertical="center" wrapText="1"/>
    </xf>
    <xf numFmtId="0" fontId="14" fillId="7" borderId="8" xfId="0" applyFont="1" applyFill="1" applyBorder="1" applyAlignment="1">
      <alignment horizontal="center" vertical="center" wrapText="1"/>
    </xf>
    <xf numFmtId="0" fontId="14" fillId="7" borderId="9" xfId="0" applyFont="1" applyFill="1" applyBorder="1" applyAlignment="1">
      <alignment horizontal="center" vertical="center" wrapText="1"/>
    </xf>
    <xf numFmtId="0" fontId="3" fillId="0" borderId="8" xfId="3" applyFont="1" applyBorder="1" applyAlignment="1">
      <alignment horizontal="center" vertical="center" wrapText="1"/>
    </xf>
    <xf numFmtId="0" fontId="3" fillId="0" borderId="9" xfId="3" applyFont="1" applyBorder="1" applyAlignment="1">
      <alignment horizontal="center" vertical="center" wrapText="1"/>
    </xf>
  </cellXfs>
  <cellStyles count="9">
    <cellStyle name="Millares 2 2 3 2 2 2 2 2 2 2 2 2" xfId="7" xr:uid="{FBC05F61-A449-4F4A-81BC-17BDA48BD3A9}"/>
    <cellStyle name="Normal" xfId="0" builtinId="0"/>
    <cellStyle name="Normal 2 2" xfId="2" xr:uid="{15E6F28F-EEF0-49A6-82C6-35DC24BC277E}"/>
    <cellStyle name="Normal 2 3 2 2 4" xfId="8" xr:uid="{AFA86721-61C0-43DC-A25E-F06E4029E92F}"/>
    <cellStyle name="Normal 3 3 2 5 2" xfId="5" xr:uid="{7AD3CF9F-725C-4D9F-98BD-B39AD4C7C7DF}"/>
    <cellStyle name="Normal 3 4 2" xfId="4" xr:uid="{32512EB5-8532-4C97-B98F-DF7D772C21B6}"/>
    <cellStyle name="Normal 3 4 2 4" xfId="6" xr:uid="{86A7D769-4CA8-4C4E-8764-375709B7B7C9}"/>
    <cellStyle name="Normal 4 2" xfId="3" xr:uid="{6EDD2B08-D6BD-4DF0-A303-2C65798EFD51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jpeg"/><Relationship Id="rId2" Type="http://schemas.openxmlformats.org/officeDocument/2006/relationships/image" Target="../media/image5.jpeg"/><Relationship Id="rId1" Type="http://schemas.openxmlformats.org/officeDocument/2006/relationships/image" Target="../media/image4.jpeg"/><Relationship Id="rId5" Type="http://schemas.openxmlformats.org/officeDocument/2006/relationships/image" Target="../media/image8.png"/><Relationship Id="rId4" Type="http://schemas.openxmlformats.org/officeDocument/2006/relationships/image" Target="../media/image7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852400</xdr:colOff>
      <xdr:row>3</xdr:row>
      <xdr:rowOff>402241</xdr:rowOff>
    </xdr:from>
    <xdr:ext cx="1869200" cy="2370998"/>
    <xdr:pic>
      <xdr:nvPicPr>
        <xdr:cNvPr id="2" name="Imagen 3">
          <a:extLst>
            <a:ext uri="{FF2B5EF4-FFF2-40B4-BE49-F238E27FC236}">
              <a16:creationId xmlns:a16="http://schemas.microsoft.com/office/drawing/2014/main" id="{39F13946-466D-4689-97E6-19BEDDEC5737}"/>
            </a:ext>
            <a:ext uri="{147F2762-F138-4A5C-976F-8EAC2B608ADB}">
              <a16:predDERef xmlns:a16="http://schemas.microsoft.com/office/drawing/2014/main" pred="{17C2F244-664A-4948-94A8-4F5315B3B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73436">
          <a:off x="4014700" y="1526191"/>
          <a:ext cx="1869200" cy="23709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406733</xdr:colOff>
      <xdr:row>4</xdr:row>
      <xdr:rowOff>972727</xdr:rowOff>
    </xdr:from>
    <xdr:ext cx="2577767" cy="1540373"/>
    <xdr:pic>
      <xdr:nvPicPr>
        <xdr:cNvPr id="7" name="Imagen 6">
          <a:extLst>
            <a:ext uri="{FF2B5EF4-FFF2-40B4-BE49-F238E27FC236}">
              <a16:creationId xmlns:a16="http://schemas.microsoft.com/office/drawing/2014/main" id="{6565CB82-F6F8-405E-BD1C-5896636A7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565858" y="5322477"/>
          <a:ext cx="2577767" cy="1540373"/>
        </a:xfrm>
        <a:prstGeom prst="rect">
          <a:avLst/>
        </a:prstGeom>
      </xdr:spPr>
    </xdr:pic>
    <xdr:clientData/>
  </xdr:oneCellAnchor>
  <xdr:twoCellAnchor editAs="oneCell">
    <xdr:from>
      <xdr:col>4</xdr:col>
      <xdr:colOff>666750</xdr:colOff>
      <xdr:row>5</xdr:row>
      <xdr:rowOff>1143001</xdr:rowOff>
    </xdr:from>
    <xdr:to>
      <xdr:col>4</xdr:col>
      <xdr:colOff>2682875</xdr:colOff>
      <xdr:row>5</xdr:row>
      <xdr:rowOff>3731208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2605FBB6-72CE-08D1-92EA-DFFC88104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25875" y="9064626"/>
          <a:ext cx="2016125" cy="25882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2301875</xdr:colOff>
      <xdr:row>4</xdr:row>
      <xdr:rowOff>458747</xdr:rowOff>
    </xdr:from>
    <xdr:to>
      <xdr:col>4</xdr:col>
      <xdr:colOff>3683000</xdr:colOff>
      <xdr:row>4</xdr:row>
      <xdr:rowOff>2752750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501E80F-17AE-4EC7-9002-57E174597E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905" r="18618"/>
        <a:stretch>
          <a:fillRect/>
        </a:stretch>
      </xdr:blipFill>
      <xdr:spPr>
        <a:xfrm>
          <a:off x="7143750" y="1665247"/>
          <a:ext cx="1381125" cy="2294003"/>
        </a:xfrm>
        <a:prstGeom prst="rect">
          <a:avLst/>
        </a:prstGeom>
      </xdr:spPr>
    </xdr:pic>
    <xdr:clientData/>
  </xdr:twoCellAnchor>
  <xdr:twoCellAnchor editAs="oneCell">
    <xdr:from>
      <xdr:col>4</xdr:col>
      <xdr:colOff>63500</xdr:colOff>
      <xdr:row>5</xdr:row>
      <xdr:rowOff>636775</xdr:rowOff>
    </xdr:from>
    <xdr:to>
      <xdr:col>4</xdr:col>
      <xdr:colOff>1889125</xdr:colOff>
      <xdr:row>5</xdr:row>
      <xdr:rowOff>2700875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AFC4E732-C5DF-485F-BF7A-6C9BE3BCEB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21" t="4266" r="9473" b="4046"/>
        <a:stretch>
          <a:fillRect/>
        </a:stretch>
      </xdr:blipFill>
      <xdr:spPr>
        <a:xfrm>
          <a:off x="4905375" y="5081775"/>
          <a:ext cx="1825625" cy="2064100"/>
        </a:xfrm>
        <a:prstGeom prst="rect">
          <a:avLst/>
        </a:prstGeom>
      </xdr:spPr>
    </xdr:pic>
    <xdr:clientData/>
  </xdr:twoCellAnchor>
  <xdr:twoCellAnchor editAs="oneCell">
    <xdr:from>
      <xdr:col>4</xdr:col>
      <xdr:colOff>254000</xdr:colOff>
      <xdr:row>4</xdr:row>
      <xdr:rowOff>381000</xdr:rowOff>
    </xdr:from>
    <xdr:to>
      <xdr:col>4</xdr:col>
      <xdr:colOff>1918181</xdr:colOff>
      <xdr:row>4</xdr:row>
      <xdr:rowOff>2721000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D44F56E-9318-483A-9355-48FDAA381E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17" t="7286" r="23769" b="7669"/>
        <a:stretch>
          <a:fillRect/>
        </a:stretch>
      </xdr:blipFill>
      <xdr:spPr>
        <a:xfrm>
          <a:off x="5095875" y="1587500"/>
          <a:ext cx="1664181" cy="2340000"/>
        </a:xfrm>
        <a:prstGeom prst="rect">
          <a:avLst/>
        </a:prstGeom>
      </xdr:spPr>
    </xdr:pic>
    <xdr:clientData/>
  </xdr:twoCellAnchor>
  <xdr:twoCellAnchor editAs="oneCell">
    <xdr:from>
      <xdr:col>4</xdr:col>
      <xdr:colOff>2111375</xdr:colOff>
      <xdr:row>5</xdr:row>
      <xdr:rowOff>730249</xdr:rowOff>
    </xdr:from>
    <xdr:to>
      <xdr:col>4</xdr:col>
      <xdr:colOff>3917774</xdr:colOff>
      <xdr:row>5</xdr:row>
      <xdr:rowOff>2546374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72C7EE26-F25C-4BA6-908E-38D08AFABE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20" t="5783" b="3853"/>
        <a:stretch>
          <a:fillRect/>
        </a:stretch>
      </xdr:blipFill>
      <xdr:spPr>
        <a:xfrm>
          <a:off x="6953250" y="5175249"/>
          <a:ext cx="1806399" cy="1816125"/>
        </a:xfrm>
        <a:prstGeom prst="rect">
          <a:avLst/>
        </a:prstGeom>
      </xdr:spPr>
    </xdr:pic>
    <xdr:clientData/>
  </xdr:twoCellAnchor>
  <xdr:twoCellAnchor editAs="oneCell">
    <xdr:from>
      <xdr:col>4</xdr:col>
      <xdr:colOff>1031875</xdr:colOff>
      <xdr:row>3</xdr:row>
      <xdr:rowOff>111125</xdr:rowOff>
    </xdr:from>
    <xdr:to>
      <xdr:col>4</xdr:col>
      <xdr:colOff>2899036</xdr:colOff>
      <xdr:row>3</xdr:row>
      <xdr:rowOff>2940445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2E3BA19-D715-66A6-F2E2-F8114D43F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873750" y="1317625"/>
          <a:ext cx="1867161" cy="28293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1023938</xdr:colOff>
      <xdr:row>4</xdr:row>
      <xdr:rowOff>404813</xdr:rowOff>
    </xdr:from>
    <xdr:to>
      <xdr:col>4</xdr:col>
      <xdr:colOff>3119437</xdr:colOff>
      <xdr:row>4</xdr:row>
      <xdr:rowOff>2463996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A4BB32-70FC-3132-D834-523CF869D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1938" y="4857751"/>
          <a:ext cx="2095499" cy="2059183"/>
        </a:xfrm>
        <a:prstGeom prst="rect">
          <a:avLst/>
        </a:prstGeom>
      </xdr:spPr>
    </xdr:pic>
    <xdr:clientData/>
  </xdr:twoCellAnchor>
  <xdr:twoCellAnchor editAs="oneCell">
    <xdr:from>
      <xdr:col>4</xdr:col>
      <xdr:colOff>785813</xdr:colOff>
      <xdr:row>3</xdr:row>
      <xdr:rowOff>571500</xdr:rowOff>
    </xdr:from>
    <xdr:to>
      <xdr:col>4</xdr:col>
      <xdr:colOff>3333750</xdr:colOff>
      <xdr:row>3</xdr:row>
      <xdr:rowOff>2284988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B8DA0B2-C249-5363-3C73-BB48A9ED9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833813" y="1785938"/>
          <a:ext cx="2547937" cy="1713488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476250</xdr:colOff>
      <xdr:row>5</xdr:row>
      <xdr:rowOff>523875</xdr:rowOff>
    </xdr:from>
    <xdr:to>
      <xdr:col>4</xdr:col>
      <xdr:colOff>3476625</xdr:colOff>
      <xdr:row>5</xdr:row>
      <xdr:rowOff>2665637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2E91B249-DE2B-AA12-EF62-B12DB9AD6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4250" y="7334250"/>
          <a:ext cx="3000375" cy="21417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C3A2-15DC-4B9E-8772-8DB2F9489D51}">
  <dimension ref="A2:IL7"/>
  <sheetViews>
    <sheetView showGridLines="0" zoomScale="60" zoomScaleNormal="60" workbookViewId="0">
      <selection activeCell="G6" sqref="G6"/>
    </sheetView>
  </sheetViews>
  <sheetFormatPr baseColWidth="10" defaultColWidth="11.42578125" defaultRowHeight="20.25" x14ac:dyDescent="0.3"/>
  <cols>
    <col min="1" max="1" width="2.5703125" style="42" customWidth="1"/>
    <col min="2" max="2" width="7" style="43" customWidth="1"/>
    <col min="3" max="3" width="28.7109375" style="43" customWidth="1"/>
    <col min="4" max="4" width="9.140625" style="42" bestFit="1" customWidth="1"/>
    <col min="5" max="5" width="50.7109375" style="42" customWidth="1"/>
    <col min="6" max="6" width="11.42578125" style="42" bestFit="1" customWidth="1"/>
    <col min="7" max="7" width="21.7109375" style="42" bestFit="1" customWidth="1"/>
    <col min="8" max="8" width="21.42578125" style="42" customWidth="1"/>
    <col min="9" max="9" width="92.28515625" style="42" bestFit="1" customWidth="1"/>
    <col min="10" max="10" width="28.5703125" style="42" bestFit="1" customWidth="1"/>
    <col min="11" max="11" width="12.28515625" style="69" customWidth="1"/>
    <col min="12" max="12" width="9.7109375" style="67" customWidth="1"/>
    <col min="13" max="13" width="31.7109375" style="42" customWidth="1"/>
    <col min="14" max="15" width="11.42578125" style="42"/>
    <col min="16" max="16" width="13.5703125" style="42" customWidth="1"/>
    <col min="17" max="17" width="22" style="42" customWidth="1"/>
    <col min="18" max="18" width="13.5703125" style="42" customWidth="1"/>
    <col min="19" max="19" width="20.140625" style="42" customWidth="1"/>
    <col min="20" max="20" width="25" style="42" bestFit="1" customWidth="1"/>
    <col min="21" max="21" width="14.42578125" style="42" customWidth="1"/>
    <col min="22" max="22" width="17.5703125" style="42" bestFit="1" customWidth="1"/>
    <col min="23" max="23" width="22" style="42" customWidth="1"/>
    <col min="24" max="24" width="21.42578125" style="42" bestFit="1" customWidth="1"/>
    <col min="25" max="25" width="27.28515625" style="42" customWidth="1"/>
    <col min="26" max="26" width="27.7109375" style="42" customWidth="1"/>
    <col min="27" max="27" width="21.7109375" style="42" customWidth="1"/>
    <col min="28" max="29" width="11.85546875" style="42" bestFit="1" customWidth="1"/>
    <col min="30" max="30" width="15.42578125" style="42" customWidth="1"/>
    <col min="31" max="31" width="13.5703125" style="42" customWidth="1"/>
    <col min="32" max="32" width="19.28515625" style="42" bestFit="1" customWidth="1"/>
    <col min="33" max="33" width="20.7109375" style="42" bestFit="1" customWidth="1"/>
    <col min="34" max="34" width="25.5703125" style="42" customWidth="1"/>
    <col min="35" max="35" width="15.28515625" style="42" customWidth="1"/>
    <col min="36" max="36" width="21.28515625" style="42" customWidth="1"/>
    <col min="37" max="37" width="15.42578125" style="42" customWidth="1"/>
    <col min="38" max="38" width="14.85546875" style="42" bestFit="1" customWidth="1"/>
    <col min="39" max="39" width="12.7109375" style="42" bestFit="1" customWidth="1"/>
    <col min="40" max="40" width="11.5703125" style="42" bestFit="1" customWidth="1"/>
    <col min="41" max="41" width="12.7109375" style="42" bestFit="1" customWidth="1"/>
    <col min="42" max="42" width="14.85546875" style="42" bestFit="1" customWidth="1"/>
    <col min="43" max="43" width="12.7109375" style="42" bestFit="1" customWidth="1"/>
    <col min="44" max="44" width="11.42578125" style="42"/>
    <col min="45" max="46" width="11.5703125" style="42" bestFit="1" customWidth="1"/>
    <col min="47" max="16384" width="11.42578125" style="42"/>
  </cols>
  <sheetData>
    <row r="2" spans="1:246" s="39" customFormat="1" ht="21" thickBot="1" x14ac:dyDescent="0.35">
      <c r="B2" s="83" t="s">
        <v>42</v>
      </c>
      <c r="C2" s="83"/>
      <c r="D2" s="83"/>
      <c r="E2" s="83"/>
      <c r="F2" s="83"/>
      <c r="G2" s="83"/>
      <c r="H2" s="83"/>
      <c r="I2" s="83"/>
      <c r="J2" s="83"/>
      <c r="K2" s="68"/>
      <c r="L2" s="64"/>
      <c r="M2" s="40"/>
      <c r="N2" s="1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3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246" s="39" customFormat="1" ht="54" x14ac:dyDescent="0.3">
      <c r="A3" s="41"/>
      <c r="B3" s="71" t="s">
        <v>43</v>
      </c>
      <c r="C3" s="71" t="s">
        <v>0</v>
      </c>
      <c r="D3" s="71" t="s">
        <v>1</v>
      </c>
      <c r="E3" s="71" t="s">
        <v>2</v>
      </c>
      <c r="F3" s="71" t="s">
        <v>3</v>
      </c>
      <c r="G3" s="72" t="s">
        <v>4</v>
      </c>
      <c r="H3" s="72" t="s">
        <v>5</v>
      </c>
      <c r="I3" s="72" t="s">
        <v>6</v>
      </c>
      <c r="J3" s="72" t="s">
        <v>7</v>
      </c>
      <c r="K3" s="68"/>
      <c r="L3" s="65"/>
      <c r="M3" s="4" t="s">
        <v>8</v>
      </c>
      <c r="N3" s="5" t="s">
        <v>9</v>
      </c>
      <c r="O3" s="5" t="s">
        <v>10</v>
      </c>
      <c r="P3" s="6" t="s">
        <v>11</v>
      </c>
      <c r="Q3" s="7" t="s">
        <v>12</v>
      </c>
      <c r="R3" s="8" t="s">
        <v>13</v>
      </c>
      <c r="S3" s="8" t="s">
        <v>14</v>
      </c>
      <c r="T3" s="8" t="s">
        <v>15</v>
      </c>
      <c r="U3" s="8" t="s">
        <v>16</v>
      </c>
      <c r="V3" s="8" t="s">
        <v>17</v>
      </c>
      <c r="W3" s="9" t="s">
        <v>18</v>
      </c>
      <c r="X3" s="10" t="s">
        <v>19</v>
      </c>
      <c r="Y3" s="6" t="s">
        <v>20</v>
      </c>
      <c r="Z3" s="11" t="s">
        <v>21</v>
      </c>
      <c r="AA3" s="12" t="s">
        <v>22</v>
      </c>
      <c r="AB3" s="12" t="s">
        <v>23</v>
      </c>
      <c r="AC3" s="12" t="s">
        <v>24</v>
      </c>
      <c r="AD3" s="12" t="s">
        <v>25</v>
      </c>
      <c r="AE3" s="13" t="s">
        <v>26</v>
      </c>
      <c r="AF3" s="10" t="s">
        <v>27</v>
      </c>
      <c r="AG3" s="10" t="s">
        <v>28</v>
      </c>
      <c r="AH3" s="14" t="s">
        <v>16</v>
      </c>
      <c r="AI3" s="15" t="s">
        <v>29</v>
      </c>
      <c r="AJ3" s="15" t="s">
        <v>30</v>
      </c>
      <c r="AK3" s="16" t="s">
        <v>31</v>
      </c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41"/>
      <c r="FW3" s="41"/>
      <c r="FX3" s="41"/>
      <c r="FY3" s="41"/>
      <c r="FZ3" s="41"/>
      <c r="GA3" s="41"/>
      <c r="GB3" s="41"/>
      <c r="GC3" s="41"/>
      <c r="GD3" s="41"/>
      <c r="GE3" s="41"/>
      <c r="GF3" s="41"/>
      <c r="GG3" s="41"/>
      <c r="GH3" s="41"/>
      <c r="GI3" s="41"/>
      <c r="GJ3" s="41"/>
      <c r="GK3" s="41"/>
      <c r="GL3" s="41"/>
      <c r="GM3" s="41"/>
      <c r="GN3" s="41"/>
      <c r="GO3" s="41"/>
      <c r="GP3" s="41"/>
      <c r="GQ3" s="41"/>
      <c r="GR3" s="41"/>
      <c r="GS3" s="41"/>
      <c r="GT3" s="41"/>
      <c r="GU3" s="41"/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41"/>
      <c r="HH3" s="41"/>
      <c r="HI3" s="41"/>
      <c r="HJ3" s="41"/>
      <c r="HK3" s="41"/>
      <c r="HL3" s="41"/>
      <c r="HM3" s="41"/>
      <c r="HN3" s="4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  <c r="HZ3" s="41"/>
      <c r="IA3" s="41"/>
      <c r="IB3" s="41"/>
      <c r="IC3" s="41"/>
      <c r="ID3" s="41"/>
      <c r="IE3" s="41"/>
      <c r="IF3" s="41"/>
      <c r="IG3" s="41"/>
      <c r="IH3" s="41"/>
      <c r="II3" s="41"/>
      <c r="IJ3" s="41"/>
      <c r="IK3" s="41"/>
      <c r="IL3" s="41"/>
    </row>
    <row r="4" spans="1:246" s="39" customFormat="1" ht="255" customHeight="1" x14ac:dyDescent="0.25">
      <c r="A4" s="17"/>
      <c r="B4" s="34">
        <v>1</v>
      </c>
      <c r="C4" s="84" t="s">
        <v>32</v>
      </c>
      <c r="D4" s="84"/>
      <c r="E4" s="74" t="s">
        <v>33</v>
      </c>
      <c r="F4" s="75">
        <v>50</v>
      </c>
      <c r="G4" s="76">
        <v>47.9</v>
      </c>
      <c r="H4" s="63" t="s">
        <v>34</v>
      </c>
      <c r="I4" s="77" t="s">
        <v>35</v>
      </c>
      <c r="J4" s="78">
        <f>G4*F4</f>
        <v>2395</v>
      </c>
      <c r="K4" s="38">
        <v>45.9</v>
      </c>
      <c r="L4" s="66">
        <f>T4/J4</f>
        <v>0.24769116450231768</v>
      </c>
      <c r="M4" s="18" t="s">
        <v>36</v>
      </c>
      <c r="N4" s="85" t="s">
        <v>37</v>
      </c>
      <c r="O4" s="85"/>
      <c r="P4" s="85"/>
      <c r="Q4" s="19">
        <f>35/1.18</f>
        <v>29.661016949152543</v>
      </c>
      <c r="R4" s="20">
        <v>40</v>
      </c>
      <c r="S4" s="21">
        <f t="shared" ref="S4:S6" si="0">Q4*R4/100</f>
        <v>11.864406779661017</v>
      </c>
      <c r="T4" s="22">
        <f t="shared" ref="T4:T6" si="1">S4*V4</f>
        <v>593.22033898305085</v>
      </c>
      <c r="U4" s="23">
        <f t="shared" ref="U4:U6" si="2">Q4+S4</f>
        <v>41.525423728813564</v>
      </c>
      <c r="V4" s="36">
        <f>F4</f>
        <v>50</v>
      </c>
      <c r="W4" s="24">
        <f>Q4*1</f>
        <v>29.661016949152543</v>
      </c>
      <c r="X4" s="25">
        <f>40+100</f>
        <v>140</v>
      </c>
      <c r="Y4" s="26">
        <f t="shared" ref="Y4:Y6" si="3">V4*U4+W4+X4</f>
        <v>2245.9322033898306</v>
      </c>
      <c r="Z4" s="45" t="s">
        <v>38</v>
      </c>
      <c r="AA4" s="46">
        <v>0</v>
      </c>
      <c r="AB4" s="27">
        <v>1</v>
      </c>
      <c r="AC4" s="27">
        <v>1</v>
      </c>
      <c r="AD4" s="27">
        <v>1</v>
      </c>
      <c r="AE4" s="28">
        <f t="shared" ref="AE4" si="4">AA4</f>
        <v>0</v>
      </c>
      <c r="AF4" s="47">
        <f>V4/8*4.85</f>
        <v>30.312499999999996</v>
      </c>
      <c r="AG4" s="29">
        <f>2%*(Y4+AE4+AF4)</f>
        <v>45.524894067796616</v>
      </c>
      <c r="AH4" s="30">
        <f t="shared" ref="AH4:AH6" si="5">Y4+AE4+AG4+AF4</f>
        <v>2321.7695974576272</v>
      </c>
      <c r="AI4" s="31">
        <f t="shared" ref="AI4:AI6" si="6">AH4/V4</f>
        <v>46.435391949152546</v>
      </c>
      <c r="AJ4" s="48">
        <f t="shared" ref="AJ4:AJ6" si="7">AI4*18%</f>
        <v>8.3583705508474573</v>
      </c>
      <c r="AK4" s="49">
        <f>AI4+AJ4</f>
        <v>54.7937625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</row>
    <row r="5" spans="1:246" s="55" customFormat="1" ht="273.75" customHeight="1" x14ac:dyDescent="0.35">
      <c r="A5" s="50"/>
      <c r="B5" s="79">
        <v>2</v>
      </c>
      <c r="C5" s="86" t="s">
        <v>44</v>
      </c>
      <c r="D5" s="86"/>
      <c r="E5" s="51" t="s">
        <v>45</v>
      </c>
      <c r="F5" s="52">
        <v>50</v>
      </c>
      <c r="G5" s="76">
        <v>56.9</v>
      </c>
      <c r="H5" s="63" t="s">
        <v>34</v>
      </c>
      <c r="I5" s="54" t="s">
        <v>52</v>
      </c>
      <c r="J5" s="53">
        <f>F5*G5</f>
        <v>2845</v>
      </c>
      <c r="K5" s="32">
        <v>79.290000000000006</v>
      </c>
      <c r="L5" s="66">
        <f t="shared" ref="L5:L6" si="8">T5/J5</f>
        <v>0.24574781805725179</v>
      </c>
      <c r="M5" s="56" t="s">
        <v>36</v>
      </c>
      <c r="N5" s="88" t="s">
        <v>46</v>
      </c>
      <c r="O5" s="88"/>
      <c r="P5" s="88"/>
      <c r="Q5" s="19">
        <f>44/1.18</f>
        <v>37.288135593220339</v>
      </c>
      <c r="R5" s="20">
        <v>37.5</v>
      </c>
      <c r="S5" s="21">
        <f t="shared" si="0"/>
        <v>13.983050847457628</v>
      </c>
      <c r="T5" s="22">
        <f t="shared" si="1"/>
        <v>699.15254237288138</v>
      </c>
      <c r="U5" s="23">
        <f t="shared" si="2"/>
        <v>51.271186440677965</v>
      </c>
      <c r="V5" s="36">
        <f>F5</f>
        <v>50</v>
      </c>
      <c r="W5" s="24">
        <f>Q5*1</f>
        <v>37.288135593220339</v>
      </c>
      <c r="X5" s="25">
        <f>40+100</f>
        <v>140</v>
      </c>
      <c r="Y5" s="26">
        <f t="shared" si="3"/>
        <v>2740.8474576271187</v>
      </c>
      <c r="Z5" s="45" t="s">
        <v>40</v>
      </c>
      <c r="AA5" s="46">
        <v>0</v>
      </c>
      <c r="AB5" s="27">
        <v>1</v>
      </c>
      <c r="AC5" s="27">
        <v>1</v>
      </c>
      <c r="AD5" s="27">
        <v>1</v>
      </c>
      <c r="AE5" s="28">
        <f t="shared" ref="AE5" si="9">AA5*AB5*AC5*AD5</f>
        <v>0</v>
      </c>
      <c r="AF5" s="47">
        <f>V5/8*4.85</f>
        <v>30.312499999999996</v>
      </c>
      <c r="AG5" s="29">
        <f t="shared" ref="AG5" si="10">1.5%*(Y5+AE5+AF5)</f>
        <v>41.567399364406782</v>
      </c>
      <c r="AH5" s="57">
        <f t="shared" si="5"/>
        <v>2812.7273569915255</v>
      </c>
      <c r="AI5" s="58">
        <f t="shared" si="6"/>
        <v>56.254547139830514</v>
      </c>
      <c r="AJ5" s="59">
        <f>AI5*18%</f>
        <v>10.125818485169493</v>
      </c>
      <c r="AK5" s="60">
        <f t="shared" ref="AK5" si="11">AI5+AJ5</f>
        <v>66.38036562500001</v>
      </c>
      <c r="AL5" s="61"/>
      <c r="AM5" s="61">
        <v>79.290000000000006</v>
      </c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  <c r="GH5" s="61"/>
      <c r="GI5" s="61"/>
      <c r="GJ5" s="61"/>
      <c r="GK5" s="61"/>
      <c r="GL5" s="61"/>
      <c r="GM5" s="61"/>
      <c r="GN5" s="61"/>
      <c r="GO5" s="61"/>
      <c r="GP5" s="61"/>
      <c r="GQ5" s="61"/>
      <c r="GR5" s="61"/>
      <c r="GS5" s="61"/>
      <c r="GT5" s="61"/>
      <c r="GU5" s="61"/>
      <c r="GV5" s="61"/>
      <c r="GW5" s="61"/>
      <c r="GX5" s="61"/>
      <c r="GY5" s="61"/>
      <c r="GZ5" s="61"/>
      <c r="HA5" s="61"/>
      <c r="HB5" s="61"/>
      <c r="HC5" s="61"/>
      <c r="HD5" s="61"/>
      <c r="HE5" s="61"/>
      <c r="HF5" s="61"/>
      <c r="HG5" s="61"/>
      <c r="HH5" s="61"/>
      <c r="HI5" s="61"/>
      <c r="HJ5" s="61"/>
      <c r="HK5" s="61"/>
      <c r="HL5" s="61"/>
      <c r="HM5" s="61"/>
      <c r="HN5" s="61"/>
      <c r="HO5" s="61"/>
      <c r="HP5" s="61"/>
      <c r="HQ5" s="61"/>
      <c r="HR5" s="61"/>
      <c r="HS5" s="61"/>
      <c r="HT5" s="61"/>
      <c r="HU5" s="61"/>
      <c r="HV5" s="61"/>
      <c r="HW5" s="61"/>
      <c r="HX5" s="61"/>
      <c r="HY5" s="61"/>
      <c r="HZ5" s="61"/>
      <c r="IA5" s="61"/>
      <c r="IB5" s="61"/>
      <c r="IC5" s="61"/>
      <c r="ID5" s="61"/>
      <c r="IE5" s="61"/>
      <c r="IF5" s="61"/>
      <c r="IG5" s="61"/>
      <c r="IH5" s="61"/>
      <c r="II5" s="61"/>
      <c r="IJ5" s="61"/>
      <c r="IK5" s="61"/>
      <c r="IL5" s="50"/>
    </row>
    <row r="6" spans="1:246" s="37" customFormat="1" ht="362.1" customHeight="1" x14ac:dyDescent="0.3">
      <c r="B6" s="73">
        <v>3</v>
      </c>
      <c r="C6" s="84" t="s">
        <v>47</v>
      </c>
      <c r="D6" s="84"/>
      <c r="E6" s="74" t="s">
        <v>33</v>
      </c>
      <c r="F6" s="75">
        <v>250</v>
      </c>
      <c r="G6" s="76">
        <v>11.39</v>
      </c>
      <c r="H6" s="80" t="s">
        <v>39</v>
      </c>
      <c r="I6" s="77" t="s">
        <v>48</v>
      </c>
      <c r="J6" s="76">
        <f>F6*G6</f>
        <v>2847.5</v>
      </c>
      <c r="K6" s="38">
        <v>11.09</v>
      </c>
      <c r="L6" s="66">
        <f t="shared" si="8"/>
        <v>0.25566286215978928</v>
      </c>
      <c r="M6" s="34" t="s">
        <v>49</v>
      </c>
      <c r="N6" s="87" t="s">
        <v>51</v>
      </c>
      <c r="O6" s="87"/>
      <c r="P6" s="35"/>
      <c r="Q6" s="19">
        <f>6+1.28</f>
        <v>7.28</v>
      </c>
      <c r="R6" s="20">
        <v>40</v>
      </c>
      <c r="S6" s="21">
        <f t="shared" si="0"/>
        <v>2.9119999999999999</v>
      </c>
      <c r="T6" s="22">
        <f t="shared" si="1"/>
        <v>728</v>
      </c>
      <c r="U6" s="23">
        <f t="shared" si="2"/>
        <v>10.192</v>
      </c>
      <c r="V6" s="36">
        <f>F6</f>
        <v>250</v>
      </c>
      <c r="W6" s="24">
        <f>Q6*4</f>
        <v>29.12</v>
      </c>
      <c r="X6" s="25">
        <f>50+100+20</f>
        <v>170</v>
      </c>
      <c r="Y6" s="26">
        <f t="shared" si="3"/>
        <v>2747.12</v>
      </c>
      <c r="Z6" s="45" t="s">
        <v>40</v>
      </c>
      <c r="AA6" s="46">
        <v>0</v>
      </c>
      <c r="AB6" s="27">
        <v>1</v>
      </c>
      <c r="AC6" s="27">
        <v>1</v>
      </c>
      <c r="AD6" s="27">
        <v>1</v>
      </c>
      <c r="AE6" s="28">
        <f t="shared" ref="AE6" si="12">AA6</f>
        <v>0</v>
      </c>
      <c r="AF6" s="47">
        <f>V6/36*3.85</f>
        <v>26.736111111111111</v>
      </c>
      <c r="AG6" s="29">
        <f>1.5%*(Y6+AE6+AF6)</f>
        <v>41.607841666666666</v>
      </c>
      <c r="AH6" s="30">
        <f t="shared" si="5"/>
        <v>2815.4639527777776</v>
      </c>
      <c r="AI6" s="31">
        <f t="shared" si="6"/>
        <v>11.261855811111111</v>
      </c>
      <c r="AJ6" s="48">
        <f t="shared" si="7"/>
        <v>2.027134046</v>
      </c>
      <c r="AK6" s="49">
        <f t="shared" ref="AK6" si="13">AI6+AJ6</f>
        <v>13.288989857111112</v>
      </c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</row>
    <row r="7" spans="1:246" s="39" customFormat="1" ht="23.25" x14ac:dyDescent="0.3">
      <c r="I7" s="70" t="s">
        <v>41</v>
      </c>
      <c r="J7" s="62">
        <f>SUM(J4:J6)</f>
        <v>8087.5</v>
      </c>
      <c r="K7" s="66">
        <f>T7/J7</f>
        <v>0.2498142666282451</v>
      </c>
      <c r="L7" s="33"/>
      <c r="M7" s="33"/>
      <c r="N7" s="33" t="s">
        <v>50</v>
      </c>
      <c r="O7" s="33"/>
      <c r="P7" s="33"/>
      <c r="Q7" s="33"/>
      <c r="R7" s="33"/>
      <c r="S7" s="33"/>
      <c r="T7" s="44">
        <f>SUM(T4:T6)</f>
        <v>2020.3728813559323</v>
      </c>
      <c r="U7" s="33"/>
      <c r="V7" s="33"/>
      <c r="W7" s="33"/>
      <c r="X7" s="44">
        <f>SUM(X4:X6)</f>
        <v>450</v>
      </c>
      <c r="Y7" s="33"/>
      <c r="Z7" s="33"/>
      <c r="AA7" s="33"/>
      <c r="AB7" s="33"/>
      <c r="AC7" s="33"/>
      <c r="AD7" s="33"/>
      <c r="AE7" s="33"/>
      <c r="AF7" s="44">
        <f>SUM(AF4:AF6)</f>
        <v>87.3611111111111</v>
      </c>
      <c r="AG7" s="44">
        <f>SUM(AG4:AG6)</f>
        <v>128.70013509887008</v>
      </c>
      <c r="AH7" s="33"/>
      <c r="AI7" s="33"/>
      <c r="AJ7" s="33"/>
      <c r="AK7" s="33"/>
    </row>
  </sheetData>
  <mergeCells count="7">
    <mergeCell ref="B2:J2"/>
    <mergeCell ref="C4:D4"/>
    <mergeCell ref="N4:P4"/>
    <mergeCell ref="C5:D5"/>
    <mergeCell ref="C6:D6"/>
    <mergeCell ref="N6:O6"/>
    <mergeCell ref="N5:P5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72B13-7F41-47D3-BBD9-1144DD89A5BF}">
  <dimension ref="A2:IL6"/>
  <sheetViews>
    <sheetView showGridLines="0" zoomScale="60" zoomScaleNormal="60" workbookViewId="0">
      <selection activeCell="H4" sqref="H4"/>
    </sheetView>
  </sheetViews>
  <sheetFormatPr baseColWidth="10" defaultColWidth="11.42578125" defaultRowHeight="20.25" x14ac:dyDescent="0.3"/>
  <cols>
    <col min="1" max="1" width="2.5703125" style="42" customWidth="1"/>
    <col min="2" max="2" width="7" style="43" customWidth="1"/>
    <col min="3" max="3" width="18.85546875" style="43" customWidth="1"/>
    <col min="4" max="4" width="20.85546875" style="42" customWidth="1"/>
    <col min="5" max="5" width="60" style="42" customWidth="1"/>
    <col min="6" max="6" width="11.42578125" style="42" bestFit="1" customWidth="1"/>
    <col min="7" max="7" width="21.7109375" style="42" bestFit="1" customWidth="1"/>
    <col min="8" max="8" width="21.42578125" style="42" customWidth="1"/>
    <col min="9" max="9" width="92.28515625" style="42" bestFit="1" customWidth="1"/>
    <col min="10" max="10" width="23.28515625" style="42" customWidth="1"/>
    <col min="11" max="11" width="12.28515625" style="69" customWidth="1"/>
    <col min="12" max="12" width="9.7109375" style="67" customWidth="1"/>
    <col min="13" max="13" width="31.7109375" style="42" customWidth="1"/>
    <col min="14" max="14" width="18.85546875" style="42" customWidth="1"/>
    <col min="15" max="15" width="11.42578125" style="42"/>
    <col min="16" max="16" width="19.7109375" style="42" customWidth="1"/>
    <col min="17" max="17" width="22" style="42" customWidth="1"/>
    <col min="18" max="18" width="13.5703125" style="42" customWidth="1"/>
    <col min="19" max="19" width="20.140625" style="42" customWidth="1"/>
    <col min="20" max="20" width="25" style="42" bestFit="1" customWidth="1"/>
    <col min="21" max="21" width="14.42578125" style="42" customWidth="1"/>
    <col min="22" max="22" width="17.5703125" style="42" bestFit="1" customWidth="1"/>
    <col min="23" max="23" width="22" style="42" customWidth="1"/>
    <col min="24" max="24" width="21.42578125" style="42" bestFit="1" customWidth="1"/>
    <col min="25" max="25" width="27.28515625" style="42" customWidth="1"/>
    <col min="26" max="26" width="27.7109375" style="42" customWidth="1"/>
    <col min="27" max="27" width="21.7109375" style="42" customWidth="1"/>
    <col min="28" max="29" width="11.85546875" style="42" bestFit="1" customWidth="1"/>
    <col min="30" max="30" width="15.42578125" style="42" customWidth="1"/>
    <col min="31" max="31" width="18.140625" style="42" customWidth="1"/>
    <col min="32" max="32" width="19.28515625" style="42" bestFit="1" customWidth="1"/>
    <col min="33" max="33" width="20.7109375" style="42" bestFit="1" customWidth="1"/>
    <col min="34" max="34" width="25.5703125" style="42" customWidth="1"/>
    <col min="35" max="35" width="15.28515625" style="42" customWidth="1"/>
    <col min="36" max="36" width="21.28515625" style="42" customWidth="1"/>
    <col min="37" max="37" width="15.42578125" style="42" customWidth="1"/>
    <col min="38" max="38" width="14.85546875" style="42" bestFit="1" customWidth="1"/>
    <col min="39" max="39" width="12.7109375" style="42" bestFit="1" customWidth="1"/>
    <col min="40" max="40" width="11.5703125" style="42" bestFit="1" customWidth="1"/>
    <col min="41" max="41" width="12.7109375" style="42" bestFit="1" customWidth="1"/>
    <col min="42" max="42" width="14.85546875" style="42" bestFit="1" customWidth="1"/>
    <col min="43" max="43" width="12.7109375" style="42" bestFit="1" customWidth="1"/>
    <col min="44" max="44" width="11.42578125" style="42"/>
    <col min="45" max="46" width="11.5703125" style="42" bestFit="1" customWidth="1"/>
    <col min="47" max="16384" width="11.42578125" style="42"/>
  </cols>
  <sheetData>
    <row r="2" spans="1:246" s="39" customFormat="1" ht="21" thickBot="1" x14ac:dyDescent="0.35">
      <c r="B2" s="83" t="s">
        <v>54</v>
      </c>
      <c r="C2" s="83"/>
      <c r="D2" s="83"/>
      <c r="E2" s="83"/>
      <c r="F2" s="83"/>
      <c r="G2" s="83"/>
      <c r="H2" s="83"/>
      <c r="I2" s="83"/>
      <c r="J2" s="83"/>
      <c r="K2" s="68"/>
      <c r="L2" s="64"/>
      <c r="M2" s="40"/>
      <c r="N2" s="1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3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246" s="39" customFormat="1" ht="54" x14ac:dyDescent="0.3">
      <c r="A3" s="41"/>
      <c r="B3" s="71" t="s">
        <v>43</v>
      </c>
      <c r="C3" s="71" t="s">
        <v>0</v>
      </c>
      <c r="D3" s="71" t="s">
        <v>1</v>
      </c>
      <c r="E3" s="71" t="s">
        <v>2</v>
      </c>
      <c r="F3" s="71" t="s">
        <v>3</v>
      </c>
      <c r="G3" s="72" t="s">
        <v>4</v>
      </c>
      <c r="H3" s="72" t="s">
        <v>5</v>
      </c>
      <c r="I3" s="72" t="s">
        <v>6</v>
      </c>
      <c r="J3" s="72" t="s">
        <v>7</v>
      </c>
      <c r="K3" s="68"/>
      <c r="L3" s="65"/>
      <c r="M3" s="4" t="s">
        <v>8</v>
      </c>
      <c r="N3" s="5" t="s">
        <v>9</v>
      </c>
      <c r="O3" s="5" t="s">
        <v>10</v>
      </c>
      <c r="P3" s="6" t="s">
        <v>11</v>
      </c>
      <c r="Q3" s="7" t="s">
        <v>12</v>
      </c>
      <c r="R3" s="8" t="s">
        <v>13</v>
      </c>
      <c r="S3" s="8" t="s">
        <v>14</v>
      </c>
      <c r="T3" s="8" t="s">
        <v>15</v>
      </c>
      <c r="U3" s="8" t="s">
        <v>16</v>
      </c>
      <c r="V3" s="8" t="s">
        <v>17</v>
      </c>
      <c r="W3" s="9" t="s">
        <v>18</v>
      </c>
      <c r="X3" s="10" t="s">
        <v>19</v>
      </c>
      <c r="Y3" s="6" t="s">
        <v>20</v>
      </c>
      <c r="Z3" s="11" t="s">
        <v>21</v>
      </c>
      <c r="AA3" s="12" t="s">
        <v>22</v>
      </c>
      <c r="AB3" s="12" t="s">
        <v>23</v>
      </c>
      <c r="AC3" s="12" t="s">
        <v>24</v>
      </c>
      <c r="AD3" s="12" t="s">
        <v>25</v>
      </c>
      <c r="AE3" s="13" t="s">
        <v>26</v>
      </c>
      <c r="AF3" s="10" t="s">
        <v>27</v>
      </c>
      <c r="AG3" s="10" t="s">
        <v>28</v>
      </c>
      <c r="AH3" s="14" t="s">
        <v>16</v>
      </c>
      <c r="AI3" s="15" t="s">
        <v>29</v>
      </c>
      <c r="AJ3" s="15" t="s">
        <v>30</v>
      </c>
      <c r="AK3" s="16" t="s">
        <v>31</v>
      </c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41"/>
      <c r="FW3" s="41"/>
      <c r="FX3" s="41"/>
      <c r="FY3" s="41"/>
      <c r="FZ3" s="41"/>
      <c r="GA3" s="41"/>
      <c r="GB3" s="41"/>
      <c r="GC3" s="41"/>
      <c r="GD3" s="41"/>
      <c r="GE3" s="41"/>
      <c r="GF3" s="41"/>
      <c r="GG3" s="41"/>
      <c r="GH3" s="41"/>
      <c r="GI3" s="41"/>
      <c r="GJ3" s="41"/>
      <c r="GK3" s="41"/>
      <c r="GL3" s="41"/>
      <c r="GM3" s="41"/>
      <c r="GN3" s="41"/>
      <c r="GO3" s="41"/>
      <c r="GP3" s="41"/>
      <c r="GQ3" s="41"/>
      <c r="GR3" s="41"/>
      <c r="GS3" s="41"/>
      <c r="GT3" s="41"/>
      <c r="GU3" s="41"/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41"/>
      <c r="HH3" s="41"/>
      <c r="HI3" s="41"/>
      <c r="HJ3" s="41"/>
      <c r="HK3" s="41"/>
      <c r="HL3" s="41"/>
      <c r="HM3" s="41"/>
      <c r="HN3" s="4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  <c r="HZ3" s="41"/>
      <c r="IA3" s="41"/>
      <c r="IB3" s="41"/>
      <c r="IC3" s="41"/>
      <c r="ID3" s="41"/>
      <c r="IE3" s="41"/>
      <c r="IF3" s="41"/>
      <c r="IG3" s="41"/>
      <c r="IH3" s="41"/>
      <c r="II3" s="41"/>
      <c r="IJ3" s="41"/>
      <c r="IK3" s="41"/>
      <c r="IL3" s="41"/>
    </row>
    <row r="4" spans="1:246" s="39" customFormat="1" ht="255" customHeight="1" x14ac:dyDescent="0.25">
      <c r="A4" s="17"/>
      <c r="B4" s="34">
        <v>1</v>
      </c>
      <c r="C4" s="73" t="s">
        <v>61</v>
      </c>
      <c r="D4" s="73" t="s">
        <v>56</v>
      </c>
      <c r="E4" s="82" t="s">
        <v>33</v>
      </c>
      <c r="F4" s="75">
        <v>56</v>
      </c>
      <c r="G4" s="76">
        <v>44.5</v>
      </c>
      <c r="H4" s="63" t="s">
        <v>53</v>
      </c>
      <c r="I4" s="77" t="s">
        <v>62</v>
      </c>
      <c r="J4" s="78">
        <f>G4*F4</f>
        <v>2492</v>
      </c>
      <c r="K4" s="38">
        <v>45.9</v>
      </c>
      <c r="L4" s="66">
        <f>T4/J4</f>
        <v>0.23662921348314606</v>
      </c>
      <c r="M4" s="18" t="s">
        <v>65</v>
      </c>
      <c r="N4" s="81"/>
      <c r="O4" s="89"/>
      <c r="P4" s="90"/>
      <c r="Q4" s="19">
        <v>27</v>
      </c>
      <c r="R4" s="20">
        <v>39</v>
      </c>
      <c r="S4" s="21">
        <f t="shared" ref="S4" si="0">Q4*R4/100</f>
        <v>10.53</v>
      </c>
      <c r="T4" s="22">
        <f t="shared" ref="T4" si="1">S4*V4</f>
        <v>589.67999999999995</v>
      </c>
      <c r="U4" s="23">
        <f t="shared" ref="U4" si="2">Q4+S4</f>
        <v>37.53</v>
      </c>
      <c r="V4" s="36">
        <f>F4</f>
        <v>56</v>
      </c>
      <c r="W4" s="24">
        <f>Q4*1</f>
        <v>27</v>
      </c>
      <c r="X4" s="25">
        <f>70+30+70</f>
        <v>170</v>
      </c>
      <c r="Y4" s="26">
        <f>V4*U4+W4+X4</f>
        <v>2298.6800000000003</v>
      </c>
      <c r="Z4" s="45" t="s">
        <v>66</v>
      </c>
      <c r="AA4" s="46">
        <f>2.3*56</f>
        <v>128.79999999999998</v>
      </c>
      <c r="AB4" s="27">
        <v>1</v>
      </c>
      <c r="AC4" s="27">
        <v>1</v>
      </c>
      <c r="AD4" s="27">
        <v>1</v>
      </c>
      <c r="AE4" s="28">
        <f t="shared" ref="AE4" si="3">AA4</f>
        <v>128.79999999999998</v>
      </c>
      <c r="AF4" s="47">
        <f>V4/40*4.85</f>
        <v>6.7899999999999991</v>
      </c>
      <c r="AG4" s="29">
        <f>2%*(Y4+AE4+AF4)</f>
        <v>48.685400000000008</v>
      </c>
      <c r="AH4" s="30">
        <f>Y4+AE4+AG4+AF4</f>
        <v>2482.9554000000003</v>
      </c>
      <c r="AI4" s="31">
        <f t="shared" ref="AI4" si="4">AH4/V4</f>
        <v>44.338489285714289</v>
      </c>
      <c r="AJ4" s="48">
        <f t="shared" ref="AJ4" si="5">AI4*18%</f>
        <v>7.980928071428572</v>
      </c>
      <c r="AK4" s="49">
        <f>AI4+AJ4</f>
        <v>52.319417357142861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</row>
    <row r="5" spans="1:246" s="39" customFormat="1" ht="255" customHeight="1" x14ac:dyDescent="0.25">
      <c r="A5" s="17"/>
      <c r="B5" s="34">
        <v>2</v>
      </c>
      <c r="C5" s="73" t="s">
        <v>55</v>
      </c>
      <c r="D5" s="73" t="s">
        <v>56</v>
      </c>
      <c r="E5" s="82" t="s">
        <v>33</v>
      </c>
      <c r="F5" s="75">
        <v>56</v>
      </c>
      <c r="G5" s="76">
        <v>47.99</v>
      </c>
      <c r="H5" s="63" t="s">
        <v>53</v>
      </c>
      <c r="I5" s="77" t="s">
        <v>63</v>
      </c>
      <c r="J5" s="78">
        <f>G5*F5</f>
        <v>2687.44</v>
      </c>
      <c r="K5" s="38">
        <v>45.9</v>
      </c>
      <c r="L5" s="66">
        <f>T5/J5</f>
        <v>0.23551156490935604</v>
      </c>
      <c r="M5" s="18" t="s">
        <v>57</v>
      </c>
      <c r="N5" s="81"/>
      <c r="O5" s="89" t="s">
        <v>59</v>
      </c>
      <c r="P5" s="90"/>
      <c r="Q5" s="19">
        <v>29.9</v>
      </c>
      <c r="R5" s="20">
        <v>37.799999999999997</v>
      </c>
      <c r="S5" s="21">
        <f t="shared" ref="S5" si="6">Q5*R5/100</f>
        <v>11.302199999999997</v>
      </c>
      <c r="T5" s="22">
        <f t="shared" ref="T5" si="7">S5*V5</f>
        <v>632.92319999999984</v>
      </c>
      <c r="U5" s="23">
        <f t="shared" ref="U5" si="8">Q5+S5</f>
        <v>41.202199999999998</v>
      </c>
      <c r="V5" s="36">
        <f>F5</f>
        <v>56</v>
      </c>
      <c r="W5" s="24">
        <f>Q5*1</f>
        <v>29.9</v>
      </c>
      <c r="X5" s="25">
        <f>60+30+70</f>
        <v>160</v>
      </c>
      <c r="Y5" s="26">
        <f>V5*U5+W5+X5</f>
        <v>2497.2231999999999</v>
      </c>
      <c r="Z5" s="45" t="s">
        <v>66</v>
      </c>
      <c r="AA5" s="46">
        <f t="shared" ref="AA5:AA6" si="9">2.3*56</f>
        <v>128.79999999999998</v>
      </c>
      <c r="AB5" s="27">
        <v>1</v>
      </c>
      <c r="AC5" s="27">
        <v>1</v>
      </c>
      <c r="AD5" s="27">
        <v>1</v>
      </c>
      <c r="AE5" s="28">
        <f t="shared" ref="AE5" si="10">AA5</f>
        <v>128.79999999999998</v>
      </c>
      <c r="AF5" s="47">
        <f>V5/40*4.85</f>
        <v>6.7899999999999991</v>
      </c>
      <c r="AG5" s="29">
        <f>2%*(Y5+AE5+AF5)</f>
        <v>52.656264</v>
      </c>
      <c r="AH5" s="30">
        <f>Y5+AE5+AG5+AF5</f>
        <v>2685.4694640000002</v>
      </c>
      <c r="AI5" s="31">
        <f t="shared" ref="AI5" si="11">AH5/V5</f>
        <v>47.954811857142865</v>
      </c>
      <c r="AJ5" s="48">
        <f t="shared" ref="AJ5" si="12">AI5*18%</f>
        <v>8.6318661342857155</v>
      </c>
      <c r="AK5" s="49">
        <f>AI5+AJ5</f>
        <v>56.58667799142858</v>
      </c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</row>
    <row r="6" spans="1:246" s="39" customFormat="1" ht="255" customHeight="1" x14ac:dyDescent="0.25">
      <c r="A6" s="17"/>
      <c r="B6" s="34">
        <v>3</v>
      </c>
      <c r="C6" s="73" t="s">
        <v>58</v>
      </c>
      <c r="D6" s="73" t="s">
        <v>56</v>
      </c>
      <c r="E6" s="82" t="s">
        <v>33</v>
      </c>
      <c r="F6" s="75">
        <v>56</v>
      </c>
      <c r="G6" s="76">
        <v>56.99</v>
      </c>
      <c r="H6" s="63" t="s">
        <v>53</v>
      </c>
      <c r="I6" s="77" t="s">
        <v>64</v>
      </c>
      <c r="J6" s="78">
        <f>G6*F6</f>
        <v>3191.44</v>
      </c>
      <c r="K6" s="38">
        <v>45.9</v>
      </c>
      <c r="L6" s="66">
        <f>T6/J6</f>
        <v>0.23866029127917179</v>
      </c>
      <c r="M6" s="18" t="s">
        <v>57</v>
      </c>
      <c r="N6" s="81"/>
      <c r="O6" s="89" t="s">
        <v>60</v>
      </c>
      <c r="P6" s="90"/>
      <c r="Q6" s="19">
        <v>36.270000000000003</v>
      </c>
      <c r="R6" s="20">
        <v>37.5</v>
      </c>
      <c r="S6" s="21">
        <f t="shared" ref="S6" si="13">Q6*R6/100</f>
        <v>13.601250000000002</v>
      </c>
      <c r="T6" s="22">
        <f t="shared" ref="T6" si="14">S6*V6</f>
        <v>761.67000000000007</v>
      </c>
      <c r="U6" s="23">
        <f t="shared" ref="U6" si="15">Q6+S6</f>
        <v>49.871250000000003</v>
      </c>
      <c r="V6" s="36">
        <f>F6</f>
        <v>56</v>
      </c>
      <c r="W6" s="24">
        <f>Q6*1</f>
        <v>36.270000000000003</v>
      </c>
      <c r="X6" s="25">
        <f>60+30+70</f>
        <v>160</v>
      </c>
      <c r="Y6" s="26">
        <f>V6*U6+W6+X6</f>
        <v>2989.06</v>
      </c>
      <c r="Z6" s="45" t="s">
        <v>66</v>
      </c>
      <c r="AA6" s="46">
        <f t="shared" si="9"/>
        <v>128.79999999999998</v>
      </c>
      <c r="AB6" s="27">
        <v>1</v>
      </c>
      <c r="AC6" s="27">
        <v>1</v>
      </c>
      <c r="AD6" s="27">
        <v>1</v>
      </c>
      <c r="AE6" s="28">
        <f t="shared" ref="AE6" si="16">AA6</f>
        <v>128.79999999999998</v>
      </c>
      <c r="AF6" s="47">
        <f>V6/40*4.85</f>
        <v>6.7899999999999991</v>
      </c>
      <c r="AG6" s="29">
        <f>2%*(Y6+AE6+AF6)</f>
        <v>62.493000000000002</v>
      </c>
      <c r="AH6" s="30">
        <f>Y6+AE6+AG6+AF6</f>
        <v>3187.143</v>
      </c>
      <c r="AI6" s="31">
        <f t="shared" ref="AI6" si="17">AH6/V6</f>
        <v>56.913267857142856</v>
      </c>
      <c r="AJ6" s="48">
        <f t="shared" ref="AJ6" si="18">AI6*18%</f>
        <v>10.244388214285713</v>
      </c>
      <c r="AK6" s="49">
        <f>AI6+AJ6</f>
        <v>67.157656071428562</v>
      </c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</row>
  </sheetData>
  <mergeCells count="4">
    <mergeCell ref="O5:P5"/>
    <mergeCell ref="O6:P6"/>
    <mergeCell ref="B2:J2"/>
    <mergeCell ref="O4:P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5056-C708-4315-A2B1-A7C75CF94531}">
  <dimension ref="A2:IL6"/>
  <sheetViews>
    <sheetView showGridLines="0" tabSelected="1" zoomScale="40" zoomScaleNormal="40" workbookViewId="0">
      <selection activeCell="B2" sqref="B2:J6"/>
    </sheetView>
  </sheetViews>
  <sheetFormatPr baseColWidth="10" defaultColWidth="11.42578125" defaultRowHeight="20.25" x14ac:dyDescent="0.3"/>
  <cols>
    <col min="1" max="1" width="2.5703125" style="42" customWidth="1"/>
    <col min="2" max="2" width="7" style="43" customWidth="1"/>
    <col min="3" max="3" width="18.85546875" style="43" customWidth="1"/>
    <col min="4" max="4" width="20.140625" style="42" customWidth="1"/>
    <col min="5" max="5" width="60" style="42" customWidth="1"/>
    <col min="6" max="6" width="11.42578125" style="42" bestFit="1" customWidth="1"/>
    <col min="7" max="7" width="24.28515625" style="42" customWidth="1"/>
    <col min="8" max="8" width="21.42578125" style="42" customWidth="1"/>
    <col min="9" max="9" width="92.28515625" style="42" bestFit="1" customWidth="1"/>
    <col min="10" max="10" width="28.28515625" style="42" customWidth="1"/>
    <col min="11" max="11" width="12.28515625" style="69" customWidth="1"/>
    <col min="12" max="12" width="9.7109375" style="67" customWidth="1"/>
    <col min="13" max="13" width="31.7109375" style="42" customWidth="1"/>
    <col min="14" max="14" width="18.85546875" style="42" customWidth="1"/>
    <col min="15" max="15" width="11.42578125" style="42"/>
    <col min="16" max="16" width="19.7109375" style="42" customWidth="1"/>
    <col min="17" max="17" width="22" style="42" customWidth="1"/>
    <col min="18" max="18" width="13.5703125" style="42" customWidth="1"/>
    <col min="19" max="19" width="20.140625" style="42" customWidth="1"/>
    <col min="20" max="20" width="25" style="42" bestFit="1" customWidth="1"/>
    <col min="21" max="21" width="14.42578125" style="42" customWidth="1"/>
    <col min="22" max="22" width="17.5703125" style="42" bestFit="1" customWidth="1"/>
    <col min="23" max="23" width="22" style="42" customWidth="1"/>
    <col min="24" max="24" width="21.42578125" style="42" bestFit="1" customWidth="1"/>
    <col min="25" max="25" width="27.28515625" style="42" customWidth="1"/>
    <col min="26" max="26" width="27.7109375" style="42" customWidth="1"/>
    <col min="27" max="27" width="21.7109375" style="42" customWidth="1"/>
    <col min="28" max="29" width="11.85546875" style="42" bestFit="1" customWidth="1"/>
    <col min="30" max="30" width="15.42578125" style="42" customWidth="1"/>
    <col min="31" max="31" width="18.140625" style="42" customWidth="1"/>
    <col min="32" max="32" width="19.28515625" style="42" bestFit="1" customWidth="1"/>
    <col min="33" max="33" width="20.7109375" style="42" bestFit="1" customWidth="1"/>
    <col min="34" max="34" width="25.5703125" style="42" customWidth="1"/>
    <col min="35" max="35" width="26.7109375" style="42" customWidth="1"/>
    <col min="36" max="36" width="21.28515625" style="42" customWidth="1"/>
    <col min="37" max="37" width="22.28515625" style="42" customWidth="1"/>
    <col min="38" max="38" width="14.85546875" style="42" bestFit="1" customWidth="1"/>
    <col min="39" max="39" width="12.7109375" style="42" bestFit="1" customWidth="1"/>
    <col min="40" max="40" width="11.5703125" style="42" bestFit="1" customWidth="1"/>
    <col min="41" max="41" width="12.7109375" style="42" bestFit="1" customWidth="1"/>
    <col min="42" max="42" width="14.85546875" style="42" bestFit="1" customWidth="1"/>
    <col min="43" max="43" width="12.7109375" style="42" bestFit="1" customWidth="1"/>
    <col min="44" max="44" width="11.42578125" style="42"/>
    <col min="45" max="46" width="11.5703125" style="42" bestFit="1" customWidth="1"/>
    <col min="47" max="16384" width="11.42578125" style="42"/>
  </cols>
  <sheetData>
    <row r="2" spans="1:246" s="39" customFormat="1" ht="21" thickBot="1" x14ac:dyDescent="0.35">
      <c r="B2" s="83" t="s">
        <v>67</v>
      </c>
      <c r="C2" s="83"/>
      <c r="D2" s="83"/>
      <c r="E2" s="83"/>
      <c r="F2" s="83"/>
      <c r="G2" s="83"/>
      <c r="H2" s="83"/>
      <c r="I2" s="83"/>
      <c r="J2" s="83"/>
      <c r="K2" s="68"/>
      <c r="L2" s="64"/>
      <c r="M2" s="40"/>
      <c r="N2" s="1"/>
      <c r="O2" s="2"/>
      <c r="P2" s="1"/>
      <c r="Q2" s="1"/>
      <c r="R2" s="1"/>
      <c r="S2" s="1"/>
      <c r="T2" s="1"/>
      <c r="U2" s="1"/>
      <c r="V2" s="1"/>
      <c r="W2" s="1"/>
      <c r="X2" s="1"/>
      <c r="Y2" s="1"/>
      <c r="Z2" s="3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spans="1:246" s="39" customFormat="1" ht="54" x14ac:dyDescent="0.3">
      <c r="A3" s="41"/>
      <c r="B3" s="71" t="s">
        <v>43</v>
      </c>
      <c r="C3" s="71" t="s">
        <v>0</v>
      </c>
      <c r="D3" s="71" t="s">
        <v>1</v>
      </c>
      <c r="E3" s="71" t="s">
        <v>2</v>
      </c>
      <c r="F3" s="71" t="s">
        <v>3</v>
      </c>
      <c r="G3" s="72" t="s">
        <v>4</v>
      </c>
      <c r="H3" s="72" t="s">
        <v>5</v>
      </c>
      <c r="I3" s="72" t="s">
        <v>6</v>
      </c>
      <c r="J3" s="72" t="s">
        <v>7</v>
      </c>
      <c r="K3" s="68"/>
      <c r="L3" s="65"/>
      <c r="M3" s="4" t="s">
        <v>8</v>
      </c>
      <c r="N3" s="5" t="s">
        <v>9</v>
      </c>
      <c r="O3" s="5" t="s">
        <v>10</v>
      </c>
      <c r="P3" s="6" t="s">
        <v>11</v>
      </c>
      <c r="Q3" s="7" t="s">
        <v>12</v>
      </c>
      <c r="R3" s="8" t="s">
        <v>13</v>
      </c>
      <c r="S3" s="8" t="s">
        <v>14</v>
      </c>
      <c r="T3" s="8" t="s">
        <v>15</v>
      </c>
      <c r="U3" s="8" t="s">
        <v>16</v>
      </c>
      <c r="V3" s="8" t="s">
        <v>17</v>
      </c>
      <c r="W3" s="9" t="s">
        <v>18</v>
      </c>
      <c r="X3" s="10" t="s">
        <v>19</v>
      </c>
      <c r="Y3" s="6" t="s">
        <v>20</v>
      </c>
      <c r="Z3" s="11" t="s">
        <v>21</v>
      </c>
      <c r="AA3" s="12" t="s">
        <v>22</v>
      </c>
      <c r="AB3" s="12" t="s">
        <v>23</v>
      </c>
      <c r="AC3" s="12" t="s">
        <v>24</v>
      </c>
      <c r="AD3" s="12" t="s">
        <v>25</v>
      </c>
      <c r="AE3" s="13" t="s">
        <v>26</v>
      </c>
      <c r="AF3" s="10" t="s">
        <v>27</v>
      </c>
      <c r="AG3" s="10" t="s">
        <v>28</v>
      </c>
      <c r="AH3" s="14" t="s">
        <v>16</v>
      </c>
      <c r="AI3" s="15" t="s">
        <v>29</v>
      </c>
      <c r="AJ3" s="15" t="s">
        <v>30</v>
      </c>
      <c r="AK3" s="16" t="s">
        <v>31</v>
      </c>
      <c r="AL3" s="41"/>
      <c r="AM3" s="41"/>
      <c r="AN3" s="41"/>
      <c r="AO3" s="41"/>
      <c r="AP3" s="41"/>
      <c r="AQ3" s="41"/>
      <c r="AR3" s="41"/>
      <c r="AS3" s="41"/>
      <c r="AT3" s="41"/>
      <c r="AU3" s="41"/>
      <c r="AV3" s="41"/>
      <c r="AW3" s="41"/>
      <c r="AX3" s="41"/>
      <c r="AY3" s="41"/>
      <c r="AZ3" s="41"/>
      <c r="BA3" s="41"/>
      <c r="BB3" s="41"/>
      <c r="BC3" s="41"/>
      <c r="BD3" s="41"/>
      <c r="BE3" s="41"/>
      <c r="BF3" s="41"/>
      <c r="BG3" s="41"/>
      <c r="BH3" s="41"/>
      <c r="BI3" s="41"/>
      <c r="BJ3" s="41"/>
      <c r="BK3" s="41"/>
      <c r="BL3" s="41"/>
      <c r="BM3" s="41"/>
      <c r="BN3" s="41"/>
      <c r="BO3" s="41"/>
      <c r="BP3" s="41"/>
      <c r="BQ3" s="41"/>
      <c r="BR3" s="41"/>
      <c r="BS3" s="41"/>
      <c r="BT3" s="41"/>
      <c r="BU3" s="41"/>
      <c r="BV3" s="41"/>
      <c r="BW3" s="41"/>
      <c r="BX3" s="41"/>
      <c r="BY3" s="41"/>
      <c r="BZ3" s="41"/>
      <c r="CA3" s="41"/>
      <c r="CB3" s="41"/>
      <c r="CC3" s="41"/>
      <c r="CD3" s="41"/>
      <c r="CE3" s="41"/>
      <c r="CF3" s="41"/>
      <c r="CG3" s="41"/>
      <c r="CH3" s="41"/>
      <c r="CI3" s="41"/>
      <c r="CJ3" s="41"/>
      <c r="CK3" s="41"/>
      <c r="CL3" s="41"/>
      <c r="CM3" s="41"/>
      <c r="CN3" s="41"/>
      <c r="CO3" s="41"/>
      <c r="CP3" s="41"/>
      <c r="CQ3" s="41"/>
      <c r="CR3" s="41"/>
      <c r="CS3" s="41"/>
      <c r="CT3" s="41"/>
      <c r="CU3" s="41"/>
      <c r="CV3" s="41"/>
      <c r="CW3" s="41"/>
      <c r="CX3" s="41"/>
      <c r="CY3" s="41"/>
      <c r="CZ3" s="41"/>
      <c r="DA3" s="41"/>
      <c r="DB3" s="41"/>
      <c r="DC3" s="41"/>
      <c r="DD3" s="41"/>
      <c r="DE3" s="41"/>
      <c r="DF3" s="41"/>
      <c r="DG3" s="41"/>
      <c r="DH3" s="41"/>
      <c r="DI3" s="41"/>
      <c r="DJ3" s="41"/>
      <c r="DK3" s="41"/>
      <c r="DL3" s="41"/>
      <c r="DM3" s="41"/>
      <c r="DN3" s="41"/>
      <c r="DO3" s="41"/>
      <c r="DP3" s="41"/>
      <c r="DQ3" s="41"/>
      <c r="DR3" s="41"/>
      <c r="DS3" s="41"/>
      <c r="DT3" s="41"/>
      <c r="DU3" s="41"/>
      <c r="DV3" s="41"/>
      <c r="DW3" s="41"/>
      <c r="DX3" s="41"/>
      <c r="DY3" s="41"/>
      <c r="DZ3" s="41"/>
      <c r="EA3" s="41"/>
      <c r="EB3" s="41"/>
      <c r="EC3" s="41"/>
      <c r="ED3" s="41"/>
      <c r="EE3" s="41"/>
      <c r="EF3" s="41"/>
      <c r="EG3" s="41"/>
      <c r="EH3" s="41"/>
      <c r="EI3" s="41"/>
      <c r="EJ3" s="41"/>
      <c r="EK3" s="41"/>
      <c r="EL3" s="41"/>
      <c r="EM3" s="41"/>
      <c r="EN3" s="41"/>
      <c r="EO3" s="41"/>
      <c r="EP3" s="41"/>
      <c r="EQ3" s="41"/>
      <c r="ER3" s="41"/>
      <c r="ES3" s="41"/>
      <c r="ET3" s="41"/>
      <c r="EU3" s="41"/>
      <c r="EV3" s="41"/>
      <c r="EW3" s="41"/>
      <c r="EX3" s="41"/>
      <c r="EY3" s="41"/>
      <c r="EZ3" s="41"/>
      <c r="FA3" s="41"/>
      <c r="FB3" s="41"/>
      <c r="FC3" s="41"/>
      <c r="FD3" s="41"/>
      <c r="FE3" s="41"/>
      <c r="FF3" s="41"/>
      <c r="FG3" s="41"/>
      <c r="FH3" s="41"/>
      <c r="FI3" s="41"/>
      <c r="FJ3" s="41"/>
      <c r="FK3" s="41"/>
      <c r="FL3" s="41"/>
      <c r="FM3" s="41"/>
      <c r="FN3" s="41"/>
      <c r="FO3" s="41"/>
      <c r="FP3" s="41"/>
      <c r="FQ3" s="41"/>
      <c r="FR3" s="41"/>
      <c r="FS3" s="41"/>
      <c r="FT3" s="41"/>
      <c r="FU3" s="41"/>
      <c r="FV3" s="41"/>
      <c r="FW3" s="41"/>
      <c r="FX3" s="41"/>
      <c r="FY3" s="41"/>
      <c r="FZ3" s="41"/>
      <c r="GA3" s="41"/>
      <c r="GB3" s="41"/>
      <c r="GC3" s="41"/>
      <c r="GD3" s="41"/>
      <c r="GE3" s="41"/>
      <c r="GF3" s="41"/>
      <c r="GG3" s="41"/>
      <c r="GH3" s="41"/>
      <c r="GI3" s="41"/>
      <c r="GJ3" s="41"/>
      <c r="GK3" s="41"/>
      <c r="GL3" s="41"/>
      <c r="GM3" s="41"/>
      <c r="GN3" s="41"/>
      <c r="GO3" s="41"/>
      <c r="GP3" s="41"/>
      <c r="GQ3" s="41"/>
      <c r="GR3" s="41"/>
      <c r="GS3" s="41"/>
      <c r="GT3" s="41"/>
      <c r="GU3" s="41"/>
      <c r="GV3" s="41"/>
      <c r="GW3" s="41"/>
      <c r="GX3" s="41"/>
      <c r="GY3" s="41"/>
      <c r="GZ3" s="41"/>
      <c r="HA3" s="41"/>
      <c r="HB3" s="41"/>
      <c r="HC3" s="41"/>
      <c r="HD3" s="41"/>
      <c r="HE3" s="41"/>
      <c r="HF3" s="41"/>
      <c r="HG3" s="41"/>
      <c r="HH3" s="41"/>
      <c r="HI3" s="41"/>
      <c r="HJ3" s="41"/>
      <c r="HK3" s="41"/>
      <c r="HL3" s="41"/>
      <c r="HM3" s="41"/>
      <c r="HN3" s="41"/>
      <c r="HO3" s="41"/>
      <c r="HP3" s="41"/>
      <c r="HQ3" s="41"/>
      <c r="HR3" s="41"/>
      <c r="HS3" s="41"/>
      <c r="HT3" s="41"/>
      <c r="HU3" s="41"/>
      <c r="HV3" s="41"/>
      <c r="HW3" s="41"/>
      <c r="HX3" s="41"/>
      <c r="HY3" s="41"/>
      <c r="HZ3" s="41"/>
      <c r="IA3" s="41"/>
      <c r="IB3" s="41"/>
      <c r="IC3" s="41"/>
      <c r="ID3" s="41"/>
      <c r="IE3" s="41"/>
      <c r="IF3" s="41"/>
      <c r="IG3" s="41"/>
      <c r="IH3" s="41"/>
      <c r="II3" s="41"/>
      <c r="IJ3" s="41"/>
      <c r="IK3" s="41"/>
      <c r="IL3" s="41"/>
    </row>
    <row r="4" spans="1:246" s="39" customFormat="1" ht="219" customHeight="1" x14ac:dyDescent="0.25">
      <c r="A4" s="17"/>
      <c r="B4" s="34">
        <v>1</v>
      </c>
      <c r="C4" s="91" t="s">
        <v>69</v>
      </c>
      <c r="D4" s="92"/>
      <c r="E4" s="82" t="s">
        <v>33</v>
      </c>
      <c r="F4" s="75">
        <v>56</v>
      </c>
      <c r="G4" s="76">
        <v>3.79</v>
      </c>
      <c r="H4" s="63" t="s">
        <v>53</v>
      </c>
      <c r="I4" s="77" t="s">
        <v>68</v>
      </c>
      <c r="J4" s="78">
        <f>G4*F4</f>
        <v>212.24</v>
      </c>
      <c r="K4" s="38">
        <v>45.9</v>
      </c>
      <c r="L4" s="66">
        <f>T4/J4</f>
        <v>0.44051852701617528</v>
      </c>
      <c r="M4" s="18" t="s">
        <v>70</v>
      </c>
      <c r="N4" s="81"/>
      <c r="O4" s="89" t="s">
        <v>71</v>
      </c>
      <c r="P4" s="90"/>
      <c r="Q4" s="19">
        <f>0.6/1.15</f>
        <v>0.52173913043478259</v>
      </c>
      <c r="R4" s="20">
        <v>320</v>
      </c>
      <c r="S4" s="21">
        <f t="shared" ref="S4" si="0">Q4*R4/100</f>
        <v>1.6695652173913045</v>
      </c>
      <c r="T4" s="22">
        <f t="shared" ref="T4" si="1">S4*V4</f>
        <v>93.495652173913044</v>
      </c>
      <c r="U4" s="23">
        <f t="shared" ref="U4" si="2">Q4+S4</f>
        <v>2.1913043478260872</v>
      </c>
      <c r="V4" s="36">
        <f>F4</f>
        <v>56</v>
      </c>
      <c r="W4" s="24">
        <f>Q4*5</f>
        <v>2.6086956521739131</v>
      </c>
      <c r="X4" s="25">
        <v>65</v>
      </c>
      <c r="Y4" s="26">
        <f>V4*U4+W4+X4</f>
        <v>190.32173913043479</v>
      </c>
      <c r="Z4" s="45"/>
      <c r="AA4" s="46">
        <v>0</v>
      </c>
      <c r="AB4" s="27">
        <v>1</v>
      </c>
      <c r="AC4" s="27">
        <v>1</v>
      </c>
      <c r="AD4" s="27">
        <v>1</v>
      </c>
      <c r="AE4" s="28">
        <f t="shared" ref="AE4" si="3">AA4</f>
        <v>0</v>
      </c>
      <c r="AF4" s="47">
        <v>2.85</v>
      </c>
      <c r="AG4" s="29">
        <f>2%*(Y4+AE4+AF4)</f>
        <v>3.8634347826086959</v>
      </c>
      <c r="AH4" s="30">
        <f>Y4+AE4+AG4+AF4</f>
        <v>197.03517391304348</v>
      </c>
      <c r="AI4" s="31">
        <f t="shared" ref="AI4" si="4">AH4/V4</f>
        <v>3.5184852484472051</v>
      </c>
      <c r="AJ4" s="48">
        <f t="shared" ref="AJ4" si="5">AI4*18%</f>
        <v>0.6333273447204969</v>
      </c>
      <c r="AK4" s="49">
        <f>AI4+AJ4</f>
        <v>4.1518125931677021</v>
      </c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s="17"/>
      <c r="DQ4" s="17"/>
      <c r="DR4" s="17"/>
      <c r="DS4" s="17"/>
      <c r="DT4" s="17"/>
      <c r="DU4" s="17"/>
      <c r="DV4" s="17"/>
      <c r="DW4" s="17"/>
      <c r="DX4" s="17"/>
      <c r="DY4" s="17"/>
      <c r="DZ4" s="17"/>
      <c r="EA4" s="17"/>
      <c r="EB4" s="17"/>
      <c r="EC4" s="17"/>
      <c r="ED4" s="17"/>
      <c r="EE4" s="17"/>
      <c r="EF4" s="17"/>
      <c r="EG4" s="17"/>
      <c r="EH4" s="17"/>
      <c r="EI4" s="17"/>
      <c r="EJ4" s="17"/>
      <c r="EK4" s="17"/>
      <c r="EL4" s="17"/>
      <c r="EM4" s="17"/>
      <c r="EN4" s="17"/>
      <c r="EO4" s="17"/>
      <c r="EP4" s="17"/>
      <c r="EQ4" s="17"/>
      <c r="ER4" s="17"/>
      <c r="ES4" s="17"/>
      <c r="ET4" s="17"/>
      <c r="EU4" s="17"/>
      <c r="EV4" s="17"/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  <c r="FJ4" s="17"/>
      <c r="FK4" s="17"/>
      <c r="FL4" s="17"/>
      <c r="FM4" s="17"/>
      <c r="FN4" s="17"/>
      <c r="FO4" s="17"/>
      <c r="FP4" s="17"/>
      <c r="FQ4" s="17"/>
      <c r="FR4" s="17"/>
      <c r="FS4" s="17"/>
      <c r="FT4" s="17"/>
      <c r="FU4" s="17"/>
      <c r="FV4" s="17"/>
      <c r="FW4" s="17"/>
      <c r="FX4" s="17"/>
      <c r="FY4" s="17"/>
      <c r="FZ4" s="17"/>
      <c r="GA4" s="17"/>
      <c r="GB4" s="17"/>
      <c r="GC4" s="17"/>
      <c r="GD4" s="17"/>
      <c r="GE4" s="17"/>
      <c r="GF4" s="17"/>
      <c r="GG4" s="17"/>
      <c r="GH4" s="17"/>
      <c r="GI4" s="17"/>
      <c r="GJ4" s="17"/>
      <c r="GK4" s="17"/>
      <c r="GL4" s="17"/>
      <c r="GM4" s="17"/>
      <c r="GN4" s="17"/>
      <c r="GO4" s="17"/>
      <c r="GP4" s="17"/>
      <c r="GQ4" s="17"/>
      <c r="GR4" s="17"/>
      <c r="GS4" s="17"/>
      <c r="GT4" s="17"/>
      <c r="GU4" s="17"/>
      <c r="GV4" s="17"/>
      <c r="GW4" s="17"/>
      <c r="GX4" s="17"/>
      <c r="GY4" s="17"/>
      <c r="GZ4" s="17"/>
      <c r="HA4" s="17"/>
      <c r="HB4" s="17"/>
      <c r="HC4" s="17"/>
      <c r="HD4" s="17"/>
      <c r="HE4" s="17"/>
      <c r="HF4" s="17"/>
      <c r="HG4" s="17"/>
      <c r="HH4" s="17"/>
      <c r="HI4" s="17"/>
      <c r="HJ4" s="17"/>
      <c r="HK4" s="17"/>
      <c r="HL4" s="17"/>
      <c r="HM4" s="17"/>
      <c r="HN4" s="17"/>
      <c r="HO4" s="17"/>
      <c r="HP4" s="17"/>
      <c r="HQ4" s="17"/>
      <c r="HR4" s="17"/>
      <c r="HS4" s="17"/>
      <c r="HT4" s="17"/>
      <c r="HU4" s="17"/>
      <c r="HV4" s="17"/>
      <c r="HW4" s="17"/>
      <c r="HX4" s="17"/>
      <c r="HY4" s="17"/>
      <c r="HZ4" s="17"/>
      <c r="IA4" s="17"/>
      <c r="IB4" s="17"/>
      <c r="IC4" s="17"/>
      <c r="ID4" s="17"/>
      <c r="IE4" s="17"/>
      <c r="IF4" s="17"/>
      <c r="IG4" s="17"/>
      <c r="IH4" s="17"/>
      <c r="II4" s="17"/>
      <c r="IJ4" s="17"/>
      <c r="IK4" s="17"/>
      <c r="IL4" s="17"/>
    </row>
    <row r="5" spans="1:246" s="39" customFormat="1" ht="221.25" customHeight="1" x14ac:dyDescent="0.25">
      <c r="A5" s="17"/>
      <c r="B5" s="34">
        <v>2</v>
      </c>
      <c r="C5" s="91" t="s">
        <v>72</v>
      </c>
      <c r="D5" s="92"/>
      <c r="E5" s="82" t="s">
        <v>33</v>
      </c>
      <c r="F5" s="75">
        <v>56</v>
      </c>
      <c r="G5" s="76">
        <v>9.99</v>
      </c>
      <c r="H5" s="63" t="s">
        <v>53</v>
      </c>
      <c r="I5" s="77" t="s">
        <v>73</v>
      </c>
      <c r="J5" s="78">
        <f>G5*F5</f>
        <v>559.44000000000005</v>
      </c>
      <c r="K5" s="38">
        <v>45.9</v>
      </c>
      <c r="L5" s="66">
        <f>T5/J5</f>
        <v>0.2902902902902903</v>
      </c>
      <c r="M5" s="18" t="s">
        <v>74</v>
      </c>
      <c r="N5" s="81"/>
      <c r="O5" s="89"/>
      <c r="P5" s="90"/>
      <c r="Q5" s="19">
        <v>5</v>
      </c>
      <c r="R5" s="20">
        <v>58</v>
      </c>
      <c r="S5" s="21">
        <f t="shared" ref="S5" si="6">Q5*R5/100</f>
        <v>2.9</v>
      </c>
      <c r="T5" s="22">
        <f t="shared" ref="T5" si="7">S5*V5</f>
        <v>162.4</v>
      </c>
      <c r="U5" s="23">
        <f t="shared" ref="U5" si="8">Q5+S5</f>
        <v>7.9</v>
      </c>
      <c r="V5" s="36">
        <f>F5</f>
        <v>56</v>
      </c>
      <c r="W5" s="24">
        <f>Q5*2</f>
        <v>10</v>
      </c>
      <c r="X5" s="25">
        <v>90</v>
      </c>
      <c r="Y5" s="26">
        <f>V5*U5+W5+X5</f>
        <v>542.40000000000009</v>
      </c>
      <c r="Z5" s="45"/>
      <c r="AA5" s="46">
        <v>0</v>
      </c>
      <c r="AB5" s="27">
        <v>1</v>
      </c>
      <c r="AC5" s="27">
        <v>1</v>
      </c>
      <c r="AD5" s="27">
        <v>1</v>
      </c>
      <c r="AE5" s="28">
        <f t="shared" ref="AE5" si="9">AA5</f>
        <v>0</v>
      </c>
      <c r="AF5" s="47">
        <v>2.85</v>
      </c>
      <c r="AG5" s="29">
        <f>2%*(Y5+AE5+AF5)</f>
        <v>10.905000000000003</v>
      </c>
      <c r="AH5" s="30">
        <f>Y5+AE5+AG5+AF5</f>
        <v>556.15500000000009</v>
      </c>
      <c r="AI5" s="31">
        <f t="shared" ref="AI5" si="10">AH5/V5</f>
        <v>9.9313392857142873</v>
      </c>
      <c r="AJ5" s="48">
        <f t="shared" ref="AJ5" si="11">AI5*18%</f>
        <v>1.7876410714285715</v>
      </c>
      <c r="AK5" s="49">
        <f>AI5+AJ5</f>
        <v>11.718980357142859</v>
      </c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7"/>
      <c r="DP5" s="17"/>
      <c r="DQ5" s="17"/>
      <c r="DR5" s="17"/>
      <c r="DS5" s="17"/>
      <c r="DT5" s="17"/>
      <c r="DU5" s="17"/>
      <c r="DV5" s="17"/>
      <c r="DW5" s="17"/>
      <c r="DX5" s="17"/>
      <c r="DY5" s="17"/>
      <c r="DZ5" s="17"/>
      <c r="EA5" s="17"/>
      <c r="EB5" s="17"/>
      <c r="EC5" s="17"/>
      <c r="ED5" s="17"/>
      <c r="EE5" s="17"/>
      <c r="EF5" s="17"/>
      <c r="EG5" s="17"/>
      <c r="EH5" s="17"/>
      <c r="EI5" s="17"/>
      <c r="EJ5" s="17"/>
      <c r="EK5" s="17"/>
      <c r="EL5" s="17"/>
      <c r="EM5" s="17"/>
      <c r="EN5" s="17"/>
      <c r="EO5" s="17"/>
      <c r="EP5" s="17"/>
      <c r="EQ5" s="17"/>
      <c r="ER5" s="17"/>
      <c r="ES5" s="17"/>
      <c r="ET5" s="17"/>
      <c r="EU5" s="17"/>
      <c r="EV5" s="17"/>
      <c r="EW5" s="17"/>
      <c r="EX5" s="17"/>
      <c r="EY5" s="17"/>
      <c r="EZ5" s="17"/>
      <c r="FA5" s="17"/>
      <c r="FB5" s="17"/>
      <c r="FC5" s="17"/>
      <c r="FD5" s="17"/>
      <c r="FE5" s="17"/>
      <c r="FF5" s="17"/>
      <c r="FG5" s="17"/>
      <c r="FH5" s="17"/>
      <c r="FI5" s="17"/>
      <c r="FJ5" s="17"/>
      <c r="FK5" s="17"/>
      <c r="FL5" s="17"/>
      <c r="FM5" s="17"/>
      <c r="FN5" s="17"/>
      <c r="FO5" s="17"/>
      <c r="FP5" s="17"/>
      <c r="FQ5" s="17"/>
      <c r="FR5" s="17"/>
      <c r="FS5" s="17"/>
      <c r="FT5" s="17"/>
      <c r="FU5" s="17"/>
      <c r="FV5" s="17"/>
      <c r="FW5" s="17"/>
      <c r="FX5" s="17"/>
      <c r="FY5" s="17"/>
      <c r="FZ5" s="17"/>
      <c r="GA5" s="17"/>
      <c r="GB5" s="17"/>
      <c r="GC5" s="17"/>
      <c r="GD5" s="17"/>
      <c r="GE5" s="17"/>
      <c r="GF5" s="17"/>
      <c r="GG5" s="17"/>
      <c r="GH5" s="17"/>
      <c r="GI5" s="17"/>
      <c r="GJ5" s="17"/>
      <c r="GK5" s="17"/>
      <c r="GL5" s="17"/>
      <c r="GM5" s="17"/>
      <c r="GN5" s="17"/>
      <c r="GO5" s="17"/>
      <c r="GP5" s="17"/>
      <c r="GQ5" s="17"/>
      <c r="GR5" s="17"/>
      <c r="GS5" s="17"/>
      <c r="GT5" s="17"/>
      <c r="GU5" s="17"/>
      <c r="GV5" s="17"/>
      <c r="GW5" s="17"/>
      <c r="GX5" s="17"/>
      <c r="GY5" s="17"/>
      <c r="GZ5" s="17"/>
      <c r="HA5" s="17"/>
      <c r="HB5" s="17"/>
      <c r="HC5" s="17"/>
      <c r="HD5" s="17"/>
      <c r="HE5" s="17"/>
      <c r="HF5" s="17"/>
      <c r="HG5" s="17"/>
      <c r="HH5" s="17"/>
      <c r="HI5" s="17"/>
      <c r="HJ5" s="17"/>
      <c r="HK5" s="17"/>
      <c r="HL5" s="17"/>
      <c r="HM5" s="17"/>
      <c r="HN5" s="17"/>
      <c r="HO5" s="17"/>
      <c r="HP5" s="17"/>
      <c r="HQ5" s="17"/>
      <c r="HR5" s="17"/>
      <c r="HS5" s="17"/>
      <c r="HT5" s="17"/>
      <c r="HU5" s="17"/>
      <c r="HV5" s="17"/>
      <c r="HW5" s="17"/>
      <c r="HX5" s="17"/>
      <c r="HY5" s="17"/>
      <c r="HZ5" s="17"/>
      <c r="IA5" s="17"/>
      <c r="IB5" s="17"/>
      <c r="IC5" s="17"/>
      <c r="ID5" s="17"/>
      <c r="IE5" s="17"/>
      <c r="IF5" s="17"/>
      <c r="IG5" s="17"/>
      <c r="IH5" s="17"/>
      <c r="II5" s="17"/>
      <c r="IJ5" s="17"/>
      <c r="IK5" s="17"/>
      <c r="IL5" s="17"/>
    </row>
    <row r="6" spans="1:246" s="39" customFormat="1" ht="255" customHeight="1" x14ac:dyDescent="0.25">
      <c r="A6" s="17"/>
      <c r="B6" s="34">
        <v>3</v>
      </c>
      <c r="C6" s="91" t="s">
        <v>78</v>
      </c>
      <c r="D6" s="92"/>
      <c r="E6" s="82" t="s">
        <v>33</v>
      </c>
      <c r="F6" s="75">
        <v>56</v>
      </c>
      <c r="G6" s="76">
        <v>2.59</v>
      </c>
      <c r="H6" s="63" t="s">
        <v>53</v>
      </c>
      <c r="I6" s="77" t="s">
        <v>75</v>
      </c>
      <c r="J6" s="78">
        <f>G6*F6</f>
        <v>145.04</v>
      </c>
      <c r="K6" s="38">
        <v>45.9</v>
      </c>
      <c r="L6" s="66">
        <f>T6/J6</f>
        <v>0.3792057363485935</v>
      </c>
      <c r="M6" s="18" t="s">
        <v>76</v>
      </c>
      <c r="N6" s="81"/>
      <c r="O6" s="89" t="s">
        <v>77</v>
      </c>
      <c r="P6" s="90"/>
      <c r="Q6" s="19">
        <f>50/56</f>
        <v>0.8928571428571429</v>
      </c>
      <c r="R6" s="20">
        <v>110</v>
      </c>
      <c r="S6" s="21">
        <f t="shared" ref="S6" si="12">Q6*R6/100</f>
        <v>0.98214285714285721</v>
      </c>
      <c r="T6" s="22">
        <f t="shared" ref="T6" si="13">S6*V6</f>
        <v>55</v>
      </c>
      <c r="U6" s="23">
        <f t="shared" ref="U6" si="14">Q6+S6</f>
        <v>1.875</v>
      </c>
      <c r="V6" s="36">
        <f>F6</f>
        <v>56</v>
      </c>
      <c r="W6" s="24">
        <f>Q6*5</f>
        <v>4.4642857142857144</v>
      </c>
      <c r="X6" s="25">
        <v>30</v>
      </c>
      <c r="Y6" s="26">
        <f>V6*U6+W6+X6</f>
        <v>139.46428571428572</v>
      </c>
      <c r="Z6" s="45"/>
      <c r="AA6" s="46">
        <v>0</v>
      </c>
      <c r="AB6" s="27">
        <v>1</v>
      </c>
      <c r="AC6" s="27">
        <v>1</v>
      </c>
      <c r="AD6" s="27">
        <v>1</v>
      </c>
      <c r="AE6" s="28">
        <f t="shared" ref="AE6" si="15">AA6</f>
        <v>0</v>
      </c>
      <c r="AF6" s="47">
        <v>0</v>
      </c>
      <c r="AG6" s="29">
        <f>2%*(Y6+AE6+AF6)</f>
        <v>2.7892857142857146</v>
      </c>
      <c r="AH6" s="30">
        <f>Y6+AE6+AG6+AF6</f>
        <v>142.25357142857143</v>
      </c>
      <c r="AI6" s="31">
        <f t="shared" ref="AI6" si="16">AH6/V6</f>
        <v>2.5402423469387756</v>
      </c>
      <c r="AJ6" s="48">
        <f t="shared" ref="AJ6" si="17">AI6*18%</f>
        <v>0.45724362244897959</v>
      </c>
      <c r="AK6" s="49">
        <f>AI6+AJ6</f>
        <v>2.9974859693877551</v>
      </c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7"/>
      <c r="DP6" s="17"/>
      <c r="DQ6" s="17"/>
      <c r="DR6" s="17"/>
      <c r="DS6" s="17"/>
      <c r="DT6" s="17"/>
      <c r="DU6" s="17"/>
      <c r="DV6" s="17"/>
      <c r="DW6" s="17"/>
      <c r="DX6" s="17"/>
      <c r="DY6" s="17"/>
      <c r="DZ6" s="17"/>
      <c r="EA6" s="17"/>
      <c r="EB6" s="17"/>
      <c r="EC6" s="17"/>
      <c r="ED6" s="17"/>
      <c r="EE6" s="17"/>
      <c r="EF6" s="17"/>
      <c r="EG6" s="17"/>
      <c r="EH6" s="17"/>
      <c r="EI6" s="17"/>
      <c r="EJ6" s="17"/>
      <c r="EK6" s="17"/>
      <c r="EL6" s="17"/>
      <c r="EM6" s="17"/>
      <c r="EN6" s="17"/>
      <c r="EO6" s="17"/>
      <c r="EP6" s="17"/>
      <c r="EQ6" s="17"/>
      <c r="ER6" s="17"/>
      <c r="ES6" s="17"/>
      <c r="ET6" s="17"/>
      <c r="EU6" s="17"/>
      <c r="EV6" s="17"/>
      <c r="EW6" s="17"/>
      <c r="EX6" s="17"/>
      <c r="EY6" s="17"/>
      <c r="EZ6" s="17"/>
      <c r="FA6" s="17"/>
      <c r="FB6" s="17"/>
      <c r="FC6" s="17"/>
      <c r="FD6" s="17"/>
      <c r="FE6" s="17"/>
      <c r="FF6" s="17"/>
      <c r="FG6" s="17"/>
      <c r="FH6" s="17"/>
      <c r="FI6" s="17"/>
      <c r="FJ6" s="17"/>
      <c r="FK6" s="17"/>
      <c r="FL6" s="17"/>
      <c r="FM6" s="17"/>
      <c r="FN6" s="17"/>
      <c r="FO6" s="17"/>
      <c r="FP6" s="17"/>
      <c r="FQ6" s="17"/>
      <c r="FR6" s="17"/>
      <c r="FS6" s="17"/>
      <c r="FT6" s="17"/>
      <c r="FU6" s="17"/>
      <c r="FV6" s="17"/>
      <c r="FW6" s="17"/>
      <c r="FX6" s="17"/>
      <c r="FY6" s="17"/>
      <c r="FZ6" s="17"/>
      <c r="GA6" s="17"/>
      <c r="GB6" s="17"/>
      <c r="GC6" s="17"/>
      <c r="GD6" s="17"/>
      <c r="GE6" s="17"/>
      <c r="GF6" s="17"/>
      <c r="GG6" s="17"/>
      <c r="GH6" s="17"/>
      <c r="GI6" s="17"/>
      <c r="GJ6" s="17"/>
      <c r="GK6" s="17"/>
      <c r="GL6" s="17"/>
      <c r="GM6" s="17"/>
      <c r="GN6" s="17"/>
      <c r="GO6" s="17"/>
      <c r="GP6" s="17"/>
      <c r="GQ6" s="17"/>
      <c r="GR6" s="17"/>
      <c r="GS6" s="17"/>
      <c r="GT6" s="17"/>
      <c r="GU6" s="17"/>
      <c r="GV6" s="17"/>
      <c r="GW6" s="17"/>
      <c r="GX6" s="17"/>
      <c r="GY6" s="17"/>
      <c r="GZ6" s="17"/>
      <c r="HA6" s="17"/>
      <c r="HB6" s="17"/>
      <c r="HC6" s="17"/>
      <c r="HD6" s="17"/>
      <c r="HE6" s="17"/>
      <c r="HF6" s="17"/>
      <c r="HG6" s="17"/>
      <c r="HH6" s="17"/>
      <c r="HI6" s="17"/>
      <c r="HJ6" s="17"/>
      <c r="HK6" s="17"/>
      <c r="HL6" s="17"/>
      <c r="HM6" s="17"/>
      <c r="HN6" s="17"/>
      <c r="HO6" s="17"/>
      <c r="HP6" s="17"/>
      <c r="HQ6" s="17"/>
      <c r="HR6" s="17"/>
      <c r="HS6" s="17"/>
      <c r="HT6" s="17"/>
      <c r="HU6" s="17"/>
      <c r="HV6" s="17"/>
      <c r="HW6" s="17"/>
      <c r="HX6" s="17"/>
      <c r="HY6" s="17"/>
      <c r="HZ6" s="17"/>
      <c r="IA6" s="17"/>
      <c r="IB6" s="17"/>
      <c r="IC6" s="17"/>
      <c r="ID6" s="17"/>
      <c r="IE6" s="17"/>
      <c r="IF6" s="17"/>
      <c r="IG6" s="17"/>
      <c r="IH6" s="17"/>
      <c r="II6" s="17"/>
      <c r="IJ6" s="17"/>
      <c r="IK6" s="17"/>
      <c r="IL6" s="17"/>
    </row>
  </sheetData>
  <mergeCells count="7">
    <mergeCell ref="B2:J2"/>
    <mergeCell ref="O4:P4"/>
    <mergeCell ref="O6:P6"/>
    <mergeCell ref="C4:D4"/>
    <mergeCell ref="C6:D6"/>
    <mergeCell ref="C5:D5"/>
    <mergeCell ref="O5:P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FEBRERO</vt:lpstr>
      <vt:lpstr>MAYO</vt:lpstr>
      <vt:lpstr>JUNIO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Lady Diana Orellana Estrada</dc:creator>
  <cp:lastModifiedBy>Lady Diana Orellana Estrada</cp:lastModifiedBy>
  <dcterms:created xsi:type="dcterms:W3CDTF">2026-02-02T17:51:15Z</dcterms:created>
  <dcterms:modified xsi:type="dcterms:W3CDTF">2026-06-03T23:26:47Z</dcterms:modified>
</cp:coreProperties>
</file>