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ESTUDIO JURIDICO ROMERO/BD Cotizaciones/"/>
    </mc:Choice>
  </mc:AlternateContent>
  <xr:revisionPtr revIDLastSave="10" documentId="8_{9ED40759-415C-4E25-BB28-DA803440CC4F}" xr6:coauthVersionLast="47" xr6:coauthVersionMax="47" xr10:uidLastSave="{17D02FE6-8F5B-4890-BA67-A3069F06AAE4}"/>
  <bookViews>
    <workbookView xWindow="-120" yWindow="-120" windowWidth="29040" windowHeight="15720" xr2:uid="{9FF71EA6-4A54-4614-ADCD-A225CC9175C4}"/>
  </bookViews>
  <sheets>
    <sheet name="MAY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AF17" i="1"/>
  <c r="W17" i="1"/>
  <c r="Q17" i="1"/>
  <c r="S17" i="1" s="1"/>
  <c r="T17" i="1" s="1"/>
  <c r="AE17" i="1"/>
  <c r="V17" i="1"/>
  <c r="X21" i="1"/>
  <c r="X20" i="1"/>
  <c r="X19" i="1"/>
  <c r="X18" i="1"/>
  <c r="W20" i="1"/>
  <c r="W21" i="1"/>
  <c r="AE21" i="1"/>
  <c r="AE20" i="1"/>
  <c r="AE19" i="1"/>
  <c r="V21" i="1"/>
  <c r="AF21" i="1" s="1"/>
  <c r="S21" i="1"/>
  <c r="U21" i="1" s="1"/>
  <c r="V20" i="1"/>
  <c r="AF20" i="1" s="1"/>
  <c r="S20" i="1"/>
  <c r="U20" i="1" s="1"/>
  <c r="U17" i="1" l="1"/>
  <c r="Y17" i="1" s="1"/>
  <c r="T21" i="1"/>
  <c r="T20" i="1"/>
  <c r="Y21" i="1"/>
  <c r="AG21" i="1" s="1"/>
  <c r="Y20" i="1"/>
  <c r="AG17" i="1" l="1"/>
  <c r="AH17" i="1" s="1"/>
  <c r="AI17" i="1" s="1"/>
  <c r="J17" i="1" s="1"/>
  <c r="L17" i="1" s="1"/>
  <c r="AH21" i="1"/>
  <c r="AI21" i="1" s="1"/>
  <c r="J21" i="1" s="1"/>
  <c r="L21" i="1" s="1"/>
  <c r="AG20" i="1"/>
  <c r="AH20" i="1" s="1"/>
  <c r="AI20" i="1" s="1"/>
  <c r="Q19" i="1"/>
  <c r="W19" i="1" s="1"/>
  <c r="AA27" i="1"/>
  <c r="AE27" i="1" s="1"/>
  <c r="X27" i="1"/>
  <c r="W27" i="1"/>
  <c r="V27" i="1"/>
  <c r="S27" i="1"/>
  <c r="AA26" i="1"/>
  <c r="AE26" i="1" s="1"/>
  <c r="X26" i="1"/>
  <c r="W26" i="1"/>
  <c r="V26" i="1"/>
  <c r="S26" i="1"/>
  <c r="U26" i="1" s="1"/>
  <c r="Q15" i="1"/>
  <c r="W15" i="1" s="1"/>
  <c r="AA15" i="1"/>
  <c r="AA16" i="1"/>
  <c r="W14" i="1"/>
  <c r="AJ17" i="1" l="1"/>
  <c r="AK17" i="1" s="1"/>
  <c r="AJ21" i="1"/>
  <c r="AK21" i="1" s="1"/>
  <c r="AJ20" i="1"/>
  <c r="AK20" i="1" s="1"/>
  <c r="J20" i="1"/>
  <c r="L20" i="1" s="1"/>
  <c r="T27" i="1"/>
  <c r="Y26" i="1"/>
  <c r="AG26" i="1" s="1"/>
  <c r="AH26" i="1" s="1"/>
  <c r="AI26" i="1" s="1"/>
  <c r="U27" i="1"/>
  <c r="Y27" i="1" s="1"/>
  <c r="AG27" i="1" s="1"/>
  <c r="AH27" i="1" s="1"/>
  <c r="AI27" i="1" s="1"/>
  <c r="T26" i="1"/>
  <c r="AF27" i="1"/>
  <c r="AF26" i="1"/>
  <c r="AF13" i="1"/>
  <c r="Q13" i="1"/>
  <c r="AJ27" i="1" l="1"/>
  <c r="AK27" i="1" s="1"/>
  <c r="G27" i="1"/>
  <c r="J27" i="1" s="1"/>
  <c r="L27" i="1" s="1"/>
  <c r="AJ26" i="1"/>
  <c r="AK26" i="1" s="1"/>
  <c r="G26" i="1"/>
  <c r="J26" i="1" s="1"/>
  <c r="L26" i="1" s="1"/>
  <c r="AE14" i="1"/>
  <c r="AE13" i="1"/>
  <c r="W13" i="1"/>
  <c r="AF16" i="1"/>
  <c r="AF15" i="1"/>
  <c r="AF14" i="1"/>
  <c r="Q16" i="1"/>
  <c r="W16" i="1" s="1"/>
  <c r="AE16" i="1"/>
  <c r="V16" i="1"/>
  <c r="V14" i="1"/>
  <c r="V13" i="1"/>
  <c r="S13" i="1"/>
  <c r="S14" i="1" l="1"/>
  <c r="U14" i="1" s="1"/>
  <c r="Y14" i="1" s="1"/>
  <c r="AG14" i="1" s="1"/>
  <c r="S16" i="1"/>
  <c r="T16" i="1" s="1"/>
  <c r="T13" i="1"/>
  <c r="U13" i="1"/>
  <c r="Y13" i="1" s="1"/>
  <c r="T14" i="1" l="1"/>
  <c r="U16" i="1"/>
  <c r="Y16" i="1" s="1"/>
  <c r="AG16" i="1" s="1"/>
  <c r="AH16" i="1" s="1"/>
  <c r="AI16" i="1" s="1"/>
  <c r="AH14" i="1"/>
  <c r="AI14" i="1" s="1"/>
  <c r="J14" i="1" s="1"/>
  <c r="AG13" i="1"/>
  <c r="AH13" i="1" s="1"/>
  <c r="AI13" i="1" s="1"/>
  <c r="J13" i="1" s="1"/>
  <c r="L13" i="1" s="1"/>
  <c r="L14" i="1" l="1"/>
  <c r="J16" i="1"/>
  <c r="L16" i="1" s="1"/>
  <c r="AJ16" i="1"/>
  <c r="AK16" i="1" s="1"/>
  <c r="AJ14" i="1"/>
  <c r="AK14" i="1" s="1"/>
  <c r="AJ13" i="1"/>
  <c r="AK13" i="1" s="1"/>
  <c r="AA24" i="1" l="1"/>
  <c r="AE24" i="1" s="1"/>
  <c r="X24" i="1"/>
  <c r="W24" i="1"/>
  <c r="V24" i="1"/>
  <c r="S24" i="1"/>
  <c r="U24" i="1" s="1"/>
  <c r="Q10" i="1"/>
  <c r="W10" i="1" s="1"/>
  <c r="Q11" i="1"/>
  <c r="W12" i="1"/>
  <c r="AE12" i="1"/>
  <c r="V12" i="1"/>
  <c r="AF12" i="1" s="1"/>
  <c r="AE10" i="1"/>
  <c r="V10" i="1"/>
  <c r="AF10" i="1" s="1"/>
  <c r="AA9" i="1"/>
  <c r="AE9" i="1" s="1"/>
  <c r="W6" i="1"/>
  <c r="W8" i="1"/>
  <c r="AE8" i="1"/>
  <c r="V8" i="1"/>
  <c r="Q9" i="1"/>
  <c r="W9" i="1" s="1"/>
  <c r="Q7" i="1"/>
  <c r="W7" i="1" s="1"/>
  <c r="AE7" i="1"/>
  <c r="V7" i="1"/>
  <c r="V9" i="1"/>
  <c r="T24" i="1" l="1"/>
  <c r="Y24" i="1"/>
  <c r="AF24" i="1"/>
  <c r="S12" i="1"/>
  <c r="U12" i="1" s="1"/>
  <c r="Y12" i="1" s="1"/>
  <c r="S10" i="1"/>
  <c r="T10" i="1" s="1"/>
  <c r="S8" i="1"/>
  <c r="S7" i="1"/>
  <c r="T7" i="1" s="1"/>
  <c r="S9" i="1"/>
  <c r="T9" i="1" s="1"/>
  <c r="AE11" i="1"/>
  <c r="W11" i="1"/>
  <c r="V11" i="1"/>
  <c r="AF11" i="1" s="1"/>
  <c r="AG24" i="1" l="1"/>
  <c r="AH24" i="1" s="1"/>
  <c r="AI24" i="1" s="1"/>
  <c r="U10" i="1"/>
  <c r="Y10" i="1" s="1"/>
  <c r="AG10" i="1" s="1"/>
  <c r="AH10" i="1" s="1"/>
  <c r="AI10" i="1" s="1"/>
  <c r="T12" i="1"/>
  <c r="AG12" i="1"/>
  <c r="AH12" i="1" s="1"/>
  <c r="AI12" i="1" s="1"/>
  <c r="U8" i="1"/>
  <c r="Y8" i="1" s="1"/>
  <c r="T8" i="1"/>
  <c r="U9" i="1"/>
  <c r="Y9" i="1" s="1"/>
  <c r="AG9" i="1" s="1"/>
  <c r="AH9" i="1" s="1"/>
  <c r="AI9" i="1" s="1"/>
  <c r="U7" i="1"/>
  <c r="Y7" i="1" s="1"/>
  <c r="S11" i="1"/>
  <c r="T11" i="1" s="1"/>
  <c r="Q23" i="1"/>
  <c r="W23" i="1" s="1"/>
  <c r="AE23" i="1"/>
  <c r="V23" i="1"/>
  <c r="AE6" i="1"/>
  <c r="V6" i="1"/>
  <c r="AE15" i="1"/>
  <c r="V15" i="1"/>
  <c r="Q18" i="1"/>
  <c r="W18" i="1" s="1"/>
  <c r="Q25" i="1"/>
  <c r="AE18" i="1"/>
  <c r="V18" i="1"/>
  <c r="AF18" i="1" s="1"/>
  <c r="V19" i="1"/>
  <c r="AF19" i="1" s="1"/>
  <c r="AJ24" i="1" l="1"/>
  <c r="AK24" i="1" s="1"/>
  <c r="G24" i="1"/>
  <c r="J24" i="1" s="1"/>
  <c r="L24" i="1" s="1"/>
  <c r="AJ12" i="1"/>
  <c r="AK12" i="1" s="1"/>
  <c r="J12" i="1"/>
  <c r="L12" i="1" s="1"/>
  <c r="AJ10" i="1"/>
  <c r="AK10" i="1" s="1"/>
  <c r="G10" i="1"/>
  <c r="J10" i="1" s="1"/>
  <c r="L10" i="1" s="1"/>
  <c r="AG8" i="1"/>
  <c r="AH8" i="1" s="1"/>
  <c r="AI8" i="1" s="1"/>
  <c r="AG7" i="1"/>
  <c r="AH7" i="1" s="1"/>
  <c r="AI7" i="1" s="1"/>
  <c r="AJ9" i="1"/>
  <c r="AK9" i="1" s="1"/>
  <c r="J9" i="1"/>
  <c r="L9" i="1" s="1"/>
  <c r="U11" i="1"/>
  <c r="Y11" i="1" s="1"/>
  <c r="S23" i="1"/>
  <c r="T23" i="1" s="1"/>
  <c r="S6" i="1"/>
  <c r="T6" i="1" s="1"/>
  <c r="S15" i="1"/>
  <c r="T15" i="1" s="1"/>
  <c r="S18" i="1"/>
  <c r="T18" i="1" s="1"/>
  <c r="S19" i="1"/>
  <c r="T19" i="1" s="1"/>
  <c r="J8" i="1" l="1"/>
  <c r="L8" i="1" s="1"/>
  <c r="AJ8" i="1"/>
  <c r="AK8" i="1" s="1"/>
  <c r="J7" i="1"/>
  <c r="L7" i="1" s="1"/>
  <c r="AJ7" i="1"/>
  <c r="AK7" i="1" s="1"/>
  <c r="AG11" i="1"/>
  <c r="AH11" i="1" s="1"/>
  <c r="AI11" i="1" s="1"/>
  <c r="U23" i="1"/>
  <c r="Y23" i="1" s="1"/>
  <c r="U6" i="1"/>
  <c r="Y6" i="1" s="1"/>
  <c r="U15" i="1"/>
  <c r="Y15" i="1" s="1"/>
  <c r="U18" i="1"/>
  <c r="Y18" i="1" s="1"/>
  <c r="U19" i="1"/>
  <c r="Y19" i="1" s="1"/>
  <c r="AG19" i="1" s="1"/>
  <c r="AJ11" i="1" l="1"/>
  <c r="AK11" i="1" s="1"/>
  <c r="J11" i="1"/>
  <c r="L11" i="1" s="1"/>
  <c r="AG23" i="1"/>
  <c r="AH23" i="1" s="1"/>
  <c r="AI23" i="1" s="1"/>
  <c r="AG6" i="1"/>
  <c r="AH6" i="1" s="1"/>
  <c r="AI6" i="1" s="1"/>
  <c r="AG15" i="1"/>
  <c r="AH15" i="1" s="1"/>
  <c r="AI15" i="1" s="1"/>
  <c r="AG18" i="1"/>
  <c r="AH18" i="1" s="1"/>
  <c r="AI18" i="1" s="1"/>
  <c r="AH19" i="1"/>
  <c r="AI19" i="1" s="1"/>
  <c r="AJ23" i="1" l="1"/>
  <c r="AK23" i="1" s="1"/>
  <c r="G23" i="1"/>
  <c r="J23" i="1" s="1"/>
  <c r="L23" i="1" s="1"/>
  <c r="J6" i="1"/>
  <c r="L6" i="1" s="1"/>
  <c r="AJ6" i="1"/>
  <c r="AK6" i="1" s="1"/>
  <c r="AJ15" i="1"/>
  <c r="AK15" i="1" s="1"/>
  <c r="J15" i="1"/>
  <c r="L15" i="1" s="1"/>
  <c r="AJ18" i="1"/>
  <c r="AK18" i="1" s="1"/>
  <c r="G18" i="1"/>
  <c r="J18" i="1" s="1"/>
  <c r="L18" i="1" s="1"/>
  <c r="J19" i="1"/>
  <c r="L19" i="1" s="1"/>
  <c r="AJ19" i="1"/>
  <c r="AK19" i="1" s="1"/>
  <c r="AE5" i="1" l="1"/>
  <c r="V5" i="1"/>
  <c r="Q5" i="1"/>
  <c r="W5" i="1" s="1"/>
  <c r="AA25" i="1"/>
  <c r="AE25" i="1" s="1"/>
  <c r="X25" i="1"/>
  <c r="W25" i="1"/>
  <c r="V25" i="1"/>
  <c r="S5" i="1" l="1"/>
  <c r="S25" i="1"/>
  <c r="AF25" i="1"/>
  <c r="T5" i="1" l="1"/>
  <c r="T25" i="1"/>
  <c r="U5" i="1"/>
  <c r="Y5" i="1" s="1"/>
  <c r="U25" i="1"/>
  <c r="Y25" i="1" s="1"/>
  <c r="AG25" i="1" s="1"/>
  <c r="AH25" i="1" s="1"/>
  <c r="AI25" i="1" s="1"/>
  <c r="AG5" i="1" l="1"/>
  <c r="AH5" i="1" s="1"/>
  <c r="AI5" i="1" s="1"/>
  <c r="G25" i="1"/>
  <c r="J25" i="1" s="1"/>
  <c r="L25" i="1" s="1"/>
  <c r="AJ25" i="1"/>
  <c r="AK25" i="1" s="1"/>
  <c r="J5" i="1" l="1"/>
  <c r="L5" i="1" s="1"/>
  <c r="AJ5" i="1"/>
  <c r="AK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13" authorId="0" shapeId="0" xr:uid="{12422E02-5ECE-4FDB-B10F-ACABCFA488EC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4" authorId="0" shapeId="0" xr:uid="{A31C1C9B-A59C-4652-A0CD-B5161C64F5C2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<sst xmlns="http://schemas.openxmlformats.org/spreadsheetml/2006/main" count="190" uniqueCount="122">
  <si>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</si>
  <si>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</si>
  <si>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</si>
  <si>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</si>
  <si>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</si>
  <si>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</si>
  <si>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</si>
  <si>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</si>
  <si>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</si>
  <si>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</si>
  <si>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</si>
  <si>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</si>
  <si>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</si>
  <si>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</si>
  <si>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</si>
  <si>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</si>
  <si>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</si>
  <si>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</si>
  <si>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</si>
  <si>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</si>
  <si>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</si>
  <si>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</si>
  <si>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</si>
  <si>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</si>
  <si>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</si>
  <si>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</si>
  <si>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</si>
  <si>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</si>
  <si>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</si>
  <si>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</si>
  <si>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</si>
  <si>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</si>
  <si>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</si>
  <si>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</si>
  <si>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</si>
  <si>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uv</t>
  </si>
  <si>
    <t>CHIPER</t>
  </si>
  <si>
    <t>COCH-2126N</t>
  </si>
  <si>
    <t>2126N</t>
  </si>
  <si>
    <t xml:space="preserve">S/.420 incluido IGV </t>
  </si>
  <si>
    <t>YA INCLUYE</t>
  </si>
  <si>
    <t>COIT-NB107</t>
  </si>
  <si>
    <t>5 a 7 Días útiles</t>
  </si>
  <si>
    <t>COTIZACIÓN PROPUESTA_ESTUDIO JURIDICO ROMERO_05.05.26</t>
  </si>
  <si>
    <t>COIT-CUP-216</t>
  </si>
  <si>
    <t xml:space="preserve">TOMATODO PLASTICO TRASLUCIDO </t>
  </si>
  <si>
    <t>ITEC</t>
  </si>
  <si>
    <t>CUP-216</t>
  </si>
  <si>
    <t>Precio
S/.5.90 + IGV</t>
  </si>
  <si>
    <t>CUADERNO ANILLADO A5 TAPA DURA CON LAPICERO</t>
  </si>
  <si>
    <t>7 a 9 Días útiles</t>
  </si>
  <si>
    <t>NB107</t>
  </si>
  <si>
    <t>Precio
S/.5.98 + IGV</t>
  </si>
  <si>
    <t>COEF-YH-154</t>
  </si>
  <si>
    <t xml:space="preserve">TOMATODO PLASTICO </t>
  </si>
  <si>
    <t>EYF</t>
  </si>
  <si>
    <t>YH-154</t>
  </si>
  <si>
    <r>
      <rPr>
        <b/>
        <u/>
        <sz val="16"/>
        <rFont val="Arial"/>
        <family val="2"/>
      </rPr>
      <t xml:space="preserve">TOMATODO PLASTICO TRASLUCIDO </t>
    </r>
    <r>
      <rPr>
        <sz val="16"/>
        <rFont val="Arial"/>
        <family val="2"/>
      </rPr>
      <t xml:space="preserve">
Material: Plástico
Capacidad: 775 ml
Medida: 22cm x 7cm
Color: Negro, azul y rojo
Presentacion: Cajita individul 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</si>
  <si>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r>
      <rPr>
        <b/>
        <u/>
        <sz val="16"/>
        <rFont val="Arial"/>
        <family val="2"/>
      </rPr>
      <t xml:space="preserve">TOMATODO PLASTICO </t>
    </r>
    <r>
      <rPr>
        <sz val="16"/>
        <rFont val="Arial"/>
        <family val="2"/>
      </rPr>
      <t xml:space="preserve">
Descripción: Tomatodo plástico PC de cuerpo de color traslúcido, con tapa asa de color sólido y sorbete interior blanco. Para agua caliente y fría.
Capacidad: 750 ml.
Medidas: 23.5cm x 7.5cm
Color: Negro, azul, rojo y transparente
Presentacion: Cajita individul 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</si>
  <si>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t>TOMATODO VITALIS</t>
  </si>
  <si>
    <t xml:space="preserve">TIENDA PUBLICITARIA </t>
  </si>
  <si>
    <t>Precio
S/.8.00 +  IGV</t>
  </si>
  <si>
    <t>Precio
S/.6.96 incluido IGV</t>
  </si>
  <si>
    <t>TOMATODO ROCKET</t>
  </si>
  <si>
    <t>Precio
S/.6.60 incluido IGV</t>
  </si>
  <si>
    <t>CUADERNO PU A5</t>
  </si>
  <si>
    <t>Precio
S/.6.08 incluido IGV</t>
  </si>
  <si>
    <t xml:space="preserve">BOLSA CON FUELLE </t>
  </si>
  <si>
    <t xml:space="preserve">S/.1.53 incluido IGV </t>
  </si>
  <si>
    <r>
      <rPr>
        <b/>
        <u/>
        <sz val="16"/>
        <rFont val="Arial"/>
        <family val="2"/>
      </rPr>
      <t xml:space="preserve">CUADERNO ANILLADO A5 TAPA DURA CON LAPICERO
</t>
    </r>
    <r>
      <rPr>
        <sz val="16"/>
        <rFont val="Arial"/>
        <family val="2"/>
      </rPr>
      <t xml:space="preserve">Material papel y carton reciclado
70 hojas blancas rayadas
Tamaño: 15x21cm
Color: Natural
Presentacion: Caja grupal, no bolsita individual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</si>
  <si>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r>
      <rPr>
        <b/>
        <u/>
        <sz val="16"/>
        <rFont val="Arial"/>
        <family val="2"/>
      </rPr>
      <t>TOMATODO VITALIS</t>
    </r>
    <r>
      <rPr>
        <sz val="16"/>
        <rFont val="Arial"/>
        <family val="2"/>
      </rPr>
      <t xml:space="preserve">
Material: Plástico libre de BPA
Capacidad: 600 ml
Medida: 21cm x 6,5cm
Color: Negro, azul, transparente y rojo
Presentacion: Bolsita individul 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</si>
  <si>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r>
      <rPr>
        <b/>
        <u/>
        <sz val="16"/>
        <rFont val="Arial"/>
        <family val="2"/>
      </rPr>
      <t>BOLSA CON FUELLE</t>
    </r>
    <r>
      <rPr>
        <sz val="16"/>
        <rFont val="Arial"/>
        <family val="2"/>
      </rPr>
      <t xml:space="preserve">
Material: Notex 80 gr
Medida: 37cm x 34cm x 9cm
Incluye asas de 50 cm 
Color: Negro y azul
Presentacion: Caja grupal, no bolsita individual
</t>
    </r>
    <r>
      <rPr>
        <b/>
        <sz val="16"/>
        <color rgb="FFFF0000"/>
        <rFont val="Arial"/>
        <family val="2"/>
      </rPr>
      <t>*Incluye 1 logo a 1 color por 1 lado en DTF
*Arte y diseño facilitado por el cliente.</t>
    </r>
  </si>
  <si>
    <t>IGOE</t>
  </si>
  <si>
    <t xml:space="preserve">LAPICERO METALICO </t>
  </si>
  <si>
    <t>COCK-KM2019GR</t>
  </si>
  <si>
    <t>LAPICERO PLASTICO</t>
  </si>
  <si>
    <t>COPP-LP38</t>
  </si>
  <si>
    <t>COCH-M04-1</t>
  </si>
  <si>
    <r>
      <rPr>
        <b/>
        <u/>
        <sz val="16"/>
        <rFont val="Arial"/>
        <family val="2"/>
      </rPr>
      <t xml:space="preserve">LAPICERO METALICO </t>
    </r>
    <r>
      <rPr>
        <sz val="16"/>
        <rFont val="Arial"/>
        <family val="2"/>
      </rPr>
      <t xml:space="preserve">
Lapicero metálico, con sistema retractil.
Clip y aros plateados.
Color de Tinta: Azul
Color: Negro
Presentación: Caja grupal
</t>
    </r>
    <r>
      <rPr>
        <b/>
        <sz val="16"/>
        <color rgb="FFFF0000"/>
        <rFont val="Arial"/>
        <family val="2"/>
      </rPr>
      <t>*Incluye logo a full color a 1 lado.
*Arte y diseño facilitado por el cliente.</t>
    </r>
  </si>
  <si>
    <t>PROMOS PERU</t>
  </si>
  <si>
    <t>CHIPPER</t>
  </si>
  <si>
    <t>CKI</t>
  </si>
  <si>
    <r>
      <rPr>
        <b/>
        <u/>
        <sz val="16"/>
        <rFont val="Arial"/>
        <family val="2"/>
      </rPr>
      <t>LAPICERO PLÁSTICO</t>
    </r>
    <r>
      <rPr>
        <sz val="16"/>
        <rFont val="Arial"/>
        <family val="2"/>
      </rPr>
      <t xml:space="preserve">
Lapicero retractil tipo stanley.
Color de tinta: Azul
Colores. Negro, Blanco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</si>
  <si>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r>
      <rPr>
        <b/>
        <u/>
        <sz val="16"/>
        <rFont val="Arial"/>
        <family val="2"/>
      </rPr>
      <t>LAPICERO PLÁSTICO</t>
    </r>
    <r>
      <rPr>
        <sz val="16"/>
        <rFont val="Arial"/>
        <family val="2"/>
      </rPr>
      <t xml:space="preserve">
Material: Plástico
Cuerpo translucido de color entero con goma de color, detalles plateados y sistema retractil
Tinta: Seca, azul
Color: Negro
Presentación: Grupal, no bolsita individual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</si>
  <si>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t>COEF-B-5006-5</t>
  </si>
  <si>
    <r>
      <rPr>
        <b/>
        <u/>
        <sz val="16"/>
        <rFont val="Arial"/>
        <family val="2"/>
      </rPr>
      <t xml:space="preserve">LAPICERO METALICO </t>
    </r>
    <r>
      <rPr>
        <sz val="16"/>
        <rFont val="Arial"/>
        <family val="2"/>
      </rPr>
      <t xml:space="preserve">
Medidas: Largo: 14.5 cm. Diámetro: 1 cm.
Descripción: Lapicero metálico de sistema retráctil 
Color de tinta: Seca color Negro 
Color: Negro, plateado, gris y blanco
Presentación: Caja grupal
</t>
    </r>
    <r>
      <rPr>
        <b/>
        <sz val="16"/>
        <color rgb="FFFF0000"/>
        <rFont val="Arial"/>
        <family val="2"/>
      </rPr>
      <t>*Incluye logo a full color a 1 lado.
*Arte y diseño facilitado por el cliente.</t>
    </r>
  </si>
  <si>
    <r>
      <rPr>
        <b/>
        <u/>
        <sz val="16"/>
        <rFont val="Arial"/>
        <family val="2"/>
      </rPr>
      <t xml:space="preserve">LAPICERO METALICO </t>
    </r>
    <r>
      <rPr>
        <sz val="16"/>
        <rFont val="Arial"/>
        <family val="2"/>
      </rPr>
      <t xml:space="preserve">
Lapicero Touch de Aluminio
Barril engomado / accesorios Oro Rosa
Color de Tinta: negra
Color: Negro
Presentación: Caja grupal
</t>
    </r>
    <r>
      <rPr>
        <b/>
        <sz val="16"/>
        <color rgb="FFFF0000"/>
        <rFont val="Arial"/>
        <family val="2"/>
      </rPr>
      <t>*Incluye logo grabado a láser a 1 lado.
*Arte y diseño facilitado por el cliente.</t>
    </r>
  </si>
  <si>
    <t>BOLSA NOTEX GRANDE</t>
  </si>
  <si>
    <t>BOLSA NOTEX MEDIANA</t>
  </si>
  <si>
    <t>BOLSA NOTEX GRANDE- 1 COLOR</t>
  </si>
  <si>
    <r>
      <rPr>
        <b/>
        <u/>
        <sz val="16"/>
        <color theme="1"/>
        <rFont val="Arial"/>
        <family val="2"/>
      </rPr>
      <t>BOLSA NOTEX GRANDE- 1 COLOR</t>
    </r>
    <r>
      <rPr>
        <sz val="16"/>
        <rFont val="Arial"/>
        <family val="2"/>
      </rPr>
      <t xml:space="preserve">
Medida : 40 x 35 x 10 cm
Material: Notex de 80 grs.
Modelo con asas, fuelle y termosellado.
Color: Negro 
Presentación: Empaque grupal
</t>
    </r>
    <r>
      <rPr>
        <b/>
        <sz val="16"/>
        <color rgb="FFFF0000"/>
        <rFont val="Arial"/>
        <family val="2"/>
      </rPr>
      <t>*Incluye logo a 1 color por 1 lado.
*Diseño o arte facilitado por el cliente</t>
    </r>
  </si>
  <si>
    <r>
      <rPr>
        <b/>
        <u/>
        <sz val="16"/>
        <color theme="1"/>
        <rFont val="Arial"/>
        <family val="2"/>
      </rPr>
      <t>BOLSA NOTEX GRANDE</t>
    </r>
    <r>
      <rPr>
        <sz val="16"/>
        <rFont val="Arial"/>
        <family val="2"/>
      </rPr>
      <t xml:space="preserve">
Medida : 40 x 35 x 10 cm
Material: Notex de 80 grs.
Modelo con asas, fuelle y termosellado.
Color: Negro 
Presentación: Empaque grupal
</t>
    </r>
    <r>
      <rPr>
        <b/>
        <sz val="16"/>
        <color rgb="FFFF0000"/>
        <rFont val="Arial"/>
        <family val="2"/>
      </rPr>
      <t>*Incluye logo a full color por 1 lado.
*Diseño o arte facilitado por el cliente</t>
    </r>
  </si>
  <si>
    <r>
      <rPr>
        <b/>
        <u/>
        <sz val="16"/>
        <color theme="1"/>
        <rFont val="Arial"/>
        <family val="2"/>
      </rPr>
      <t>BOLSA NOTEX MEDIANA</t>
    </r>
    <r>
      <rPr>
        <sz val="16"/>
        <rFont val="Arial"/>
        <family val="2"/>
      </rPr>
      <t xml:space="preserve">
Medida : 30 x 25 x 10 CM
Material: Notex de 80 grs.
Modelo con asas, fuelle y termosellado.
Color: Negro 
Presentación: Empaque grupal
</t>
    </r>
    <r>
      <rPr>
        <b/>
        <sz val="16"/>
        <color rgb="FFFF0000"/>
        <rFont val="Arial"/>
        <family val="2"/>
      </rPr>
      <t>*Incluye logo a full color por 1 lado.
*Diseño o arte facilitado por el cliente</t>
    </r>
  </si>
  <si>
    <t>OLAF</t>
  </si>
  <si>
    <t>3.73
Logo dtf, medida de logo 12ancho a proporción de alto
empaquetado grupal, recojo en taller
medida 30 x 25 x 10 CM</t>
  </si>
  <si>
    <t>3.83
Logo dtf, medida de logo 12ancho a proporción de alto
empaquetado grupal, recojo en taller
Medida: la vieja confiable</t>
  </si>
  <si>
    <t>10 a 12 Dias utiles</t>
  </si>
  <si>
    <r>
      <t xml:space="preserve">INNOVAGRAFA  
</t>
    </r>
    <r>
      <rPr>
        <b/>
        <sz val="16"/>
        <rFont val="Arial"/>
        <family val="2"/>
      </rPr>
      <t>MARCO ACGRAF</t>
    </r>
  </si>
  <si>
    <t>PRECIO VALIDADO: S/.1780.00
/
S/ 9.50 C/U + IGV</t>
  </si>
  <si>
    <t>CUADERNO PU A6</t>
  </si>
  <si>
    <t>CUADERNO CORPORATIVO-TAPA DELGADA</t>
  </si>
  <si>
    <t>CUADERNO CORPORATIVO- TAPA DURA</t>
  </si>
  <si>
    <r>
      <rPr>
        <b/>
        <u/>
        <sz val="16"/>
        <color theme="1"/>
        <rFont val="Arial"/>
        <family val="2"/>
      </rPr>
      <t>CUADERNO CORPORATIVO- TAPA DURA</t>
    </r>
    <r>
      <rPr>
        <sz val="16"/>
        <color theme="1"/>
        <rFont val="Arial"/>
        <family val="2"/>
      </rPr>
      <t xml:space="preserve">
Tamaño A5 (20.5X 14.5 cm aprox
</t>
    </r>
    <r>
      <rPr>
        <b/>
        <sz val="16"/>
        <color theme="1"/>
        <rFont val="Arial"/>
        <family val="2"/>
      </rPr>
      <t>Tapa y contratapa</t>
    </r>
    <r>
      <rPr>
        <sz val="16"/>
        <color theme="1"/>
        <rFont val="Arial"/>
        <family val="2"/>
      </rPr>
      <t xml:space="preserve">
Cartón duro, forrado en couche de 150 gr a full color
Guardas: En blanco
Acabados: Plastificado mate
</t>
    </r>
    <r>
      <rPr>
        <b/>
        <sz val="16"/>
        <color theme="1"/>
        <rFont val="Arial"/>
        <family val="2"/>
      </rPr>
      <t>Interiores</t>
    </r>
    <r>
      <rPr>
        <sz val="16"/>
        <color theme="1"/>
        <rFont val="Arial"/>
        <family val="2"/>
      </rPr>
      <t xml:space="preserve">
100 hojas bond 75 grs con impresión a 1 color ambos lados 
Acabados: Anillado doble ring </t>
    </r>
    <r>
      <rPr>
        <b/>
        <sz val="16"/>
        <color theme="1"/>
        <rFont val="Arial"/>
        <family val="2"/>
      </rPr>
      <t>(Blanco o negro)</t>
    </r>
    <r>
      <rPr>
        <sz val="16"/>
        <color theme="1"/>
        <rFont val="Arial"/>
        <family val="2"/>
      </rPr>
      <t xml:space="preserve">, plastificado mate.
Presentación: Empaque grupal
</t>
    </r>
    <r>
      <rPr>
        <b/>
        <sz val="16"/>
        <color rgb="FFFF0000"/>
        <rFont val="Arial"/>
        <family val="2"/>
      </rPr>
      <t>*Arte y diseño debe ser facilitado por el cliente.</t>
    </r>
  </si>
  <si>
    <r>
      <rPr>
        <b/>
        <u/>
        <sz val="16"/>
        <color theme="1"/>
        <rFont val="Arial"/>
        <family val="2"/>
      </rPr>
      <t>CUADERNO CORPORATIVO-TAPA DELGADA</t>
    </r>
    <r>
      <rPr>
        <sz val="16"/>
        <color theme="1"/>
        <rFont val="Arial"/>
        <family val="2"/>
      </rPr>
      <t xml:space="preserve">
Tamaño A5 (20.5X 14.5 cm aprox
</t>
    </r>
    <r>
      <rPr>
        <b/>
        <sz val="16"/>
        <color theme="1"/>
        <rFont val="Arial"/>
        <family val="2"/>
      </rPr>
      <t>Tapa y contratapa</t>
    </r>
    <r>
      <rPr>
        <sz val="16"/>
        <color theme="1"/>
        <rFont val="Arial"/>
        <family val="2"/>
      </rPr>
      <t xml:space="preserve">
Tapas de folcote a full color.
Guardas: En blanco
Acabados: Plastificado mate
</t>
    </r>
    <r>
      <rPr>
        <b/>
        <sz val="16"/>
        <color theme="1"/>
        <rFont val="Arial"/>
        <family val="2"/>
      </rPr>
      <t>Interiores</t>
    </r>
    <r>
      <rPr>
        <sz val="16"/>
        <color theme="1"/>
        <rFont val="Arial"/>
        <family val="2"/>
      </rPr>
      <t xml:space="preserve">
100 hojas bond 75 grs con impresión a 1 color ambos lados 
Acabados: Anillado doble ring </t>
    </r>
    <r>
      <rPr>
        <b/>
        <sz val="16"/>
        <color theme="1"/>
        <rFont val="Arial"/>
        <family val="2"/>
      </rPr>
      <t>(Blanco o negro)</t>
    </r>
    <r>
      <rPr>
        <sz val="16"/>
        <color theme="1"/>
        <rFont val="Arial"/>
        <family val="2"/>
      </rPr>
      <t xml:space="preserve">, plastificado mate.
Presentación: Empaque grupal
</t>
    </r>
    <r>
      <rPr>
        <b/>
        <sz val="16"/>
        <color rgb="FFFF0000"/>
        <rFont val="Arial"/>
        <family val="2"/>
      </rPr>
      <t>*Arte y diseño debe ser facilitado por el cliente.</t>
    </r>
  </si>
  <si>
    <t>UV</t>
  </si>
  <si>
    <r>
      <rPr>
        <b/>
        <u/>
        <sz val="16"/>
        <rFont val="Arial"/>
        <family val="2"/>
      </rPr>
      <t>CUADERNO PU A5</t>
    </r>
    <r>
      <rPr>
        <sz val="16"/>
        <rFont val="Arial"/>
        <family val="2"/>
      </rPr>
      <t xml:space="preserve">
Material: Poliuretano 
Medida: 21cm x 14,5cm
Incluye: Tapa dura,  80 hojas rayadas,hojas cocidas, separador de tela y liga 
Color: Negro, azul y gris
Presentacion: Caja grupal
</t>
    </r>
    <r>
      <rPr>
        <b/>
        <sz val="16"/>
        <color rgb="FFFF0000"/>
        <rFont val="Arial"/>
        <family val="2"/>
      </rPr>
      <t>*Incluye 1 logo a full color por 1 lado
*Arte y diseño facilitado por el cliente.</t>
    </r>
  </si>
  <si>
    <r>
      <rPr>
        <b/>
        <u/>
        <sz val="16"/>
        <rFont val="Arial"/>
        <family val="2"/>
      </rPr>
      <t>CUADERNO PU A6</t>
    </r>
    <r>
      <rPr>
        <sz val="16"/>
        <rFont val="Arial"/>
        <family val="2"/>
      </rPr>
      <t xml:space="preserve">
Material: Poliuretano
Medida: 14 x 9 cm
Incluye: Tapa dura,  80 hojas rayadas,hojas cocidas, separador de tela y liga 
Color: Negro, azul 
Presentacion: Caja grupal
</t>
    </r>
    <r>
      <rPr>
        <b/>
        <sz val="16"/>
        <color rgb="FFFF0000"/>
        <rFont val="Arial"/>
        <family val="2"/>
      </rPr>
      <t>*Incluye 1 logo a full color por 1 lado
*Arte y diseño facilitado por el cliente.</t>
    </r>
  </si>
  <si>
    <r>
      <rPr>
        <b/>
        <u/>
        <sz val="16"/>
        <rFont val="Arial"/>
        <family val="2"/>
      </rPr>
      <t>TOMATODO ROCKET</t>
    </r>
    <r>
      <rPr>
        <sz val="16"/>
        <rFont val="Arial"/>
        <family val="2"/>
      </rPr>
      <t xml:space="preserve">
Material: Plástico libre de BPA + Acero Inox.
Capacidad: 600 ml
Medida: 21cm x 6,5cm
Incluye: Tapa de acero y sujetador Nylon.
Color: Negro, azul, transparente y rojo
Presentacion: Caja grupal 
</t>
    </r>
    <r>
      <rPr>
        <b/>
        <sz val="16"/>
        <color rgb="FFFF0000"/>
        <rFont val="Arial"/>
        <family val="2"/>
      </rPr>
      <t>*Incluye 1 logo a 1 color por 1 lado
*Arte y diseño facilitado por el cliente.</t>
    </r>
  </si>
  <si>
    <t>COTP-FALCON</t>
  </si>
  <si>
    <t>COTM-450 TK</t>
  </si>
  <si>
    <t>TOMATODO PLÁSTICO</t>
  </si>
  <si>
    <t>HPM</t>
  </si>
  <si>
    <t>WILFREDO</t>
  </si>
  <si>
    <t>COPM-TD09</t>
  </si>
  <si>
    <t>CAJA SORPRESA</t>
  </si>
  <si>
    <r>
      <rPr>
        <b/>
        <u/>
        <sz val="16"/>
        <rFont val="Arial"/>
        <family val="2"/>
      </rPr>
      <t>CAJA DULCES SORPRESA ECO</t>
    </r>
    <r>
      <rPr>
        <sz val="16"/>
        <rFont val="Arial"/>
        <family val="2"/>
      </rPr>
      <t xml:space="preserve">
Ideas para colocar dulces o pequeños detalles como sorpresa. Por el exterior e 
interior de la caja se puede poner diseños y/o mensajes temáticos en común.
Material: Liner de 300 grs
Medidas: 7.5 cm por lado.
Modelo 2 piezas: tapa y base (por separado), ambos con impresión
Impresión hasta 2 colores en el interior y por el exterior.
Acabados: Plastificado solo por el exterior, adentro no
Presentacion: Empaque grupal, producto desarmado</t>
    </r>
    <r>
      <rPr>
        <b/>
        <sz val="16"/>
        <color rgb="FFFF0000"/>
        <rFont val="Arial"/>
        <family val="2"/>
      </rPr>
      <t xml:space="preserve">
*Arte y diseño facilitado por el cliente.</t>
    </r>
  </si>
  <si>
    <t>Proveedor IMPRESIONES GRAFICAS GENERALES
Fredy
Cel.925 609 686</t>
  </si>
  <si>
    <t>En material lliner o couche 300 gr. mismo precio
1000 a S/.1380 
500 a S/. 1180
+IGV
Tiempo 6 dias</t>
  </si>
  <si>
    <t xml:space="preserve">
CAJA DULCES SORPRESA ECO
Material couche 300 gr
Couche mate
1000 a S/.1550
500 a S/. 1050
+IGV
Tiempo 4 dias</t>
  </si>
  <si>
    <r>
      <rPr>
        <b/>
        <u/>
        <sz val="16"/>
        <rFont val="Arial"/>
        <family val="2"/>
      </rPr>
      <t xml:space="preserve">TOMATODO PLASTICO </t>
    </r>
    <r>
      <rPr>
        <sz val="16"/>
        <rFont val="Arial"/>
        <family val="2"/>
      </rPr>
      <t xml:space="preserve">
Material: Plástico Libre de BPA
Capacidad: 800 ml
Medida: 24cm x 7 cm Diámetro.
Boquilla Antigoteo + Jalador + Grip de Silicona
Tapa de boquilla : Rosca
Color: Negro, azul, rojo y transparente
Presentacion: Caja grupal 
</t>
    </r>
    <r>
      <rPr>
        <b/>
        <sz val="16"/>
        <color rgb="FFFF0000"/>
        <rFont val="Arial"/>
        <family val="2"/>
      </rPr>
      <t>*Incluye 1 logo a 1 color por 1 lado
*Arte y diseño facilitado por el cliente.
*Costo Adicional Full color: + S/ 0.70 c/u</t>
    </r>
  </si>
  <si>
    <r>
      <rPr>
        <b/>
        <u/>
        <sz val="16"/>
        <rFont val="Arial"/>
        <family val="2"/>
      </rPr>
      <t xml:space="preserve">TOMATODO PLÁSTICO
</t>
    </r>
    <r>
      <rPr>
        <sz val="16"/>
        <rFont val="Arial"/>
        <family val="2"/>
      </rPr>
      <t>Tomatodo de PVC  800ml 
Medidas:24cm de alto con asa: 25cm de alto  7.5cm de ancho.
Modelo con sorbete, tapa push y asa.
Colores: Azul, blanco, negro, rojo, naranja y verde
Presentación: sin bolsa individual, caja grupal</t>
    </r>
    <r>
      <rPr>
        <b/>
        <sz val="16"/>
        <color indexed="10"/>
        <rFont val="Arial"/>
        <family val="2"/>
      </rPr>
      <t xml:space="preserve">
*Incluye 1 logo a 1 color por 1 lado
*Arte y diseño facilitado por el cliente.</t>
    </r>
    <r>
      <rPr>
        <sz val="16"/>
        <color theme="1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*Costo Adicional Full color: + S/ 0.70 c/u</t>
    </r>
  </si>
  <si>
    <r>
      <rPr>
        <b/>
        <u/>
        <sz val="16"/>
        <rFont val="Arial"/>
        <family val="2"/>
      </rPr>
      <t xml:space="preserve">TOMATODO PLÁSTICO
</t>
    </r>
    <r>
      <rPr>
        <sz val="16"/>
        <rFont val="Arial"/>
        <family val="2"/>
      </rPr>
      <t xml:space="preserve">Medidas: Altura: 25 cm. Diámetro: 7.5 cm. (Aprox.)                    Descripción: Tomatodo plástico de cuerpo de color traslúcido, con tapa asa de color sólido. Para agua caliente y fría.
Capacidad: 800 ml.
Colores: Azul, blanco, negro, rojo, naranja y verde
Presentación: sin bolsa individual, caja grupal
</t>
    </r>
    <r>
      <rPr>
        <b/>
        <sz val="16"/>
        <color indexed="10"/>
        <rFont val="Arial"/>
        <family val="2"/>
      </rPr>
      <t>*Incluye 1 logo a 1 color por 1 lado
*Arte y diseño facilitado por el cliente.</t>
    </r>
    <r>
      <rPr>
        <sz val="16"/>
        <color theme="1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*Costo Adicional Full color: + S/ 0.70 c/u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</si>
</sst>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71" formatCode="_ * #,##0.00_ ;_ * \-#,##0.00_ ;_ * &quot;-&quot;??_ ;_ @_ "/>
    <numFmt numFmtId="173" formatCode="_-[$$-409]* #,##0.00_ ;_-[$$-409]* \-#,##0.00\ ;_-[$$-409]* &quot;-&quot;??_ ;_-@_ "/>
    <numFmt numFmtId="174" formatCode="_(* #,##0_);_(* \(#,##0\);_(* &quot;-&quot;??_);_(@_)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8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1"/>
      <color indexed="8"/>
      <name val="Calibri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color rgb="FFFF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8"/>
      <color indexed="8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b/>
      <sz val="18"/>
      <color indexed="10"/>
      <name val="Arial"/>
      <family val="2"/>
    </font>
    <font>
      <sz val="18"/>
      <color theme="2"/>
      <name val="Arial"/>
      <family val="2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u/>
      <sz val="16"/>
      <name val="Arial"/>
      <family val="2"/>
    </font>
    <font>
      <b/>
      <sz val="16"/>
      <color rgb="FFFF0000"/>
      <name val="Arial"/>
      <family val="2"/>
    </font>
    <font>
      <b/>
      <u/>
      <sz val="16"/>
      <color theme="1"/>
      <name val="Arial"/>
      <family val="2"/>
    </font>
    <font>
      <b/>
      <sz val="14"/>
      <color rgb="FFFF0000"/>
      <name val="Calibri"/>
      <family val="2"/>
    </font>
    <font>
      <b/>
      <sz val="16"/>
      <color theme="1"/>
      <name val="AraL"/>
    </font>
    <font>
      <b/>
      <sz val="18"/>
      <color rgb="FFFF0000"/>
      <name val="Calibri"/>
      <family val="2"/>
      <scheme val="minor"/>
    </font>
    <font>
      <sz val="16"/>
      <color indexed="63"/>
      <name val="Arial"/>
      <family val="2"/>
    </font>
    <font>
      <sz val="16"/>
      <color indexed="8"/>
      <name val="Arial"/>
      <family val="2"/>
    </font>
    <font>
      <b/>
      <sz val="16"/>
      <color indexed="10"/>
      <name val="Arial"/>
      <family val="2"/>
    </font>
    <font>
      <b/>
      <sz val="16"/>
      <color theme="0"/>
      <name val="Arial"/>
      <family val="2"/>
    </font>
    <font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8"/>
      <name val="Tahoma"/>
      <family val="2"/>
    </font>
    <font>
      <b/>
      <sz val="9"/>
      <color indexed="8"/>
      <name val="Tahoma"/>
      <family val="2"/>
    </font>
    <font>
      <b/>
      <sz val="16"/>
      <color theme="0"/>
      <name val="Calibri"/>
      <family val="2"/>
      <scheme val="minor"/>
    </font>
    <font>
      <sz val="18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7" fillId="0" borderId="0"/>
    <xf numFmtId="0" fontId="7" fillId="0" borderId="0"/>
    <xf numFmtId="9" fontId="23" fillId="0" borderId="0" applyFont="0" applyFill="0" applyBorder="0" applyAlignment="0" applyProtection="0"/>
    <xf numFmtId="0" fontId="23" fillId="0" borderId="0"/>
    <xf numFmtId="173" fontId="7" fillId="0" borderId="0" applyFont="0" applyFill="0" applyBorder="0" applyAlignment="0" applyProtection="0"/>
    <xf numFmtId="0" fontId="23" fillId="0" borderId="0"/>
  </cellStyleXfs>
  <cellXfs count="93">
    <xf numFmtId="0" fontId="0" fillId="0" borderId="0" xfId="0"/>
    <xf numFmtId="0" fontId="3" fillId="0" borderId="0" xfId="1" applyFont="1" applyAlignment="1">
      <alignment horizontal="center" vertical="center" wrapText="1"/>
    </xf>
    <xf numFmtId="0" fontId="1" fillId="0" borderId="0" xfId="1"/>
    <xf numFmtId="0" fontId="5" fillId="0" borderId="0" xfId="0" applyFont="1"/>
    <xf numFmtId="0" fontId="6" fillId="3" borderId="4" xfId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0" fillId="0" borderId="0" xfId="1" applyFont="1"/>
    <xf numFmtId="0" fontId="11" fillId="7" borderId="0" xfId="1" applyFont="1" applyFill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164" fontId="12" fillId="8" borderId="4" xfId="1" applyNumberFormat="1" applyFont="1" applyFill="1" applyBorder="1" applyAlignment="1">
      <alignment horizontal="center" vertical="center" wrapText="1"/>
    </xf>
    <xf numFmtId="164" fontId="13" fillId="0" borderId="4" xfId="3" applyNumberFormat="1" applyFont="1" applyBorder="1" applyAlignment="1">
      <alignment horizontal="center" vertical="center" wrapText="1"/>
    </xf>
    <xf numFmtId="49" fontId="15" fillId="7" borderId="4" xfId="1" applyNumberFormat="1" applyFont="1" applyFill="1" applyBorder="1" applyAlignment="1">
      <alignment horizontal="center" vertical="center" wrapText="1"/>
    </xf>
    <xf numFmtId="165" fontId="16" fillId="0" borderId="4" xfId="1" applyNumberFormat="1" applyFont="1" applyBorder="1" applyAlignment="1">
      <alignment horizontal="center" vertical="center"/>
    </xf>
    <xf numFmtId="0" fontId="13" fillId="9" borderId="4" xfId="1" applyFont="1" applyFill="1" applyBorder="1" applyAlignment="1">
      <alignment horizontal="center" vertical="center"/>
    </xf>
    <xf numFmtId="165" fontId="17" fillId="10" borderId="4" xfId="1" applyNumberFormat="1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17" fillId="10" borderId="4" xfId="1" applyNumberFormat="1" applyFont="1" applyFill="1" applyBorder="1" applyAlignment="1">
      <alignment horizontal="center" vertical="center"/>
    </xf>
    <xf numFmtId="0" fontId="18" fillId="11" borderId="4" xfId="1" applyFont="1" applyFill="1" applyBorder="1" applyAlignment="1">
      <alignment horizontal="center" vertical="center"/>
    </xf>
    <xf numFmtId="164" fontId="19" fillId="12" borderId="4" xfId="1" applyNumberFormat="1" applyFont="1" applyFill="1" applyBorder="1" applyAlignment="1">
      <alignment horizontal="center" vertical="center"/>
    </xf>
    <xf numFmtId="164" fontId="19" fillId="0" borderId="4" xfId="1" applyNumberFormat="1" applyFont="1" applyBorder="1" applyAlignment="1">
      <alignment horizontal="center" vertical="center"/>
    </xf>
    <xf numFmtId="164" fontId="20" fillId="0" borderId="4" xfId="1" applyNumberFormat="1" applyFont="1" applyBorder="1" applyAlignment="1">
      <alignment horizontal="center" vertical="center" wrapText="1"/>
    </xf>
    <xf numFmtId="164" fontId="11" fillId="0" borderId="4" xfId="1" applyNumberFormat="1" applyFont="1" applyBorder="1" applyAlignment="1">
      <alignment horizontal="center" vertical="center" wrapText="1"/>
    </xf>
    <xf numFmtId="164" fontId="17" fillId="13" borderId="4" xfId="1" applyNumberFormat="1" applyFont="1" applyFill="1" applyBorder="1" applyAlignment="1">
      <alignment horizontal="center" vertical="center" wrapText="1"/>
    </xf>
    <xf numFmtId="0" fontId="17" fillId="14" borderId="4" xfId="1" applyFont="1" applyFill="1" applyBorder="1" applyAlignment="1">
      <alignment horizontal="center" vertical="center"/>
    </xf>
    <xf numFmtId="164" fontId="17" fillId="0" borderId="4" xfId="1" applyNumberFormat="1" applyFont="1" applyBorder="1" applyAlignment="1">
      <alignment horizontal="center" vertical="center"/>
    </xf>
    <xf numFmtId="164" fontId="19" fillId="9" borderId="4" xfId="1" applyNumberFormat="1" applyFont="1" applyFill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164" fontId="21" fillId="15" borderId="4" xfId="1" applyNumberFormat="1" applyFont="1" applyFill="1" applyBorder="1" applyAlignment="1">
      <alignment horizontal="center" vertical="center"/>
    </xf>
    <xf numFmtId="165" fontId="11" fillId="0" borderId="4" xfId="2" applyNumberFormat="1" applyFont="1" applyBorder="1" applyAlignment="1">
      <alignment horizontal="center" vertical="center"/>
    </xf>
    <xf numFmtId="0" fontId="22" fillId="0" borderId="0" xfId="0" applyFont="1"/>
    <xf numFmtId="0" fontId="9" fillId="5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9" fontId="8" fillId="6" borderId="4" xfId="1" applyNumberFormat="1" applyFont="1" applyFill="1" applyBorder="1" applyAlignment="1">
      <alignment horizontal="center" vertical="center"/>
    </xf>
    <xf numFmtId="165" fontId="13" fillId="0" borderId="4" xfId="1" applyNumberFormat="1" applyFont="1" applyBorder="1" applyAlignment="1">
      <alignment horizontal="center" vertical="center"/>
    </xf>
    <xf numFmtId="0" fontId="16" fillId="0" borderId="4" xfId="0" quotePrefix="1" applyFont="1" applyBorder="1" applyAlignment="1">
      <alignment horizontal="center" vertical="center" wrapText="1"/>
    </xf>
    <xf numFmtId="9" fontId="24" fillId="0" borderId="0" xfId="4" applyFont="1" applyAlignment="1">
      <alignment horizontal="center" vertical="center"/>
    </xf>
    <xf numFmtId="0" fontId="25" fillId="0" borderId="4" xfId="1" applyFont="1" applyBorder="1" applyAlignment="1">
      <alignment horizontal="left" vertical="center" wrapText="1"/>
    </xf>
    <xf numFmtId="0" fontId="25" fillId="0" borderId="4" xfId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4" fillId="0" borderId="0" xfId="4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71" fontId="31" fillId="8" borderId="4" xfId="1" applyNumberFormat="1" applyFont="1" applyFill="1" applyBorder="1"/>
    <xf numFmtId="164" fontId="13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6" fillId="8" borderId="4" xfId="1" applyFont="1" applyFill="1" applyBorder="1" applyAlignment="1">
      <alignment vertical="center" wrapText="1"/>
    </xf>
    <xf numFmtId="164" fontId="25" fillId="0" borderId="0" xfId="0" applyNumberFormat="1" applyFont="1" applyAlignment="1">
      <alignment horizontal="center" vertical="center"/>
    </xf>
    <xf numFmtId="164" fontId="25" fillId="0" borderId="8" xfId="0" applyNumberFormat="1" applyFont="1" applyBorder="1" applyAlignment="1">
      <alignment horizontal="center" vertical="center" wrapText="1"/>
    </xf>
    <xf numFmtId="49" fontId="25" fillId="16" borderId="9" xfId="1" applyNumberFormat="1" applyFont="1" applyFill="1" applyBorder="1" applyAlignment="1">
      <alignment horizontal="center" vertical="center" wrapText="1"/>
    </xf>
    <xf numFmtId="49" fontId="25" fillId="16" borderId="10" xfId="1" applyNumberFormat="1" applyFont="1" applyFill="1" applyBorder="1" applyAlignment="1">
      <alignment horizontal="center" vertical="center" wrapText="1"/>
    </xf>
    <xf numFmtId="49" fontId="25" fillId="16" borderId="11" xfId="1" applyNumberFormat="1" applyFont="1" applyFill="1" applyBorder="1" applyAlignment="1">
      <alignment horizontal="center" vertical="center" wrapText="1"/>
    </xf>
    <xf numFmtId="165" fontId="16" fillId="12" borderId="4" xfId="1" applyNumberFormat="1" applyFont="1" applyFill="1" applyBorder="1" applyAlignment="1">
      <alignment horizontal="center" vertical="center"/>
    </xf>
    <xf numFmtId="164" fontId="32" fillId="12" borderId="4" xfId="1" applyNumberFormat="1" applyFont="1" applyFill="1" applyBorder="1" applyAlignment="1">
      <alignment horizontal="center" vertical="center"/>
    </xf>
    <xf numFmtId="164" fontId="16" fillId="0" borderId="4" xfId="1" applyNumberFormat="1" applyFont="1" applyBorder="1" applyAlignment="1">
      <alignment horizontal="center" vertical="center"/>
    </xf>
    <xf numFmtId="164" fontId="35" fillId="15" borderId="4" xfId="1" applyNumberFormat="1" applyFont="1" applyFill="1" applyBorder="1" applyAlignment="1">
      <alignment horizontal="center" vertical="center"/>
    </xf>
    <xf numFmtId="165" fontId="27" fillId="8" borderId="4" xfId="1" applyNumberFormat="1" applyFont="1" applyFill="1" applyBorder="1" applyAlignment="1">
      <alignment horizontal="center" vertical="center"/>
    </xf>
    <xf numFmtId="165" fontId="36" fillId="0" borderId="0" xfId="5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24" fillId="0" borderId="0" xfId="0" applyFont="1"/>
    <xf numFmtId="2" fontId="37" fillId="0" borderId="0" xfId="0" applyNumberFormat="1" applyFont="1" applyAlignment="1">
      <alignment horizontal="center" vertical="center"/>
    </xf>
    <xf numFmtId="0" fontId="7" fillId="0" borderId="0" xfId="3"/>
    <xf numFmtId="174" fontId="18" fillId="8" borderId="4" xfId="6" applyNumberFormat="1" applyFont="1" applyFill="1" applyBorder="1" applyAlignment="1">
      <alignment horizontal="center" vertical="center" wrapText="1"/>
    </xf>
    <xf numFmtId="0" fontId="40" fillId="8" borderId="4" xfId="5" applyFont="1" applyFill="1" applyBorder="1" applyAlignment="1">
      <alignment horizontal="center" vertical="center"/>
    </xf>
    <xf numFmtId="0" fontId="12" fillId="8" borderId="4" xfId="5" applyFont="1" applyFill="1" applyBorder="1" applyAlignment="1">
      <alignment horizontal="center" vertical="center"/>
    </xf>
    <xf numFmtId="0" fontId="33" fillId="8" borderId="4" xfId="1" applyFont="1" applyFill="1" applyBorder="1" applyAlignment="1">
      <alignment horizontal="center" vertical="center" wrapText="1"/>
    </xf>
    <xf numFmtId="0" fontId="16" fillId="0" borderId="4" xfId="7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9" fontId="25" fillId="8" borderId="0" xfId="4" applyFont="1" applyFill="1" applyAlignment="1">
      <alignment horizontal="center" vertical="center"/>
    </xf>
    <xf numFmtId="49" fontId="25" fillId="0" borderId="4" xfId="1" applyNumberFormat="1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5" fontId="16" fillId="8" borderId="4" xfId="1" applyNumberFormat="1" applyFont="1" applyFill="1" applyBorder="1" applyAlignment="1">
      <alignment horizontal="center" vertical="center"/>
    </xf>
    <xf numFmtId="0" fontId="18" fillId="17" borderId="4" xfId="1" applyFont="1" applyFill="1" applyBorder="1" applyAlignment="1">
      <alignment horizontal="center" vertical="center"/>
    </xf>
    <xf numFmtId="164" fontId="27" fillId="8" borderId="4" xfId="1" applyNumberFormat="1" applyFont="1" applyFill="1" applyBorder="1" applyAlignment="1">
      <alignment horizontal="center" vertical="center"/>
    </xf>
    <xf numFmtId="165" fontId="16" fillId="8" borderId="4" xfId="7" applyNumberFormat="1" applyFont="1" applyFill="1" applyBorder="1" applyAlignment="1">
      <alignment horizontal="center" vertical="center"/>
    </xf>
    <xf numFmtId="0" fontId="42" fillId="0" borderId="0" xfId="0" applyFont="1"/>
    <xf numFmtId="0" fontId="25" fillId="0" borderId="4" xfId="1" applyFont="1" applyBorder="1" applyAlignment="1">
      <alignment horizontal="center" vertical="center"/>
    </xf>
  </cellXfs>
  <cellStyles count="8">
    <cellStyle name="Millares 2 2 3 2 2 2 2 2 3" xfId="6" xr:uid="{AD98F90A-8D16-48CB-8719-4D90EF2C4B87}"/>
    <cellStyle name="Normal" xfId="0" builtinId="0"/>
    <cellStyle name="Normal 2 2" xfId="1" xr:uid="{58962746-EEC9-4F9D-908E-0182CA036DF7}"/>
    <cellStyle name="Normal 2 3 2" xfId="5" xr:uid="{97C5700C-4D44-43DB-94C0-7243FA335634}"/>
    <cellStyle name="Normal 2 3 2 2" xfId="3" xr:uid="{ABDAADBA-4B92-4ACD-9B34-6BB5783CE23B}"/>
    <cellStyle name="Normal 3 4" xfId="7" xr:uid="{443CB7B1-7E5F-4881-ACFF-097C3A27E43D}"/>
    <cellStyle name="Normal 3 4 2" xfId="2" xr:uid="{4FA31074-0431-4727-A670-7044280290AE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230188</xdr:colOff>
      <xdr:row>24</xdr:row>
      <xdr:rowOff>405673</xdr:rowOff>
    </xdr:from>
    <xdr:to>
      <xdr:col>4</xdr:col>
      <xdr:colOff>3119438</xdr:colOff>
      <xdr:row>24</xdr:row>
      <xdr:rowOff>2483862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241568E2-2F2F-4493-9AE3-FCB52169F2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204" t="8475" r="11954" b="5547"/>
        <a:stretch>
          <a:fillRect/>
        </a:stretch>
      </xdr:blipFill>
      <xdr:spPr>
        <a:xfrm>
          <a:off x="3516313" y="56626986"/>
          <a:ext cx="2889250" cy="2078189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17</xdr:row>
      <xdr:rowOff>449512</xdr:rowOff>
    </xdr:from>
    <xdr:to>
      <xdr:col>4</xdr:col>
      <xdr:colOff>2889250</xdr:colOff>
      <xdr:row>17</xdr:row>
      <xdr:rowOff>2848685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CD6EDD5D-6D5B-4E6F-9097-3B6150A9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375" y="42883387"/>
          <a:ext cx="2413000" cy="2399173"/>
        </a:xfrm>
        <a:prstGeom prst="rect">
          <a:avLst/>
        </a:prstGeom>
      </xdr:spPr>
    </xdr:pic>
    <xdr:clientData/>
  </xdr:twoCellAnchor>
  <xdr:twoCellAnchor editAs="oneCell">
    <xdr:from>
      <xdr:col>4</xdr:col>
      <xdr:colOff>357187</xdr:colOff>
      <xdr:row>14</xdr:row>
      <xdr:rowOff>447027</xdr:rowOff>
    </xdr:from>
    <xdr:to>
      <xdr:col>4</xdr:col>
      <xdr:colOff>2801937</xdr:colOff>
      <xdr:row>14</xdr:row>
      <xdr:rowOff>2677968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D7AD611D-59E0-4A97-A67E-9C4CD935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3312" y="29569715"/>
          <a:ext cx="2444750" cy="2230941"/>
        </a:xfrm>
        <a:prstGeom prst="rect">
          <a:avLst/>
        </a:prstGeom>
      </xdr:spPr>
    </xdr:pic>
    <xdr:clientData/>
  </xdr:twoCellAnchor>
  <xdr:twoCellAnchor editAs="oneCell">
    <xdr:from>
      <xdr:col>4</xdr:col>
      <xdr:colOff>777875</xdr:colOff>
      <xdr:row>11</xdr:row>
      <xdr:rowOff>317500</xdr:rowOff>
    </xdr:from>
    <xdr:to>
      <xdr:col>4</xdr:col>
      <xdr:colOff>2859418</xdr:colOff>
      <xdr:row>11</xdr:row>
      <xdr:rowOff>3037576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44C5C423-A8E5-55D8-CF89-A9F4970E2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24375" y="15716250"/>
          <a:ext cx="2081543" cy="2720076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635000</xdr:colOff>
      <xdr:row>10</xdr:row>
      <xdr:rowOff>460375</xdr:rowOff>
    </xdr:from>
    <xdr:to>
      <xdr:col>4</xdr:col>
      <xdr:colOff>2716543</xdr:colOff>
      <xdr:row>10</xdr:row>
      <xdr:rowOff>3180451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78A3DAC8-8112-432B-8DE3-08AAC669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00" y="8810625"/>
          <a:ext cx="2081543" cy="2720076"/>
        </a:xfrm>
        <a:prstGeom prst="rect">
          <a:avLst/>
        </a:prstGeom>
      </xdr:spPr>
    </xdr:pic>
    <xdr:clientData/>
  </xdr:twoCellAnchor>
  <xdr:twoCellAnchor>
    <xdr:from>
      <xdr:col>4</xdr:col>
      <xdr:colOff>1438983</xdr:colOff>
      <xdr:row>5</xdr:row>
      <xdr:rowOff>212017</xdr:rowOff>
    </xdr:from>
    <xdr:to>
      <xdr:col>4</xdr:col>
      <xdr:colOff>1800510</xdr:colOff>
      <xdr:row>5</xdr:row>
      <xdr:rowOff>2317750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F014F9C-DE59-4B2A-B8CE-94CD8BAA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9233" y="4339517"/>
          <a:ext cx="361527" cy="2105733"/>
        </a:xfrm>
        <a:prstGeom prst="rect">
          <a:avLst/>
        </a:prstGeom>
      </xdr:spPr>
    </xdr:pic>
    <xdr:clientData/>
  </xdr:twoCellAnchor>
  <xdr:twoCellAnchor editAs="oneCell">
    <xdr:from>
      <xdr:col>4</xdr:col>
      <xdr:colOff>349250</xdr:colOff>
      <xdr:row>4</xdr:row>
      <xdr:rowOff>793750</xdr:rowOff>
    </xdr:from>
    <xdr:to>
      <xdr:col>4</xdr:col>
      <xdr:colOff>2936875</xdr:colOff>
      <xdr:row>4</xdr:row>
      <xdr:rowOff>1851193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3F06426-BF71-5DC1-9777-4A99E3E7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19500" y="2095500"/>
          <a:ext cx="2587625" cy="1057443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508001</xdr:colOff>
      <xdr:row>8</xdr:row>
      <xdr:rowOff>206376</xdr:rowOff>
    </xdr:from>
    <xdr:to>
      <xdr:col>4</xdr:col>
      <xdr:colOff>2682875</xdr:colOff>
      <xdr:row>8</xdr:row>
      <xdr:rowOff>2381976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8A6CD38C-C783-472E-80BF-744E303B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251" y="9636126"/>
          <a:ext cx="2174874" cy="217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301626</xdr:colOff>
      <xdr:row>6</xdr:row>
      <xdr:rowOff>285751</xdr:rowOff>
    </xdr:from>
    <xdr:to>
      <xdr:col>4</xdr:col>
      <xdr:colOff>2903016</xdr:colOff>
      <xdr:row>6</xdr:row>
      <xdr:rowOff>2365375</xdr:rowOff>
    </xdr:to>
    <xdr:pic>
      <xdr:nvPicPr>
        <xdr:cNvPr id="229" name="Imagen 228" descr="BOLIGRAFO (PLUMA (BOLIGRAFO)) PREMIER (D-2110) | Articulos Promocionales  PromoExpand">
          <a:extLst>
            <a:ext uri="{FF2B5EF4-FFF2-40B4-BE49-F238E27FC236}">
              <a16:creationId xmlns:a16="http://schemas.microsoft.com/office/drawing/2014/main" id="{EE00B9DD-6269-898D-3879-75A8168EF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6" y="7016751"/>
          <a:ext cx="2601390" cy="207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285750</xdr:colOff>
      <xdr:row>7</xdr:row>
      <xdr:rowOff>555625</xdr:rowOff>
    </xdr:from>
    <xdr:to>
      <xdr:col>4</xdr:col>
      <xdr:colOff>2841625</xdr:colOff>
      <xdr:row>7</xdr:row>
      <xdr:rowOff>2051460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A430F36E-E842-9ADD-8437-06BAD3A2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56000" y="9985375"/>
          <a:ext cx="2555875" cy="1495835"/>
        </a:xfrm>
        <a:prstGeom prst="rect">
          <a:avLst/>
        </a:prstGeom>
      </xdr:spPr>
    </xdr:pic>
    <xdr:clientData/>
  </xdr:twoCellAnchor>
  <xdr:oneCellAnchor>
    <xdr:from>
      <xdr:col>4</xdr:col>
      <xdr:colOff>777875</xdr:colOff>
      <xdr:row>9</xdr:row>
      <xdr:rowOff>317500</xdr:rowOff>
    </xdr:from>
    <xdr:ext cx="2081543" cy="2720076"/>
    <xdr:pic>
      <xdr:nvPicPr>
        <xdr:cNvPr id="233" name="Imagen 232">
          <a:extLst>
            <a:ext uri="{FF2B5EF4-FFF2-40B4-BE49-F238E27FC236}">
              <a16:creationId xmlns:a16="http://schemas.microsoft.com/office/drawing/2014/main" id="{66230DD5-8223-4703-87F2-C68ED826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4000" y="21439188"/>
          <a:ext cx="2081543" cy="2720076"/>
        </a:xfrm>
        <a:prstGeom prst="rect">
          <a:avLst/>
        </a:prstGeom>
      </xdr:spPr>
    </xdr:pic>
    <xdr:clientData/>
  </xdr:oneCellAnchor>
  <xdr:oneCellAnchor>
    <xdr:from>
      <xdr:col>4</xdr:col>
      <xdr:colOff>1127124</xdr:colOff>
      <xdr:row>23</xdr:row>
      <xdr:rowOff>581814</xdr:rowOff>
    </xdr:from>
    <xdr:ext cx="1635126" cy="1803972"/>
    <xdr:pic>
      <xdr:nvPicPr>
        <xdr:cNvPr id="235" name="Imagen 234">
          <a:extLst>
            <a:ext uri="{FF2B5EF4-FFF2-40B4-BE49-F238E27FC236}">
              <a16:creationId xmlns:a16="http://schemas.microsoft.com/office/drawing/2014/main" id="{7821B298-0B06-4C9E-9F56-F05DD200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3249" y="26037377"/>
          <a:ext cx="1635126" cy="1803972"/>
        </a:xfrm>
        <a:prstGeom prst="rect">
          <a:avLst/>
        </a:prstGeom>
      </xdr:spPr>
    </xdr:pic>
    <xdr:clientData/>
  </xdr:oneCellAnchor>
  <xdr:twoCellAnchor editAs="oneCell">
    <xdr:from>
      <xdr:col>4</xdr:col>
      <xdr:colOff>333375</xdr:colOff>
      <xdr:row>12</xdr:row>
      <xdr:rowOff>571501</xdr:rowOff>
    </xdr:from>
    <xdr:to>
      <xdr:col>4</xdr:col>
      <xdr:colOff>2813403</xdr:colOff>
      <xdr:row>12</xdr:row>
      <xdr:rowOff>3286125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936DBD90-2E88-2052-95DB-487A2AFAC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19500" y="26027064"/>
          <a:ext cx="2480028" cy="2714624"/>
        </a:xfrm>
        <a:prstGeom prst="rect">
          <a:avLst/>
        </a:prstGeom>
      </xdr:spPr>
    </xdr:pic>
    <xdr:clientData/>
  </xdr:twoCellAnchor>
  <xdr:oneCellAnchor>
    <xdr:from>
      <xdr:col>4</xdr:col>
      <xdr:colOff>333375</xdr:colOff>
      <xdr:row>13</xdr:row>
      <xdr:rowOff>571501</xdr:rowOff>
    </xdr:from>
    <xdr:ext cx="2480028" cy="2714624"/>
    <xdr:pic>
      <xdr:nvPicPr>
        <xdr:cNvPr id="238" name="Imagen 237">
          <a:extLst>
            <a:ext uri="{FF2B5EF4-FFF2-40B4-BE49-F238E27FC236}">
              <a16:creationId xmlns:a16="http://schemas.microsoft.com/office/drawing/2014/main" id="{34CD2086-C8A1-4E60-8731-764917F3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19500" y="26027064"/>
          <a:ext cx="2480028" cy="2714624"/>
        </a:xfrm>
        <a:prstGeom prst="rect">
          <a:avLst/>
        </a:prstGeom>
      </xdr:spPr>
    </xdr:pic>
    <xdr:clientData/>
  </xdr:oneCellAnchor>
  <xdr:oneCellAnchor>
    <xdr:from>
      <xdr:col>4</xdr:col>
      <xdr:colOff>357187</xdr:colOff>
      <xdr:row>15</xdr:row>
      <xdr:rowOff>447027</xdr:rowOff>
    </xdr:from>
    <xdr:ext cx="2444750" cy="2230941"/>
    <xdr:pic>
      <xdr:nvPicPr>
        <xdr:cNvPr id="239" name="Imagen 238">
          <a:extLst>
            <a:ext uri="{FF2B5EF4-FFF2-40B4-BE49-F238E27FC236}">
              <a16:creationId xmlns:a16="http://schemas.microsoft.com/office/drawing/2014/main" id="{3FAEB46E-5BB3-4520-A3FE-613B04BCC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43312" y="33236840"/>
          <a:ext cx="2444750" cy="2230941"/>
        </a:xfrm>
        <a:prstGeom prst="rect">
          <a:avLst/>
        </a:prstGeom>
      </xdr:spPr>
    </xdr:pic>
    <xdr:clientData/>
  </xdr:oneCellAnchor>
  <xdr:oneCellAnchor>
    <xdr:from>
      <xdr:col>4</xdr:col>
      <xdr:colOff>174625</xdr:colOff>
      <xdr:row>26</xdr:row>
      <xdr:rowOff>539750</xdr:rowOff>
    </xdr:from>
    <xdr:ext cx="1289899" cy="2016000"/>
    <xdr:pic>
      <xdr:nvPicPr>
        <xdr:cNvPr id="240" name="Imagen 239">
          <a:extLst>
            <a:ext uri="{FF2B5EF4-FFF2-40B4-BE49-F238E27FC236}">
              <a16:creationId xmlns:a16="http://schemas.microsoft.com/office/drawing/2014/main" id="{EFAC1752-AE55-4E80-B8F5-B2688F02B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0750" y="46521688"/>
          <a:ext cx="1289899" cy="2016000"/>
        </a:xfrm>
        <a:prstGeom prst="rect">
          <a:avLst/>
        </a:prstGeom>
      </xdr:spPr>
    </xdr:pic>
    <xdr:clientData/>
  </xdr:oneCellAnchor>
  <xdr:oneCellAnchor>
    <xdr:from>
      <xdr:col>4</xdr:col>
      <xdr:colOff>1254125</xdr:colOff>
      <xdr:row>26</xdr:row>
      <xdr:rowOff>555625</xdr:rowOff>
    </xdr:from>
    <xdr:ext cx="1162746" cy="2016000"/>
    <xdr:pic>
      <xdr:nvPicPr>
        <xdr:cNvPr id="241" name="Imagen 240">
          <a:extLst>
            <a:ext uri="{FF2B5EF4-FFF2-40B4-BE49-F238E27FC236}">
              <a16:creationId xmlns:a16="http://schemas.microsoft.com/office/drawing/2014/main" id="{44777FAB-198E-4328-9C2C-BE2708F98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50" y="46537563"/>
          <a:ext cx="1162746" cy="2016000"/>
        </a:xfrm>
        <a:prstGeom prst="rect">
          <a:avLst/>
        </a:prstGeom>
      </xdr:spPr>
    </xdr:pic>
    <xdr:clientData/>
  </xdr:oneCellAnchor>
  <xdr:oneCellAnchor>
    <xdr:from>
      <xdr:col>4</xdr:col>
      <xdr:colOff>2222500</xdr:colOff>
      <xdr:row>26</xdr:row>
      <xdr:rowOff>619125</xdr:rowOff>
    </xdr:from>
    <xdr:ext cx="1018537" cy="2088000"/>
    <xdr:pic>
      <xdr:nvPicPr>
        <xdr:cNvPr id="242" name="Imagen 241">
          <a:extLst>
            <a:ext uri="{FF2B5EF4-FFF2-40B4-BE49-F238E27FC236}">
              <a16:creationId xmlns:a16="http://schemas.microsoft.com/office/drawing/2014/main" id="{2A0E14E0-ACDB-461F-9ACB-A6AEA2F43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23" t="18521" r="31621" b="9160"/>
        <a:stretch>
          <a:fillRect/>
        </a:stretch>
      </xdr:blipFill>
      <xdr:spPr>
        <a:xfrm>
          <a:off x="5508625" y="46601063"/>
          <a:ext cx="1018537" cy="2088000"/>
        </a:xfrm>
        <a:prstGeom prst="rect">
          <a:avLst/>
        </a:prstGeom>
      </xdr:spPr>
    </xdr:pic>
    <xdr:clientData/>
  </xdr:oneCellAnchor>
  <xdr:oneCellAnchor>
    <xdr:from>
      <xdr:col>4</xdr:col>
      <xdr:colOff>381001</xdr:colOff>
      <xdr:row>25</xdr:row>
      <xdr:rowOff>1229076</xdr:rowOff>
    </xdr:from>
    <xdr:ext cx="3000375" cy="1393238"/>
    <xdr:pic>
      <xdr:nvPicPr>
        <xdr:cNvPr id="243" name="Imagen 242">
          <a:extLst>
            <a:ext uri="{FF2B5EF4-FFF2-40B4-BE49-F238E27FC236}">
              <a16:creationId xmlns:a16="http://schemas.microsoft.com/office/drawing/2014/main" id="{38F012C2-5EEB-49C0-8CFE-A5882E64A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67126" y="43853451"/>
          <a:ext cx="3000375" cy="1393238"/>
        </a:xfrm>
        <a:prstGeom prst="rect">
          <a:avLst/>
        </a:prstGeom>
      </xdr:spPr>
    </xdr:pic>
    <xdr:clientData/>
  </xdr:oneCellAnchor>
  <xdr:twoCellAnchor editAs="oneCell">
    <xdr:from>
      <xdr:col>4</xdr:col>
      <xdr:colOff>190500</xdr:colOff>
      <xdr:row>18</xdr:row>
      <xdr:rowOff>476250</xdr:rowOff>
    </xdr:from>
    <xdr:to>
      <xdr:col>4</xdr:col>
      <xdr:colOff>3148286</xdr:colOff>
      <xdr:row>18</xdr:row>
      <xdr:rowOff>2952750</xdr:rowOff>
    </xdr:to>
    <xdr:pic>
      <xdr:nvPicPr>
        <xdr:cNvPr id="244" name="Imagen 243">
          <a:extLst>
            <a:ext uri="{FF2B5EF4-FFF2-40B4-BE49-F238E27FC236}">
              <a16:creationId xmlns:a16="http://schemas.microsoft.com/office/drawing/2014/main" id="{F811F7CE-536D-419F-A3AC-5F1FDE560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t="8671" b="11492"/>
        <a:stretch>
          <a:fillRect/>
        </a:stretch>
      </xdr:blipFill>
      <xdr:spPr>
        <a:xfrm>
          <a:off x="3476625" y="42910125"/>
          <a:ext cx="2957786" cy="2476500"/>
        </a:xfrm>
        <a:prstGeom prst="rect">
          <a:avLst/>
        </a:prstGeom>
      </xdr:spPr>
    </xdr:pic>
    <xdr:clientData/>
  </xdr:twoCellAnchor>
  <xdr:twoCellAnchor editAs="oneCell">
    <xdr:from>
      <xdr:col>4</xdr:col>
      <xdr:colOff>293687</xdr:colOff>
      <xdr:row>19</xdr:row>
      <xdr:rowOff>1000126</xdr:rowOff>
    </xdr:from>
    <xdr:to>
      <xdr:col>4</xdr:col>
      <xdr:colOff>2981521</xdr:colOff>
      <xdr:row>19</xdr:row>
      <xdr:rowOff>2500312</xdr:rowOff>
    </xdr:to>
    <xdr:pic>
      <xdr:nvPicPr>
        <xdr:cNvPr id="245" name="Imagen 244">
          <a:extLst>
            <a:ext uri="{FF2B5EF4-FFF2-40B4-BE49-F238E27FC236}">
              <a16:creationId xmlns:a16="http://schemas.microsoft.com/office/drawing/2014/main" id="{9F44AB91-D70F-4326-8388-871A2ED1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41750" y="50768251"/>
          <a:ext cx="2687834" cy="1500186"/>
        </a:xfrm>
        <a:prstGeom prst="rect">
          <a:avLst/>
        </a:prstGeom>
      </xdr:spPr>
    </xdr:pic>
    <xdr:clientData/>
  </xdr:twoCellAnchor>
  <xdr:twoCellAnchor editAs="oneCell">
    <xdr:from>
      <xdr:col>4</xdr:col>
      <xdr:colOff>214312</xdr:colOff>
      <xdr:row>20</xdr:row>
      <xdr:rowOff>809625</xdr:rowOff>
    </xdr:from>
    <xdr:to>
      <xdr:col>4</xdr:col>
      <xdr:colOff>3158973</xdr:colOff>
      <xdr:row>20</xdr:row>
      <xdr:rowOff>3050519</xdr:rowOff>
    </xdr:to>
    <xdr:pic>
      <xdr:nvPicPr>
        <xdr:cNvPr id="247" name="Imagen 246">
          <a:extLst>
            <a:ext uri="{FF2B5EF4-FFF2-40B4-BE49-F238E27FC236}">
              <a16:creationId xmlns:a16="http://schemas.microsoft.com/office/drawing/2014/main" id="{22765902-E6BA-4D7F-9685-21C5ACD5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49387125"/>
          <a:ext cx="2944661" cy="2240894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16</xdr:row>
      <xdr:rowOff>762000</xdr:rowOff>
    </xdr:from>
    <xdr:to>
      <xdr:col>4</xdr:col>
      <xdr:colOff>2850768</xdr:colOff>
      <xdr:row>16</xdr:row>
      <xdr:rowOff>3238499</xdr:rowOff>
    </xdr:to>
    <xdr:pic>
      <xdr:nvPicPr>
        <xdr:cNvPr id="250" name="Imagen 249">
          <a:extLst>
            <a:ext uri="{FF2B5EF4-FFF2-40B4-BE49-F238E27FC236}">
              <a16:creationId xmlns:a16="http://schemas.microsoft.com/office/drawing/2014/main" id="{E492A426-5783-CB4D-57A8-A06A3CE9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2" y="39838313"/>
          <a:ext cx="2469769" cy="2476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4C2C-30E0-49E9-A811-0E15357B9617}">
  <dimension ref="A3:IV27"/>
  <sheetViews>
    <sheetView showGridLines="0" tabSelected="1" zoomScale="40" zoomScaleNormal="40" workbookViewId="0">
      <selection activeCell="B18" sqref="B18:J21"/>
    </sheetView>
  </sheetViews>
  <sheetFormatPr baseColWidth="10" defaultRowHeight="15" x14ac:dyDescent="0.25"/>
  <cols>
    <col min="1" max="1" width="4" customWidth="1"/>
    <col min="2" max="2" width="6" customWidth="1"/>
    <col min="3" max="3" width="16.28515625" customWidth="1"/>
    <col min="4" max="4" width="26.85546875" customWidth="1"/>
    <col min="5" max="5" width="49.140625" customWidth="1"/>
    <col min="6" max="6" width="13.140625" customWidth="1"/>
    <col min="7" max="7" width="22.85546875" customWidth="1"/>
    <col min="8" max="8" width="18.140625" customWidth="1"/>
    <col min="9" max="9" width="89.42578125" customWidth="1"/>
    <col min="10" max="10" width="30" customWidth="1"/>
    <col min="11" max="11" width="8.140625" customWidth="1"/>
    <col min="12" max="12" width="9.7109375" style="54" customWidth="1"/>
    <col min="13" max="13" width="24.7109375" customWidth="1"/>
    <col min="14" max="14" width="17.85546875" customWidth="1"/>
    <col min="15" max="15" width="8" customWidth="1"/>
    <col min="16" max="16" width="30.42578125" customWidth="1"/>
    <col min="17" max="17" width="16.7109375" customWidth="1"/>
    <col min="19" max="19" width="19" customWidth="1"/>
    <col min="20" max="20" width="26.7109375" customWidth="1"/>
    <col min="21" max="21" width="20" customWidth="1"/>
    <col min="22" max="22" width="18.28515625" customWidth="1"/>
    <col min="23" max="23" width="19.7109375" customWidth="1"/>
    <col min="24" max="24" width="22" customWidth="1"/>
    <col min="25" max="25" width="29.28515625" customWidth="1"/>
    <col min="26" max="26" width="18.5703125" customWidth="1"/>
    <col min="27" max="27" width="24.85546875" customWidth="1"/>
    <col min="31" max="31" width="19.42578125" customWidth="1"/>
    <col min="32" max="32" width="19.28515625" customWidth="1"/>
    <col min="33" max="33" width="24.140625" customWidth="1"/>
    <col min="34" max="34" width="27.5703125" customWidth="1"/>
    <col min="35" max="35" width="22.140625" customWidth="1"/>
    <col min="36" max="36" width="16.7109375" customWidth="1"/>
    <col min="37" max="37" width="23.85546875" customWidth="1"/>
  </cols>
  <sheetData>
    <row r="3" spans="1:256" s="2" customFormat="1" ht="28.5" customHeight="1" x14ac:dyDescent="0.25">
      <c r="A3"/>
      <c r="B3" s="47" t="s">
        <v>43</v>
      </c>
      <c r="C3" s="48"/>
      <c r="D3" s="48"/>
      <c r="E3" s="48"/>
      <c r="F3" s="48"/>
      <c r="G3" s="48"/>
      <c r="H3" s="48"/>
      <c r="I3" s="48"/>
      <c r="J3" s="49"/>
      <c r="K3" s="1"/>
      <c r="L3" s="1"/>
      <c r="M3" s="50" t="s">
        <v>0</v>
      </c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2"/>
    </row>
    <row r="4" spans="1:256" s="7" customFormat="1" ht="43.5" customHeight="1" x14ac:dyDescent="0.3">
      <c r="A4" s="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1"/>
      <c r="L4" s="1"/>
      <c r="M4" s="6" t="s">
        <v>10</v>
      </c>
      <c r="N4" s="6" t="s">
        <v>11</v>
      </c>
      <c r="O4" s="6" t="s">
        <v>12</v>
      </c>
      <c r="P4" s="6" t="s">
        <v>13</v>
      </c>
      <c r="Q4" s="31" t="s">
        <v>14</v>
      </c>
      <c r="R4" s="31" t="s">
        <v>15</v>
      </c>
      <c r="S4" s="31" t="s">
        <v>16</v>
      </c>
      <c r="T4" s="31" t="s">
        <v>17</v>
      </c>
      <c r="U4" s="31" t="s">
        <v>18</v>
      </c>
      <c r="V4" s="31" t="s">
        <v>19</v>
      </c>
      <c r="W4" s="31" t="s">
        <v>20</v>
      </c>
      <c r="X4" s="6" t="s">
        <v>21</v>
      </c>
      <c r="Y4" s="6" t="s">
        <v>22</v>
      </c>
      <c r="Z4" s="32" t="s">
        <v>23</v>
      </c>
      <c r="AA4" s="32" t="s">
        <v>24</v>
      </c>
      <c r="AB4" s="32" t="s">
        <v>25</v>
      </c>
      <c r="AC4" s="32" t="s">
        <v>26</v>
      </c>
      <c r="AD4" s="32" t="s">
        <v>27</v>
      </c>
      <c r="AE4" s="32" t="s">
        <v>28</v>
      </c>
      <c r="AF4" s="6" t="s">
        <v>29</v>
      </c>
      <c r="AG4" s="6" t="s">
        <v>30</v>
      </c>
      <c r="AH4" s="33" t="s">
        <v>18</v>
      </c>
      <c r="AI4" s="33" t="s">
        <v>31</v>
      </c>
      <c r="AJ4" s="33" t="s">
        <v>32</v>
      </c>
      <c r="AK4" s="34" t="s">
        <v>33</v>
      </c>
    </row>
    <row r="5" spans="1:256" s="30" customFormat="1" ht="222.75" customHeight="1" x14ac:dyDescent="0.35">
      <c r="A5" s="8"/>
      <c r="B5" s="40">
        <v>1</v>
      </c>
      <c r="C5" s="41" t="s">
        <v>37</v>
      </c>
      <c r="D5" s="41" t="s">
        <v>75</v>
      </c>
      <c r="E5" s="53" t="s">
        <v>34</v>
      </c>
      <c r="F5" s="9">
        <v>1000</v>
      </c>
      <c r="G5" s="10">
        <v>0.99</v>
      </c>
      <c r="H5" s="39" t="s">
        <v>42</v>
      </c>
      <c r="I5" s="38" t="s">
        <v>83</v>
      </c>
      <c r="J5" s="11">
        <f t="shared" ref="J5" si="0">F5*G5</f>
        <v>990</v>
      </c>
      <c r="K5" s="42"/>
      <c r="L5" s="37">
        <f>T5/J5</f>
        <v>0.2913252698660424</v>
      </c>
      <c r="M5" s="12" t="s">
        <v>36</v>
      </c>
      <c r="N5" s="45" t="s">
        <v>38</v>
      </c>
      <c r="O5" s="46"/>
      <c r="P5" s="36" t="s">
        <v>39</v>
      </c>
      <c r="Q5" s="13">
        <f>0.42/1.165</f>
        <v>0.36051502145922742</v>
      </c>
      <c r="R5" s="14">
        <v>80</v>
      </c>
      <c r="S5" s="15">
        <f t="shared" ref="S5" si="1">Q5*R5/100</f>
        <v>0.28841201716738196</v>
      </c>
      <c r="T5" s="16">
        <f t="shared" ref="T5" si="2">S5*V5</f>
        <v>288.41201716738198</v>
      </c>
      <c r="U5" s="17">
        <f t="shared" ref="U5" si="3">Q5+S5</f>
        <v>0.64892703862660939</v>
      </c>
      <c r="V5" s="18">
        <f t="shared" ref="V5:V20" si="4">F5</f>
        <v>1000</v>
      </c>
      <c r="W5" s="19">
        <f>Q5*10</f>
        <v>3.6051502145922742</v>
      </c>
      <c r="X5" s="20">
        <v>90</v>
      </c>
      <c r="Y5" s="21">
        <f t="shared" ref="Y5" si="5">V5*U5+W5+X5</f>
        <v>742.53218884120167</v>
      </c>
      <c r="Z5" s="22" t="s">
        <v>35</v>
      </c>
      <c r="AA5" s="23">
        <v>220</v>
      </c>
      <c r="AB5" s="24">
        <v>1</v>
      </c>
      <c r="AC5" s="24">
        <v>1</v>
      </c>
      <c r="AD5" s="24">
        <v>1</v>
      </c>
      <c r="AE5" s="25">
        <f t="shared" ref="AE5" si="6">AA5*AB5*AC5*AD5</f>
        <v>220</v>
      </c>
      <c r="AF5" s="26">
        <v>4.8499999999999996</v>
      </c>
      <c r="AG5" s="27">
        <f>1%*(Y5+AE5+AF5)</f>
        <v>9.673821888412018</v>
      </c>
      <c r="AH5" s="25">
        <f t="shared" ref="AH5" si="7">Y5+AE5+AG5+AF5</f>
        <v>977.05601072961372</v>
      </c>
      <c r="AI5" s="28">
        <f t="shared" ref="AI5" si="8">AH5/V5</f>
        <v>0.97705601072961368</v>
      </c>
      <c r="AJ5" s="29">
        <f t="shared" ref="AJ5" si="9">AI5*18%</f>
        <v>0.17587008193133047</v>
      </c>
      <c r="AK5" s="35">
        <f t="shared" ref="AK5" si="10">AI5+AJ5</f>
        <v>1.1529260926609441</v>
      </c>
    </row>
    <row r="6" spans="1:256" s="30" customFormat="1" ht="205.5" customHeight="1" x14ac:dyDescent="0.35">
      <c r="A6" s="8"/>
      <c r="B6" s="40">
        <v>2</v>
      </c>
      <c r="C6" s="41" t="s">
        <v>76</v>
      </c>
      <c r="D6" s="41" t="s">
        <v>75</v>
      </c>
      <c r="E6" s="53" t="s">
        <v>34</v>
      </c>
      <c r="F6" s="9">
        <v>1000</v>
      </c>
      <c r="G6" s="10">
        <v>1.75</v>
      </c>
      <c r="H6" s="39" t="s">
        <v>42</v>
      </c>
      <c r="I6" s="38" t="s">
        <v>82</v>
      </c>
      <c r="J6" s="11">
        <f t="shared" ref="J6:J7" si="11">F6*G6</f>
        <v>1750</v>
      </c>
      <c r="K6" s="42"/>
      <c r="L6" s="37">
        <f>T6/J6</f>
        <v>0.29142857142857143</v>
      </c>
      <c r="M6" s="12" t="s">
        <v>79</v>
      </c>
      <c r="N6" s="45"/>
      <c r="O6" s="46"/>
      <c r="P6" s="36"/>
      <c r="Q6" s="13">
        <v>0.85</v>
      </c>
      <c r="R6" s="14">
        <v>60</v>
      </c>
      <c r="S6" s="15">
        <f t="shared" ref="S6:S7" si="12">Q6*R6/100</f>
        <v>0.51</v>
      </c>
      <c r="T6" s="16">
        <f t="shared" ref="T6:T7" si="13">S6*V6</f>
        <v>510</v>
      </c>
      <c r="U6" s="17">
        <f t="shared" ref="U6:U7" si="14">Q6+S6</f>
        <v>1.3599999999999999</v>
      </c>
      <c r="V6" s="18">
        <f t="shared" si="4"/>
        <v>1000</v>
      </c>
      <c r="W6" s="19">
        <f t="shared" ref="W6:W9" si="15">Q6*10</f>
        <v>8.5</v>
      </c>
      <c r="X6" s="20">
        <v>100</v>
      </c>
      <c r="Y6" s="21">
        <f t="shared" ref="Y6:Y7" si="16">V6*U6+W6+X6</f>
        <v>1468.4999999999998</v>
      </c>
      <c r="Z6" s="22" t="s">
        <v>35</v>
      </c>
      <c r="AA6" s="23">
        <v>220</v>
      </c>
      <c r="AB6" s="24">
        <v>1</v>
      </c>
      <c r="AC6" s="24">
        <v>1</v>
      </c>
      <c r="AD6" s="24">
        <v>1</v>
      </c>
      <c r="AE6" s="25">
        <f t="shared" ref="AE6:AE7" si="17">AA6*AB6*AC6*AD6</f>
        <v>220</v>
      </c>
      <c r="AF6" s="26">
        <v>4.8499999999999996</v>
      </c>
      <c r="AG6" s="27">
        <f>1%*(Y6+AE6+AF6)</f>
        <v>16.933499999999999</v>
      </c>
      <c r="AH6" s="25">
        <f t="shared" ref="AH6:AH7" si="18">Y6+AE6+AG6+AF6</f>
        <v>1710.2834999999998</v>
      </c>
      <c r="AI6" s="28">
        <f t="shared" ref="AI6:AI7" si="19">AH6/V6</f>
        <v>1.7102834999999998</v>
      </c>
      <c r="AJ6" s="29">
        <f t="shared" ref="AJ6:AJ7" si="20">AI6*18%</f>
        <v>0.30785102999999997</v>
      </c>
      <c r="AK6" s="35">
        <f t="shared" ref="AK6:AK7" si="21">AI6+AJ6</f>
        <v>2.0181345299999998</v>
      </c>
    </row>
    <row r="7" spans="1:256" s="30" customFormat="1" ht="213" customHeight="1" x14ac:dyDescent="0.35">
      <c r="A7"/>
      <c r="B7" s="40">
        <v>3</v>
      </c>
      <c r="C7" s="41" t="s">
        <v>77</v>
      </c>
      <c r="D7" s="41" t="s">
        <v>73</v>
      </c>
      <c r="E7" s="53" t="s">
        <v>34</v>
      </c>
      <c r="F7" s="9">
        <v>1000</v>
      </c>
      <c r="G7" s="10">
        <v>1.9</v>
      </c>
      <c r="H7" s="39" t="s">
        <v>42</v>
      </c>
      <c r="I7" s="38" t="s">
        <v>78</v>
      </c>
      <c r="J7" s="11">
        <f t="shared" si="11"/>
        <v>1900</v>
      </c>
      <c r="K7" s="42"/>
      <c r="L7" s="37">
        <f>T7/J7</f>
        <v>0.30205949656750575</v>
      </c>
      <c r="M7" s="12" t="s">
        <v>80</v>
      </c>
      <c r="N7" s="45"/>
      <c r="O7" s="46"/>
      <c r="P7" s="36"/>
      <c r="Q7" s="13">
        <f>1.1/1.15</f>
        <v>0.95652173913043492</v>
      </c>
      <c r="R7" s="14">
        <v>60</v>
      </c>
      <c r="S7" s="15">
        <f t="shared" si="12"/>
        <v>0.57391304347826089</v>
      </c>
      <c r="T7" s="16">
        <f t="shared" si="13"/>
        <v>573.91304347826087</v>
      </c>
      <c r="U7" s="17">
        <f t="shared" si="14"/>
        <v>1.5304347826086957</v>
      </c>
      <c r="V7" s="18">
        <f t="shared" si="4"/>
        <v>1000</v>
      </c>
      <c r="W7" s="19">
        <f t="shared" si="15"/>
        <v>9.5652173913043494</v>
      </c>
      <c r="X7" s="20">
        <v>100</v>
      </c>
      <c r="Y7" s="21">
        <f t="shared" si="16"/>
        <v>1640</v>
      </c>
      <c r="Z7" s="22" t="s">
        <v>35</v>
      </c>
      <c r="AA7" s="23">
        <v>240</v>
      </c>
      <c r="AB7" s="24">
        <v>1</v>
      </c>
      <c r="AC7" s="24">
        <v>1</v>
      </c>
      <c r="AD7" s="24">
        <v>1</v>
      </c>
      <c r="AE7" s="25">
        <f t="shared" si="17"/>
        <v>240</v>
      </c>
      <c r="AF7" s="26">
        <v>4.8499999999999996</v>
      </c>
      <c r="AG7" s="27">
        <f>1%*(Y7+AE7+AF7)</f>
        <v>18.848499999999998</v>
      </c>
      <c r="AH7" s="25">
        <f t="shared" si="18"/>
        <v>1903.6985</v>
      </c>
      <c r="AI7" s="28">
        <f t="shared" si="19"/>
        <v>1.9036985</v>
      </c>
      <c r="AJ7" s="29">
        <f t="shared" si="20"/>
        <v>0.34266573</v>
      </c>
      <c r="AK7" s="35">
        <f t="shared" si="21"/>
        <v>2.2463642300000002</v>
      </c>
    </row>
    <row r="8" spans="1:256" s="30" customFormat="1" ht="213" customHeight="1" x14ac:dyDescent="0.35">
      <c r="A8"/>
      <c r="B8" s="40">
        <v>4</v>
      </c>
      <c r="C8" s="41" t="s">
        <v>84</v>
      </c>
      <c r="D8" s="41" t="s">
        <v>73</v>
      </c>
      <c r="E8" s="53" t="s">
        <v>34</v>
      </c>
      <c r="F8" s="9">
        <v>1000</v>
      </c>
      <c r="G8" s="10">
        <v>3.79</v>
      </c>
      <c r="H8" s="39" t="s">
        <v>42</v>
      </c>
      <c r="I8" s="38" t="s">
        <v>85</v>
      </c>
      <c r="J8" s="11">
        <f t="shared" ref="J8" si="22">F8*G8</f>
        <v>3790</v>
      </c>
      <c r="K8" s="42"/>
      <c r="L8" s="37">
        <f>T8/J8</f>
        <v>0.30184696569920849</v>
      </c>
      <c r="M8" s="12" t="s">
        <v>55</v>
      </c>
      <c r="N8" s="45"/>
      <c r="O8" s="46"/>
      <c r="P8" s="36"/>
      <c r="Q8" s="13">
        <v>2.2000000000000002</v>
      </c>
      <c r="R8" s="14">
        <v>52</v>
      </c>
      <c r="S8" s="15">
        <f t="shared" ref="S8" si="23">Q8*R8/100</f>
        <v>1.1440000000000001</v>
      </c>
      <c r="T8" s="16">
        <f t="shared" ref="T8" si="24">S8*V8</f>
        <v>1144.0000000000002</v>
      </c>
      <c r="U8" s="17">
        <f t="shared" ref="U8" si="25">Q8+S8</f>
        <v>3.3440000000000003</v>
      </c>
      <c r="V8" s="18">
        <f t="shared" ref="V8" si="26">F8</f>
        <v>1000</v>
      </c>
      <c r="W8" s="19">
        <f t="shared" si="15"/>
        <v>22</v>
      </c>
      <c r="X8" s="20">
        <v>120</v>
      </c>
      <c r="Y8" s="21">
        <f t="shared" ref="Y8" si="27">V8*U8+W8+X8</f>
        <v>3486.0000000000005</v>
      </c>
      <c r="Z8" s="22" t="s">
        <v>35</v>
      </c>
      <c r="AA8" s="23">
        <v>240</v>
      </c>
      <c r="AB8" s="24">
        <v>1</v>
      </c>
      <c r="AC8" s="24">
        <v>1</v>
      </c>
      <c r="AD8" s="24">
        <v>1</v>
      </c>
      <c r="AE8" s="25">
        <f t="shared" ref="AE8" si="28">AA8*AB8*AC8*AD8</f>
        <v>240</v>
      </c>
      <c r="AF8" s="26">
        <v>4.8499999999999996</v>
      </c>
      <c r="AG8" s="27">
        <f>1%*(Y8+AE8+AF8)</f>
        <v>37.308500000000002</v>
      </c>
      <c r="AH8" s="25">
        <f t="shared" ref="AH8" si="29">Y8+AE8+AG8+AF8</f>
        <v>3768.1585000000005</v>
      </c>
      <c r="AI8" s="28">
        <f t="shared" ref="AI8" si="30">AH8/V8</f>
        <v>3.7681585000000006</v>
      </c>
      <c r="AJ8" s="29">
        <f t="shared" ref="AJ8" si="31">AI8*18%</f>
        <v>0.67826853000000009</v>
      </c>
      <c r="AK8" s="35">
        <f t="shared" ref="AK8" si="32">AI8+AJ8</f>
        <v>4.4464270300000006</v>
      </c>
    </row>
    <row r="9" spans="1:256" s="30" customFormat="1" ht="213" customHeight="1" x14ac:dyDescent="0.35">
      <c r="A9" s="8"/>
      <c r="B9" s="40">
        <v>5</v>
      </c>
      <c r="C9" s="41" t="s">
        <v>74</v>
      </c>
      <c r="D9" s="41" t="s">
        <v>73</v>
      </c>
      <c r="E9" s="53" t="s">
        <v>34</v>
      </c>
      <c r="F9" s="9">
        <v>1000</v>
      </c>
      <c r="G9" s="10">
        <v>4.99</v>
      </c>
      <c r="H9" s="39" t="s">
        <v>42</v>
      </c>
      <c r="I9" s="38" t="s">
        <v>86</v>
      </c>
      <c r="J9" s="11">
        <f t="shared" ref="J9:J10" si="33">F9*G9</f>
        <v>4990</v>
      </c>
      <c r="K9" s="42"/>
      <c r="L9" s="37">
        <f>T9/J9</f>
        <v>0.25183414038377178</v>
      </c>
      <c r="M9" s="12" t="s">
        <v>81</v>
      </c>
      <c r="N9" s="45"/>
      <c r="O9" s="46"/>
      <c r="P9" s="36"/>
      <c r="Q9" s="13">
        <f>3.05/1.165</f>
        <v>2.618025751072961</v>
      </c>
      <c r="R9" s="14">
        <v>48</v>
      </c>
      <c r="S9" s="15">
        <f t="shared" ref="S9:S10" si="34">Q9*R9/100</f>
        <v>1.2566523605150213</v>
      </c>
      <c r="T9" s="16">
        <f t="shared" ref="T9:T10" si="35">S9*V9</f>
        <v>1256.6523605150212</v>
      </c>
      <c r="U9" s="17">
        <f t="shared" ref="U9:U10" si="36">Q9+S9</f>
        <v>3.8746781115879823</v>
      </c>
      <c r="V9" s="18">
        <f t="shared" ref="V9:V10" si="37">F9</f>
        <v>1000</v>
      </c>
      <c r="W9" s="19">
        <f t="shared" si="15"/>
        <v>26.180257510729611</v>
      </c>
      <c r="X9" s="20">
        <v>120</v>
      </c>
      <c r="Y9" s="21">
        <f t="shared" ref="Y9:Y10" si="38">V9*U9+W9+X9</f>
        <v>4020.8583690987116</v>
      </c>
      <c r="Z9" s="22" t="s">
        <v>35</v>
      </c>
      <c r="AA9" s="23">
        <f>0.9*1000</f>
        <v>900</v>
      </c>
      <c r="AB9" s="24">
        <v>1</v>
      </c>
      <c r="AC9" s="24">
        <v>1</v>
      </c>
      <c r="AD9" s="24">
        <v>1</v>
      </c>
      <c r="AE9" s="25">
        <f t="shared" ref="AE9:AE10" si="39">AA9*AB9*AC9*AD9</f>
        <v>900</v>
      </c>
      <c r="AF9" s="26">
        <v>4.8499999999999996</v>
      </c>
      <c r="AG9" s="27">
        <f>1%*(Y9+AE9+AF9)</f>
        <v>49.257083690987123</v>
      </c>
      <c r="AH9" s="25">
        <f t="shared" ref="AH9:AH10" si="40">Y9+AE9+AG9+AF9</f>
        <v>4974.9654527896992</v>
      </c>
      <c r="AI9" s="28">
        <f t="shared" ref="AI9:AI10" si="41">AH9/V9</f>
        <v>4.9749654527896991</v>
      </c>
      <c r="AJ9" s="29">
        <f t="shared" ref="AJ9:AJ10" si="42">AI9*18%</f>
        <v>0.89549378150214587</v>
      </c>
      <c r="AK9" s="35">
        <f t="shared" ref="AK9:AK10" si="43">AI9+AJ9</f>
        <v>5.8704592342918449</v>
      </c>
    </row>
    <row r="10" spans="1:256" s="30" customFormat="1" ht="277.5" customHeight="1" x14ac:dyDescent="0.35">
      <c r="A10" s="8"/>
      <c r="B10" s="40">
        <v>6</v>
      </c>
      <c r="C10" s="43" t="s">
        <v>88</v>
      </c>
      <c r="D10" s="44"/>
      <c r="E10" s="53" t="s">
        <v>34</v>
      </c>
      <c r="F10" s="9">
        <v>1000</v>
      </c>
      <c r="G10" s="10">
        <f t="shared" ref="G10" si="44">AI10</f>
        <v>4.9933605293276102</v>
      </c>
      <c r="H10" s="39" t="s">
        <v>50</v>
      </c>
      <c r="I10" s="38" t="s">
        <v>92</v>
      </c>
      <c r="J10" s="11">
        <f t="shared" si="33"/>
        <v>4993.3605293276105</v>
      </c>
      <c r="K10" s="42"/>
      <c r="L10" s="37">
        <f>T10/J10</f>
        <v>0.25656386561793826</v>
      </c>
      <c r="M10" s="12" t="s">
        <v>72</v>
      </c>
      <c r="N10" s="45"/>
      <c r="O10" s="46"/>
      <c r="P10" s="36" t="s">
        <v>94</v>
      </c>
      <c r="Q10" s="13">
        <f>(3.73+0.25)/1.165</f>
        <v>3.4163090128755362</v>
      </c>
      <c r="R10" s="14">
        <v>37.5</v>
      </c>
      <c r="S10" s="15">
        <f t="shared" si="34"/>
        <v>1.2811158798283262</v>
      </c>
      <c r="T10" s="16">
        <f t="shared" si="35"/>
        <v>1281.1158798283261</v>
      </c>
      <c r="U10" s="17">
        <f t="shared" si="36"/>
        <v>4.6974248927038627</v>
      </c>
      <c r="V10" s="18">
        <f t="shared" si="37"/>
        <v>1000</v>
      </c>
      <c r="W10" s="19">
        <f>Q10*10</f>
        <v>34.163090128755364</v>
      </c>
      <c r="X10" s="20">
        <v>180</v>
      </c>
      <c r="Y10" s="21">
        <f t="shared" si="38"/>
        <v>4911.5879828326179</v>
      </c>
      <c r="Z10" s="22"/>
      <c r="AA10" s="23">
        <v>0</v>
      </c>
      <c r="AB10" s="24">
        <v>1</v>
      </c>
      <c r="AC10" s="24">
        <v>1</v>
      </c>
      <c r="AD10" s="24">
        <v>1</v>
      </c>
      <c r="AE10" s="25">
        <f t="shared" si="39"/>
        <v>0</v>
      </c>
      <c r="AF10" s="26">
        <f>V10/150*4.85</f>
        <v>32.333333333333336</v>
      </c>
      <c r="AG10" s="27">
        <f>1%*(Y10+AE10+AF10)</f>
        <v>49.439213161659509</v>
      </c>
      <c r="AH10" s="25">
        <f t="shared" si="40"/>
        <v>4993.3605293276105</v>
      </c>
      <c r="AI10" s="28">
        <f t="shared" si="41"/>
        <v>4.9933605293276102</v>
      </c>
      <c r="AJ10" s="29">
        <f t="shared" si="42"/>
        <v>0.89880489527896978</v>
      </c>
      <c r="AK10" s="35">
        <f t="shared" si="43"/>
        <v>5.8921654246065795</v>
      </c>
    </row>
    <row r="11" spans="1:256" s="30" customFormat="1" ht="277.5" customHeight="1" x14ac:dyDescent="0.35">
      <c r="A11" s="8"/>
      <c r="B11" s="40">
        <v>7</v>
      </c>
      <c r="C11" s="43" t="s">
        <v>87</v>
      </c>
      <c r="D11" s="44"/>
      <c r="E11" s="53" t="s">
        <v>34</v>
      </c>
      <c r="F11" s="9">
        <v>1000</v>
      </c>
      <c r="G11" s="10">
        <v>5.19</v>
      </c>
      <c r="H11" s="39" t="s">
        <v>50</v>
      </c>
      <c r="I11" s="38" t="s">
        <v>91</v>
      </c>
      <c r="J11" s="11">
        <f t="shared" ref="J11" si="45">F11*G11</f>
        <v>5190</v>
      </c>
      <c r="K11" s="42"/>
      <c r="L11" s="37">
        <f>T11/J11</f>
        <v>0.25614627006375751</v>
      </c>
      <c r="M11" s="12" t="s">
        <v>72</v>
      </c>
      <c r="N11" s="45"/>
      <c r="O11" s="46"/>
      <c r="P11" s="36" t="s">
        <v>95</v>
      </c>
      <c r="Q11" s="13">
        <f>(3.83+0.3)/1.165</f>
        <v>3.5450643776824031</v>
      </c>
      <c r="R11" s="14">
        <v>37.5</v>
      </c>
      <c r="S11" s="15">
        <f t="shared" ref="S11" si="46">Q11*R11/100</f>
        <v>1.3293991416309012</v>
      </c>
      <c r="T11" s="16">
        <f t="shared" ref="T11" si="47">S11*V11</f>
        <v>1329.3991416309013</v>
      </c>
      <c r="U11" s="17">
        <f t="shared" ref="U11" si="48">Q11+S11</f>
        <v>4.8744635193133039</v>
      </c>
      <c r="V11" s="18">
        <f t="shared" si="4"/>
        <v>1000</v>
      </c>
      <c r="W11" s="19">
        <f>Q11*10</f>
        <v>35.45064377682403</v>
      </c>
      <c r="X11" s="20">
        <v>180</v>
      </c>
      <c r="Y11" s="21">
        <f t="shared" ref="Y11" si="49">V11*U11+W11+X11</f>
        <v>5089.9141630901277</v>
      </c>
      <c r="Z11" s="22"/>
      <c r="AA11" s="23">
        <v>0</v>
      </c>
      <c r="AB11" s="24">
        <v>1</v>
      </c>
      <c r="AC11" s="24">
        <v>1</v>
      </c>
      <c r="AD11" s="24">
        <v>1</v>
      </c>
      <c r="AE11" s="25">
        <f t="shared" ref="AE11" si="50">AA11*AB11*AC11*AD11</f>
        <v>0</v>
      </c>
      <c r="AF11" s="26">
        <f>V11/150*4.85</f>
        <v>32.333333333333336</v>
      </c>
      <c r="AG11" s="27">
        <f>1%*(Y11+AE11+AF11)</f>
        <v>51.222474964234607</v>
      </c>
      <c r="AH11" s="25">
        <f t="shared" ref="AH11" si="51">Y11+AE11+AG11+AF11</f>
        <v>5173.4699713876953</v>
      </c>
      <c r="AI11" s="28">
        <f t="shared" ref="AI11" si="52">AH11/V11</f>
        <v>5.1734699713876955</v>
      </c>
      <c r="AJ11" s="29">
        <f t="shared" ref="AJ11" si="53">AI11*18%</f>
        <v>0.93122459484978515</v>
      </c>
      <c r="AK11" s="35">
        <f t="shared" ref="AK11" si="54">AI11+AJ11</f>
        <v>6.1046945662374803</v>
      </c>
    </row>
    <row r="12" spans="1:256" s="30" customFormat="1" ht="277.5" customHeight="1" x14ac:dyDescent="0.35">
      <c r="A12" s="8"/>
      <c r="B12" s="40">
        <v>8</v>
      </c>
      <c r="C12" s="43" t="s">
        <v>89</v>
      </c>
      <c r="D12" s="44"/>
      <c r="E12" s="53" t="s">
        <v>34</v>
      </c>
      <c r="F12" s="9">
        <v>1000</v>
      </c>
      <c r="G12" s="10">
        <v>3.29</v>
      </c>
      <c r="H12" s="39" t="s">
        <v>42</v>
      </c>
      <c r="I12" s="38" t="s">
        <v>90</v>
      </c>
      <c r="J12" s="11">
        <f t="shared" ref="J12" si="55">F12*G12</f>
        <v>3290</v>
      </c>
      <c r="K12" s="42"/>
      <c r="L12" s="37">
        <f>T12/J12</f>
        <v>0.2917933130699088</v>
      </c>
      <c r="M12" s="12" t="s">
        <v>93</v>
      </c>
      <c r="N12" s="45"/>
      <c r="O12" s="46"/>
      <c r="P12" s="36"/>
      <c r="Q12" s="13">
        <f>1.45+0.55</f>
        <v>2</v>
      </c>
      <c r="R12" s="14">
        <v>48</v>
      </c>
      <c r="S12" s="15">
        <f t="shared" ref="S12" si="56">Q12*R12/100</f>
        <v>0.96</v>
      </c>
      <c r="T12" s="16">
        <f t="shared" ref="T12" si="57">S12*V12</f>
        <v>960</v>
      </c>
      <c r="U12" s="17">
        <f t="shared" ref="U12" si="58">Q12+S12</f>
        <v>2.96</v>
      </c>
      <c r="V12" s="18">
        <f t="shared" ref="V12" si="59">F12</f>
        <v>1000</v>
      </c>
      <c r="W12" s="19">
        <f>Q12*20</f>
        <v>40</v>
      </c>
      <c r="X12" s="20">
        <v>180</v>
      </c>
      <c r="Y12" s="21">
        <f t="shared" ref="Y12" si="60">V12*U12+W12+X12</f>
        <v>3180</v>
      </c>
      <c r="Z12" s="22"/>
      <c r="AA12" s="23">
        <v>0</v>
      </c>
      <c r="AB12" s="24">
        <v>1</v>
      </c>
      <c r="AC12" s="24">
        <v>1</v>
      </c>
      <c r="AD12" s="24">
        <v>1</v>
      </c>
      <c r="AE12" s="25">
        <f t="shared" ref="AE12:AE14" si="61">AA12*AB12*AC12*AD12</f>
        <v>0</v>
      </c>
      <c r="AF12" s="26">
        <f>V12/150*4.85</f>
        <v>32.333333333333336</v>
      </c>
      <c r="AG12" s="27">
        <f>1%*(Y12+AE12+AF12)</f>
        <v>32.123333333333335</v>
      </c>
      <c r="AH12" s="25">
        <f t="shared" ref="AH12" si="62">Y12+AE12+AG12+AF12</f>
        <v>3244.4566666666669</v>
      </c>
      <c r="AI12" s="28">
        <f t="shared" ref="AI12" si="63">AH12/V12</f>
        <v>3.2444566666666668</v>
      </c>
      <c r="AJ12" s="29">
        <f t="shared" ref="AJ12" si="64">AI12*18%</f>
        <v>0.58400220000000003</v>
      </c>
      <c r="AK12" s="35">
        <f t="shared" ref="AK12" si="65">AI12+AJ12</f>
        <v>3.8284588666666668</v>
      </c>
    </row>
    <row r="13" spans="1:256" ht="288.75" customHeight="1" x14ac:dyDescent="0.35">
      <c r="B13" s="92">
        <v>9</v>
      </c>
      <c r="C13" s="55" t="s">
        <v>100</v>
      </c>
      <c r="D13" s="55"/>
      <c r="E13" s="56"/>
      <c r="F13" s="9">
        <v>1000</v>
      </c>
      <c r="G13" s="57">
        <v>5.69</v>
      </c>
      <c r="H13" s="58" t="s">
        <v>96</v>
      </c>
      <c r="I13" s="59" t="s">
        <v>103</v>
      </c>
      <c r="J13" s="57">
        <f>F13*G13</f>
        <v>5690</v>
      </c>
      <c r="K13" s="60"/>
      <c r="L13" s="37">
        <f t="shared" ref="L13:L16" si="66">T13/J13</f>
        <v>0.2601054481546573</v>
      </c>
      <c r="M13" s="61" t="s">
        <v>97</v>
      </c>
      <c r="N13" s="62" t="s">
        <v>98</v>
      </c>
      <c r="O13" s="63"/>
      <c r="P13" s="64"/>
      <c r="Q13" s="13">
        <f>3.7</f>
        <v>3.7</v>
      </c>
      <c r="R13" s="14">
        <v>40</v>
      </c>
      <c r="S13" s="15">
        <f t="shared" ref="S13:S15" si="67">Q13*R13/100</f>
        <v>1.48</v>
      </c>
      <c r="T13" s="16">
        <f t="shared" ref="T13:T15" si="68">S13*V13</f>
        <v>1480</v>
      </c>
      <c r="U13" s="17">
        <f t="shared" ref="U13:U15" si="69">Q13+S13</f>
        <v>5.18</v>
      </c>
      <c r="V13" s="18">
        <f t="shared" si="4"/>
        <v>1000</v>
      </c>
      <c r="W13" s="19">
        <f>Q13*10+50</f>
        <v>87</v>
      </c>
      <c r="X13" s="20">
        <v>220</v>
      </c>
      <c r="Y13" s="21">
        <f t="shared" ref="Y13:Y15" si="70">V13*U13+W13+X13</f>
        <v>5487</v>
      </c>
      <c r="Z13" s="22" t="s">
        <v>40</v>
      </c>
      <c r="AA13" s="23">
        <v>0</v>
      </c>
      <c r="AB13" s="24">
        <v>1</v>
      </c>
      <c r="AC13" s="24">
        <v>1</v>
      </c>
      <c r="AD13" s="24">
        <v>1</v>
      </c>
      <c r="AE13" s="25">
        <f t="shared" si="61"/>
        <v>0</v>
      </c>
      <c r="AF13" s="26">
        <f>F13/35*2.85</f>
        <v>81.428571428571431</v>
      </c>
      <c r="AG13" s="27">
        <f>1.5%*(Y13+AE13+AF13)</f>
        <v>83.526428571428568</v>
      </c>
      <c r="AH13" s="25">
        <f t="shared" ref="AH13:AH15" si="71">Y13+AE13+AG13+AF13</f>
        <v>5651.9549999999999</v>
      </c>
      <c r="AI13" s="28">
        <f t="shared" ref="AI13:AI15" si="72">AH13/V13</f>
        <v>5.6519550000000001</v>
      </c>
      <c r="AJ13" s="29">
        <f t="shared" ref="AJ13:AJ15" si="73">AI13*18%</f>
        <v>1.0173519</v>
      </c>
      <c r="AK13" s="35">
        <f t="shared" ref="AK13:AK15" si="74">AI13+AJ13</f>
        <v>6.6693069000000005</v>
      </c>
      <c r="AL13" s="70"/>
      <c r="AM13" s="71"/>
      <c r="AN13" s="71"/>
      <c r="AO13" s="71"/>
      <c r="AP13" s="71"/>
      <c r="AQ13" s="72"/>
      <c r="AR13" s="73"/>
      <c r="AS13" s="74"/>
      <c r="AT13" s="74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</row>
    <row r="14" spans="1:256" ht="288.75" customHeight="1" x14ac:dyDescent="0.35">
      <c r="B14" s="92">
        <v>10</v>
      </c>
      <c r="C14" s="55" t="s">
        <v>101</v>
      </c>
      <c r="D14" s="55"/>
      <c r="E14" s="56"/>
      <c r="F14" s="9">
        <v>1000</v>
      </c>
      <c r="G14" s="57">
        <v>8.69</v>
      </c>
      <c r="H14" s="58" t="s">
        <v>96</v>
      </c>
      <c r="I14" s="59" t="s">
        <v>102</v>
      </c>
      <c r="J14" s="57">
        <f>F14*G14</f>
        <v>8690</v>
      </c>
      <c r="K14" s="60"/>
      <c r="L14" s="37">
        <f t="shared" si="66"/>
        <v>0.24165707710011508</v>
      </c>
      <c r="M14" s="61" t="s">
        <v>97</v>
      </c>
      <c r="N14" s="62" t="s">
        <v>98</v>
      </c>
      <c r="O14" s="63"/>
      <c r="P14" s="64"/>
      <c r="Q14" s="13">
        <v>6</v>
      </c>
      <c r="R14" s="14">
        <v>35</v>
      </c>
      <c r="S14" s="15">
        <f t="shared" ref="S14" si="75">Q14*R14/100</f>
        <v>2.1</v>
      </c>
      <c r="T14" s="16">
        <f t="shared" ref="T14" si="76">S14*V14</f>
        <v>2100</v>
      </c>
      <c r="U14" s="17">
        <f t="shared" ref="U14" si="77">Q14+S14</f>
        <v>8.1</v>
      </c>
      <c r="V14" s="18">
        <f t="shared" ref="V14" si="78">F14</f>
        <v>1000</v>
      </c>
      <c r="W14" s="19">
        <f>Q14*10+50</f>
        <v>110</v>
      </c>
      <c r="X14" s="20">
        <v>280</v>
      </c>
      <c r="Y14" s="21">
        <f t="shared" ref="Y14" si="79">V14*U14+W14+X14</f>
        <v>8490</v>
      </c>
      <c r="Z14" s="22" t="s">
        <v>40</v>
      </c>
      <c r="AA14" s="23">
        <v>0</v>
      </c>
      <c r="AB14" s="24">
        <v>1</v>
      </c>
      <c r="AC14" s="24">
        <v>1</v>
      </c>
      <c r="AD14" s="24">
        <v>1</v>
      </c>
      <c r="AE14" s="25">
        <f t="shared" si="61"/>
        <v>0</v>
      </c>
      <c r="AF14" s="26">
        <f>F14/25*2.85</f>
        <v>114</v>
      </c>
      <c r="AG14" s="27">
        <f>1%*(Y14+AE14+AF14)</f>
        <v>86.04</v>
      </c>
      <c r="AH14" s="25">
        <f t="shared" ref="AH14" si="80">Y14+AE14+AG14+AF14</f>
        <v>8690.0400000000009</v>
      </c>
      <c r="AI14" s="28">
        <f t="shared" ref="AI14" si="81">AH14/V14</f>
        <v>8.6900400000000015</v>
      </c>
      <c r="AJ14" s="29">
        <f t="shared" ref="AJ14" si="82">AI14*18%</f>
        <v>1.5642072000000002</v>
      </c>
      <c r="AK14" s="35">
        <f t="shared" ref="AK14" si="83">AI14+AJ14</f>
        <v>10.254247200000002</v>
      </c>
      <c r="AL14" s="70"/>
      <c r="AM14" s="71"/>
      <c r="AN14" s="71"/>
      <c r="AO14" s="71"/>
      <c r="AP14" s="71"/>
      <c r="AQ14" s="72"/>
      <c r="AR14" s="73"/>
      <c r="AS14" s="74"/>
      <c r="AT14" s="74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</row>
    <row r="15" spans="1:256" s="30" customFormat="1" ht="247.5" customHeight="1" x14ac:dyDescent="0.35">
      <c r="A15" s="8"/>
      <c r="B15" s="40">
        <v>11</v>
      </c>
      <c r="C15" s="43" t="s">
        <v>99</v>
      </c>
      <c r="D15" s="44"/>
      <c r="E15" s="53" t="s">
        <v>34</v>
      </c>
      <c r="F15" s="9">
        <v>1000</v>
      </c>
      <c r="G15" s="57">
        <v>5.19</v>
      </c>
      <c r="H15" s="39" t="s">
        <v>42</v>
      </c>
      <c r="I15" s="38" t="s">
        <v>106</v>
      </c>
      <c r="J15" s="11">
        <f t="shared" ref="J15" si="84">F15*G15</f>
        <v>5190</v>
      </c>
      <c r="K15" s="37"/>
      <c r="L15" s="37">
        <f t="shared" si="66"/>
        <v>0.2233761144312727</v>
      </c>
      <c r="M15" s="12" t="s">
        <v>60</v>
      </c>
      <c r="N15" s="45"/>
      <c r="O15" s="46"/>
      <c r="P15" s="36" t="s">
        <v>66</v>
      </c>
      <c r="Q15" s="13">
        <f>3.42/1.18</f>
        <v>2.898305084745763</v>
      </c>
      <c r="R15" s="14">
        <v>40</v>
      </c>
      <c r="S15" s="15">
        <f t="shared" si="67"/>
        <v>1.1593220338983052</v>
      </c>
      <c r="T15" s="16">
        <f t="shared" si="68"/>
        <v>1159.3220338983053</v>
      </c>
      <c r="U15" s="17">
        <f t="shared" si="69"/>
        <v>4.057627118644068</v>
      </c>
      <c r="V15" s="18">
        <f t="shared" si="4"/>
        <v>1000</v>
      </c>
      <c r="W15" s="19">
        <f>Q15*10</f>
        <v>28.98305084745763</v>
      </c>
      <c r="X15" s="20">
        <v>280</v>
      </c>
      <c r="Y15" s="21">
        <f t="shared" si="70"/>
        <v>4366.6101694915251</v>
      </c>
      <c r="Z15" s="22" t="s">
        <v>104</v>
      </c>
      <c r="AA15" s="23">
        <f>0.5*1000</f>
        <v>500</v>
      </c>
      <c r="AB15" s="24">
        <v>1</v>
      </c>
      <c r="AC15" s="24">
        <v>1</v>
      </c>
      <c r="AD15" s="24">
        <v>1</v>
      </c>
      <c r="AE15" s="25">
        <f t="shared" ref="AE15" si="85">AA15*AB15*AC15*AD15</f>
        <v>500</v>
      </c>
      <c r="AF15" s="26">
        <f>F15/50*3.85</f>
        <v>77</v>
      </c>
      <c r="AG15" s="27">
        <f t="shared" ref="AG15" si="86">1%*(Y15+AE15+AF15)</f>
        <v>49.436101694915251</v>
      </c>
      <c r="AH15" s="25">
        <f t="shared" si="71"/>
        <v>4993.0462711864402</v>
      </c>
      <c r="AI15" s="28">
        <f t="shared" si="72"/>
        <v>4.9930462711864401</v>
      </c>
      <c r="AJ15" s="29">
        <f t="shared" si="73"/>
        <v>0.89874832881355915</v>
      </c>
      <c r="AK15" s="35">
        <f t="shared" si="74"/>
        <v>5.891794599999999</v>
      </c>
    </row>
    <row r="16" spans="1:256" s="30" customFormat="1" ht="247.5" customHeight="1" x14ac:dyDescent="0.35">
      <c r="A16" s="8"/>
      <c r="B16" s="40">
        <v>12</v>
      </c>
      <c r="C16" s="43" t="s">
        <v>65</v>
      </c>
      <c r="D16" s="44"/>
      <c r="E16" s="53" t="s">
        <v>34</v>
      </c>
      <c r="F16" s="9">
        <v>1000</v>
      </c>
      <c r="G16" s="57">
        <v>8.39</v>
      </c>
      <c r="H16" s="39" t="s">
        <v>42</v>
      </c>
      <c r="I16" s="38" t="s">
        <v>105</v>
      </c>
      <c r="J16" s="11">
        <f t="shared" ref="J16" si="87">F16*G16</f>
        <v>8390</v>
      </c>
      <c r="K16" s="37"/>
      <c r="L16" s="37">
        <f t="shared" si="66"/>
        <v>0.24881449917385806</v>
      </c>
      <c r="M16" s="12" t="s">
        <v>60</v>
      </c>
      <c r="N16" s="45"/>
      <c r="O16" s="46"/>
      <c r="P16" s="36" t="s">
        <v>66</v>
      </c>
      <c r="Q16" s="13">
        <f>6.08/1.165</f>
        <v>5.2188841201716736</v>
      </c>
      <c r="R16" s="14">
        <v>40</v>
      </c>
      <c r="S16" s="15">
        <f t="shared" ref="S16" si="88">Q16*R16/100</f>
        <v>2.0875536480686692</v>
      </c>
      <c r="T16" s="16">
        <f t="shared" ref="T16" si="89">S16*V16</f>
        <v>2087.5536480686692</v>
      </c>
      <c r="U16" s="17">
        <f t="shared" ref="U16" si="90">Q16+S16</f>
        <v>7.3064377682403432</v>
      </c>
      <c r="V16" s="18">
        <f t="shared" ref="V16" si="91">F16</f>
        <v>1000</v>
      </c>
      <c r="W16" s="19">
        <f>Q16*7</f>
        <v>36.532188841201716</v>
      </c>
      <c r="X16" s="20">
        <v>280</v>
      </c>
      <c r="Y16" s="21">
        <f t="shared" ref="Y16" si="92">V16*U16+W16+X16</f>
        <v>7622.9699570815446</v>
      </c>
      <c r="Z16" s="22" t="s">
        <v>104</v>
      </c>
      <c r="AA16" s="23">
        <f>0.6*1000</f>
        <v>600</v>
      </c>
      <c r="AB16" s="24">
        <v>1</v>
      </c>
      <c r="AC16" s="24">
        <v>1</v>
      </c>
      <c r="AD16" s="24">
        <v>1</v>
      </c>
      <c r="AE16" s="25">
        <f t="shared" ref="AE16" si="93">AA16*AB16*AC16*AD16</f>
        <v>600</v>
      </c>
      <c r="AF16" s="26">
        <f>F16/50*3.85</f>
        <v>77</v>
      </c>
      <c r="AG16" s="27">
        <f t="shared" ref="AG16" si="94">1%*(Y16+AE16+AF16)</f>
        <v>82.999699570815451</v>
      </c>
      <c r="AH16" s="25">
        <f t="shared" ref="AH16" si="95">Y16+AE16+AG16+AF16</f>
        <v>8382.9696566523598</v>
      </c>
      <c r="AI16" s="28">
        <f t="shared" ref="AI16" si="96">AH16/V16</f>
        <v>8.3829696566523602</v>
      </c>
      <c r="AJ16" s="29">
        <f t="shared" ref="AJ16" si="97">AI16*18%</f>
        <v>1.5089345381974248</v>
      </c>
      <c r="AK16" s="35">
        <f t="shared" ref="AK16" si="98">AI16+AJ16</f>
        <v>9.8919041948497846</v>
      </c>
    </row>
    <row r="17" spans="1:37" s="30" customFormat="1" ht="312.75" customHeight="1" x14ac:dyDescent="0.35">
      <c r="A17" s="8"/>
      <c r="B17" s="40">
        <v>13</v>
      </c>
      <c r="C17" s="43" t="s">
        <v>114</v>
      </c>
      <c r="D17" s="44"/>
      <c r="E17" s="53" t="s">
        <v>34</v>
      </c>
      <c r="F17" s="9">
        <v>1000</v>
      </c>
      <c r="G17" s="57">
        <v>2.69</v>
      </c>
      <c r="H17" s="39" t="s">
        <v>42</v>
      </c>
      <c r="I17" s="38" t="s">
        <v>115</v>
      </c>
      <c r="J17" s="11">
        <f t="shared" ref="J17" si="99">F17*G17</f>
        <v>2690</v>
      </c>
      <c r="K17" s="37"/>
      <c r="L17" s="37">
        <f t="shared" ref="L17" si="100">T17/J17</f>
        <v>0.24776951672862457</v>
      </c>
      <c r="M17" s="12" t="s">
        <v>116</v>
      </c>
      <c r="N17" s="45" t="s">
        <v>117</v>
      </c>
      <c r="O17" s="46"/>
      <c r="P17" s="36" t="s">
        <v>118</v>
      </c>
      <c r="Q17" s="13">
        <f>1550/1000</f>
        <v>1.55</v>
      </c>
      <c r="R17" s="14">
        <v>43</v>
      </c>
      <c r="S17" s="15">
        <f t="shared" ref="S17" si="101">Q17*R17/100</f>
        <v>0.66650000000000009</v>
      </c>
      <c r="T17" s="16">
        <f t="shared" ref="T17" si="102">S17*V17</f>
        <v>666.50000000000011</v>
      </c>
      <c r="U17" s="17">
        <f t="shared" ref="U17" si="103">Q17+S17</f>
        <v>2.2164999999999999</v>
      </c>
      <c r="V17" s="18">
        <f t="shared" ref="V17" si="104">F17</f>
        <v>1000</v>
      </c>
      <c r="W17" s="19">
        <f>Q17*100+50</f>
        <v>205</v>
      </c>
      <c r="X17" s="20">
        <v>180</v>
      </c>
      <c r="Y17" s="21">
        <f t="shared" ref="Y17" si="105">V17*U17+W17+X17</f>
        <v>2601.5</v>
      </c>
      <c r="Z17" s="22"/>
      <c r="AA17" s="23">
        <v>0</v>
      </c>
      <c r="AB17" s="24">
        <v>1</v>
      </c>
      <c r="AC17" s="24">
        <v>1</v>
      </c>
      <c r="AD17" s="24">
        <v>1</v>
      </c>
      <c r="AE17" s="25">
        <f t="shared" ref="AE17" si="106">AA17*AB17*AC17*AD17</f>
        <v>0</v>
      </c>
      <c r="AF17" s="26">
        <f>V17/250*4.85</f>
        <v>19.399999999999999</v>
      </c>
      <c r="AG17" s="27">
        <f t="shared" ref="AG17" si="107">1%*(Y17+AE17+AF17)</f>
        <v>26.209000000000003</v>
      </c>
      <c r="AH17" s="25">
        <f t="shared" ref="AH17" si="108">Y17+AE17+AG17+AF17</f>
        <v>2647.1089999999999</v>
      </c>
      <c r="AI17" s="28">
        <f t="shared" ref="AI17" si="109">AH17/V17</f>
        <v>2.6471089999999999</v>
      </c>
      <c r="AJ17" s="29">
        <f t="shared" ref="AJ17" si="110">AI17*18%</f>
        <v>0.47647961999999999</v>
      </c>
      <c r="AK17" s="35">
        <f t="shared" ref="AK17" si="111">AI17+AJ17</f>
        <v>3.12358862</v>
      </c>
    </row>
    <row r="18" spans="1:37" s="30" customFormat="1" ht="264.75" customHeight="1" x14ac:dyDescent="0.35">
      <c r="A18" s="8"/>
      <c r="B18" s="40">
        <v>14</v>
      </c>
      <c r="C18" s="43" t="s">
        <v>63</v>
      </c>
      <c r="D18" s="44"/>
      <c r="E18" s="53" t="s">
        <v>34</v>
      </c>
      <c r="F18" s="9">
        <v>1000</v>
      </c>
      <c r="G18" s="10">
        <f t="shared" ref="G11:G18" si="112">AI18</f>
        <v>8.9939951086956516</v>
      </c>
      <c r="H18" s="39" t="s">
        <v>42</v>
      </c>
      <c r="I18" s="38" t="s">
        <v>107</v>
      </c>
      <c r="J18" s="11">
        <f t="shared" ref="J18" si="113">F18*G18</f>
        <v>8993.9951086956517</v>
      </c>
      <c r="K18" s="37"/>
      <c r="L18" s="37">
        <f t="shared" ref="L18" si="114">T18/J18</f>
        <v>0.24248062611340138</v>
      </c>
      <c r="M18" s="12" t="s">
        <v>60</v>
      </c>
      <c r="N18" s="45"/>
      <c r="O18" s="46"/>
      <c r="P18" s="36" t="s">
        <v>64</v>
      </c>
      <c r="Q18" s="13">
        <f>6.6/1.15</f>
        <v>5.7391304347826084</v>
      </c>
      <c r="R18" s="14">
        <v>38</v>
      </c>
      <c r="S18" s="15">
        <f t="shared" ref="S18" si="115">Q18*R18/100</f>
        <v>2.1808695652173911</v>
      </c>
      <c r="T18" s="16">
        <f t="shared" ref="T18:T21" si="116">S18*V18</f>
        <v>2180.869565217391</v>
      </c>
      <c r="U18" s="17">
        <f t="shared" ref="U18" si="117">Q18+S18</f>
        <v>7.92</v>
      </c>
      <c r="V18" s="18">
        <f t="shared" si="4"/>
        <v>1000</v>
      </c>
      <c r="W18" s="19">
        <f>Q18*5</f>
        <v>28.695652173913043</v>
      </c>
      <c r="X18" s="20">
        <f>100+100+160</f>
        <v>360</v>
      </c>
      <c r="Y18" s="21">
        <f t="shared" ref="Y18" si="118">V18*U18+W18+X18</f>
        <v>8308.6956521739121</v>
      </c>
      <c r="Z18" s="22" t="s">
        <v>112</v>
      </c>
      <c r="AA18" s="23">
        <v>500</v>
      </c>
      <c r="AB18" s="24">
        <v>1</v>
      </c>
      <c r="AC18" s="24">
        <v>1</v>
      </c>
      <c r="AD18" s="24">
        <v>1</v>
      </c>
      <c r="AE18" s="25">
        <f t="shared" ref="AE18" si="119">AA18*AB18*AC18*AD18</f>
        <v>500</v>
      </c>
      <c r="AF18" s="26">
        <f>V18/40*3.85</f>
        <v>96.25</v>
      </c>
      <c r="AG18" s="27">
        <f t="shared" ref="AG18:AG21" si="120">1%*(Y18+AE18+AF18)</f>
        <v>89.049456521739117</v>
      </c>
      <c r="AH18" s="25">
        <f t="shared" ref="AH18" si="121">Y18+AE18+AG18+AF18</f>
        <v>8993.9951086956517</v>
      </c>
      <c r="AI18" s="28">
        <f t="shared" ref="AI18" si="122">AH18/V18</f>
        <v>8.9939951086956516</v>
      </c>
      <c r="AJ18" s="29">
        <f t="shared" ref="AJ18" si="123">AI18*18%</f>
        <v>1.6189191195652173</v>
      </c>
      <c r="AK18" s="35">
        <f t="shared" ref="AK18" si="124">AI18+AJ18</f>
        <v>10.61291422826087</v>
      </c>
    </row>
    <row r="19" spans="1:37" s="30" customFormat="1" ht="264.75" customHeight="1" x14ac:dyDescent="0.35">
      <c r="A19" s="8"/>
      <c r="B19" s="40">
        <v>15</v>
      </c>
      <c r="C19" s="41" t="s">
        <v>108</v>
      </c>
      <c r="D19" s="41" t="s">
        <v>54</v>
      </c>
      <c r="E19" s="53" t="s">
        <v>34</v>
      </c>
      <c r="F19" s="9">
        <v>1000</v>
      </c>
      <c r="G19" s="10">
        <v>9.99</v>
      </c>
      <c r="H19" s="39" t="s">
        <v>42</v>
      </c>
      <c r="I19" s="38" t="s">
        <v>119</v>
      </c>
      <c r="J19" s="11">
        <f t="shared" ref="J19" si="125">F19*G19</f>
        <v>9990</v>
      </c>
      <c r="K19" s="37"/>
      <c r="L19" s="37">
        <f t="shared" ref="L19" si="126">T19/J19</f>
        <v>0.24456645486688408</v>
      </c>
      <c r="M19" s="12" t="s">
        <v>60</v>
      </c>
      <c r="N19" s="45"/>
      <c r="O19" s="46"/>
      <c r="P19" s="36"/>
      <c r="Q19" s="13">
        <f>7.55/1.165</f>
        <v>6.4806866952789699</v>
      </c>
      <c r="R19" s="14">
        <v>37.700000000000003</v>
      </c>
      <c r="S19" s="15">
        <f t="shared" ref="S19:S20" si="127">Q19*R19/100</f>
        <v>2.4432188841201721</v>
      </c>
      <c r="T19" s="16">
        <f t="shared" si="116"/>
        <v>2443.2188841201719</v>
      </c>
      <c r="U19" s="17">
        <f t="shared" ref="U19:U20" si="128">Q19+S19</f>
        <v>8.9239055793991415</v>
      </c>
      <c r="V19" s="18">
        <f t="shared" si="4"/>
        <v>1000</v>
      </c>
      <c r="W19" s="19">
        <f t="shared" ref="W19:W21" si="129">Q19*5</f>
        <v>32.403433476394852</v>
      </c>
      <c r="X19" s="20">
        <f>100+100+160</f>
        <v>360</v>
      </c>
      <c r="Y19" s="21">
        <f t="shared" ref="Y19:Y20" si="130">V19*U19+W19+X19</f>
        <v>9316.3090128755357</v>
      </c>
      <c r="Z19" s="22" t="s">
        <v>112</v>
      </c>
      <c r="AA19" s="23">
        <v>500</v>
      </c>
      <c r="AB19" s="24">
        <v>1</v>
      </c>
      <c r="AC19" s="24">
        <v>1</v>
      </c>
      <c r="AD19" s="24">
        <v>1</v>
      </c>
      <c r="AE19" s="25">
        <f t="shared" ref="AE19:AE21" si="131">AA19*AB19*AC19*AD19</f>
        <v>500</v>
      </c>
      <c r="AF19" s="26">
        <f>V19/40*3.85</f>
        <v>96.25</v>
      </c>
      <c r="AG19" s="27">
        <f t="shared" si="120"/>
        <v>99.125590128755363</v>
      </c>
      <c r="AH19" s="25">
        <f t="shared" ref="AH19:AH20" si="132">Y19+AE19+AG19+AF19</f>
        <v>10011.684603004291</v>
      </c>
      <c r="AI19" s="28">
        <f t="shared" ref="AI19:AI20" si="133">AH19/V19</f>
        <v>10.011684603004291</v>
      </c>
      <c r="AJ19" s="29">
        <f t="shared" ref="AJ19:AJ20" si="134">AI19*18%</f>
        <v>1.8021032285407723</v>
      </c>
      <c r="AK19" s="35">
        <f t="shared" ref="AK19:AK20" si="135">AI19+AJ19</f>
        <v>11.813787831545064</v>
      </c>
    </row>
    <row r="20" spans="1:37" s="91" customFormat="1" ht="257.25" customHeight="1" x14ac:dyDescent="0.35">
      <c r="A20" s="73"/>
      <c r="B20" s="40">
        <v>16</v>
      </c>
      <c r="C20" s="76" t="s">
        <v>109</v>
      </c>
      <c r="D20" s="76" t="s">
        <v>110</v>
      </c>
      <c r="E20" s="77"/>
      <c r="F20" s="78">
        <v>1000</v>
      </c>
      <c r="G20" s="10">
        <v>10.99</v>
      </c>
      <c r="H20" s="79" t="s">
        <v>42</v>
      </c>
      <c r="I20" s="80" t="s">
        <v>120</v>
      </c>
      <c r="J20" s="57">
        <f>F20*G20</f>
        <v>10990</v>
      </c>
      <c r="K20" s="81">
        <v>12.49</v>
      </c>
      <c r="L20" s="82">
        <f>T20/J20</f>
        <v>0.23585077343039126</v>
      </c>
      <c r="M20" s="83" t="s">
        <v>111</v>
      </c>
      <c r="N20" s="84"/>
      <c r="O20" s="85"/>
      <c r="P20" s="86"/>
      <c r="Q20" s="87">
        <v>7.2</v>
      </c>
      <c r="R20" s="14">
        <v>36</v>
      </c>
      <c r="S20" s="65">
        <f t="shared" si="127"/>
        <v>2.5920000000000001</v>
      </c>
      <c r="T20" s="16">
        <f t="shared" si="116"/>
        <v>2592</v>
      </c>
      <c r="U20" s="66">
        <f t="shared" si="128"/>
        <v>9.7919999999999998</v>
      </c>
      <c r="V20" s="88">
        <f t="shared" si="4"/>
        <v>1000</v>
      </c>
      <c r="W20" s="19">
        <f t="shared" si="129"/>
        <v>36</v>
      </c>
      <c r="X20" s="20">
        <f>140+140+160</f>
        <v>440</v>
      </c>
      <c r="Y20" s="89">
        <f t="shared" si="130"/>
        <v>10268</v>
      </c>
      <c r="Z20" s="22" t="s">
        <v>112</v>
      </c>
      <c r="AA20" s="23">
        <v>500</v>
      </c>
      <c r="AB20" s="24">
        <v>1</v>
      </c>
      <c r="AC20" s="24">
        <v>1</v>
      </c>
      <c r="AD20" s="24">
        <v>1</v>
      </c>
      <c r="AE20" s="25">
        <f t="shared" si="131"/>
        <v>500</v>
      </c>
      <c r="AF20" s="26">
        <f>V20/40*3.85</f>
        <v>96.25</v>
      </c>
      <c r="AG20" s="27">
        <f t="shared" si="120"/>
        <v>108.6425</v>
      </c>
      <c r="AH20" s="67">
        <f t="shared" si="132"/>
        <v>10972.8925</v>
      </c>
      <c r="AI20" s="68">
        <f t="shared" si="133"/>
        <v>10.9728925</v>
      </c>
      <c r="AJ20" s="90">
        <f t="shared" si="134"/>
        <v>1.97512065</v>
      </c>
      <c r="AK20" s="69">
        <f t="shared" si="135"/>
        <v>12.948013150000001</v>
      </c>
    </row>
    <row r="21" spans="1:37" s="91" customFormat="1" ht="259.5" customHeight="1" x14ac:dyDescent="0.35">
      <c r="A21" s="73"/>
      <c r="B21" s="40">
        <v>17</v>
      </c>
      <c r="C21" s="76" t="s">
        <v>113</v>
      </c>
      <c r="D21" s="76" t="s">
        <v>110</v>
      </c>
      <c r="E21" s="77"/>
      <c r="F21" s="78">
        <v>1000</v>
      </c>
      <c r="G21" s="10">
        <v>11.19</v>
      </c>
      <c r="H21" s="79" t="s">
        <v>42</v>
      </c>
      <c r="I21" s="80" t="s">
        <v>121</v>
      </c>
      <c r="J21" s="57">
        <f>F21*G21</f>
        <v>11190</v>
      </c>
      <c r="K21" s="81">
        <v>12.49</v>
      </c>
      <c r="L21" s="82">
        <f>T21/J21</f>
        <v>0.24450402144772118</v>
      </c>
      <c r="M21" s="83" t="s">
        <v>111</v>
      </c>
      <c r="N21" s="84"/>
      <c r="O21" s="85"/>
      <c r="P21" s="86"/>
      <c r="Q21" s="87">
        <v>7.2</v>
      </c>
      <c r="R21" s="14">
        <v>38</v>
      </c>
      <c r="S21" s="65">
        <f t="shared" ref="S21" si="136">Q21*R21/100</f>
        <v>2.7360000000000002</v>
      </c>
      <c r="T21" s="16">
        <f t="shared" si="116"/>
        <v>2736</v>
      </c>
      <c r="U21" s="66">
        <f t="shared" ref="U21" si="137">Q21+S21</f>
        <v>9.9359999999999999</v>
      </c>
      <c r="V21" s="88">
        <f t="shared" ref="V21" si="138">F21</f>
        <v>1000</v>
      </c>
      <c r="W21" s="19">
        <f t="shared" si="129"/>
        <v>36</v>
      </c>
      <c r="X21" s="20">
        <f>140+140+160</f>
        <v>440</v>
      </c>
      <c r="Y21" s="89">
        <f t="shared" ref="Y21" si="139">V21*U21+W21+X21</f>
        <v>10412</v>
      </c>
      <c r="Z21" s="22" t="s">
        <v>112</v>
      </c>
      <c r="AA21" s="23">
        <v>500</v>
      </c>
      <c r="AB21" s="24">
        <v>1</v>
      </c>
      <c r="AC21" s="24">
        <v>1</v>
      </c>
      <c r="AD21" s="24">
        <v>1</v>
      </c>
      <c r="AE21" s="25">
        <f t="shared" si="131"/>
        <v>500</v>
      </c>
      <c r="AF21" s="26">
        <f>V21/40*3.85</f>
        <v>96.25</v>
      </c>
      <c r="AG21" s="27">
        <f t="shared" si="120"/>
        <v>110.0825</v>
      </c>
      <c r="AH21" s="67">
        <f t="shared" ref="AH21" si="140">Y21+AE21+AG21+AF21</f>
        <v>11118.3325</v>
      </c>
      <c r="AI21" s="68">
        <f t="shared" ref="AI21" si="141">AH21/V21</f>
        <v>11.118332500000001</v>
      </c>
      <c r="AJ21" s="90">
        <f t="shared" ref="AJ21" si="142">AI21*18%</f>
        <v>2.0012998500000001</v>
      </c>
      <c r="AK21" s="69">
        <f t="shared" ref="AK21" si="143">AI21+AJ21</f>
        <v>13.119632350000002</v>
      </c>
    </row>
    <row r="22" spans="1:37" ht="63.75" customHeight="1" x14ac:dyDescent="0.25"/>
    <row r="23" spans="1:37" s="30" customFormat="1" ht="275.25" customHeight="1" x14ac:dyDescent="0.35">
      <c r="A23" s="8"/>
      <c r="B23" s="40">
        <v>5</v>
      </c>
      <c r="C23" s="43" t="s">
        <v>67</v>
      </c>
      <c r="D23" s="44"/>
      <c r="E23" s="53" t="s">
        <v>34</v>
      </c>
      <c r="F23" s="9">
        <v>1000</v>
      </c>
      <c r="G23" s="10">
        <f>AI23</f>
        <v>2.8633302391304349</v>
      </c>
      <c r="H23" s="39" t="s">
        <v>50</v>
      </c>
      <c r="I23" s="38" t="s">
        <v>71</v>
      </c>
      <c r="J23" s="11">
        <f t="shared" ref="J23:J24" si="144">F23*G23</f>
        <v>2863.3302391304351</v>
      </c>
      <c r="K23" s="42"/>
      <c r="L23" s="37">
        <f>T23/J23</f>
        <v>0.41818134980876748</v>
      </c>
      <c r="M23" s="12" t="s">
        <v>60</v>
      </c>
      <c r="N23" s="45"/>
      <c r="O23" s="46"/>
      <c r="P23" s="36" t="s">
        <v>68</v>
      </c>
      <c r="Q23" s="13">
        <f>1.53/1.15</f>
        <v>1.3304347826086957</v>
      </c>
      <c r="R23" s="14">
        <v>90</v>
      </c>
      <c r="S23" s="15">
        <f t="shared" ref="S23:S24" si="145">Q23*R23/100</f>
        <v>1.1973913043478261</v>
      </c>
      <c r="T23" s="16">
        <f t="shared" ref="T23:T24" si="146">S23*V23</f>
        <v>1197.3913043478262</v>
      </c>
      <c r="U23" s="17">
        <f t="shared" ref="U23:U24" si="147">Q23+S23</f>
        <v>2.5278260869565221</v>
      </c>
      <c r="V23" s="18">
        <f>F23</f>
        <v>1000</v>
      </c>
      <c r="W23" s="19">
        <f>Q23*10</f>
        <v>13.304347826086957</v>
      </c>
      <c r="X23" s="20">
        <v>90</v>
      </c>
      <c r="Y23" s="21">
        <f t="shared" ref="Y23:Y24" si="148">V23*U23+W23+X23</f>
        <v>2631.130434782609</v>
      </c>
      <c r="Z23" s="22" t="s">
        <v>35</v>
      </c>
      <c r="AA23" s="23">
        <v>100</v>
      </c>
      <c r="AB23" s="24">
        <v>1</v>
      </c>
      <c r="AC23" s="24">
        <v>2</v>
      </c>
      <c r="AD23" s="24">
        <v>1</v>
      </c>
      <c r="AE23" s="25">
        <f t="shared" ref="AE23:AE24" si="149">AA23*AB23*AC23*AD23</f>
        <v>200</v>
      </c>
      <c r="AF23" s="26">
        <v>3.85</v>
      </c>
      <c r="AG23" s="27">
        <f>1%*(Y23+AE23+AF23)</f>
        <v>28.34980434782609</v>
      </c>
      <c r="AH23" s="25">
        <f t="shared" ref="AH23:AH24" si="150">Y23+AE23+AG23+AF23</f>
        <v>2863.3302391304351</v>
      </c>
      <c r="AI23" s="28">
        <f t="shared" ref="AI23:AI24" si="151">AH23/V23</f>
        <v>2.8633302391304349</v>
      </c>
      <c r="AJ23" s="29">
        <f t="shared" ref="AJ23:AJ24" si="152">AI23*18%</f>
        <v>0.51539944304347829</v>
      </c>
      <c r="AK23" s="35">
        <f t="shared" ref="AK23:AK24" si="153">AI23+AJ23</f>
        <v>3.3787296821739132</v>
      </c>
    </row>
    <row r="24" spans="1:37" s="30" customFormat="1" ht="231" customHeight="1" x14ac:dyDescent="0.35">
      <c r="A24" s="8"/>
      <c r="B24" s="40">
        <v>6</v>
      </c>
      <c r="C24" s="41" t="s">
        <v>41</v>
      </c>
      <c r="D24" s="41" t="s">
        <v>49</v>
      </c>
      <c r="E24" s="53" t="s">
        <v>34</v>
      </c>
      <c r="F24" s="9">
        <v>1000</v>
      </c>
      <c r="G24" s="10">
        <f t="shared" ref="G24" si="154">AI24</f>
        <v>9.5232495999999998</v>
      </c>
      <c r="H24" s="39" t="s">
        <v>50</v>
      </c>
      <c r="I24" s="38" t="s">
        <v>69</v>
      </c>
      <c r="J24" s="11">
        <f t="shared" si="144"/>
        <v>9523.2495999999992</v>
      </c>
      <c r="K24" s="37"/>
      <c r="L24" s="37">
        <f t="shared" ref="L24" si="155">T24/J24</f>
        <v>0.31396845883363178</v>
      </c>
      <c r="M24" s="12" t="s">
        <v>46</v>
      </c>
      <c r="N24" s="45" t="s">
        <v>51</v>
      </c>
      <c r="O24" s="46"/>
      <c r="P24" s="36" t="s">
        <v>52</v>
      </c>
      <c r="Q24" s="13">
        <v>5.98</v>
      </c>
      <c r="R24" s="14">
        <v>50</v>
      </c>
      <c r="S24" s="15">
        <f t="shared" si="145"/>
        <v>2.99</v>
      </c>
      <c r="T24" s="16">
        <f t="shared" si="146"/>
        <v>2990</v>
      </c>
      <c r="U24" s="17">
        <f t="shared" si="147"/>
        <v>8.9700000000000006</v>
      </c>
      <c r="V24" s="18">
        <f t="shared" ref="V24" si="156">F24</f>
        <v>1000</v>
      </c>
      <c r="W24" s="19">
        <f t="shared" ref="W24" si="157">Q24*2</f>
        <v>11.96</v>
      </c>
      <c r="X24" s="20">
        <f>50+20+50</f>
        <v>120</v>
      </c>
      <c r="Y24" s="21">
        <f t="shared" si="148"/>
        <v>9101.9599999999991</v>
      </c>
      <c r="Z24" s="22" t="s">
        <v>40</v>
      </c>
      <c r="AA24" s="23">
        <f>200+50</f>
        <v>250</v>
      </c>
      <c r="AB24" s="24">
        <v>1</v>
      </c>
      <c r="AC24" s="24">
        <v>1</v>
      </c>
      <c r="AD24" s="24">
        <v>1</v>
      </c>
      <c r="AE24" s="25">
        <f t="shared" si="149"/>
        <v>250</v>
      </c>
      <c r="AF24" s="26">
        <f t="shared" ref="AF24" si="158">V24/50*3.85</f>
        <v>77</v>
      </c>
      <c r="AG24" s="27">
        <f t="shared" ref="AG24" si="159">1%*(Y24+AE24+AF24)</f>
        <v>94.289599999999993</v>
      </c>
      <c r="AH24" s="25">
        <f t="shared" si="150"/>
        <v>9523.2495999999992</v>
      </c>
      <c r="AI24" s="28">
        <f t="shared" si="151"/>
        <v>9.5232495999999998</v>
      </c>
      <c r="AJ24" s="29">
        <f t="shared" si="152"/>
        <v>1.7141849279999999</v>
      </c>
      <c r="AK24" s="35">
        <f t="shared" si="153"/>
        <v>11.237434528</v>
      </c>
    </row>
    <row r="25" spans="1:37" s="30" customFormat="1" ht="264.75" customHeight="1" x14ac:dyDescent="0.35">
      <c r="A25" s="8"/>
      <c r="B25" s="40">
        <v>8</v>
      </c>
      <c r="C25" s="43" t="s">
        <v>59</v>
      </c>
      <c r="D25" s="44"/>
      <c r="E25" s="53" t="s">
        <v>34</v>
      </c>
      <c r="F25" s="9">
        <v>1000</v>
      </c>
      <c r="G25" s="10">
        <f>AI25</f>
        <v>11.059912782608698</v>
      </c>
      <c r="H25" s="39" t="s">
        <v>42</v>
      </c>
      <c r="I25" s="38" t="s">
        <v>70</v>
      </c>
      <c r="J25" s="11">
        <f>F25*G25</f>
        <v>11059.912782608699</v>
      </c>
      <c r="K25" s="37"/>
      <c r="L25" s="37">
        <f t="shared" ref="L25:L27" si="160">T25/J25</f>
        <v>0.41041285984824605</v>
      </c>
      <c r="M25" s="12" t="s">
        <v>60</v>
      </c>
      <c r="N25" s="45"/>
      <c r="O25" s="46"/>
      <c r="P25" s="36" t="s">
        <v>62</v>
      </c>
      <c r="Q25" s="13">
        <f>6.96/1.15</f>
        <v>6.0521739130434788</v>
      </c>
      <c r="R25" s="14">
        <v>75</v>
      </c>
      <c r="S25" s="15">
        <f>Q25*R25/100</f>
        <v>4.5391304347826091</v>
      </c>
      <c r="T25" s="16">
        <f>S25*V25</f>
        <v>4539.130434782609</v>
      </c>
      <c r="U25" s="17">
        <f>Q25+S25</f>
        <v>10.591304347826089</v>
      </c>
      <c r="V25" s="18">
        <f>F25</f>
        <v>1000</v>
      </c>
      <c r="W25" s="19">
        <f>Q25*2</f>
        <v>12.104347826086958</v>
      </c>
      <c r="X25" s="20">
        <f>20+20+50</f>
        <v>90</v>
      </c>
      <c r="Y25" s="21">
        <f>V25*U25+W25+X25</f>
        <v>10693.408695652177</v>
      </c>
      <c r="Z25" s="22" t="s">
        <v>40</v>
      </c>
      <c r="AA25" s="23">
        <f>70*2+40</f>
        <v>180</v>
      </c>
      <c r="AB25" s="24">
        <v>1</v>
      </c>
      <c r="AC25" s="24">
        <v>1</v>
      </c>
      <c r="AD25" s="24">
        <v>1</v>
      </c>
      <c r="AE25" s="25">
        <f>AA25*AB25*AC25*AD25</f>
        <v>180</v>
      </c>
      <c r="AF25" s="26">
        <f>V25/50*3.85</f>
        <v>77</v>
      </c>
      <c r="AG25" s="27">
        <f>1%*(Y25+AE25+AF25)</f>
        <v>109.50408695652177</v>
      </c>
      <c r="AH25" s="25">
        <f>Y25+AE25+AG25+AF25</f>
        <v>11059.912782608699</v>
      </c>
      <c r="AI25" s="28">
        <f>AH25/V25</f>
        <v>11.059912782608698</v>
      </c>
      <c r="AJ25" s="29">
        <f>AI25*18%</f>
        <v>1.9907843008695656</v>
      </c>
      <c r="AK25" s="35">
        <f>AI25+AJ25</f>
        <v>13.050697083478264</v>
      </c>
    </row>
    <row r="26" spans="1:37" s="30" customFormat="1" ht="264.75" customHeight="1" x14ac:dyDescent="0.35">
      <c r="A26" s="8"/>
      <c r="B26" s="40">
        <v>10</v>
      </c>
      <c r="C26" s="41" t="s">
        <v>53</v>
      </c>
      <c r="D26" s="41" t="s">
        <v>54</v>
      </c>
      <c r="E26" s="53" t="s">
        <v>34</v>
      </c>
      <c r="F26" s="9">
        <v>1000</v>
      </c>
      <c r="G26" s="10">
        <f t="shared" ref="G26:G27" si="161">AI26</f>
        <v>14.506629999999999</v>
      </c>
      <c r="H26" s="39" t="s">
        <v>42</v>
      </c>
      <c r="I26" s="38" t="s">
        <v>58</v>
      </c>
      <c r="J26" s="11">
        <f t="shared" ref="J26:J27" si="162">F26*G26</f>
        <v>14506.63</v>
      </c>
      <c r="K26" s="37"/>
      <c r="L26" s="37">
        <f t="shared" si="160"/>
        <v>0.41360398659095876</v>
      </c>
      <c r="M26" s="12" t="s">
        <v>55</v>
      </c>
      <c r="N26" s="45" t="s">
        <v>56</v>
      </c>
      <c r="O26" s="46"/>
      <c r="P26" s="36" t="s">
        <v>61</v>
      </c>
      <c r="Q26" s="13">
        <v>8</v>
      </c>
      <c r="R26" s="14">
        <v>75</v>
      </c>
      <c r="S26" s="15">
        <f t="shared" ref="S26:S27" si="163">Q26*R26/100</f>
        <v>6</v>
      </c>
      <c r="T26" s="16">
        <f t="shared" ref="T26:T27" si="164">S26*V26</f>
        <v>6000</v>
      </c>
      <c r="U26" s="17">
        <f t="shared" ref="U26:U27" si="165">Q26+S26</f>
        <v>14</v>
      </c>
      <c r="V26" s="18">
        <f t="shared" ref="V26:V27" si="166">F26</f>
        <v>1000</v>
      </c>
      <c r="W26" s="19">
        <f t="shared" ref="W26:W27" si="167">Q26*2</f>
        <v>16</v>
      </c>
      <c r="X26" s="20">
        <f>20+20+50</f>
        <v>90</v>
      </c>
      <c r="Y26" s="21">
        <f t="shared" ref="Y26:Y27" si="168">V26*U26+W26+X26</f>
        <v>14106</v>
      </c>
      <c r="Z26" s="22" t="s">
        <v>40</v>
      </c>
      <c r="AA26" s="23">
        <f>70*2+40</f>
        <v>180</v>
      </c>
      <c r="AB26" s="24">
        <v>1</v>
      </c>
      <c r="AC26" s="24">
        <v>1</v>
      </c>
      <c r="AD26" s="24">
        <v>1</v>
      </c>
      <c r="AE26" s="25">
        <f t="shared" ref="AE26:AE27" si="169">AA26*AB26*AC26*AD26</f>
        <v>180</v>
      </c>
      <c r="AF26" s="26">
        <f t="shared" ref="AF26:AF27" si="170">V26/50*3.85</f>
        <v>77</v>
      </c>
      <c r="AG26" s="27">
        <f t="shared" ref="AG26:AG27" si="171">1%*(Y26+AE26+AF26)</f>
        <v>143.63</v>
      </c>
      <c r="AH26" s="25">
        <f t="shared" ref="AH26:AH27" si="172">Y26+AE26+AG26+AF26</f>
        <v>14506.63</v>
      </c>
      <c r="AI26" s="28">
        <f t="shared" ref="AI26:AI27" si="173">AH26/V26</f>
        <v>14.506629999999999</v>
      </c>
      <c r="AJ26" s="29">
        <f t="shared" ref="AJ26:AJ27" si="174">AI26*18%</f>
        <v>2.6111933999999999</v>
      </c>
      <c r="AK26" s="35">
        <f t="shared" ref="AK26:AK27" si="175">AI26+AJ26</f>
        <v>17.117823399999999</v>
      </c>
    </row>
    <row r="27" spans="1:37" s="30" customFormat="1" ht="236.25" customHeight="1" x14ac:dyDescent="0.35">
      <c r="A27" s="8"/>
      <c r="B27" s="40">
        <v>11</v>
      </c>
      <c r="C27" s="41" t="s">
        <v>44</v>
      </c>
      <c r="D27" s="41" t="s">
        <v>45</v>
      </c>
      <c r="E27" s="53" t="s">
        <v>34</v>
      </c>
      <c r="F27" s="9">
        <v>1000</v>
      </c>
      <c r="G27" s="10">
        <f t="shared" si="161"/>
        <v>9.4018880000000014</v>
      </c>
      <c r="H27" s="39" t="s">
        <v>42</v>
      </c>
      <c r="I27" s="38" t="s">
        <v>57</v>
      </c>
      <c r="J27" s="11">
        <f t="shared" si="162"/>
        <v>9401.8880000000008</v>
      </c>
      <c r="K27" s="37"/>
      <c r="L27" s="37">
        <f t="shared" si="160"/>
        <v>0.31376676684512728</v>
      </c>
      <c r="M27" s="12" t="s">
        <v>46</v>
      </c>
      <c r="N27" s="45" t="s">
        <v>47</v>
      </c>
      <c r="O27" s="46"/>
      <c r="P27" s="36" t="s">
        <v>48</v>
      </c>
      <c r="Q27" s="13">
        <v>5.9</v>
      </c>
      <c r="R27" s="14">
        <v>50</v>
      </c>
      <c r="S27" s="15">
        <f t="shared" si="163"/>
        <v>2.95</v>
      </c>
      <c r="T27" s="16">
        <f t="shared" si="164"/>
        <v>2950</v>
      </c>
      <c r="U27" s="17">
        <f t="shared" si="165"/>
        <v>8.8500000000000014</v>
      </c>
      <c r="V27" s="18">
        <f t="shared" si="166"/>
        <v>1000</v>
      </c>
      <c r="W27" s="19">
        <f t="shared" si="167"/>
        <v>11.8</v>
      </c>
      <c r="X27" s="20">
        <f>50+20+50</f>
        <v>120</v>
      </c>
      <c r="Y27" s="21">
        <f t="shared" si="168"/>
        <v>8981.8000000000011</v>
      </c>
      <c r="Z27" s="22" t="s">
        <v>40</v>
      </c>
      <c r="AA27" s="23">
        <f>200+50</f>
        <v>250</v>
      </c>
      <c r="AB27" s="24">
        <v>1</v>
      </c>
      <c r="AC27" s="24">
        <v>1</v>
      </c>
      <c r="AD27" s="24">
        <v>1</v>
      </c>
      <c r="AE27" s="25">
        <f t="shared" si="169"/>
        <v>250</v>
      </c>
      <c r="AF27" s="26">
        <f t="shared" si="170"/>
        <v>77</v>
      </c>
      <c r="AG27" s="27">
        <f t="shared" si="171"/>
        <v>93.088000000000008</v>
      </c>
      <c r="AH27" s="25">
        <f t="shared" si="172"/>
        <v>9401.8880000000008</v>
      </c>
      <c r="AI27" s="28">
        <f t="shared" si="173"/>
        <v>9.4018880000000014</v>
      </c>
      <c r="AJ27" s="29">
        <f t="shared" si="174"/>
        <v>1.6923398400000003</v>
      </c>
      <c r="AK27" s="35">
        <f t="shared" si="175"/>
        <v>11.094227840000002</v>
      </c>
    </row>
  </sheetData>
  <mergeCells count="35">
    <mergeCell ref="N26:O26"/>
    <mergeCell ref="N27:O27"/>
    <mergeCell ref="N21:O21"/>
    <mergeCell ref="C17:D17"/>
    <mergeCell ref="N17:O17"/>
    <mergeCell ref="N24:O24"/>
    <mergeCell ref="C13:D13"/>
    <mergeCell ref="N13:P13"/>
    <mergeCell ref="C14:D14"/>
    <mergeCell ref="N14:P14"/>
    <mergeCell ref="C16:D16"/>
    <mergeCell ref="N16:O16"/>
    <mergeCell ref="N20:O20"/>
    <mergeCell ref="N19:O19"/>
    <mergeCell ref="B3:J3"/>
    <mergeCell ref="M3:AC3"/>
    <mergeCell ref="N5:O5"/>
    <mergeCell ref="C25:D25"/>
    <mergeCell ref="N9:O9"/>
    <mergeCell ref="N7:O7"/>
    <mergeCell ref="N8:O8"/>
    <mergeCell ref="C10:D10"/>
    <mergeCell ref="N10:O10"/>
    <mergeCell ref="C18:D18"/>
    <mergeCell ref="N18:O18"/>
    <mergeCell ref="C15:D15"/>
    <mergeCell ref="N15:O15"/>
    <mergeCell ref="N6:O6"/>
    <mergeCell ref="N23:O23"/>
    <mergeCell ref="C23:D23"/>
    <mergeCell ref="C12:D12"/>
    <mergeCell ref="N12:O12"/>
    <mergeCell ref="C11:D11"/>
    <mergeCell ref="N11:O11"/>
    <mergeCell ref="N25:O2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soporte.pruebas001@hotmail.com</dc:creator>
  <cp:lastModifiedBy>Lady Diana Orellana Estrada</cp:lastModifiedBy>
  <dcterms:created xsi:type="dcterms:W3CDTF">2023-11-28T14:49:14Z</dcterms:created>
  <dcterms:modified xsi:type="dcterms:W3CDTF">2026-05-05T23:58:47Z</dcterms:modified>
</cp:coreProperties>
</file>