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FENIX POWER PERU/BD Cotizaciones/2026/"/>
    </mc:Choice>
  </mc:AlternateContent>
  <xr:revisionPtr revIDLastSave="1" documentId="13_ncr:1_{5DD5489F-063C-4B7E-8CB2-911397EE7842}" xr6:coauthVersionLast="47" xr6:coauthVersionMax="47" xr10:uidLastSave="{B92E5D73-3820-4D4D-A241-76B47C7AF6E5}"/>
  <bookViews>
    <workbookView xWindow="-120" yWindow="-120" windowWidth="29040" windowHeight="15720" firstSheet="2" activeTab="2" xr2:uid="{00000000-000D-0000-FFFF-FFFF00000000}"/>
  </bookViews>
  <sheets>
    <sheet name="FEBRERO" sheetId="3" r:id="rId1"/>
    <sheet name="ABRIL" sheetId="4" r:id="rId2"/>
    <sheet name="MAYO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5" l="1"/>
  <c r="W18" i="5" s="1"/>
  <c r="Q17" i="5"/>
  <c r="Q16" i="5"/>
  <c r="AE18" i="5"/>
  <c r="AE17" i="5"/>
  <c r="AE16" i="5"/>
  <c r="W16" i="5"/>
  <c r="AF15" i="5"/>
  <c r="AE15" i="5"/>
  <c r="W15" i="5"/>
  <c r="S15" i="5"/>
  <c r="U15" i="5" s="1"/>
  <c r="Y15" i="5" s="1"/>
  <c r="AF14" i="5"/>
  <c r="AE14" i="5"/>
  <c r="W14" i="5"/>
  <c r="AF13" i="5"/>
  <c r="AE13" i="5"/>
  <c r="W13" i="5"/>
  <c r="S13" i="5"/>
  <c r="U13" i="5" s="1"/>
  <c r="Q12" i="5"/>
  <c r="S12" i="5" s="1"/>
  <c r="T12" i="5" s="1"/>
  <c r="Q11" i="5"/>
  <c r="S11" i="5" s="1"/>
  <c r="Q10" i="5"/>
  <c r="S10" i="5" s="1"/>
  <c r="T10" i="5" s="1"/>
  <c r="AF12" i="5"/>
  <c r="AE12" i="5"/>
  <c r="AF11" i="5"/>
  <c r="AE11" i="5"/>
  <c r="W11" i="5"/>
  <c r="AF10" i="5"/>
  <c r="AE10" i="5"/>
  <c r="AF9" i="5"/>
  <c r="AF8" i="5"/>
  <c r="AF7" i="5"/>
  <c r="Q9" i="5"/>
  <c r="W9" i="5" s="1"/>
  <c r="Q8" i="5"/>
  <c r="S8" i="5" s="1"/>
  <c r="Q7" i="5"/>
  <c r="W7" i="5" s="1"/>
  <c r="AE9" i="5"/>
  <c r="AE8" i="5"/>
  <c r="AE7" i="5"/>
  <c r="AF5" i="5"/>
  <c r="AF4" i="5"/>
  <c r="Q6" i="5"/>
  <c r="W6" i="5" s="1"/>
  <c r="Q5" i="5"/>
  <c r="S5" i="5" s="1"/>
  <c r="T5" i="5" s="1"/>
  <c r="Q4" i="5"/>
  <c r="W4" i="5" s="1"/>
  <c r="AE6" i="5"/>
  <c r="AE5" i="5"/>
  <c r="AE4" i="5"/>
  <c r="S16" i="5" l="1"/>
  <c r="T16" i="5" s="1"/>
  <c r="S18" i="5"/>
  <c r="T18" i="5" s="1"/>
  <c r="W17" i="5"/>
  <c r="S17" i="5"/>
  <c r="T17" i="5" s="1"/>
  <c r="Y13" i="5"/>
  <c r="AG13" i="5" s="1"/>
  <c r="AH13" i="5" s="1"/>
  <c r="AI13" i="5" s="1"/>
  <c r="AG15" i="5"/>
  <c r="AH15" i="5" s="1"/>
  <c r="AI15" i="5" s="1"/>
  <c r="W8" i="5"/>
  <c r="T13" i="5"/>
  <c r="T15" i="5"/>
  <c r="W10" i="5"/>
  <c r="S14" i="5"/>
  <c r="T14" i="5" s="1"/>
  <c r="W12" i="5"/>
  <c r="U11" i="5"/>
  <c r="Y11" i="5" s="1"/>
  <c r="T11" i="5"/>
  <c r="U10" i="5"/>
  <c r="U12" i="5"/>
  <c r="T8" i="5"/>
  <c r="U8" i="5"/>
  <c r="S6" i="5"/>
  <c r="T6" i="5" s="1"/>
  <c r="W5" i="5"/>
  <c r="S7" i="5"/>
  <c r="T7" i="5" s="1"/>
  <c r="S9" i="5"/>
  <c r="T9" i="5" s="1"/>
  <c r="S4" i="5"/>
  <c r="U4" i="5" s="1"/>
  <c r="Y4" i="5" s="1"/>
  <c r="AG4" i="5" s="1"/>
  <c r="U5" i="5"/>
  <c r="U18" i="5" l="1"/>
  <c r="Y18" i="5" s="1"/>
  <c r="U16" i="5"/>
  <c r="Y16" i="5" s="1"/>
  <c r="AG16" i="5" s="1"/>
  <c r="AH16" i="5" s="1"/>
  <c r="AI16" i="5" s="1"/>
  <c r="G16" i="5" s="1"/>
  <c r="J16" i="5" s="1"/>
  <c r="U17" i="5"/>
  <c r="Y17" i="5" s="1"/>
  <c r="AJ16" i="5"/>
  <c r="AG18" i="5"/>
  <c r="AH18" i="5" s="1"/>
  <c r="AI18" i="5" s="1"/>
  <c r="U14" i="5"/>
  <c r="Y14" i="5" s="1"/>
  <c r="AG14" i="5" s="1"/>
  <c r="AH14" i="5" s="1"/>
  <c r="AI14" i="5" s="1"/>
  <c r="AJ15" i="5"/>
  <c r="AK15" i="5" s="1"/>
  <c r="G15" i="5"/>
  <c r="J15" i="5" s="1"/>
  <c r="AJ13" i="5"/>
  <c r="AK13" i="5" s="1"/>
  <c r="G13" i="5"/>
  <c r="J13" i="5" s="1"/>
  <c r="Y10" i="5"/>
  <c r="Y8" i="5"/>
  <c r="AG8" i="5" s="1"/>
  <c r="AH8" i="5" s="1"/>
  <c r="AI8" i="5" s="1"/>
  <c r="U9" i="5"/>
  <c r="Y9" i="5" s="1"/>
  <c r="AG9" i="5" s="1"/>
  <c r="AH9" i="5" s="1"/>
  <c r="AI9" i="5" s="1"/>
  <c r="Y12" i="5"/>
  <c r="AG12" i="5" s="1"/>
  <c r="AG11" i="5"/>
  <c r="AH11" i="5" s="1"/>
  <c r="AI11" i="5" s="1"/>
  <c r="G11" i="5" s="1"/>
  <c r="U6" i="5"/>
  <c r="Y6" i="5" s="1"/>
  <c r="AG6" i="5" s="1"/>
  <c r="AG10" i="5"/>
  <c r="AH10" i="5" s="1"/>
  <c r="AI10" i="5" s="1"/>
  <c r="U7" i="5"/>
  <c r="Y7" i="5" s="1"/>
  <c r="AG7" i="5" s="1"/>
  <c r="AH7" i="5" s="1"/>
  <c r="AI7" i="5" s="1"/>
  <c r="Y5" i="5"/>
  <c r="AG5" i="5" s="1"/>
  <c r="T4" i="5"/>
  <c r="AH4" i="5"/>
  <c r="AI4" i="5" s="1"/>
  <c r="G4" i="5" s="1"/>
  <c r="AK16" i="5" l="1"/>
  <c r="AG17" i="5"/>
  <c r="AH17" i="5" s="1"/>
  <c r="AI17" i="5" s="1"/>
  <c r="AH6" i="5"/>
  <c r="AI6" i="5" s="1"/>
  <c r="G6" i="5" s="1"/>
  <c r="AJ18" i="5"/>
  <c r="AK18" i="5" s="1"/>
  <c r="G18" i="5"/>
  <c r="J18" i="5" s="1"/>
  <c r="AJ14" i="5"/>
  <c r="AK14" i="5" s="1"/>
  <c r="G14" i="5"/>
  <c r="J14" i="5" s="1"/>
  <c r="AH12" i="5"/>
  <c r="AI12" i="5" s="1"/>
  <c r="AJ12" i="5" s="1"/>
  <c r="AK12" i="5" s="1"/>
  <c r="J11" i="5"/>
  <c r="AJ11" i="5"/>
  <c r="AK11" i="5"/>
  <c r="AJ10" i="5"/>
  <c r="AK10" i="5" s="1"/>
  <c r="G10" i="5"/>
  <c r="J10" i="5" s="1"/>
  <c r="AH5" i="5"/>
  <c r="AI5" i="5" s="1"/>
  <c r="G5" i="5" s="1"/>
  <c r="G8" i="5"/>
  <c r="J8" i="5" s="1"/>
  <c r="AJ8" i="5"/>
  <c r="AK8" i="5" s="1"/>
  <c r="AJ7" i="5"/>
  <c r="AK7" i="5" s="1"/>
  <c r="G7" i="5"/>
  <c r="J7" i="5" s="1"/>
  <c r="AJ9" i="5"/>
  <c r="AK9" i="5" s="1"/>
  <c r="G9" i="5"/>
  <c r="J9" i="5" s="1"/>
  <c r="AJ6" i="5"/>
  <c r="AK6" i="5" s="1"/>
  <c r="J6" i="5" s="1"/>
  <c r="AJ4" i="5"/>
  <c r="AK4" i="5" s="1"/>
  <c r="J4" i="5" s="1"/>
  <c r="AJ17" i="5" l="1"/>
  <c r="AK17" i="5" s="1"/>
  <c r="G17" i="5"/>
  <c r="J17" i="5" s="1"/>
  <c r="AJ5" i="5"/>
  <c r="AK5" i="5" s="1"/>
  <c r="J5" i="5" s="1"/>
  <c r="G12" i="5"/>
  <c r="J12" i="5" s="1"/>
  <c r="U6" i="4" l="1"/>
  <c r="P6" i="4"/>
  <c r="AD6" i="4"/>
  <c r="AD5" i="4"/>
  <c r="V5" i="4"/>
  <c r="U5" i="4"/>
  <c r="R5" i="4"/>
  <c r="V7" i="3"/>
  <c r="V17" i="3"/>
  <c r="V19" i="3"/>
  <c r="V15" i="3"/>
  <c r="AE9" i="3"/>
  <c r="AE10" i="3"/>
  <c r="AE11" i="3"/>
  <c r="P5" i="3"/>
  <c r="V5" i="3" s="1"/>
  <c r="P11" i="3"/>
  <c r="V11" i="3" s="1"/>
  <c r="P8" i="3"/>
  <c r="V8" i="3" s="1"/>
  <c r="P6" i="3"/>
  <c r="V6" i="3" s="1"/>
  <c r="P18" i="3"/>
  <c r="V18" i="3" s="1"/>
  <c r="P16" i="3"/>
  <c r="V16" i="3" s="1"/>
  <c r="P14" i="3"/>
  <c r="V14" i="3" s="1"/>
  <c r="P13" i="3"/>
  <c r="V13" i="3" s="1"/>
  <c r="P12" i="3"/>
  <c r="V12" i="3" s="1"/>
  <c r="P10" i="3"/>
  <c r="V10" i="3" s="1"/>
  <c r="P9" i="3"/>
  <c r="V9" i="3" s="1"/>
  <c r="AD18" i="3"/>
  <c r="U18" i="3"/>
  <c r="AE18" i="3" s="1"/>
  <c r="R18" i="3"/>
  <c r="AD17" i="3"/>
  <c r="U17" i="3"/>
  <c r="AE17" i="3" s="1"/>
  <c r="R17" i="3"/>
  <c r="AD16" i="3"/>
  <c r="U16" i="3"/>
  <c r="AE16" i="3" s="1"/>
  <c r="R16" i="3"/>
  <c r="AD11" i="3"/>
  <c r="AD10" i="3"/>
  <c r="AD9" i="3"/>
  <c r="U6" i="3"/>
  <c r="AE6" i="3" s="1"/>
  <c r="U7" i="3"/>
  <c r="AE7" i="3" s="1"/>
  <c r="U8" i="3"/>
  <c r="AE8" i="3" s="1"/>
  <c r="U15" i="3"/>
  <c r="AE15" i="3" s="1"/>
  <c r="U19" i="3"/>
  <c r="U5" i="3"/>
  <c r="AE5" i="3" s="1"/>
  <c r="AD19" i="3"/>
  <c r="R19" i="3"/>
  <c r="AD15" i="3"/>
  <c r="R15" i="3"/>
  <c r="AD14" i="3"/>
  <c r="AD13" i="3"/>
  <c r="AD12" i="3"/>
  <c r="AD6" i="3"/>
  <c r="V6" i="4" l="1"/>
  <c r="R6" i="4"/>
  <c r="T5" i="4"/>
  <c r="S5" i="4"/>
  <c r="X5" i="4"/>
  <c r="AF5" i="4" s="1"/>
  <c r="T18" i="3"/>
  <c r="S18" i="3"/>
  <c r="X18" i="3"/>
  <c r="AF18" i="3" s="1"/>
  <c r="T17" i="3"/>
  <c r="S17" i="3"/>
  <c r="X17" i="3"/>
  <c r="AF17" i="3" s="1"/>
  <c r="AP16" i="3"/>
  <c r="T16" i="3"/>
  <c r="S16" i="3"/>
  <c r="X16" i="3"/>
  <c r="AF16" i="3" s="1"/>
  <c r="R11" i="3"/>
  <c r="R10" i="3"/>
  <c r="R9" i="3"/>
  <c r="T19" i="3"/>
  <c r="S19" i="3"/>
  <c r="X19" i="3"/>
  <c r="AF19" i="3" s="1"/>
  <c r="T15" i="3"/>
  <c r="S15" i="3"/>
  <c r="X15" i="3"/>
  <c r="AF15" i="3" s="1"/>
  <c r="R14" i="3"/>
  <c r="R12" i="3"/>
  <c r="R13" i="3"/>
  <c r="R6" i="3"/>
  <c r="S6" i="4" l="1"/>
  <c r="T6" i="4"/>
  <c r="X6" i="4" s="1"/>
  <c r="AF6" i="4" s="1"/>
  <c r="AG5" i="4"/>
  <c r="AH5" i="4" s="1"/>
  <c r="G5" i="4" s="1"/>
  <c r="J5" i="4" s="1"/>
  <c r="AG18" i="3"/>
  <c r="AH18" i="3" s="1"/>
  <c r="G18" i="3" s="1"/>
  <c r="J18" i="3" s="1"/>
  <c r="AG17" i="3"/>
  <c r="AH17" i="3" s="1"/>
  <c r="G17" i="3" s="1"/>
  <c r="AG16" i="3"/>
  <c r="AH16" i="3" s="1"/>
  <c r="G16" i="3" s="1"/>
  <c r="J16" i="3" s="1"/>
  <c r="S11" i="3"/>
  <c r="T11" i="3"/>
  <c r="X11" i="3" s="1"/>
  <c r="AF11" i="3" s="1"/>
  <c r="S10" i="3"/>
  <c r="T10" i="3"/>
  <c r="X10" i="3" s="1"/>
  <c r="AF10" i="3" s="1"/>
  <c r="S9" i="3"/>
  <c r="T9" i="3"/>
  <c r="X9" i="3" s="1"/>
  <c r="AF9" i="3" s="1"/>
  <c r="AG19" i="3"/>
  <c r="AH19" i="3" s="1"/>
  <c r="G19" i="3" s="1"/>
  <c r="J19" i="3" s="1"/>
  <c r="AG15" i="3"/>
  <c r="AH15" i="3" s="1"/>
  <c r="G15" i="3" s="1"/>
  <c r="J15" i="3" s="1"/>
  <c r="T14" i="3"/>
  <c r="T13" i="3"/>
  <c r="T12" i="3"/>
  <c r="S6" i="3"/>
  <c r="T6" i="3"/>
  <c r="X6" i="3" s="1"/>
  <c r="AF6" i="3" s="1"/>
  <c r="AG6" i="4" l="1"/>
  <c r="AH6" i="4" s="1"/>
  <c r="G6" i="4" s="1"/>
  <c r="J6" i="4" s="1"/>
  <c r="AI5" i="4"/>
  <c r="AJ5" i="4" s="1"/>
  <c r="AI18" i="3"/>
  <c r="AJ18" i="3" s="1"/>
  <c r="AI17" i="3"/>
  <c r="AJ17" i="3" s="1"/>
  <c r="J17" i="3"/>
  <c r="AI16" i="3"/>
  <c r="AJ16" i="3" s="1"/>
  <c r="AG11" i="3"/>
  <c r="AH11" i="3" s="1"/>
  <c r="G11" i="3" s="1"/>
  <c r="J11" i="3" s="1"/>
  <c r="AG10" i="3"/>
  <c r="AH10" i="3" s="1"/>
  <c r="G10" i="3" s="1"/>
  <c r="J10" i="3" s="1"/>
  <c r="AG9" i="3"/>
  <c r="AH9" i="3" s="1"/>
  <c r="G9" i="3" s="1"/>
  <c r="J9" i="3" s="1"/>
  <c r="AI19" i="3"/>
  <c r="AJ19" i="3" s="1"/>
  <c r="AI15" i="3"/>
  <c r="AJ15" i="3" s="1"/>
  <c r="AG6" i="3"/>
  <c r="AH6" i="3" s="1"/>
  <c r="G6" i="3" s="1"/>
  <c r="J6" i="3" s="1"/>
  <c r="AI6" i="4" l="1"/>
  <c r="AJ6" i="4" s="1"/>
  <c r="AO16" i="3"/>
  <c r="AN16" i="3"/>
  <c r="AM16" i="3"/>
  <c r="AL16" i="3"/>
  <c r="AS16" i="3" s="1"/>
  <c r="AI11" i="3"/>
  <c r="AJ11" i="3" s="1"/>
  <c r="AI10" i="3"/>
  <c r="AJ10" i="3" s="1"/>
  <c r="AI9" i="3"/>
  <c r="AJ9" i="3" s="1"/>
  <c r="AI6" i="3"/>
  <c r="AJ6" i="3" s="1"/>
  <c r="AQ16" i="3" l="1"/>
  <c r="AT16" i="3" s="1"/>
  <c r="AD5" i="3" l="1"/>
  <c r="R5" i="3"/>
  <c r="S5" i="3" l="1"/>
  <c r="T5" i="3"/>
  <c r="X5" i="3" l="1"/>
  <c r="AF5" i="3" s="1"/>
  <c r="AG5" i="3" l="1"/>
  <c r="AH5" i="3" s="1"/>
  <c r="G5" i="3" s="1"/>
  <c r="J5" i="3" s="1"/>
  <c r="AI5" i="3" l="1"/>
  <c r="AJ5" i="3" s="1"/>
  <c r="R8" i="3" l="1"/>
  <c r="S8" i="3" s="1"/>
  <c r="R7" i="3"/>
  <c r="S7" i="3" s="1"/>
  <c r="AD8" i="3"/>
  <c r="AD7" i="3"/>
  <c r="T8" i="3" l="1"/>
  <c r="T7" i="3"/>
  <c r="X8" i="3" l="1"/>
  <c r="AF8" i="3" s="1"/>
  <c r="X7" i="3"/>
  <c r="AF7" i="3" s="1"/>
  <c r="AG8" i="3" l="1"/>
  <c r="AH8" i="3" s="1"/>
  <c r="AG7" i="3"/>
  <c r="AH7" i="3" s="1"/>
  <c r="G7" i="3" s="1"/>
  <c r="J7" i="3" s="1"/>
  <c r="AI8" i="3" l="1"/>
  <c r="AJ8" i="3" s="1"/>
  <c r="G8" i="3"/>
  <c r="J8" i="3" s="1"/>
  <c r="AI7" i="3"/>
  <c r="AJ7" i="3" s="1"/>
  <c r="U12" i="3"/>
  <c r="X12" i="3"/>
  <c r="S12" i="3" l="1"/>
  <c r="AE12" i="3"/>
  <c r="AF12" i="3" s="1"/>
  <c r="AG12" i="3" s="1"/>
  <c r="AH12" i="3" s="1"/>
  <c r="G12" i="3" s="1"/>
  <c r="J12" i="3" s="1"/>
  <c r="AI12" i="3"/>
  <c r="AJ12" i="3"/>
  <c r="U13" i="3"/>
  <c r="AE13" i="3" s="1"/>
  <c r="X13" i="3" l="1"/>
  <c r="AF13" i="3" s="1"/>
  <c r="S13" i="3"/>
  <c r="AG13" i="3" l="1"/>
  <c r="AH13" i="3" s="1"/>
  <c r="G13" i="3" s="1"/>
  <c r="J13" i="3" l="1"/>
  <c r="AI13" i="3"/>
  <c r="AJ13" i="3" s="1"/>
  <c r="U14" i="3"/>
  <c r="X14" i="3"/>
  <c r="S14" i="3" l="1"/>
  <c r="AE14" i="3"/>
  <c r="AF14" i="3" s="1"/>
  <c r="AG14" i="3" s="1"/>
  <c r="AH14" i="3" s="1"/>
  <c r="G14" i="3" s="1"/>
  <c r="J14" i="3" s="1"/>
  <c r="AI14" i="3"/>
  <c r="AJ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Karina</author>
  </authors>
  <commentList>
    <comment ref="W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Se incluye costo % transf. Bancaria si cuentas son de provimncias.
X2 por ser 2 los pagos q se realizan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Karina</author>
  </authors>
  <commentList>
    <comment ref="W4" authorId="0" shapeId="0" xr:uid="{7DD6C54E-526E-4B2F-945B-514EC3B597B5}">
      <text/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Karina</author>
  </authors>
  <commentList>
    <comment ref="X3" authorId="0" shapeId="0" xr:uid="{D4568328-6A6C-42DC-BD9E-8FD4C5F8F700}">
      <text/>
    </comment>
  </commentList>
</comments>
</file>

<file path=xl/sharedStrings.xml><?xml version="1.0" encoding="utf-8"?>
<sst xmlns="http://schemas.openxmlformats.org/spreadsheetml/2006/main" count="282" uniqueCount="158">
  <si>
    <t>COTIZACIÓN PROPUESTA_Merch universitario_05.02.25</t>
  </si>
  <si>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</si>
  <si>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Nº</t>
  </si>
  <si>
    <t>Cód. Artíc.</t>
  </si>
  <si>
    <t>Artículo</t>
  </si>
  <si>
    <t>Foto</t>
  </si>
  <si>
    <t>Cant.</t>
  </si>
  <si>
    <t xml:space="preserve">Costo uni. No IGV (S/.) </t>
  </si>
  <si>
    <t>Tiempo Entrega</t>
  </si>
  <si>
    <t>Detalles</t>
  </si>
  <si>
    <t xml:space="preserve">Costo Total. No IGV (S/.) 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</si>
  <si>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</si>
  <si>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</si>
  <si>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</si>
  <si>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</si>
  <si>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</si>
  <si>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</si>
  <si>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</si>
  <si>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</si>
  <si>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</si>
  <si>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</si>
  <si>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</si>
  <si>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 xml:space="preserve">Movilidad + 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</si>
  <si>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</si>
  <si>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</si>
  <si>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</si>
  <si>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</si>
  <si>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</si>
  <si>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</si>
  <si>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</si>
  <si>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</si>
  <si>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</si>
  <si>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</si>
  <si>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</si>
  <si>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</si>
  <si>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LIBRETA DE NOTAS</t>
  </si>
  <si>
    <t>Imagen referencial</t>
  </si>
  <si>
    <t>7 a 9 dias utiles</t>
  </si>
  <si>
    <r>
      <rPr>
        <b/>
        <u/>
        <sz val="16"/>
        <rFont val="Arial"/>
        <family val="2"/>
      </rPr>
      <t>LIBRETA ECOLOGICA</t>
    </r>
    <r>
      <rPr>
        <sz val="16"/>
        <rFont val="Arial"/>
        <family val="2"/>
      </rPr>
      <t xml:space="preserve">
Tamaño A6 -  14 x 9 cm
Libreta ecologica imantada con liga
contiene 70 hojas rayadas + un lapicero
Color: Negro, Naranja, Verde , Azul y rojo
Presentacion: Caja grupal, no bolsa individual
</t>
    </r>
    <r>
      <rPr>
        <b/>
        <sz val="16"/>
        <color indexed="10"/>
        <rFont val="Arial"/>
        <family val="2"/>
      </rPr>
      <t>*Incluye 1 logo a 1 color a un lado
*Diseño o arte facilitado por el cliente</t>
    </r>
  </si>
  <si>
    <t>EYF
/
PROMO MERCH
/
PUBLITRADE
/
CHIPPER</t>
  </si>
  <si>
    <t>RKN-820
S/ 3,10 +IGV
/
ECO-07
S/ 2,70 + IGV
/
R9103
S/ 2,40 Inc IGV
/
BF556
S/ 2,50 Inc IGV</t>
  </si>
  <si>
    <t>TAMPOGRAFIA AMERICANA
500 a S/.180
250 a S/.150
100 a S/.60</t>
  </si>
  <si>
    <t xml:space="preserve">LIBRETA ECOLOGICA </t>
  </si>
  <si>
    <r>
      <rPr>
        <b/>
        <u/>
        <sz val="16"/>
        <rFont val="Arial"/>
        <family val="2"/>
      </rPr>
      <t>LIBERA ECOLOGICA</t>
    </r>
    <r>
      <rPr>
        <sz val="16"/>
        <rFont val="Arial"/>
        <family val="2"/>
      </rPr>
      <t xml:space="preserve">
Medidas: 16 x 10.5cm, 2mm cubierta 
Descripción: Libreta ecológica de 100 hojas de notas blancas, 25 hojas 6C bandejas adhesivas, bolígrafo ecológico. 
Colores: Azul, naranja, negro, rojo, verde, natural
Presentacion: Caja grupal, no bolsa individual
</t>
    </r>
    <r>
      <rPr>
        <b/>
        <sz val="16"/>
        <color indexed="10"/>
        <rFont val="Arial"/>
        <family val="2"/>
      </rPr>
      <t>*Incluye 1 logo a 1 color a un lado
*Diseño o arte facilitado por el cliente</t>
    </r>
  </si>
  <si>
    <t>PROMO MERCH
/
CHIPPER</t>
  </si>
  <si>
    <t>ECO-04
S/ 4,00 + IGV
/
BF453
S/ 3,20 Inc IGV</t>
  </si>
  <si>
    <t>LIBRETA ECOLOGICA</t>
  </si>
  <si>
    <t xml:space="preserve">*Imagen referencial </t>
  </si>
  <si>
    <r>
      <rPr>
        <b/>
        <u/>
        <sz val="16"/>
        <rFont val="Arial"/>
        <family val="2"/>
      </rPr>
      <t>LIBRETA ECOLOGICA</t>
    </r>
    <r>
      <rPr>
        <sz val="16"/>
        <rFont val="Arial"/>
        <family val="2"/>
      </rPr>
      <t xml:space="preserve">
Medidas: 13 x 18 cm.                                                                                         Color: Rojo                                                                       
Descripción: 70 hojas rayadas blancas  y 1 lapicero ecológico. 
Presentacion: Caja grupal, no bolsa individual
</t>
    </r>
    <r>
      <rPr>
        <b/>
        <sz val="16"/>
        <color indexed="10"/>
        <rFont val="Arial"/>
        <family val="2"/>
      </rPr>
      <t>*Incluye 1 logo a 1 color a un lado
*Diseño o arte facilitado por el cliente</t>
    </r>
  </si>
  <si>
    <t>EYF</t>
  </si>
  <si>
    <t>R-9704
S/ 4,70 + IGV</t>
  </si>
  <si>
    <r>
      <rPr>
        <b/>
        <u/>
        <sz val="16"/>
        <color rgb="FF000000"/>
        <rFont val="Arial"/>
      </rPr>
      <t xml:space="preserve">LIBRETA ECOLOGICA
</t>
    </r>
    <r>
      <rPr>
        <sz val="16"/>
        <color rgb="FF000000"/>
        <rFont val="Arial"/>
      </rPr>
      <t xml:space="preserve">Medidas: 13 x 18 cm. 
Descripción: Libreta anillada de aprox. 60 hojas ecológicas; incluye 1 lapicero modelo Ecologico.
Colores: Rojo, azul, verde negro, Naranja
Presentacion: Caja grupal, no bolsa individual
</t>
    </r>
    <r>
      <rPr>
        <b/>
        <sz val="16"/>
        <color rgb="FFFF0000"/>
        <rFont val="Arial"/>
      </rPr>
      <t>*Incluye 1 logo a 1 color a un lado
*Diseño o arte facilitado por el cliente</t>
    </r>
  </si>
  <si>
    <t>EYF
/                                                                                                 CHIPER
/
PUBLITRADE</t>
  </si>
  <si>
    <t>RKN-818C 
S/ 4,20 + IGV
/
BF901A
S/ 3,60 Inc IGV
/
 R9611
S/ 3,50 Inc IGV</t>
  </si>
  <si>
    <t>CUADERNO PP ESPIRAL A5</t>
  </si>
  <si>
    <r>
      <rPr>
        <b/>
        <u/>
        <sz val="16"/>
        <color rgb="FF000000"/>
        <rFont val="Arial"/>
      </rPr>
      <t xml:space="preserve">CUADERNO PP ESPIRAL A5
</t>
    </r>
    <r>
      <rPr>
        <sz val="16"/>
        <color rgb="FF000000"/>
        <rFont val="Arial"/>
      </rPr>
      <t xml:space="preserve">Material: PVC
Medida: 17.8cm x 12.5cm 
70 Hojas rayadas color crema, Porta tarjetas, Sujetador de lapicero, 5 bandarines de colores, Post it de  amarillo 25 hojas y Anillado Doble ring
Color: Negro y Blanco
Presentacion:  Caja grupal, no bolsa individual
</t>
    </r>
    <r>
      <rPr>
        <b/>
        <sz val="16"/>
        <color rgb="FFFF0000"/>
        <rFont val="Arial"/>
      </rPr>
      <t>*Incluye 1 logo a 1 color a un lado
*Diseño o arte facilitado por el cliente</t>
    </r>
  </si>
  <si>
    <t>TIENDA PUBLICITARIA</t>
  </si>
  <si>
    <t>S/ 4,96 Inc IGV</t>
  </si>
  <si>
    <t>TAMPOGRAFIA AMERICANA
Precio referencial
500 a S/.300
250 a S/.180
100 a S/.80</t>
  </si>
  <si>
    <t>LIBRETA CON LAPICERO</t>
  </si>
  <si>
    <r>
      <rPr>
        <b/>
        <u/>
        <sz val="16"/>
        <rFont val="Arial"/>
        <family val="2"/>
      </rPr>
      <t>LIBRETA CON LAPICERO</t>
    </r>
    <r>
      <rPr>
        <sz val="16"/>
        <rFont val="Arial"/>
        <family val="2"/>
      </rPr>
      <t xml:space="preserve">
Libreta portacelular tapa dura
Medidas: 14 cm x 18 cm
hojas rayadas blancas
Color: Azul, rojo y verde 
Presentacion:  Caja grupal, no bolsa individual
</t>
    </r>
    <r>
      <rPr>
        <b/>
        <sz val="16"/>
        <color indexed="10"/>
        <rFont val="Arial"/>
        <family val="2"/>
      </rPr>
      <t>*Incluye 1 logo a 1 color a un lado
*Diseño o arte facilitado por el cliente</t>
    </r>
  </si>
  <si>
    <t>CHIPER</t>
  </si>
  <si>
    <t>BFP904
S/ 6,00 Inc IGV</t>
  </si>
  <si>
    <t>TAMPOGRAFIA AMERICANA
Precio Referencial
500 a S/.200
250 a S/.180
100 a S/.80</t>
  </si>
  <si>
    <t xml:space="preserve">LIBRETA ECOLOGICA  </t>
  </si>
  <si>
    <r>
      <rPr>
        <b/>
        <u/>
        <sz val="16"/>
        <rFont val="Arial"/>
        <family val="2"/>
      </rPr>
      <t>LIBRETA ECOLOGICA</t>
    </r>
    <r>
      <rPr>
        <sz val="16"/>
        <rFont val="Arial"/>
        <family val="2"/>
      </rPr>
      <t xml:space="preserve">
Medidas: 18 x 13.2cm  -  2 mm cubierta.
Colores: Naranja, rojo, verde limón,azul,negro y natural.
Descripción: Libreta anillada de aprox. 70 hojas blancas rayadas, 25 hojas de notas adhesivas y banderas, bolígrafo ecológico.
Presentacion: Caja grupal, no bolsa individual
</t>
    </r>
    <r>
      <rPr>
        <b/>
        <sz val="16"/>
        <color indexed="10"/>
        <rFont val="Arial"/>
        <family val="2"/>
      </rPr>
      <t>*Incluye 1 logo a 1 color a un lado
*Diseño o arte facilitado por el cliente</t>
    </r>
  </si>
  <si>
    <t>CHIPER
/
 PROMO MERCH</t>
  </si>
  <si>
    <t>BF909A
S/ 5,80 Inc IGV
/
ECO-05
S/ 5,60 +IGV</t>
  </si>
  <si>
    <t>TAMPOGRAFIA AMERICANA
500 a S/.200
250 a S/.150
100 a S/.60</t>
  </si>
  <si>
    <t>TOMATODO ECOLOGICO</t>
  </si>
  <si>
    <t>7 a 9 días útiles</t>
  </si>
  <si>
    <r>
      <rPr>
        <b/>
        <u/>
        <sz val="16"/>
        <color indexed="8"/>
        <rFont val="Arial"/>
        <family val="2"/>
      </rPr>
      <t>TOMATODO ECOLOGICO</t>
    </r>
    <r>
      <rPr>
        <sz val="16"/>
        <color indexed="8"/>
        <rFont val="Arial"/>
        <family val="2"/>
      </rPr>
      <t xml:space="preserve">
Material: FIBRA DE BAMBÚ
Capacidad: 360 ml. 17.4  x 5.6 cm
Modelo: Tomatodo con tapa con asa de silicona
Color: Natural, rosado y turquesa
Presentación: Caja individual de cartón</t>
    </r>
    <r>
      <rPr>
        <sz val="16"/>
        <color indexed="10"/>
        <rFont val="Arial"/>
        <family val="2"/>
      </rPr>
      <t xml:space="preserve">
*Incluye 1 logo a 1 color por 1 lado, en la parte bambú
* Arte y diseño debe ser facilitado por el cliente.</t>
    </r>
  </si>
  <si>
    <t>CHIPPER</t>
  </si>
  <si>
    <t xml:space="preserve">
CIENTO S/ 6.20 Inc IGV</t>
  </si>
  <si>
    <t>WILFREDO TAMPOGRAFIA</t>
  </si>
  <si>
    <r>
      <rPr>
        <b/>
        <u/>
        <sz val="16"/>
        <color indexed="8"/>
        <rFont val="Arial"/>
        <family val="2"/>
      </rPr>
      <t>TOMATODO ECOLOGICO</t>
    </r>
    <r>
      <rPr>
        <sz val="16"/>
        <color indexed="8"/>
        <rFont val="Arial"/>
        <family val="2"/>
      </rPr>
      <t xml:space="preserve">
Material: FIBRA DE BAMBÚ con vidrio en interior
Color: Natural, rosado y turquesa
Capacidad: 380 ml.
Modelo: Tomatodo con tapa con asa de silicona
Presentación: Caja individual de cartón</t>
    </r>
    <r>
      <rPr>
        <sz val="16"/>
        <color indexed="10"/>
        <rFont val="Arial"/>
        <family val="2"/>
      </rPr>
      <t xml:space="preserve">
*Incluye 1 logo a 1 color por 1 lado, en la parte bambú
* Arte y diseño debe ser facilitado por el cliente.</t>
    </r>
  </si>
  <si>
    <t xml:space="preserve">
CIENTO S/ 6,70 Inc IGV</t>
  </si>
  <si>
    <r>
      <rPr>
        <b/>
        <u/>
        <sz val="16"/>
        <color indexed="8"/>
        <rFont val="Arial"/>
        <family val="2"/>
      </rPr>
      <t>TOMATODO ECOLOGICO</t>
    </r>
    <r>
      <rPr>
        <sz val="16"/>
        <color indexed="8"/>
        <rFont val="Arial"/>
        <family val="2"/>
      </rPr>
      <t xml:space="preserve">
Material: FIBRA DE BAMBÚ con vidrio en interior
con Tapa de metal y Sujetador, 
Medida: 20cm de alto por 7.5 diametro
Capacidad: 600ml, 
Color: Natural
Presentación: Caja grupal, sin bolsa individual</t>
    </r>
    <r>
      <rPr>
        <sz val="16"/>
        <color indexed="10"/>
        <rFont val="Arial"/>
        <family val="2"/>
      </rPr>
      <t xml:space="preserve">
*Incluye 1 logo a 1 color por 1 lado, en la parte bambú
* Arte y diseño debe ser facilitado por el cliente.</t>
    </r>
  </si>
  <si>
    <t xml:space="preserve">
ciento-S/ 7.17 Inc IGV 
</t>
  </si>
  <si>
    <t>BOLSA TOCUYO</t>
  </si>
  <si>
    <t>15 a 20 Días utiles</t>
  </si>
  <si>
    <r>
      <rPr>
        <b/>
        <u/>
        <sz val="16"/>
        <color rgb="FF000000"/>
        <rFont val="Arial"/>
      </rPr>
      <t xml:space="preserve">BOLSA TOCUYO
</t>
    </r>
    <r>
      <rPr>
        <sz val="16"/>
        <color rgb="FF000000"/>
        <rFont val="Arial"/>
      </rPr>
      <t xml:space="preserve">Material: Tocuyo n
Medidas: 42 cm x 38 cm x 10 cm de fuelle
Descripción: Bolsa con asas, con fuelle.
Color: Natural 
Presentacion: Empaque grupal
</t>
    </r>
    <r>
      <rPr>
        <sz val="16"/>
        <color rgb="FFFF0000"/>
        <rFont val="Arial"/>
      </rPr>
      <t>* Incluye logo a 1 color a 1 lado
* Arte y diseño debe ser facilitado por el cliente.</t>
    </r>
  </si>
  <si>
    <t>DANTE
/
GUSTAVO</t>
  </si>
  <si>
    <t>S/5,50 +IHV
/</t>
  </si>
  <si>
    <t>Ya incluye</t>
  </si>
  <si>
    <t>CARGADOR 
MULTI PUERTO 5 EN 1</t>
  </si>
  <si>
    <t>7 a 9 días utiles</t>
  </si>
  <si>
    <r>
      <rPr>
        <b/>
        <u/>
        <sz val="16"/>
        <rFont val="Arial"/>
        <family val="2"/>
      </rPr>
      <t>CARGADOR MULTIPLE</t>
    </r>
    <r>
      <rPr>
        <sz val="16"/>
        <rFont val="Arial"/>
        <family val="2"/>
      </rPr>
      <t xml:space="preserve">
Descripcion: cargador de multiple enchufe para carga de celulares, incluye 3 conectores Iphone, Puerto C y USB, cuenta con soporte para celular y llavero.
Material: Plastico
Color: blanco, negro.
Presentación: Empaque grupal
</t>
    </r>
    <r>
      <rPr>
        <sz val="16"/>
        <color rgb="FFFF0000"/>
        <rFont val="Arial"/>
        <family val="2"/>
      </rPr>
      <t>*Incluye 1 logo a 1 color por 1 lado
*Arte y diseño facilitado por el cliente.</t>
    </r>
  </si>
  <si>
    <t>TIENDA 
PUBLICITARIA
(sin codigo)</t>
  </si>
  <si>
    <t>S/ 9,91 Inc IGV</t>
  </si>
  <si>
    <t>WILFREDO</t>
  </si>
  <si>
    <t>CABLE MULTIPUERTO FIBRA DE PAJA DE TRIGO</t>
  </si>
  <si>
    <t xml:space="preserve">Imagen referencial </t>
  </si>
  <si>
    <t>5 a 7 días utiles</t>
  </si>
  <si>
    <r>
      <rPr>
        <b/>
        <u/>
        <sz val="16"/>
        <rFont val="Arial"/>
        <family val="2"/>
      </rPr>
      <t>CABLE MULTIPUERTO FIBRA DE PAJA DE TRIGO</t>
    </r>
    <r>
      <rPr>
        <sz val="16"/>
        <rFont val="Arial"/>
        <family val="2"/>
      </rPr>
      <t xml:space="preserve">
Material: Fibra de paja de trigo
Largo del cable: 17cm
Espacio para logo: 3.3*2.0 cm
Puertos USB : Micro, Lightning, Type C/USB
Presentación: Grupal
</t>
    </r>
    <r>
      <rPr>
        <sz val="16"/>
        <color rgb="FFFF0000"/>
        <rFont val="Arial"/>
        <family val="2"/>
      </rPr>
      <t>*Incluye 1 logo a 1 color por 1 lado
*Arte y diseño facilitado por el cliente</t>
    </r>
  </si>
  <si>
    <t>I-TEC PROMOCIONES</t>
  </si>
  <si>
    <t>ECO-5022
S/ 10,42 + IGV</t>
  </si>
  <si>
    <t>TAMPOGRAFIA AMERICANA
Precio referencial
250 a S/.200
100 a S/.70
50 a S/.70
1 logo 1 color</t>
  </si>
  <si>
    <t xml:space="preserve">CABLE MULTIPUERTO RETRACTIL </t>
  </si>
  <si>
    <r>
      <rPr>
        <b/>
        <u/>
        <sz val="16"/>
        <rFont val="Arial"/>
        <family val="2"/>
      </rPr>
      <t xml:space="preserve">
CABLE MULTIPUERTO RETRACTIL</t>
    </r>
    <r>
      <rPr>
        <sz val="16"/>
        <rFont val="Arial"/>
        <family val="2"/>
      </rPr>
      <t xml:space="preserve">
Material : PVC + Bamboo                                                   Dimesiones : 23 cm sin desplegar , 93 cm desplegado                                                                              Incluye : 1 puerto Iphone , 1 puerto tipo C  , 
1 puerto Android , 1 puerto USB .  
Presentacion:Caja Individual                                                                                         </t>
    </r>
    <r>
      <rPr>
        <sz val="16"/>
        <color rgb="FFFF0000"/>
        <rFont val="Arial"/>
        <family val="2"/>
      </rPr>
      <t>*Incluye 1 logo a 1 color por 1 lado
*Arte y diseño facilitado por el cliente</t>
    </r>
    <r>
      <rPr>
        <sz val="16"/>
        <rFont val="Arial"/>
        <family val="2"/>
      </rPr>
      <t xml:space="preserve">
</t>
    </r>
  </si>
  <si>
    <t xml:space="preserve">PROMO MERCH     /                               TIENDA PUBLICITARIA </t>
  </si>
  <si>
    <t>TC-29
S/ 15,00 + IGV
/
S/ 17,23 Inc IGV</t>
  </si>
  <si>
    <t>TAMPOGRAFIA AMERICANA
Precio referencial
500 a S/.350
250 a S/.200
100 a S/ 70
1 logo 1 color</t>
  </si>
  <si>
    <t xml:space="preserve">MEDIAS </t>
  </si>
  <si>
    <t xml:space="preserve">Imagen Referencial </t>
  </si>
  <si>
    <t>7 a a 9  días utiles</t>
  </si>
  <si>
    <r>
      <rPr>
        <b/>
        <u/>
        <sz val="16"/>
        <color rgb="FF000000"/>
        <rFont val="Arial"/>
      </rPr>
      <t xml:space="preserve">MEDIAS 
</t>
    </r>
    <r>
      <rPr>
        <sz val="16"/>
        <color rgb="FF000000"/>
        <rFont val="Arial"/>
      </rPr>
      <t xml:space="preserve">Material: Algodón con poliéster 
Medida: 53cm largo
Talla: Stándard
Color: A elegir 
Presentación: Bolsita individual
</t>
    </r>
    <r>
      <rPr>
        <sz val="16"/>
        <color rgb="FFFF0000"/>
        <rFont val="Arial"/>
      </rPr>
      <t>*Incluye diseño sublimado ambos lados
*Arte y diseño facilitado por el cliente.</t>
    </r>
  </si>
  <si>
    <t>VLINDER
Martha
Cel. 968 629 161
/
liz</t>
  </si>
  <si>
    <t>*/
S/15 incluye OGV</t>
  </si>
  <si>
    <t>COTIZACIÓN PROPUESTA_Merch universitario_15.04.25</t>
  </si>
  <si>
    <t>Movilidad</t>
  </si>
  <si>
    <t>CUADERNO ECOLOGICO-
CARTÓN- RPET</t>
  </si>
  <si>
    <t>12 a 14 Días útiles</t>
  </si>
  <si>
    <r>
      <rPr>
        <b/>
        <u/>
        <sz val="16"/>
        <color rgb="FF000000"/>
        <rFont val="Arial"/>
      </rPr>
      <t xml:space="preserve">CUADERNO ECOLOGICO RPET
</t>
    </r>
    <r>
      <rPr>
        <sz val="16"/>
        <color rgb="FF000000"/>
        <rFont val="Arial"/>
      </rPr>
      <t xml:space="preserve">Medidas: Tamaño A5, con tapa y contratapa de rpet (tela de botellas recicladas)
Sublimación full color en tapas.
Reverso y bordes de tapas sin impresión.
Acabado: Anillado doble ring en color dorado.
Hojas: 80 hojas avena. Impresas cuadriculas o de puntos con logo a un color en tira y retira.
Diseño:incluye1 diseño a 1 color en la tapa y 1 calculadora ecologica en la parte posterior
Presentación:Caja grupal
</t>
    </r>
    <r>
      <rPr>
        <b/>
        <sz val="16"/>
        <color rgb="FFFF0000"/>
        <rFont val="Arial"/>
      </rPr>
      <t>*Diseño o arte facilitado por el cliente</t>
    </r>
  </si>
  <si>
    <t xml:space="preserve">ECOLOGICA COMUNICACIONES
</t>
  </si>
  <si>
    <t xml:space="preserve">S/16 </t>
  </si>
  <si>
    <t>YA INCLUYE</t>
  </si>
  <si>
    <t>CUADERNO RPET A5</t>
  </si>
  <si>
    <r>
      <rPr>
        <b/>
        <u/>
        <sz val="16"/>
        <color rgb="FF000000"/>
        <rFont val="Arial"/>
      </rPr>
      <t xml:space="preserve">CUADERNO RPET A5
</t>
    </r>
    <r>
      <rPr>
        <sz val="16"/>
        <color rgb="FF000000"/>
        <rFont val="Arial"/>
      </rPr>
      <t xml:space="preserve">Material: Cartón tapa dura con cobertura de tela
Medida:21x14.5cm
Color:Gris, Negro
Incluye:80 hokas rayadas color crema,sujetador de lapicero, soporte para celular,anillado doble ring
Presentacion:Empaque grupal, NO embolsado individual
</t>
    </r>
    <r>
      <rPr>
        <b/>
        <sz val="16"/>
        <color rgb="FFFF0000"/>
        <rFont val="Arial"/>
      </rPr>
      <t>*Incluye 1 logo a 1 color a un lado
*Diseño o arte facilitado por el cliente</t>
    </r>
  </si>
  <si>
    <t>S/ 7.49  Incluye IGV</t>
  </si>
  <si>
    <t>TAMPOGRAFIA AMERICANA
100 a S/.95</t>
  </si>
  <si>
    <t>Magdalena del mar
50/50</t>
  </si>
  <si>
    <t>COCH-BF901A</t>
  </si>
  <si>
    <t>LIBRETAS ECOLOGICAS</t>
  </si>
  <si>
    <t>7 a 9 Días útiles</t>
  </si>
  <si>
    <r>
      <rPr>
        <b/>
        <u/>
        <sz val="16"/>
        <color theme="1"/>
        <rFont val="Arial"/>
        <family val="2"/>
      </rPr>
      <t>LIBRETAS ECOLOGICAS</t>
    </r>
    <r>
      <rPr>
        <sz val="16"/>
        <color theme="1"/>
        <rFont val="Arial"/>
        <family val="2"/>
      </rPr>
      <t xml:space="preserve">
Medidas: 17.5 x 14.6 cm. 
Descripción: Libreta anillada de aprox. 70 hojas ecológicas; incluye 1 lapicero modelo 925N
Color: Azul, negro, rojo, verde
Presentación: Bolsita invidual
</t>
    </r>
    <r>
      <rPr>
        <sz val="16"/>
        <color rgb="FFFF0000"/>
        <rFont val="Arial"/>
        <family val="2"/>
      </rPr>
      <t>*Incluye 1 logo 1 color por 1 lado
*Diseño o arte facilitado por el cliente</t>
    </r>
  </si>
  <si>
    <t>BF901A</t>
  </si>
  <si>
    <t>1000 a S/.3500 +IGV
100 a S/.360 +IGV</t>
  </si>
  <si>
    <t>WE CREATE
Cel. 963 258 869
1000 a S/. 450 
500 a S/. 300
100 a S/. 60
+IGV
1 logo 1 color</t>
  </si>
  <si>
    <t>5 a 7 Días útiles</t>
  </si>
  <si>
    <t>COEF-GP-211025B</t>
  </si>
  <si>
    <t>MUG ECOLOGICO</t>
  </si>
  <si>
    <r>
      <rPr>
        <b/>
        <u/>
        <sz val="16"/>
        <color theme="1"/>
        <rFont val="Arial"/>
        <family val="2"/>
      </rPr>
      <t>MUG ECOLOGICO</t>
    </r>
    <r>
      <rPr>
        <sz val="16"/>
        <color theme="1"/>
        <rFont val="Arial"/>
        <family val="2"/>
      </rPr>
      <t xml:space="preserve">
Material: Fibra de trigo.
Medidas: Altura: 17.5 cm, Ancho: 6 cm (Aprox).
Capacidad: 450ml
Colores: Rosado, celese, verde y natural.
Presentación: Bolsita individual
</t>
    </r>
    <r>
      <rPr>
        <sz val="16"/>
        <color rgb="FFFF0000"/>
        <rFont val="Arial"/>
        <family val="2"/>
      </rPr>
      <t>*Incluye 1 logo 1 color por 1 lado 
*Diseño o arte facilitado por el cliente</t>
    </r>
  </si>
  <si>
    <t>GP-211025B</t>
  </si>
  <si>
    <t>1000 a S/.6500 +IGV
100 a S/.670 +IGV</t>
  </si>
  <si>
    <t>WE CREATE
Cel. 963 258 869
Precio ref.
1000 a S/. 550 
500 a S/. 350
100 a S/. 70
+IGV
1 logo 1 color</t>
  </si>
  <si>
    <t>COEF-JC-763</t>
  </si>
  <si>
    <t xml:space="preserve">JARRO </t>
  </si>
  <si>
    <r>
      <rPr>
        <b/>
        <u/>
        <sz val="16"/>
        <color theme="1"/>
        <rFont val="Arial"/>
        <family val="2"/>
      </rPr>
      <t xml:space="preserve">JARRO </t>
    </r>
    <r>
      <rPr>
        <sz val="16"/>
        <color theme="1"/>
        <rFont val="Arial"/>
        <family val="2"/>
      </rPr>
      <t xml:space="preserve">
Material: Fibra de trigo
Medida: 18.5 cm altura x 6.5 cm ancho
Capacidad 350 ml
Descripcion:Jarro de fibra de trigo cona asa incluida en la tapa, en la parte inferior cuenta con porta celular
Color:Natural, celeste, rojo y verde
Presentación: Bolsita individual
</t>
    </r>
    <r>
      <rPr>
        <sz val="16"/>
        <color rgb="FFFF0000"/>
        <rFont val="Arial"/>
        <family val="2"/>
      </rPr>
      <t>*Incluye 1 logo 1 color por 1 lado 
*Diseño o arte facilitado por el cliente</t>
    </r>
  </si>
  <si>
    <t>JC-763</t>
  </si>
  <si>
    <t>1000 a S/.7200 +IGV
100 a S/.750 +IGV</t>
  </si>
  <si>
    <t>WE CREATE
Cel. 963 258 869
1000 a S/. 550 
500 a S/. 350
100 a S/. 70
+IGV
1 logo 1 color</t>
  </si>
  <si>
    <t>COPM-MG-02</t>
  </si>
  <si>
    <r>
      <rPr>
        <b/>
        <u/>
        <sz val="16"/>
        <color theme="1"/>
        <rFont val="Arial"/>
        <family val="2"/>
      </rPr>
      <t>MUG</t>
    </r>
    <r>
      <rPr>
        <sz val="16"/>
        <color theme="1"/>
        <rFont val="Arial"/>
        <family val="2"/>
      </rPr>
      <t xml:space="preserve">
Material: Fibra de trigo
Medida: 19 cm de alto x 7 cm ancho
Capacidad: 350 ml
Mug para agua caliente y agua fria
Color: Beige, rosado, celeste, verde
Presentación: Cajita individual
</t>
    </r>
    <r>
      <rPr>
        <sz val="16"/>
        <color rgb="FFFF0000"/>
        <rFont val="Arial"/>
        <family val="2"/>
      </rPr>
      <t>*Incluye 1 logo 1 color por 1 lado 
*Diseño o arte facilitado por el cliente</t>
    </r>
  </si>
  <si>
    <t>PROMOS MERCH
/
IMPORTACIONES FACUNDO</t>
  </si>
  <si>
    <t>MG-02
/
fb-1813-CE</t>
  </si>
  <si>
    <t>PROMOS MERCH
1000 a S/.8.20+IGV
100 a S/.8.40 +IGV
Mug 350 ml
/
IMPORTACIONES FACUNDO
1000 a S/.6200+IGV
100 a S/.650 +IGV
Mug 400 ml</t>
  </si>
  <si>
    <t>BOLSAS TOCUYO</t>
  </si>
  <si>
    <t>15 a 17 Días útiles</t>
  </si>
  <si>
    <r>
      <rPr>
        <b/>
        <u/>
        <sz val="16"/>
        <color theme="1"/>
        <rFont val="Arial"/>
        <family val="2"/>
      </rPr>
      <t>BOLSAS TOCUYO</t>
    </r>
    <r>
      <rPr>
        <sz val="16"/>
        <color theme="1"/>
        <rFont val="Arial"/>
        <family val="2"/>
      </rPr>
      <t xml:space="preserve">
Material: Tela tocuyo de algodón,Gramaje: 155 gr/m² 
Medidas: 42 cm de largo x 35 cm de alto (con asa)
Color: Natural crudo.
Presentación: Grupal
</t>
    </r>
    <r>
      <rPr>
        <sz val="16"/>
        <color rgb="FFFF0000"/>
        <rFont val="Arial"/>
        <family val="2"/>
      </rPr>
      <t>* Incluye 1 logo a 1 color por 1 lado
*Diseño o arte facilitado por el cliente</t>
    </r>
  </si>
  <si>
    <t>ECOHIROME
998 325 599</t>
  </si>
  <si>
    <t xml:space="preserve">costo brindado por el proveedor
5.50 por 500 unds
5.00 por 1 millar (los costos incluyen igv
 Entrega a 05 días útiles luego de recibida orden de compra. </t>
  </si>
  <si>
    <t>se tomó costo referencial de 
SOLGAS por 100 unds
logo full color en DTF</t>
  </si>
  <si>
    <t xml:space="preserve"> Se adiciono 0.50 +1.50 
por contigencia</t>
  </si>
  <si>
    <t xml:space="preserve"> INCLUYE</t>
  </si>
  <si>
    <t>1 a 15 Días útiles</t>
  </si>
  <si>
    <t>10 a 12 Días útiles</t>
  </si>
  <si>
    <t>COTIZACIÓN PRPUESTA_FENIX POWER PERU_PRODUCTOS VARIOS_26.05.26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</si>
</sst>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[$$-409]* #,##0.00_ ;_-[$$-409]* \-#,##0.00\ ;_-[$$-409]* &quot;-&quot;??_ ;_-@_ "/>
    <numFmt numFmtId="165" formatCode="_(* #,##0_);_(* \(#,##0\);_(* &quot;-&quot;??_);_(@_)"/>
    <numFmt numFmtId="166" formatCode="&quot;S/.&quot;\ #,##0.00"/>
    <numFmt numFmtId="167" formatCode="[$S/.-280A]\ #,##0.00"/>
    <numFmt numFmtId="168" formatCode="&quot;€&quot;\ #,##0.00"/>
    <numFmt numFmtId="169" formatCode="&quot;S/&quot;\ #,##0.00"/>
    <numFmt numFmtId="170" formatCode="_ &quot;S/.&quot;\ * #,##0.00_ ;_ &quot;S/.&quot;\ * \-#,##0.00_ ;_ &quot;S/.&quot;\ * &quot;-&quot;??_ ;_ @_ "/>
    <numFmt numFmtId="171" formatCode="[$$-2C0A]\ #,##0.00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6"/>
      <name val="Arial"/>
      <family val="2"/>
    </font>
    <font>
      <sz val="16"/>
      <color theme="1"/>
      <name val="Arial"/>
      <family val="2"/>
    </font>
    <font>
      <b/>
      <u/>
      <sz val="16"/>
      <name val="Arial"/>
      <family val="2"/>
    </font>
    <font>
      <sz val="16"/>
      <name val="Arial"/>
      <family val="2"/>
    </font>
    <font>
      <b/>
      <sz val="16"/>
      <color indexed="10"/>
      <name val="Arial"/>
      <family val="2"/>
    </font>
    <font>
      <sz val="16"/>
      <color indexed="8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b/>
      <sz val="11"/>
      <color rgb="FF0070C0"/>
      <name val="Arial"/>
      <family val="2"/>
    </font>
    <font>
      <sz val="18"/>
      <color theme="1"/>
      <name val="Arial"/>
      <family val="2"/>
    </font>
    <font>
      <b/>
      <sz val="16"/>
      <color rgb="FFFF0000"/>
      <name val="Arial"/>
      <family val="2"/>
    </font>
    <font>
      <b/>
      <sz val="11"/>
      <color rgb="FFFF0000"/>
      <name val="Arial"/>
      <family val="2"/>
    </font>
    <font>
      <sz val="16"/>
      <color rgb="FFFF0000"/>
      <name val="Arial"/>
      <family val="2"/>
    </font>
    <font>
      <b/>
      <sz val="16"/>
      <color theme="1"/>
      <name val="Arial"/>
      <family val="2"/>
    </font>
    <font>
      <b/>
      <sz val="16"/>
      <color rgb="FF000000"/>
      <name val="Arial"/>
      <family val="2"/>
    </font>
    <font>
      <b/>
      <sz val="16"/>
      <color theme="0"/>
      <name val="Arial"/>
      <family val="2"/>
    </font>
    <font>
      <b/>
      <sz val="16"/>
      <color indexed="9"/>
      <name val="Arial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sz val="18"/>
      <color theme="1"/>
      <name val="Calibri"/>
      <family val="2"/>
      <scheme val="minor"/>
    </font>
    <font>
      <sz val="16"/>
      <color rgb="FF000000"/>
      <name val="Arial"/>
      <family val="2"/>
    </font>
    <font>
      <b/>
      <u/>
      <sz val="16"/>
      <color indexed="8"/>
      <name val="Arial"/>
      <family val="2"/>
    </font>
    <font>
      <sz val="16"/>
      <color indexed="10"/>
      <name val="Arial"/>
      <family val="2"/>
    </font>
    <font>
      <sz val="12"/>
      <name val="Arial"/>
      <family val="2"/>
    </font>
    <font>
      <sz val="16"/>
      <color theme="1"/>
      <name val="Calibri"/>
      <family val="2"/>
      <scheme val="minor"/>
    </font>
    <font>
      <sz val="16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indexed="8"/>
      <name val="Arial"/>
      <family val="2"/>
    </font>
    <font>
      <sz val="16"/>
      <color indexed="8"/>
      <name val="Arial"/>
    </font>
    <font>
      <b/>
      <u/>
      <sz val="16"/>
      <color rgb="FF000000"/>
      <name val="Arial"/>
    </font>
    <font>
      <sz val="16"/>
      <color rgb="FF000000"/>
      <name val="Arial"/>
    </font>
    <font>
      <sz val="16"/>
      <color rgb="FFFF0000"/>
      <name val="Arial"/>
    </font>
    <font>
      <sz val="14"/>
      <color rgb="FFFF0000"/>
      <name val="Arial"/>
      <family val="2"/>
    </font>
    <font>
      <sz val="12"/>
      <color theme="1"/>
      <name val="Arial"/>
      <family val="2"/>
    </font>
    <font>
      <sz val="14"/>
      <color rgb="FFFF0000"/>
      <name val="Calibri"/>
      <family val="2"/>
    </font>
    <font>
      <b/>
      <sz val="14"/>
      <color theme="1"/>
      <name val="Arial"/>
      <family val="2"/>
    </font>
    <font>
      <b/>
      <sz val="16"/>
      <color rgb="FFFF0000"/>
      <name val="Arial"/>
    </font>
    <font>
      <sz val="16"/>
      <color indexed="8"/>
      <name val="Calibri"/>
      <family val="2"/>
    </font>
    <font>
      <sz val="16"/>
      <color rgb="FFC00000"/>
      <name val="Arial"/>
      <family val="2"/>
    </font>
    <font>
      <sz val="16"/>
      <color theme="1"/>
      <name val="Arial"/>
    </font>
    <font>
      <b/>
      <sz val="18"/>
      <color rgb="FF000000"/>
      <name val="Arial"/>
      <family val="2"/>
    </font>
    <font>
      <b/>
      <sz val="18"/>
      <color theme="1"/>
      <name val="Arial"/>
    </font>
    <font>
      <sz val="16"/>
      <color rgb="FF000000"/>
      <name val="Calibri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6"/>
      <name val="Arial"/>
    </font>
    <font>
      <sz val="14"/>
      <name val="Arial"/>
      <family val="2"/>
    </font>
    <font>
      <b/>
      <u/>
      <sz val="16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3"/>
        <bgColor indexed="8"/>
      </patternFill>
    </fill>
    <fill>
      <patternFill patternType="solid">
        <fgColor rgb="FFFFFF00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9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164" fontId="2" fillId="0" borderId="0" applyFont="0" applyFill="0" applyBorder="0" applyAlignment="0" applyProtection="0"/>
    <xf numFmtId="0" fontId="3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0" fontId="1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164" fontId="2" fillId="0" borderId="0" applyFont="0" applyFill="0" applyBorder="0" applyAlignment="0" applyProtection="0"/>
  </cellStyleXfs>
  <cellXfs count="265">
    <xf numFmtId="0" fontId="0" fillId="0" borderId="0" xfId="0"/>
    <xf numFmtId="0" fontId="4" fillId="2" borderId="0" xfId="3" applyFont="1" applyFill="1"/>
    <xf numFmtId="0" fontId="14" fillId="2" borderId="2" xfId="2" applyFont="1" applyFill="1" applyBorder="1" applyAlignment="1">
      <alignment horizontal="center" vertical="center"/>
    </xf>
    <xf numFmtId="0" fontId="5" fillId="0" borderId="0" xfId="0" applyFont="1"/>
    <xf numFmtId="0" fontId="16" fillId="0" borderId="0" xfId="0" applyFont="1"/>
    <xf numFmtId="0" fontId="17" fillId="0" borderId="0" xfId="0" applyFont="1"/>
    <xf numFmtId="0" fontId="9" fillId="0" borderId="0" xfId="0" applyFont="1"/>
    <xf numFmtId="0" fontId="4" fillId="0" borderId="0" xfId="0" applyFont="1"/>
    <xf numFmtId="0" fontId="13" fillId="2" borderId="2" xfId="3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3" applyFont="1"/>
    <xf numFmtId="168" fontId="11" fillId="0" borderId="0" xfId="6" applyNumberFormat="1" applyFont="1" applyAlignment="1">
      <alignment horizontal="center" vertical="center"/>
    </xf>
    <xf numFmtId="0" fontId="11" fillId="0" borderId="0" xfId="3" applyFont="1"/>
    <xf numFmtId="0" fontId="9" fillId="0" borderId="0" xfId="0" applyFont="1" applyAlignment="1">
      <alignment horizontal="center" vertical="center"/>
    </xf>
    <xf numFmtId="0" fontId="23" fillId="9" borderId="5" xfId="3" applyFont="1" applyFill="1" applyBorder="1" applyAlignment="1">
      <alignment horizontal="center" vertical="center" wrapText="1"/>
    </xf>
    <xf numFmtId="0" fontId="24" fillId="9" borderId="3" xfId="3" applyFont="1" applyFill="1" applyBorder="1" applyAlignment="1">
      <alignment horizontal="center" vertical="center" wrapText="1"/>
    </xf>
    <xf numFmtId="0" fontId="24" fillId="9" borderId="10" xfId="3" applyFont="1" applyFill="1" applyBorder="1" applyAlignment="1">
      <alignment horizontal="center" vertical="center" wrapText="1"/>
    </xf>
    <xf numFmtId="0" fontId="8" fillId="4" borderId="11" xfId="3" applyFont="1" applyFill="1" applyBorder="1" applyAlignment="1">
      <alignment horizontal="center" vertical="center" wrapText="1"/>
    </xf>
    <xf numFmtId="0" fontId="8" fillId="4" borderId="3" xfId="3" applyFont="1" applyFill="1" applyBorder="1" applyAlignment="1">
      <alignment horizontal="center" vertical="center" wrapText="1"/>
    </xf>
    <xf numFmtId="0" fontId="8" fillId="4" borderId="6" xfId="3" applyFont="1" applyFill="1" applyBorder="1" applyAlignment="1">
      <alignment horizontal="center" vertical="center" wrapText="1"/>
    </xf>
    <xf numFmtId="0" fontId="23" fillId="7" borderId="5" xfId="3" applyFont="1" applyFill="1" applyBorder="1" applyAlignment="1">
      <alignment horizontal="center" vertical="center" wrapText="1"/>
    </xf>
    <xf numFmtId="0" fontId="24" fillId="9" borderId="6" xfId="3" applyFont="1" applyFill="1" applyBorder="1" applyAlignment="1">
      <alignment horizontal="center" vertical="center" wrapText="1"/>
    </xf>
    <xf numFmtId="0" fontId="8" fillId="8" borderId="5" xfId="3" applyFont="1" applyFill="1" applyBorder="1" applyAlignment="1">
      <alignment horizontal="center" vertical="center" wrapText="1"/>
    </xf>
    <xf numFmtId="0" fontId="8" fillId="8" borderId="3" xfId="3" applyFont="1" applyFill="1" applyBorder="1" applyAlignment="1">
      <alignment horizontal="center" vertical="center" wrapText="1"/>
    </xf>
    <xf numFmtId="0" fontId="8" fillId="8" borderId="6" xfId="3" applyFont="1" applyFill="1" applyBorder="1" applyAlignment="1">
      <alignment horizontal="center" vertical="center" wrapText="1"/>
    </xf>
    <xf numFmtId="0" fontId="24" fillId="9" borderId="5" xfId="3" applyFont="1" applyFill="1" applyBorder="1" applyAlignment="1">
      <alignment horizontal="center" vertical="center" wrapText="1"/>
    </xf>
    <xf numFmtId="0" fontId="24" fillId="5" borderId="5" xfId="3" applyFont="1" applyFill="1" applyBorder="1" applyAlignment="1">
      <alignment horizontal="center" vertical="center" wrapText="1"/>
    </xf>
    <xf numFmtId="0" fontId="23" fillId="5" borderId="3" xfId="3" applyFont="1" applyFill="1" applyBorder="1" applyAlignment="1">
      <alignment horizontal="center" vertical="center" wrapText="1"/>
    </xf>
    <xf numFmtId="9" fontId="23" fillId="5" borderId="6" xfId="3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right"/>
    </xf>
    <xf numFmtId="0" fontId="8" fillId="3" borderId="2" xfId="3" applyFont="1" applyFill="1" applyBorder="1" applyAlignment="1">
      <alignment horizontal="center" vertical="center"/>
    </xf>
    <xf numFmtId="167" fontId="9" fillId="4" borderId="2" xfId="3" applyNumberFormat="1" applyFont="1" applyFill="1" applyBorder="1" applyAlignment="1">
      <alignment horizontal="center" vertical="center"/>
    </xf>
    <xf numFmtId="166" fontId="25" fillId="4" borderId="2" xfId="3" applyNumberFormat="1" applyFont="1" applyFill="1" applyBorder="1" applyAlignment="1">
      <alignment horizontal="center" vertical="center"/>
    </xf>
    <xf numFmtId="166" fontId="26" fillId="4" borderId="2" xfId="3" applyNumberFormat="1" applyFont="1" applyFill="1" applyBorder="1" applyAlignment="1">
      <alignment horizontal="center" vertical="center"/>
    </xf>
    <xf numFmtId="166" fontId="9" fillId="4" borderId="2" xfId="3" applyNumberFormat="1" applyFont="1" applyFill="1" applyBorder="1" applyAlignment="1">
      <alignment horizontal="center" vertical="center"/>
    </xf>
    <xf numFmtId="166" fontId="18" fillId="2" borderId="2" xfId="3" applyNumberFormat="1" applyFont="1" applyFill="1" applyBorder="1" applyAlignment="1">
      <alignment horizontal="center" vertical="center"/>
    </xf>
    <xf numFmtId="0" fontId="9" fillId="3" borderId="2" xfId="3" applyFont="1" applyFill="1" applyBorder="1" applyAlignment="1">
      <alignment horizontal="center" vertical="center"/>
    </xf>
    <xf numFmtId="166" fontId="20" fillId="2" borderId="2" xfId="3" applyNumberFormat="1" applyFont="1" applyFill="1" applyBorder="1" applyAlignment="1">
      <alignment horizontal="center" vertical="center"/>
    </xf>
    <xf numFmtId="166" fontId="9" fillId="3" borderId="2" xfId="3" applyNumberFormat="1" applyFont="1" applyFill="1" applyBorder="1" applyAlignment="1">
      <alignment horizontal="center" vertical="center"/>
    </xf>
    <xf numFmtId="166" fontId="9" fillId="2" borderId="2" xfId="3" applyNumberFormat="1" applyFont="1" applyFill="1" applyBorder="1" applyAlignment="1">
      <alignment horizontal="center" vertical="center"/>
    </xf>
    <xf numFmtId="166" fontId="9" fillId="0" borderId="2" xfId="3" applyNumberFormat="1" applyFont="1" applyBorder="1" applyAlignment="1">
      <alignment horizontal="center" vertical="center"/>
    </xf>
    <xf numFmtId="166" fontId="23" fillId="5" borderId="2" xfId="3" applyNumberFormat="1" applyFont="1" applyFill="1" applyBorder="1" applyAlignment="1">
      <alignment horizontal="center" vertical="center"/>
    </xf>
    <xf numFmtId="167" fontId="9" fillId="2" borderId="2" xfId="4" applyNumberFormat="1" applyFont="1" applyFill="1" applyBorder="1" applyAlignment="1">
      <alignment horizontal="center" vertical="center"/>
    </xf>
    <xf numFmtId="167" fontId="18" fillId="2" borderId="2" xfId="3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9" fillId="2" borderId="2" xfId="2" applyFont="1" applyFill="1" applyBorder="1" applyAlignment="1">
      <alignment horizontal="center"/>
    </xf>
    <xf numFmtId="166" fontId="11" fillId="2" borderId="1" xfId="3" applyNumberFormat="1" applyFont="1" applyFill="1" applyBorder="1" applyAlignment="1">
      <alignment horizontal="center" vertical="center" wrapText="1"/>
    </xf>
    <xf numFmtId="166" fontId="11" fillId="2" borderId="2" xfId="3" applyNumberFormat="1" applyFont="1" applyFill="1" applyBorder="1" applyAlignment="1">
      <alignment horizontal="center" vertical="center" wrapText="1"/>
    </xf>
    <xf numFmtId="0" fontId="9" fillId="0" borderId="2" xfId="4" applyFont="1" applyBorder="1" applyAlignment="1">
      <alignment horizontal="left" vertical="center" wrapText="1"/>
    </xf>
    <xf numFmtId="0" fontId="27" fillId="2" borderId="7" xfId="0" applyFont="1" applyFill="1" applyBorder="1" applyAlignment="1">
      <alignment horizontal="center" vertical="center"/>
    </xf>
    <xf numFmtId="0" fontId="15" fillId="0" borderId="2" xfId="3" applyFont="1" applyBorder="1" applyAlignment="1">
      <alignment horizontal="center" vertical="center" wrapText="1"/>
    </xf>
    <xf numFmtId="166" fontId="15" fillId="0" borderId="2" xfId="3" applyNumberFormat="1" applyFont="1" applyBorder="1" applyAlignment="1">
      <alignment horizontal="center" vertical="center"/>
    </xf>
    <xf numFmtId="0" fontId="28" fillId="6" borderId="2" xfId="3" applyFont="1" applyFill="1" applyBorder="1" applyAlignment="1">
      <alignment horizontal="center" vertical="center" wrapText="1"/>
    </xf>
    <xf numFmtId="166" fontId="12" fillId="10" borderId="2" xfId="3" applyNumberFormat="1" applyFont="1" applyFill="1" applyBorder="1" applyAlignment="1">
      <alignment horizontal="center" vertical="center"/>
    </xf>
    <xf numFmtId="167" fontId="9" fillId="2" borderId="2" xfId="9" applyNumberFormat="1" applyFont="1" applyFill="1" applyBorder="1" applyAlignment="1">
      <alignment horizontal="center" vertical="center"/>
    </xf>
    <xf numFmtId="167" fontId="33" fillId="0" borderId="0" xfId="5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67" fontId="33" fillId="0" borderId="0" xfId="0" applyNumberFormat="1" applyFont="1" applyAlignment="1">
      <alignment horizontal="center" vertical="center"/>
    </xf>
    <xf numFmtId="0" fontId="32" fillId="0" borderId="0" xfId="0" applyFont="1"/>
    <xf numFmtId="2" fontId="34" fillId="0" borderId="0" xfId="0" applyNumberFormat="1" applyFont="1" applyAlignment="1">
      <alignment horizontal="center" vertical="center"/>
    </xf>
    <xf numFmtId="0" fontId="1" fillId="0" borderId="0" xfId="5"/>
    <xf numFmtId="166" fontId="12" fillId="11" borderId="2" xfId="3" applyNumberFormat="1" applyFont="1" applyFill="1" applyBorder="1" applyAlignment="1">
      <alignment horizontal="center" vertical="center"/>
    </xf>
    <xf numFmtId="166" fontId="30" fillId="11" borderId="2" xfId="3" applyNumberFormat="1" applyFont="1" applyFill="1" applyBorder="1" applyAlignment="1">
      <alignment horizontal="center" vertical="center"/>
    </xf>
    <xf numFmtId="166" fontId="13" fillId="0" borderId="2" xfId="3" applyNumberFormat="1" applyFont="1" applyBorder="1" applyAlignment="1">
      <alignment horizontal="center" vertical="center"/>
    </xf>
    <xf numFmtId="0" fontId="11" fillId="2" borderId="0" xfId="6" applyFont="1" applyFill="1"/>
    <xf numFmtId="0" fontId="13" fillId="13" borderId="2" xfId="0" applyFont="1" applyFill="1" applyBorder="1" applyAlignment="1">
      <alignment horizontal="center" vertical="center" wrapText="1"/>
    </xf>
    <xf numFmtId="0" fontId="31" fillId="0" borderId="13" xfId="6" applyFont="1" applyBorder="1"/>
    <xf numFmtId="0" fontId="31" fillId="0" borderId="0" xfId="6" applyFont="1"/>
    <xf numFmtId="0" fontId="41" fillId="0" borderId="0" xfId="0" applyFont="1"/>
    <xf numFmtId="0" fontId="42" fillId="0" borderId="14" xfId="0" applyFont="1" applyBorder="1" applyAlignment="1">
      <alignment horizontal="center" wrapText="1"/>
    </xf>
    <xf numFmtId="166" fontId="14" fillId="2" borderId="14" xfId="3" applyNumberFormat="1" applyFont="1" applyFill="1" applyBorder="1" applyAlignment="1">
      <alignment horizontal="center" vertical="center" wrapText="1"/>
    </xf>
    <xf numFmtId="0" fontId="43" fillId="0" borderId="0" xfId="3" applyFont="1" applyAlignment="1">
      <alignment vertical="center" wrapText="1"/>
    </xf>
    <xf numFmtId="167" fontId="13" fillId="14" borderId="2" xfId="3" applyNumberFormat="1" applyFont="1" applyFill="1" applyBorder="1" applyAlignment="1">
      <alignment horizontal="center" vertical="center"/>
    </xf>
    <xf numFmtId="166" fontId="35" fillId="14" borderId="2" xfId="3" applyNumberFormat="1" applyFont="1" applyFill="1" applyBorder="1" applyAlignment="1">
      <alignment horizontal="center" vertical="center"/>
    </xf>
    <xf numFmtId="166" fontId="13" fillId="14" borderId="2" xfId="3" applyNumberFormat="1" applyFont="1" applyFill="1" applyBorder="1" applyAlignment="1">
      <alignment horizontal="center" vertical="center"/>
    </xf>
    <xf numFmtId="166" fontId="12" fillId="11" borderId="2" xfId="3" applyNumberFormat="1" applyFont="1" applyFill="1" applyBorder="1" applyAlignment="1">
      <alignment horizontal="center" vertical="center" wrapText="1"/>
    </xf>
    <xf numFmtId="166" fontId="13" fillId="10" borderId="2" xfId="3" applyNumberFormat="1" applyFont="1" applyFill="1" applyBorder="1" applyAlignment="1">
      <alignment horizontal="center" vertical="center"/>
    </xf>
    <xf numFmtId="166" fontId="23" fillId="12" borderId="2" xfId="3" applyNumberFormat="1" applyFont="1" applyFill="1" applyBorder="1" applyAlignment="1">
      <alignment horizontal="center" vertical="center"/>
    </xf>
    <xf numFmtId="167" fontId="13" fillId="10" borderId="2" xfId="9" applyNumberFormat="1" applyFont="1" applyFill="1" applyBorder="1" applyAlignment="1">
      <alignment horizontal="center" vertical="center"/>
    </xf>
    <xf numFmtId="167" fontId="35" fillId="10" borderId="2" xfId="3" applyNumberFormat="1" applyFont="1" applyFill="1" applyBorder="1" applyAlignment="1">
      <alignment horizontal="center" vertical="center"/>
    </xf>
    <xf numFmtId="0" fontId="0" fillId="2" borderId="0" xfId="0" applyFill="1"/>
    <xf numFmtId="0" fontId="11" fillId="0" borderId="2" xfId="3" applyFont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wrapText="1"/>
    </xf>
    <xf numFmtId="0" fontId="15" fillId="2" borderId="2" xfId="3" applyFont="1" applyFill="1" applyBorder="1" applyAlignment="1">
      <alignment horizontal="center" vertical="center" wrapText="1"/>
    </xf>
    <xf numFmtId="166" fontId="8" fillId="2" borderId="0" xfId="3" applyNumberFormat="1" applyFont="1" applyFill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167" fontId="13" fillId="15" borderId="2" xfId="3" applyNumberFormat="1" applyFont="1" applyFill="1" applyBorder="1" applyAlignment="1">
      <alignment horizontal="center" vertical="center"/>
    </xf>
    <xf numFmtId="166" fontId="35" fillId="15" borderId="2" xfId="3" applyNumberFormat="1" applyFont="1" applyFill="1" applyBorder="1" applyAlignment="1">
      <alignment horizontal="center" vertical="center"/>
    </xf>
    <xf numFmtId="166" fontId="13" fillId="15" borderId="2" xfId="3" applyNumberFormat="1" applyFont="1" applyFill="1" applyBorder="1" applyAlignment="1">
      <alignment horizontal="center" vertical="center"/>
    </xf>
    <xf numFmtId="166" fontId="18" fillId="2" borderId="2" xfId="3" applyNumberFormat="1" applyFont="1" applyFill="1" applyBorder="1" applyAlignment="1">
      <alignment horizontal="center" vertical="center" wrapText="1"/>
    </xf>
    <xf numFmtId="166" fontId="13" fillId="16" borderId="2" xfId="3" applyNumberFormat="1" applyFont="1" applyFill="1" applyBorder="1" applyAlignment="1">
      <alignment horizontal="center" vertical="center"/>
    </xf>
    <xf numFmtId="166" fontId="13" fillId="2" borderId="2" xfId="3" applyNumberFormat="1" applyFont="1" applyFill="1" applyBorder="1" applyAlignment="1">
      <alignment horizontal="center" vertical="center"/>
    </xf>
    <xf numFmtId="167" fontId="13" fillId="16" borderId="2" xfId="9" applyNumberFormat="1" applyFont="1" applyFill="1" applyBorder="1" applyAlignment="1">
      <alignment horizontal="center" vertical="center"/>
    </xf>
    <xf numFmtId="167" fontId="35" fillId="16" borderId="2" xfId="3" applyNumberFormat="1" applyFont="1" applyFill="1" applyBorder="1" applyAlignment="1">
      <alignment horizontal="center" vertical="center"/>
    </xf>
    <xf numFmtId="0" fontId="9" fillId="17" borderId="0" xfId="0" applyFont="1" applyFill="1"/>
    <xf numFmtId="0" fontId="11" fillId="11" borderId="2" xfId="3" applyFont="1" applyFill="1" applyBorder="1" applyAlignment="1">
      <alignment horizontal="center" vertical="center" wrapText="1"/>
    </xf>
    <xf numFmtId="0" fontId="36" fillId="11" borderId="2" xfId="3" applyFont="1" applyFill="1" applyBorder="1" applyAlignment="1">
      <alignment horizontal="left" vertical="center" wrapText="1"/>
    </xf>
    <xf numFmtId="166" fontId="13" fillId="2" borderId="1" xfId="3" applyNumberFormat="1" applyFont="1" applyFill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/>
    </xf>
    <xf numFmtId="0" fontId="13" fillId="2" borderId="2" xfId="3" applyFont="1" applyFill="1" applyBorder="1" applyAlignment="1">
      <alignment horizontal="left" vertical="center" wrapText="1"/>
    </xf>
    <xf numFmtId="166" fontId="31" fillId="2" borderId="0" xfId="0" applyNumberFormat="1" applyFont="1" applyFill="1" applyAlignment="1">
      <alignment horizontal="center" vertical="center"/>
    </xf>
    <xf numFmtId="0" fontId="21" fillId="8" borderId="12" xfId="3" applyFont="1" applyFill="1" applyBorder="1" applyAlignment="1">
      <alignment horizontal="center" vertical="center" wrapText="1"/>
    </xf>
    <xf numFmtId="0" fontId="21" fillId="8" borderId="12" xfId="9" applyFont="1" applyFill="1" applyBorder="1" applyAlignment="1">
      <alignment horizontal="center" vertical="center" wrapText="1"/>
    </xf>
    <xf numFmtId="166" fontId="28" fillId="2" borderId="2" xfId="3" applyNumberFormat="1" applyFont="1" applyFill="1" applyBorder="1" applyAlignment="1">
      <alignment horizontal="center" vertical="center"/>
    </xf>
    <xf numFmtId="0" fontId="9" fillId="0" borderId="2" xfId="9" applyFont="1" applyBorder="1" applyAlignment="1">
      <alignment horizontal="left" vertical="center" wrapText="1"/>
    </xf>
    <xf numFmtId="0" fontId="8" fillId="2" borderId="19" xfId="3" applyFont="1" applyFill="1" applyBorder="1" applyAlignment="1">
      <alignment horizontal="center" vertical="center" wrapText="1"/>
    </xf>
    <xf numFmtId="166" fontId="20" fillId="16" borderId="2" xfId="3" applyNumberFormat="1" applyFont="1" applyFill="1" applyBorder="1" applyAlignment="1">
      <alignment horizontal="center" vertical="center"/>
    </xf>
    <xf numFmtId="0" fontId="13" fillId="2" borderId="2" xfId="0" applyFont="1" applyFill="1" applyBorder="1"/>
    <xf numFmtId="167" fontId="46" fillId="2" borderId="1" xfId="5" applyNumberFormat="1" applyFont="1" applyFill="1" applyBorder="1" applyAlignment="1">
      <alignment horizontal="center" vertical="center"/>
    </xf>
    <xf numFmtId="167" fontId="9" fillId="2" borderId="1" xfId="0" applyNumberFormat="1" applyFont="1" applyFill="1" applyBorder="1" applyAlignment="1">
      <alignment horizontal="center" vertical="center"/>
    </xf>
    <xf numFmtId="167" fontId="46" fillId="2" borderId="1" xfId="0" applyNumberFormat="1" applyFont="1" applyFill="1" applyBorder="1" applyAlignment="1">
      <alignment horizontal="center" vertical="center"/>
    </xf>
    <xf numFmtId="2" fontId="22" fillId="2" borderId="1" xfId="0" applyNumberFormat="1" applyFont="1" applyFill="1" applyBorder="1" applyAlignment="1">
      <alignment horizontal="center" vertical="center"/>
    </xf>
    <xf numFmtId="0" fontId="32" fillId="2" borderId="0" xfId="0" applyFont="1" applyFill="1"/>
    <xf numFmtId="0" fontId="13" fillId="11" borderId="2" xfId="3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42" fillId="0" borderId="2" xfId="0" applyFont="1" applyBorder="1" applyAlignment="1">
      <alignment horizontal="center" wrapText="1"/>
    </xf>
    <xf numFmtId="0" fontId="11" fillId="2" borderId="0" xfId="3" applyFont="1" applyFill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45" fillId="2" borderId="19" xfId="0" applyFont="1" applyFill="1" applyBorder="1" applyAlignment="1">
      <alignment horizontal="center" wrapText="1"/>
    </xf>
    <xf numFmtId="0" fontId="11" fillId="2" borderId="20" xfId="3" applyFont="1" applyFill="1" applyBorder="1" applyAlignment="1">
      <alignment horizontal="left" vertical="center" wrapText="1"/>
    </xf>
    <xf numFmtId="166" fontId="8" fillId="18" borderId="0" xfId="3" applyNumberFormat="1" applyFont="1" applyFill="1" applyAlignment="1">
      <alignment horizontal="center" vertical="center" wrapText="1"/>
    </xf>
    <xf numFmtId="0" fontId="47" fillId="0" borderId="2" xfId="4" applyFont="1" applyBorder="1" applyAlignment="1">
      <alignment horizontal="left" vertical="center" wrapText="1"/>
    </xf>
    <xf numFmtId="0" fontId="40" fillId="4" borderId="0" xfId="0" applyFont="1" applyFill="1" applyAlignment="1">
      <alignment vertical="center" wrapText="1"/>
    </xf>
    <xf numFmtId="166" fontId="49" fillId="2" borderId="14" xfId="3" applyNumberFormat="1" applyFont="1" applyFill="1" applyBorder="1" applyAlignment="1">
      <alignment horizontal="center" vertical="center" wrapText="1"/>
    </xf>
    <xf numFmtId="169" fontId="28" fillId="2" borderId="9" xfId="0" applyNumberFormat="1" applyFont="1" applyFill="1" applyBorder="1" applyAlignment="1">
      <alignment horizontal="center" vertical="center" wrapText="1"/>
    </xf>
    <xf numFmtId="49" fontId="28" fillId="2" borderId="2" xfId="3" applyNumberFormat="1" applyFont="1" applyFill="1" applyBorder="1" applyAlignment="1">
      <alignment horizontal="center" vertical="center" wrapText="1"/>
    </xf>
    <xf numFmtId="169" fontId="28" fillId="2" borderId="2" xfId="0" applyNumberFormat="1" applyFont="1" applyFill="1" applyBorder="1" applyAlignment="1">
      <alignment horizontal="center" vertical="center" wrapText="1"/>
    </xf>
    <xf numFmtId="49" fontId="28" fillId="2" borderId="1" xfId="3" applyNumberFormat="1" applyFont="1" applyFill="1" applyBorder="1" applyAlignment="1">
      <alignment horizontal="center" vertical="center" wrapText="1"/>
    </xf>
    <xf numFmtId="169" fontId="28" fillId="2" borderId="2" xfId="3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69" fontId="28" fillId="0" borderId="2" xfId="0" applyNumberFormat="1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170" fontId="28" fillId="2" borderId="2" xfId="3" applyNumberFormat="1" applyFont="1" applyFill="1" applyBorder="1" applyAlignment="1">
      <alignment vertical="center" wrapText="1"/>
    </xf>
    <xf numFmtId="171" fontId="51" fillId="11" borderId="2" xfId="3" applyNumberFormat="1" applyFont="1" applyFill="1" applyBorder="1" applyAlignment="1">
      <alignment horizontal="center" vertical="center" wrapText="1"/>
    </xf>
    <xf numFmtId="169" fontId="28" fillId="2" borderId="2" xfId="0" applyNumberFormat="1" applyFont="1" applyFill="1" applyBorder="1" applyAlignment="1">
      <alignment horizontal="center" vertical="center"/>
    </xf>
    <xf numFmtId="167" fontId="28" fillId="2" borderId="2" xfId="3" applyNumberFormat="1" applyFont="1" applyFill="1" applyBorder="1" applyAlignment="1">
      <alignment horizontal="center" vertical="center"/>
    </xf>
    <xf numFmtId="49" fontId="28" fillId="11" borderId="1" xfId="3" applyNumberFormat="1" applyFont="1" applyFill="1" applyBorder="1" applyAlignment="1">
      <alignment horizontal="center" vertical="center" wrapText="1"/>
    </xf>
    <xf numFmtId="167" fontId="28" fillId="11" borderId="2" xfId="3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35" fillId="3" borderId="2" xfId="3" applyFont="1" applyFill="1" applyBorder="1" applyAlignment="1">
      <alignment horizontal="center" vertical="center"/>
    </xf>
    <xf numFmtId="166" fontId="13" fillId="3" borderId="2" xfId="3" applyNumberFormat="1" applyFont="1" applyFill="1" applyBorder="1" applyAlignment="1">
      <alignment horizontal="center" vertical="center"/>
    </xf>
    <xf numFmtId="0" fontId="13" fillId="3" borderId="2" xfId="3" applyFont="1" applyFill="1" applyBorder="1" applyAlignment="1">
      <alignment horizontal="center" vertical="center"/>
    </xf>
    <xf numFmtId="166" fontId="13" fillId="3" borderId="2" xfId="3" applyNumberFormat="1" applyFont="1" applyFill="1" applyBorder="1" applyAlignment="1">
      <alignment horizontal="center" vertical="center" wrapText="1"/>
    </xf>
    <xf numFmtId="166" fontId="11" fillId="3" borderId="2" xfId="3" applyNumberFormat="1" applyFont="1" applyFill="1" applyBorder="1" applyAlignment="1">
      <alignment horizontal="center" vertical="center"/>
    </xf>
    <xf numFmtId="0" fontId="53" fillId="2" borderId="2" xfId="3" applyFont="1" applyFill="1" applyBorder="1" applyAlignment="1">
      <alignment vertical="center" wrapText="1"/>
    </xf>
    <xf numFmtId="166" fontId="15" fillId="0" borderId="2" xfId="3" applyNumberFormat="1" applyFont="1" applyBorder="1" applyAlignment="1">
      <alignment horizontal="center" vertical="center" wrapText="1"/>
    </xf>
    <xf numFmtId="0" fontId="47" fillId="0" borderId="2" xfId="9" applyFont="1" applyBorder="1" applyAlignment="1">
      <alignment horizontal="left" vertical="center" wrapText="1"/>
    </xf>
    <xf numFmtId="0" fontId="4" fillId="2" borderId="0" xfId="3" applyFont="1" applyFill="1" applyAlignment="1">
      <alignment horizontal="center" vertical="center"/>
    </xf>
    <xf numFmtId="0" fontId="23" fillId="9" borderId="14" xfId="3" applyFont="1" applyFill="1" applyBorder="1" applyAlignment="1">
      <alignment horizontal="center" vertical="center" wrapText="1"/>
    </xf>
    <xf numFmtId="0" fontId="24" fillId="9" borderId="14" xfId="3" applyFont="1" applyFill="1" applyBorder="1" applyAlignment="1">
      <alignment horizontal="center" vertical="center" wrapText="1"/>
    </xf>
    <xf numFmtId="0" fontId="8" fillId="4" borderId="14" xfId="3" applyFont="1" applyFill="1" applyBorder="1" applyAlignment="1">
      <alignment horizontal="center" vertical="center" wrapText="1"/>
    </xf>
    <xf numFmtId="0" fontId="8" fillId="8" borderId="14" xfId="3" applyFont="1" applyFill="1" applyBorder="1" applyAlignment="1">
      <alignment horizontal="center" vertical="center" wrapText="1"/>
    </xf>
    <xf numFmtId="0" fontId="24" fillId="5" borderId="14" xfId="3" applyFont="1" applyFill="1" applyBorder="1" applyAlignment="1">
      <alignment horizontal="center" vertical="center" wrapText="1"/>
    </xf>
    <xf numFmtId="0" fontId="23" fillId="5" borderId="14" xfId="3" applyFont="1" applyFill="1" applyBorder="1" applyAlignment="1">
      <alignment horizontal="center" vertical="center" wrapText="1"/>
    </xf>
    <xf numFmtId="9" fontId="23" fillId="5" borderId="14" xfId="3" applyNumberFormat="1" applyFont="1" applyFill="1" applyBorder="1" applyAlignment="1">
      <alignment horizontal="center" vertical="center"/>
    </xf>
    <xf numFmtId="49" fontId="54" fillId="2" borderId="14" xfId="3" applyNumberFormat="1" applyFont="1" applyFill="1" applyBorder="1" applyAlignment="1">
      <alignment horizontal="center" vertical="center" wrapText="1"/>
    </xf>
    <xf numFmtId="169" fontId="9" fillId="2" borderId="14" xfId="3" applyNumberFormat="1" applyFont="1" applyFill="1" applyBorder="1" applyAlignment="1">
      <alignment horizontal="center" vertical="center"/>
    </xf>
    <xf numFmtId="0" fontId="8" fillId="3" borderId="14" xfId="3" applyFont="1" applyFill="1" applyBorder="1" applyAlignment="1">
      <alignment horizontal="center" vertical="center"/>
    </xf>
    <xf numFmtId="167" fontId="9" fillId="4" borderId="14" xfId="3" applyNumberFormat="1" applyFont="1" applyFill="1" applyBorder="1" applyAlignment="1">
      <alignment horizontal="center" vertical="center"/>
    </xf>
    <xf numFmtId="166" fontId="25" fillId="4" borderId="14" xfId="3" applyNumberFormat="1" applyFont="1" applyFill="1" applyBorder="1" applyAlignment="1">
      <alignment horizontal="center" vertical="center"/>
    </xf>
    <xf numFmtId="166" fontId="26" fillId="4" borderId="14" xfId="3" applyNumberFormat="1" applyFont="1" applyFill="1" applyBorder="1" applyAlignment="1">
      <alignment horizontal="center" vertical="center"/>
    </xf>
    <xf numFmtId="166" fontId="9" fillId="4" borderId="14" xfId="3" applyNumberFormat="1" applyFont="1" applyFill="1" applyBorder="1" applyAlignment="1">
      <alignment horizontal="center" vertical="center"/>
    </xf>
    <xf numFmtId="166" fontId="18" fillId="2" borderId="14" xfId="3" applyNumberFormat="1" applyFont="1" applyFill="1" applyBorder="1" applyAlignment="1">
      <alignment horizontal="center" vertical="center"/>
    </xf>
    <xf numFmtId="166" fontId="11" fillId="2" borderId="14" xfId="3" applyNumberFormat="1" applyFont="1" applyFill="1" applyBorder="1" applyAlignment="1">
      <alignment horizontal="center" vertical="center" wrapText="1"/>
    </xf>
    <xf numFmtId="0" fontId="9" fillId="3" borderId="14" xfId="3" applyFont="1" applyFill="1" applyBorder="1" applyAlignment="1">
      <alignment horizontal="center" vertical="center"/>
    </xf>
    <xf numFmtId="166" fontId="20" fillId="2" borderId="14" xfId="3" applyNumberFormat="1" applyFont="1" applyFill="1" applyBorder="1" applyAlignment="1">
      <alignment horizontal="center" vertical="center"/>
    </xf>
    <xf numFmtId="166" fontId="9" fillId="3" borderId="14" xfId="3" applyNumberFormat="1" applyFont="1" applyFill="1" applyBorder="1" applyAlignment="1">
      <alignment horizontal="center" vertical="center"/>
    </xf>
    <xf numFmtId="166" fontId="9" fillId="2" borderId="14" xfId="3" applyNumberFormat="1" applyFont="1" applyFill="1" applyBorder="1" applyAlignment="1">
      <alignment horizontal="center" vertical="center"/>
    </xf>
    <xf numFmtId="166" fontId="9" fillId="0" borderId="14" xfId="3" applyNumberFormat="1" applyFont="1" applyBorder="1" applyAlignment="1">
      <alignment horizontal="center" vertical="center"/>
    </xf>
    <xf numFmtId="166" fontId="23" fillId="5" borderId="14" xfId="3" applyNumberFormat="1" applyFont="1" applyFill="1" applyBorder="1" applyAlignment="1">
      <alignment horizontal="center" vertical="center"/>
    </xf>
    <xf numFmtId="167" fontId="9" fillId="2" borderId="14" xfId="9" applyNumberFormat="1" applyFont="1" applyFill="1" applyBorder="1" applyAlignment="1">
      <alignment horizontal="center" vertical="center"/>
    </xf>
    <xf numFmtId="167" fontId="18" fillId="2" borderId="14" xfId="3" applyNumberFormat="1" applyFont="1" applyFill="1" applyBorder="1" applyAlignment="1">
      <alignment horizontal="center" vertical="center"/>
    </xf>
    <xf numFmtId="49" fontId="11" fillId="2" borderId="14" xfId="3" applyNumberFormat="1" applyFont="1" applyFill="1" applyBorder="1" applyAlignment="1">
      <alignment horizontal="center" vertical="center" wrapText="1"/>
    </xf>
    <xf numFmtId="0" fontId="4" fillId="2" borderId="0" xfId="3" applyFont="1" applyFill="1" applyAlignment="1">
      <alignment horizontal="center" vertical="center" wrapText="1"/>
    </xf>
    <xf numFmtId="0" fontId="21" fillId="8" borderId="14" xfId="3" applyFont="1" applyFill="1" applyBorder="1" applyAlignment="1">
      <alignment horizontal="center" vertical="center" wrapText="1"/>
    </xf>
    <xf numFmtId="0" fontId="21" fillId="8" borderId="14" xfId="9" applyFont="1" applyFill="1" applyBorder="1" applyAlignment="1">
      <alignment horizontal="center" vertical="center" wrapText="1"/>
    </xf>
    <xf numFmtId="0" fontId="14" fillId="2" borderId="14" xfId="2" applyFont="1" applyFill="1" applyBorder="1" applyAlignment="1">
      <alignment horizontal="center" vertical="center"/>
    </xf>
    <xf numFmtId="166" fontId="15" fillId="0" borderId="14" xfId="3" applyNumberFormat="1" applyFont="1" applyBorder="1" applyAlignment="1">
      <alignment horizontal="center" vertical="center" wrapText="1"/>
    </xf>
    <xf numFmtId="0" fontId="13" fillId="2" borderId="14" xfId="3" applyFont="1" applyFill="1" applyBorder="1" applyAlignment="1">
      <alignment horizontal="center" vertical="center" wrapText="1"/>
    </xf>
    <xf numFmtId="169" fontId="9" fillId="2" borderId="21" xfId="3" applyNumberFormat="1" applyFont="1" applyFill="1" applyBorder="1" applyAlignment="1">
      <alignment horizontal="center" vertical="center"/>
    </xf>
    <xf numFmtId="0" fontId="23" fillId="9" borderId="22" xfId="3" applyFont="1" applyFill="1" applyBorder="1" applyAlignment="1">
      <alignment horizontal="center" vertical="center" wrapText="1"/>
    </xf>
    <xf numFmtId="0" fontId="24" fillId="9" borderId="22" xfId="3" applyFont="1" applyFill="1" applyBorder="1" applyAlignment="1">
      <alignment horizontal="center" vertical="center" wrapText="1"/>
    </xf>
    <xf numFmtId="0" fontId="9" fillId="0" borderId="28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9" fillId="0" borderId="33" xfId="0" applyFont="1" applyBorder="1" applyAlignment="1">
      <alignment vertical="center"/>
    </xf>
    <xf numFmtId="49" fontId="28" fillId="2" borderId="8" xfId="3" applyNumberFormat="1" applyFont="1" applyFill="1" applyBorder="1" applyAlignment="1">
      <alignment horizontal="center" vertical="center" wrapText="1"/>
    </xf>
    <xf numFmtId="49" fontId="54" fillId="2" borderId="22" xfId="3" applyNumberFormat="1" applyFont="1" applyFill="1" applyBorder="1" applyAlignment="1">
      <alignment horizontal="center" vertical="center" wrapText="1"/>
    </xf>
    <xf numFmtId="49" fontId="54" fillId="2" borderId="24" xfId="3" applyNumberFormat="1" applyFont="1" applyFill="1" applyBorder="1" applyAlignment="1">
      <alignment horizontal="center" vertical="center" wrapText="1"/>
    </xf>
    <xf numFmtId="49" fontId="54" fillId="2" borderId="25" xfId="3" applyNumberFormat="1" applyFont="1" applyFill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166" fontId="11" fillId="2" borderId="22" xfId="3" applyNumberFormat="1" applyFont="1" applyFill="1" applyBorder="1" applyAlignment="1">
      <alignment horizontal="center" vertical="center" wrapText="1"/>
    </xf>
    <xf numFmtId="166" fontId="11" fillId="2" borderId="24" xfId="3" applyNumberFormat="1" applyFont="1" applyFill="1" applyBorder="1" applyAlignment="1">
      <alignment horizontal="center" vertical="center" wrapText="1"/>
    </xf>
    <xf numFmtId="166" fontId="11" fillId="2" borderId="25" xfId="3" applyNumberFormat="1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165" fontId="8" fillId="0" borderId="22" xfId="1" applyNumberFormat="1" applyFont="1" applyFill="1" applyBorder="1" applyAlignment="1">
      <alignment horizontal="center" vertical="center" wrapText="1"/>
    </xf>
    <xf numFmtId="165" fontId="8" fillId="0" borderId="24" xfId="1" applyNumberFormat="1" applyFont="1" applyFill="1" applyBorder="1" applyAlignment="1">
      <alignment horizontal="center" vertical="center" wrapText="1"/>
    </xf>
    <xf numFmtId="165" fontId="8" fillId="0" borderId="23" xfId="1" applyNumberFormat="1" applyFont="1" applyFill="1" applyBorder="1" applyAlignment="1">
      <alignment horizontal="center" vertical="center" wrapText="1"/>
    </xf>
    <xf numFmtId="0" fontId="19" fillId="2" borderId="22" xfId="2" applyFont="1" applyFill="1" applyBorder="1" applyAlignment="1">
      <alignment horizontal="center"/>
    </xf>
    <xf numFmtId="0" fontId="19" fillId="2" borderId="24" xfId="2" applyFont="1" applyFill="1" applyBorder="1" applyAlignment="1">
      <alignment horizontal="center"/>
    </xf>
    <xf numFmtId="0" fontId="19" fillId="2" borderId="23" xfId="2" applyFont="1" applyFill="1" applyBorder="1" applyAlignment="1">
      <alignment horizontal="center"/>
    </xf>
    <xf numFmtId="0" fontId="9" fillId="0" borderId="22" xfId="9" applyFont="1" applyBorder="1" applyAlignment="1">
      <alignment horizontal="left" vertical="center" wrapText="1"/>
    </xf>
    <xf numFmtId="0" fontId="47" fillId="0" borderId="24" xfId="9" applyFont="1" applyBorder="1" applyAlignment="1">
      <alignment horizontal="left" vertical="center" wrapText="1"/>
    </xf>
    <xf numFmtId="0" fontId="47" fillId="0" borderId="23" xfId="9" applyFont="1" applyBorder="1" applyAlignment="1">
      <alignment horizontal="left" vertical="center" wrapText="1"/>
    </xf>
    <xf numFmtId="0" fontId="48" fillId="6" borderId="14" xfId="3" applyFont="1" applyFill="1" applyBorder="1" applyAlignment="1">
      <alignment horizontal="center" vertical="center" wrapText="1"/>
    </xf>
    <xf numFmtId="0" fontId="8" fillId="0" borderId="0" xfId="3" applyFont="1" applyAlignment="1">
      <alignment horizontal="left" vertical="center" wrapText="1"/>
    </xf>
    <xf numFmtId="168" fontId="18" fillId="0" borderId="29" xfId="6" applyNumberFormat="1" applyFont="1" applyBorder="1" applyAlignment="1">
      <alignment horizontal="center" vertical="center" wrapText="1"/>
    </xf>
    <xf numFmtId="168" fontId="18" fillId="0" borderId="29" xfId="6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 wrapText="1"/>
    </xf>
    <xf numFmtId="165" fontId="8" fillId="0" borderId="26" xfId="1" applyNumberFormat="1" applyFont="1" applyFill="1" applyBorder="1" applyAlignment="1">
      <alignment horizontal="center" vertical="center" wrapText="1"/>
    </xf>
    <xf numFmtId="165" fontId="8" fillId="0" borderId="28" xfId="1" applyNumberFormat="1" applyFont="1" applyFill="1" applyBorder="1" applyAlignment="1">
      <alignment horizontal="center" vertical="center" wrapText="1"/>
    </xf>
    <xf numFmtId="165" fontId="8" fillId="0" borderId="29" xfId="1" applyNumberFormat="1" applyFont="1" applyFill="1" applyBorder="1" applyAlignment="1">
      <alignment horizontal="center" vertical="center" wrapText="1"/>
    </xf>
    <xf numFmtId="165" fontId="8" fillId="0" borderId="30" xfId="1" applyNumberFormat="1" applyFont="1" applyFill="1" applyBorder="1" applyAlignment="1">
      <alignment horizontal="center" vertical="center" wrapText="1"/>
    </xf>
    <xf numFmtId="165" fontId="8" fillId="0" borderId="34" xfId="1" applyNumberFormat="1" applyFont="1" applyFill="1" applyBorder="1" applyAlignment="1">
      <alignment horizontal="center" vertical="center" wrapText="1"/>
    </xf>
    <xf numFmtId="165" fontId="8" fillId="0" borderId="35" xfId="1" applyNumberFormat="1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49" fontId="52" fillId="11" borderId="8" xfId="3" applyNumberFormat="1" applyFont="1" applyFill="1" applyBorder="1" applyAlignment="1">
      <alignment horizontal="center" vertical="center" wrapText="1"/>
    </xf>
    <xf numFmtId="49" fontId="52" fillId="11" borderId="13" xfId="3" applyNumberFormat="1" applyFont="1" applyFill="1" applyBorder="1" applyAlignment="1">
      <alignment horizontal="center" vertical="center" wrapText="1"/>
    </xf>
    <xf numFmtId="49" fontId="52" fillId="11" borderId="9" xfId="3" applyNumberFormat="1" applyFont="1" applyFill="1" applyBorder="1" applyAlignment="1">
      <alignment horizontal="center" vertical="center" wrapText="1"/>
    </xf>
    <xf numFmtId="165" fontId="8" fillId="2" borderId="8" xfId="1" applyNumberFormat="1" applyFont="1" applyFill="1" applyBorder="1" applyAlignment="1">
      <alignment horizontal="center" vertical="center" wrapText="1"/>
    </xf>
    <xf numFmtId="165" fontId="8" fillId="2" borderId="9" xfId="1" applyNumberFormat="1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50" fillId="0" borderId="8" xfId="0" applyFont="1" applyBorder="1" applyAlignment="1">
      <alignment horizontal="center" vertical="center" wrapText="1"/>
    </xf>
    <xf numFmtId="0" fontId="50" fillId="0" borderId="13" xfId="0" applyFont="1" applyBorder="1" applyAlignment="1">
      <alignment horizontal="center" vertical="center" wrapText="1"/>
    </xf>
    <xf numFmtId="0" fontId="50" fillId="0" borderId="9" xfId="0" applyFont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28" fillId="2" borderId="13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21" fillId="2" borderId="19" xfId="0" applyFont="1" applyFill="1" applyBorder="1" applyAlignment="1">
      <alignment horizontal="center" vertical="center" wrapText="1"/>
    </xf>
    <xf numFmtId="49" fontId="28" fillId="2" borderId="8" xfId="3" applyNumberFormat="1" applyFont="1" applyFill="1" applyBorder="1" applyAlignment="1">
      <alignment horizontal="center" vertical="center" wrapText="1"/>
    </xf>
    <xf numFmtId="49" fontId="28" fillId="2" borderId="13" xfId="3" applyNumberFormat="1" applyFont="1" applyFill="1" applyBorder="1" applyAlignment="1">
      <alignment horizontal="center" vertical="center" wrapText="1"/>
    </xf>
    <xf numFmtId="49" fontId="28" fillId="2" borderId="9" xfId="3" applyNumberFormat="1" applyFont="1" applyFill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49" fontId="28" fillId="6" borderId="8" xfId="3" applyNumberFormat="1" applyFont="1" applyFill="1" applyBorder="1" applyAlignment="1">
      <alignment horizontal="center" vertical="center" wrapText="1"/>
    </xf>
    <xf numFmtId="49" fontId="28" fillId="6" borderId="13" xfId="3" applyNumberFormat="1" applyFont="1" applyFill="1" applyBorder="1" applyAlignment="1">
      <alignment horizontal="center" vertical="center" wrapText="1"/>
    </xf>
    <xf numFmtId="49" fontId="28" fillId="6" borderId="9" xfId="3" applyNumberFormat="1" applyFont="1" applyFill="1" applyBorder="1" applyAlignment="1">
      <alignment horizontal="center" vertical="center" wrapText="1"/>
    </xf>
    <xf numFmtId="165" fontId="8" fillId="2" borderId="2" xfId="1" applyNumberFormat="1" applyFont="1" applyFill="1" applyBorder="1" applyAlignment="1">
      <alignment horizontal="center" vertical="center" wrapText="1"/>
    </xf>
    <xf numFmtId="165" fontId="8" fillId="2" borderId="15" xfId="1" applyNumberFormat="1" applyFont="1" applyFill="1" applyBorder="1" applyAlignment="1">
      <alignment horizontal="center" vertical="center" wrapText="1"/>
    </xf>
    <xf numFmtId="165" fontId="8" fillId="0" borderId="8" xfId="16" applyNumberFormat="1" applyFont="1" applyFill="1" applyBorder="1" applyAlignment="1">
      <alignment horizontal="center" vertical="center" wrapText="1"/>
    </xf>
    <xf numFmtId="165" fontId="8" fillId="0" borderId="15" xfId="16" applyNumberFormat="1" applyFont="1" applyFill="1" applyBorder="1" applyAlignment="1">
      <alignment horizontal="center" vertical="center" wrapText="1"/>
    </xf>
    <xf numFmtId="0" fontId="35" fillId="0" borderId="16" xfId="3" applyFont="1" applyBorder="1" applyAlignment="1">
      <alignment horizontal="center" vertical="center" wrapText="1"/>
    </xf>
    <xf numFmtId="0" fontId="35" fillId="0" borderId="17" xfId="3" applyFont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49" fontId="38" fillId="2" borderId="8" xfId="3" applyNumberFormat="1" applyFont="1" applyFill="1" applyBorder="1" applyAlignment="1">
      <alignment horizontal="center" vertical="center" wrapText="1"/>
    </xf>
    <xf numFmtId="49" fontId="38" fillId="2" borderId="13" xfId="3" applyNumberFormat="1" applyFont="1" applyFill="1" applyBorder="1" applyAlignment="1">
      <alignment horizontal="center" vertical="center" wrapText="1"/>
    </xf>
    <xf numFmtId="49" fontId="38" fillId="2" borderId="9" xfId="3" applyNumberFormat="1" applyFont="1" applyFill="1" applyBorder="1" applyAlignment="1">
      <alignment horizontal="center" vertical="center" wrapText="1"/>
    </xf>
    <xf numFmtId="0" fontId="8" fillId="0" borderId="4" xfId="3" applyFont="1" applyBorder="1" applyAlignment="1">
      <alignment horizontal="left" vertical="center" wrapText="1"/>
    </xf>
    <xf numFmtId="0" fontId="28" fillId="0" borderId="13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165" fontId="8" fillId="0" borderId="2" xfId="1" applyNumberFormat="1" applyFont="1" applyFill="1" applyBorder="1" applyAlignment="1">
      <alignment horizontal="center" vertical="center" wrapText="1"/>
    </xf>
  </cellXfs>
  <cellStyles count="19">
    <cellStyle name="Millares 2 2 10 2 2" xfId="15" xr:uid="{00000000-0005-0000-0000-000000000000}"/>
    <cellStyle name="Millares 2 2 3 2 2 2 2 2 2 2 2" xfId="12" xr:uid="{00000000-0005-0000-0000-000001000000}"/>
    <cellStyle name="Millares 2 2 3 2 2 2 2 2 2 2 2 2" xfId="18" xr:uid="{7203AAA3-C5B5-4110-AEFD-FEA934504D53}"/>
    <cellStyle name="Millares 2 2 3 2 2 2 2 2 3" xfId="1" xr:uid="{00000000-0005-0000-0000-000002000000}"/>
    <cellStyle name="Millares 2 2 3 2 2 2 8" xfId="10" xr:uid="{00000000-0005-0000-0000-000003000000}"/>
    <cellStyle name="Millares 2 2 3 2 2 3" xfId="7" xr:uid="{00000000-0005-0000-0000-000004000000}"/>
    <cellStyle name="Millares 2 2 3 4 2 2 2 2 2" xfId="16" xr:uid="{B32ECBA0-E774-45C2-9B9D-4233915C917F}"/>
    <cellStyle name="Normal" xfId="0" builtinId="0"/>
    <cellStyle name="Normal 10 2" xfId="6" xr:uid="{00000000-0005-0000-0000-000006000000}"/>
    <cellStyle name="Normal 2 10" xfId="13" xr:uid="{00000000-0005-0000-0000-000007000000}"/>
    <cellStyle name="Normal 2 2" xfId="3" xr:uid="{00000000-0005-0000-0000-000008000000}"/>
    <cellStyle name="Normal 2 2 2 2" xfId="8" xr:uid="{00000000-0005-0000-0000-000009000000}"/>
    <cellStyle name="Normal 2 2 6 2 2 2 2" xfId="14" xr:uid="{00000000-0005-0000-0000-00000A000000}"/>
    <cellStyle name="Normal 2 3 2" xfId="2" xr:uid="{00000000-0005-0000-0000-00000B000000}"/>
    <cellStyle name="Normal 2 3 2 2" xfId="5" xr:uid="{00000000-0005-0000-0000-00000C000000}"/>
    <cellStyle name="Normal 3 3 2" xfId="17" xr:uid="{988E4C67-8DD6-4D0E-A74F-FDA57531C8EE}"/>
    <cellStyle name="Normal 3 4" xfId="4" xr:uid="{00000000-0005-0000-0000-00000D000000}"/>
    <cellStyle name="Normal 3 4 2" xfId="9" xr:uid="{00000000-0005-0000-0000-00000E000000}"/>
    <cellStyle name="Normal 4 2" xfId="11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jp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5" Type="http://schemas.openxmlformats.org/officeDocument/2006/relationships/image" Target="../media/image24.png"/><Relationship Id="rId4" Type="http://schemas.openxmlformats.org/officeDocument/2006/relationships/image" Target="../media/image2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174625</xdr:colOff>
      <xdr:row>6</xdr:row>
      <xdr:rowOff>666750</xdr:rowOff>
    </xdr:from>
    <xdr:to>
      <xdr:col>4</xdr:col>
      <xdr:colOff>3029238</xdr:colOff>
      <xdr:row>6</xdr:row>
      <xdr:rowOff>2146564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567A4D11-1BEE-4F22-87AC-868ED1A50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21859875"/>
          <a:ext cx="2854613" cy="1467114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127000</xdr:colOff>
      <xdr:row>7</xdr:row>
      <xdr:rowOff>605566</xdr:rowOff>
    </xdr:from>
    <xdr:to>
      <xdr:col>4</xdr:col>
      <xdr:colOff>1709287</xdr:colOff>
      <xdr:row>7</xdr:row>
      <xdr:rowOff>2158999</xdr:rowOff>
    </xdr:to>
    <xdr:pic>
      <xdr:nvPicPr>
        <xdr:cNvPr id="86" name="Imagen 85" descr="Libreta Ecologica Con Lapicero Merchandising | Mercado Libre">
          <a:extLst>
            <a:ext uri="{FF2B5EF4-FFF2-40B4-BE49-F238E27FC236}">
              <a16:creationId xmlns:a16="http://schemas.microsoft.com/office/drawing/2014/main" id="{68CA71C3-4415-4BCB-985B-598F01C9A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625" y="18433191"/>
          <a:ext cx="1582287" cy="1553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1928812</xdr:colOff>
      <xdr:row>7</xdr:row>
      <xdr:rowOff>691024</xdr:rowOff>
    </xdr:from>
    <xdr:to>
      <xdr:col>4</xdr:col>
      <xdr:colOff>2957252</xdr:colOff>
      <xdr:row>7</xdr:row>
      <xdr:rowOff>2024063</xdr:rowOff>
    </xdr:to>
    <xdr:pic>
      <xdr:nvPicPr>
        <xdr:cNvPr id="90" name="Imagen 89" descr="LIBRETA ECOLOGICA 70HJS C/BOLI JUNIOR AZ – Visual Factory">
          <a:extLst>
            <a:ext uri="{FF2B5EF4-FFF2-40B4-BE49-F238E27FC236}">
              <a16:creationId xmlns:a16="http://schemas.microsoft.com/office/drawing/2014/main" id="{80741D2B-A756-4944-8797-000AE009C3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04" r="9877"/>
        <a:stretch/>
      </xdr:blipFill>
      <xdr:spPr bwMode="auto">
        <a:xfrm>
          <a:off x="6036468" y="36028774"/>
          <a:ext cx="1028440" cy="1333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426812</xdr:colOff>
      <xdr:row>4</xdr:row>
      <xdr:rowOff>136525</xdr:rowOff>
    </xdr:from>
    <xdr:ext cx="2367188" cy="2068269"/>
    <xdr:pic>
      <xdr:nvPicPr>
        <xdr:cNvPr id="9" name="Picture 4" descr="tn_IT3789_10A.jpg">
          <a:extLst>
            <a:ext uri="{FF2B5EF4-FFF2-40B4-BE49-F238E27FC236}">
              <a16:creationId xmlns:a16="http://schemas.microsoft.com/office/drawing/2014/main" id="{7108F28F-9EDD-4157-9523-49608DF6A86A}"/>
            </a:ext>
            <a:ext uri="{147F2762-F138-4A5C-976F-8EAC2B608ADB}">
              <a16:predDERef xmlns:a16="http://schemas.microsoft.com/office/drawing/2014/main" pred="{80741D2B-A756-4944-8797-000AE009C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2087" y="1508125"/>
          <a:ext cx="2367188" cy="2068269"/>
        </a:xfrm>
        <a:prstGeom prst="rect">
          <a:avLst/>
        </a:prstGeom>
      </xdr:spPr>
    </xdr:pic>
    <xdr:clientData/>
  </xdr:oneCellAnchor>
  <xdr:twoCellAnchor editAs="oneCell">
    <xdr:from>
      <xdr:col>4</xdr:col>
      <xdr:colOff>539749</xdr:colOff>
      <xdr:row>5</xdr:row>
      <xdr:rowOff>244474</xdr:rowOff>
    </xdr:from>
    <xdr:to>
      <xdr:col>4</xdr:col>
      <xdr:colOff>2651124</xdr:colOff>
      <xdr:row>5</xdr:row>
      <xdr:rowOff>2352837</xdr:rowOff>
    </xdr:to>
    <xdr:pic>
      <xdr:nvPicPr>
        <xdr:cNvPr id="2" name="Imagen 74">
          <a:extLst>
            <a:ext uri="{FF2B5EF4-FFF2-40B4-BE49-F238E27FC236}">
              <a16:creationId xmlns:a16="http://schemas.microsoft.com/office/drawing/2014/main" id="{260E9490-8D21-405D-9B9F-99771EF54072}"/>
            </a:ext>
            <a:ext uri="{147F2762-F138-4A5C-976F-8EAC2B608ADB}">
              <a16:predDERef xmlns:a16="http://schemas.microsoft.com/office/drawing/2014/main" pred="{7108F28F-9EDD-4157-9523-49608DF6A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645024" y="12617449"/>
          <a:ext cx="2111375" cy="2108363"/>
        </a:xfrm>
        <a:prstGeom prst="rect">
          <a:avLst/>
        </a:prstGeom>
      </xdr:spPr>
    </xdr:pic>
    <xdr:clientData/>
  </xdr:twoCellAnchor>
  <xdr:twoCellAnchor editAs="oneCell">
    <xdr:from>
      <xdr:col>4</xdr:col>
      <xdr:colOff>600075</xdr:colOff>
      <xdr:row>11</xdr:row>
      <xdr:rowOff>104775</xdr:rowOff>
    </xdr:from>
    <xdr:to>
      <xdr:col>4</xdr:col>
      <xdr:colOff>2543175</xdr:colOff>
      <xdr:row>11</xdr:row>
      <xdr:rowOff>1790700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6A12A3-A6F6-441B-93F6-FF353364BC01}"/>
            </a:ext>
            <a:ext uri="{147F2762-F138-4A5C-976F-8EAC2B608ADB}">
              <a16:predDERef xmlns:a16="http://schemas.microsoft.com/office/drawing/2014/main" pred="{260E9490-8D21-405D-9B9F-99771EF540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-948" t="4950" r="2364" b="5941"/>
        <a:stretch/>
      </xdr:blipFill>
      <xdr:spPr>
        <a:xfrm>
          <a:off x="4705350" y="13649325"/>
          <a:ext cx="1943100" cy="1685925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12</xdr:row>
      <xdr:rowOff>123825</xdr:rowOff>
    </xdr:from>
    <xdr:to>
      <xdr:col>4</xdr:col>
      <xdr:colOff>2638425</xdr:colOff>
      <xdr:row>12</xdr:row>
      <xdr:rowOff>1800225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3505E5D-3DE4-4F40-BE72-19E561CFC61F}"/>
            </a:ext>
            <a:ext uri="{147F2762-F138-4A5C-976F-8EAC2B608ADB}">
              <a16:predDERef xmlns:a16="http://schemas.microsoft.com/office/drawing/2014/main" pred="{626A12A3-A6F6-441B-93F6-FF353364BC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3883" t="5410" r="2912" b="5328"/>
        <a:stretch/>
      </xdr:blipFill>
      <xdr:spPr>
        <a:xfrm>
          <a:off x="4695825" y="15982950"/>
          <a:ext cx="2047875" cy="1676400"/>
        </a:xfrm>
        <a:prstGeom prst="rect">
          <a:avLst/>
        </a:prstGeom>
      </xdr:spPr>
    </xdr:pic>
    <xdr:clientData/>
  </xdr:twoCellAnchor>
  <xdr:twoCellAnchor editAs="oneCell">
    <xdr:from>
      <xdr:col>4</xdr:col>
      <xdr:colOff>914400</xdr:colOff>
      <xdr:row>13</xdr:row>
      <xdr:rowOff>209550</xdr:rowOff>
    </xdr:from>
    <xdr:to>
      <xdr:col>4</xdr:col>
      <xdr:colOff>2457450</xdr:colOff>
      <xdr:row>13</xdr:row>
      <xdr:rowOff>2047875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B79BB88-B275-434E-91D9-6E608F9BD246}"/>
            </a:ext>
            <a:ext uri="{147F2762-F138-4A5C-976F-8EAC2B608ADB}">
              <a16:predDERef xmlns:a16="http://schemas.microsoft.com/office/drawing/2014/main" pred="{53505E5D-3DE4-4F40-BE72-19E561CFC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019675" y="18383250"/>
          <a:ext cx="1543050" cy="1838325"/>
        </a:xfrm>
        <a:prstGeom prst="rect">
          <a:avLst/>
        </a:prstGeom>
      </xdr:spPr>
    </xdr:pic>
    <xdr:clientData/>
  </xdr:twoCellAnchor>
  <xdr:twoCellAnchor editAs="oneCell">
    <xdr:from>
      <xdr:col>4</xdr:col>
      <xdr:colOff>1190625</xdr:colOff>
      <xdr:row>14</xdr:row>
      <xdr:rowOff>219075</xdr:rowOff>
    </xdr:from>
    <xdr:to>
      <xdr:col>4</xdr:col>
      <xdr:colOff>2057400</xdr:colOff>
      <xdr:row>14</xdr:row>
      <xdr:rowOff>1952625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E572940-10B8-4D95-A166-DC7943CA96DF}"/>
            </a:ext>
            <a:ext uri="{147F2762-F138-4A5C-976F-8EAC2B608ADB}">
              <a16:predDERef xmlns:a16="http://schemas.microsoft.com/office/drawing/2014/main" pred="{DB79BB88-B275-434E-91D9-6E608F9BD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95900" y="20707350"/>
          <a:ext cx="866775" cy="1733550"/>
        </a:xfrm>
        <a:prstGeom prst="rect">
          <a:avLst/>
        </a:prstGeom>
      </xdr:spPr>
    </xdr:pic>
    <xdr:clientData/>
  </xdr:twoCellAnchor>
  <xdr:twoCellAnchor editAs="oneCell">
    <xdr:from>
      <xdr:col>4</xdr:col>
      <xdr:colOff>876300</xdr:colOff>
      <xdr:row>18</xdr:row>
      <xdr:rowOff>114300</xdr:rowOff>
    </xdr:from>
    <xdr:to>
      <xdr:col>4</xdr:col>
      <xdr:colOff>2264229</xdr:colOff>
      <xdr:row>18</xdr:row>
      <xdr:rowOff>2227455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00A93C4-8C2C-4775-B1A9-670B971E307C}"/>
            </a:ext>
            <a:ext uri="{147F2762-F138-4A5C-976F-8EAC2B608ADB}">
              <a16:predDERef xmlns:a16="http://schemas.microsoft.com/office/drawing/2014/main" pred="{2E572940-10B8-4D95-A166-DC7943CA96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" t="24719" r="61725" b="1994"/>
        <a:stretch/>
      </xdr:blipFill>
      <xdr:spPr>
        <a:xfrm>
          <a:off x="4981575" y="36499800"/>
          <a:ext cx="1387929" cy="2113155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8</xdr:row>
      <xdr:rowOff>447675</xdr:rowOff>
    </xdr:from>
    <xdr:to>
      <xdr:col>4</xdr:col>
      <xdr:colOff>2525483</xdr:colOff>
      <xdr:row>8</xdr:row>
      <xdr:rowOff>2543926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2BFBC68-64DB-4156-9B50-65D6FC76A91D}"/>
            </a:ext>
            <a:ext uri="{147F2762-F138-4A5C-976F-8EAC2B608ADB}">
              <a16:predDERef xmlns:a16="http://schemas.microsoft.com/office/drawing/2014/main" pred="{700A93C4-8C2C-4775-B1A9-670B971E3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86275" y="13992225"/>
          <a:ext cx="2144483" cy="20962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2333625</xdr:colOff>
      <xdr:row>9</xdr:row>
      <xdr:rowOff>2335275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FAB9F5B-3379-427B-BAEE-0EE0C67F8F19}"/>
            </a:ext>
            <a:ext uri="{147F2762-F138-4A5C-976F-8EAC2B608ADB}">
              <a16:predDERef xmlns:a16="http://schemas.microsoft.com/office/drawing/2014/main" pred="{A2BFBC68-64DB-4156-9B50-65D6FC76A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05275" y="16602075"/>
          <a:ext cx="2333625" cy="2335275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10</xdr:row>
      <xdr:rowOff>514350</xdr:rowOff>
    </xdr:from>
    <xdr:to>
      <xdr:col>4</xdr:col>
      <xdr:colOff>2800350</xdr:colOff>
      <xdr:row>10</xdr:row>
      <xdr:rowOff>2608486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2A400CD-F595-4561-B9E7-0B217420668B}"/>
            </a:ext>
            <a:ext uri="{147F2762-F138-4A5C-976F-8EAC2B608ADB}">
              <a16:predDERef xmlns:a16="http://schemas.microsoft.com/office/drawing/2014/main" pred="{5FAB9F5B-3379-427B-BAEE-0EE0C67F8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429125" y="19773900"/>
          <a:ext cx="2476500" cy="2094136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609600</xdr:colOff>
      <xdr:row>15</xdr:row>
      <xdr:rowOff>504825</xdr:rowOff>
    </xdr:from>
    <xdr:to>
      <xdr:col>4</xdr:col>
      <xdr:colOff>2036617</xdr:colOff>
      <xdr:row>15</xdr:row>
      <xdr:rowOff>1803688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FE388CA4-2422-4BCF-822F-CB160E76E659}"/>
            </a:ext>
            <a:ext uri="{147F2762-F138-4A5C-976F-8EAC2B608ADB}">
              <a16:predDERef xmlns:a16="http://schemas.microsoft.com/office/drawing/2014/main" pred="{52A400CD-F595-4561-B9E7-0B2174206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14875" y="31470600"/>
          <a:ext cx="1427017" cy="1298863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16</xdr:row>
      <xdr:rowOff>476250</xdr:rowOff>
    </xdr:from>
    <xdr:to>
      <xdr:col>4</xdr:col>
      <xdr:colOff>2984136</xdr:colOff>
      <xdr:row>16</xdr:row>
      <xdr:rowOff>2353830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65704F3B-560A-4DFE-902C-313999BC3FA4}"/>
            </a:ext>
            <a:ext uri="{147F2762-F138-4A5C-976F-8EAC2B608ADB}">
              <a16:predDERef xmlns:a16="http://schemas.microsoft.com/office/drawing/2014/main" pred="{FE388CA4-2422-4BCF-822F-CB160E76E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362450" y="34032825"/>
          <a:ext cx="2726961" cy="1877580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352425</xdr:colOff>
      <xdr:row>17</xdr:row>
      <xdr:rowOff>314325</xdr:rowOff>
    </xdr:from>
    <xdr:to>
      <xdr:col>4</xdr:col>
      <xdr:colOff>2438400</xdr:colOff>
      <xdr:row>17</xdr:row>
      <xdr:rowOff>2266950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44F931A-796C-483A-B87D-33E4112A87F6}"/>
            </a:ext>
            <a:ext uri="{147F2762-F138-4A5C-976F-8EAC2B608ADB}">
              <a16:predDERef xmlns:a16="http://schemas.microsoft.com/office/drawing/2014/main" pred="{65704F3B-560A-4DFE-902C-313999BC3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00" y="36547425"/>
          <a:ext cx="2085975" cy="1952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1162050</xdr:colOff>
      <xdr:row>4</xdr:row>
      <xdr:rowOff>1314450</xdr:rowOff>
    </xdr:from>
    <xdr:to>
      <xdr:col>4</xdr:col>
      <xdr:colOff>3133725</xdr:colOff>
      <xdr:row>4</xdr:row>
      <xdr:rowOff>3114675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0E48E5C-D139-1126-5E3F-A2AC52E2312E}"/>
            </a:ext>
            <a:ext uri="{147F2762-F138-4A5C-976F-8EAC2B608ADB}">
              <a16:predDERef xmlns:a16="http://schemas.microsoft.com/office/drawing/2014/main" pred="{B67B8A6C-3444-4A3F-822C-AE1BAC68A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5" y="2686050"/>
          <a:ext cx="1971675" cy="1800225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4</xdr:row>
      <xdr:rowOff>66675</xdr:rowOff>
    </xdr:from>
    <xdr:to>
      <xdr:col>4</xdr:col>
      <xdr:colOff>1590675</xdr:colOff>
      <xdr:row>4</xdr:row>
      <xdr:rowOff>2038350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B67B8A6C-3444-4A3F-822C-AE1BAC68AECE}"/>
            </a:ext>
            <a:ext uri="{147F2762-F138-4A5C-976F-8EAC2B608ADB}">
              <a16:predDERef xmlns:a16="http://schemas.microsoft.com/office/drawing/2014/main" pred="{E0E48E5C-D139-1126-5E3F-A2AC52E23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2425" y="1438275"/>
          <a:ext cx="1533525" cy="1971675"/>
        </a:xfrm>
        <a:prstGeom prst="rect">
          <a:avLst/>
        </a:prstGeom>
      </xdr:spPr>
    </xdr:pic>
    <xdr:clientData/>
  </xdr:twoCellAnchor>
  <xdr:twoCellAnchor editAs="oneCell">
    <xdr:from>
      <xdr:col>4</xdr:col>
      <xdr:colOff>390525</xdr:colOff>
      <xdr:row>5</xdr:row>
      <xdr:rowOff>400050</xdr:rowOff>
    </xdr:from>
    <xdr:to>
      <xdr:col>4</xdr:col>
      <xdr:colOff>2381250</xdr:colOff>
      <xdr:row>5</xdr:row>
      <xdr:rowOff>2505075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F6BBDBCE-FF36-4320-BCD6-D73CCAB8CA8E}"/>
            </a:ext>
            <a:ext uri="{147F2762-F138-4A5C-976F-8EAC2B608ADB}">
              <a16:predDERef xmlns:a16="http://schemas.microsoft.com/office/drawing/2014/main" pred="{B67B8A6C-3444-4A3F-822C-AE1BAC68AECE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5095875"/>
          <a:ext cx="1990725" cy="2105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247094</xdr:colOff>
      <xdr:row>3</xdr:row>
      <xdr:rowOff>580469</xdr:rowOff>
    </xdr:from>
    <xdr:ext cx="2627725" cy="2286198"/>
    <xdr:pic>
      <xdr:nvPicPr>
        <xdr:cNvPr id="3" name="Imagen 2">
          <a:extLst>
            <a:ext uri="{FF2B5EF4-FFF2-40B4-BE49-F238E27FC236}">
              <a16:creationId xmlns:a16="http://schemas.microsoft.com/office/drawing/2014/main" id="{ABCD66CC-FCFA-42B2-8180-D3C054D6E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1503" y="1913969"/>
          <a:ext cx="2627725" cy="2286198"/>
        </a:xfrm>
        <a:prstGeom prst="rect">
          <a:avLst/>
        </a:prstGeom>
      </xdr:spPr>
    </xdr:pic>
    <xdr:clientData/>
  </xdr:oneCellAnchor>
  <xdr:twoCellAnchor editAs="oneCell">
    <xdr:from>
      <xdr:col>4</xdr:col>
      <xdr:colOff>242454</xdr:colOff>
      <xdr:row>6</xdr:row>
      <xdr:rowOff>762000</xdr:rowOff>
    </xdr:from>
    <xdr:to>
      <xdr:col>4</xdr:col>
      <xdr:colOff>2857500</xdr:colOff>
      <xdr:row>8</xdr:row>
      <xdr:rowOff>392262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705C9E-CC4E-45D1-BFD9-880AA2D0C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6863" y="5697682"/>
          <a:ext cx="2615046" cy="1777716"/>
        </a:xfrm>
        <a:prstGeom prst="rect">
          <a:avLst/>
        </a:prstGeom>
      </xdr:spPr>
    </xdr:pic>
    <xdr:clientData/>
  </xdr:twoCellAnchor>
  <xdr:oneCellAnchor>
    <xdr:from>
      <xdr:col>4</xdr:col>
      <xdr:colOff>311728</xdr:colOff>
      <xdr:row>9</xdr:row>
      <xdr:rowOff>692727</xdr:rowOff>
    </xdr:from>
    <xdr:ext cx="2573740" cy="1918607"/>
    <xdr:pic>
      <xdr:nvPicPr>
        <xdr:cNvPr id="5" name="Imagen 4">
          <a:extLst>
            <a:ext uri="{FF2B5EF4-FFF2-40B4-BE49-F238E27FC236}">
              <a16:creationId xmlns:a16="http://schemas.microsoft.com/office/drawing/2014/main" id="{64E84826-524D-4893-BF71-ADED9D546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16137" y="9230591"/>
          <a:ext cx="2573740" cy="1918607"/>
        </a:xfrm>
        <a:prstGeom prst="rect">
          <a:avLst/>
        </a:prstGeom>
      </xdr:spPr>
    </xdr:pic>
    <xdr:clientData/>
  </xdr:oneCellAnchor>
  <xdr:twoCellAnchor editAs="oneCell">
    <xdr:from>
      <xdr:col>4</xdr:col>
      <xdr:colOff>259773</xdr:colOff>
      <xdr:row>12</xdr:row>
      <xdr:rowOff>1143000</xdr:rowOff>
    </xdr:from>
    <xdr:to>
      <xdr:col>4</xdr:col>
      <xdr:colOff>3004326</xdr:colOff>
      <xdr:row>14</xdr:row>
      <xdr:rowOff>415636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BAB49A4-A015-473E-AB7C-7CFE0BEB6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4182" y="13283045"/>
          <a:ext cx="2744553" cy="1420091"/>
        </a:xfrm>
        <a:prstGeom prst="rect">
          <a:avLst/>
        </a:prstGeom>
      </xdr:spPr>
    </xdr:pic>
    <xdr:clientData/>
  </xdr:twoCellAnchor>
  <xdr:twoCellAnchor editAs="oneCell">
    <xdr:from>
      <xdr:col>4</xdr:col>
      <xdr:colOff>450272</xdr:colOff>
      <xdr:row>15</xdr:row>
      <xdr:rowOff>173182</xdr:rowOff>
    </xdr:from>
    <xdr:to>
      <xdr:col>4</xdr:col>
      <xdr:colOff>2701636</xdr:colOff>
      <xdr:row>17</xdr:row>
      <xdr:rowOff>1065624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0C11CF3-D599-43AF-9623-9BCB02B2B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54681" y="15915409"/>
          <a:ext cx="2251364" cy="3039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4"/>
  <sheetViews>
    <sheetView showGridLines="0" topLeftCell="Z1" zoomScale="80" zoomScaleNormal="80" workbookViewId="0">
      <selection activeCell="AF5" sqref="AF5"/>
    </sheetView>
  </sheetViews>
  <sheetFormatPr baseColWidth="10" defaultColWidth="11.42578125" defaultRowHeight="23.25" x14ac:dyDescent="0.35"/>
  <cols>
    <col min="1" max="1" width="4.85546875" style="3" customWidth="1"/>
    <col min="2" max="2" width="5.7109375" style="3" customWidth="1"/>
    <col min="3" max="3" width="14.5703125" style="3" customWidth="1"/>
    <col min="4" max="4" width="36.42578125" style="3" customWidth="1"/>
    <col min="5" max="5" width="47.7109375" style="3" customWidth="1"/>
    <col min="6" max="6" width="13.7109375" style="5" bestFit="1" customWidth="1"/>
    <col min="7" max="7" width="21.85546875" style="5" customWidth="1"/>
    <col min="8" max="8" width="16.42578125" style="6" customWidth="1"/>
    <col min="9" max="9" width="85.42578125" style="6" customWidth="1"/>
    <col min="10" max="10" width="21.5703125" style="3" customWidth="1"/>
    <col min="11" max="11" width="22.5703125" style="3" customWidth="1"/>
    <col min="12" max="12" width="25.28515625" style="7" customWidth="1"/>
    <col min="13" max="13" width="24.42578125" style="9" customWidth="1"/>
    <col min="14" max="14" width="39.140625" style="3" customWidth="1"/>
    <col min="15" max="15" width="19.28515625" style="3" customWidth="1"/>
    <col min="16" max="16" width="15.5703125" style="3" customWidth="1"/>
    <col min="17" max="17" width="11.5703125" style="3" bestFit="1" customWidth="1"/>
    <col min="18" max="18" width="15" style="3" customWidth="1"/>
    <col min="19" max="19" width="24.28515625" style="3" customWidth="1"/>
    <col min="20" max="20" width="14.140625" style="3" bestFit="1" customWidth="1"/>
    <col min="21" max="21" width="11.5703125" style="3" bestFit="1" customWidth="1"/>
    <col min="22" max="22" width="18.28515625" style="3" customWidth="1"/>
    <col min="23" max="23" width="15.85546875" style="3" bestFit="1" customWidth="1"/>
    <col min="24" max="24" width="20.28515625" style="3" customWidth="1"/>
    <col min="25" max="25" width="26" style="3" customWidth="1"/>
    <col min="26" max="26" width="22" style="3" customWidth="1"/>
    <col min="27" max="29" width="11.5703125" style="3" bestFit="1" customWidth="1"/>
    <col min="30" max="30" width="15.85546875" style="3" bestFit="1" customWidth="1"/>
    <col min="31" max="31" width="21.28515625" style="3" customWidth="1"/>
    <col min="32" max="32" width="15.85546875" style="3" bestFit="1" customWidth="1"/>
    <col min="33" max="33" width="20.42578125" style="3" bestFit="1" customWidth="1"/>
    <col min="34" max="34" width="19.140625" style="3" customWidth="1"/>
    <col min="35" max="35" width="12.5703125" style="3" bestFit="1" customWidth="1"/>
    <col min="36" max="36" width="16.5703125" style="3" bestFit="1" customWidth="1"/>
    <col min="37" max="16384" width="11.42578125" style="3"/>
  </cols>
  <sheetData>
    <row r="1" spans="1:256" ht="15.75" customHeight="1" x14ac:dyDescent="0.35"/>
    <row r="2" spans="1:256" ht="9.75" customHeight="1" x14ac:dyDescent="0.35">
      <c r="D2" s="4"/>
      <c r="I2"/>
      <c r="J2" s="6"/>
    </row>
    <row r="3" spans="1:256" s="6" customFormat="1" ht="41.25" customHeight="1" x14ac:dyDescent="0.3">
      <c r="B3" s="211" t="s">
        <v>0</v>
      </c>
      <c r="C3" s="211"/>
      <c r="D3" s="211"/>
      <c r="E3" s="211"/>
      <c r="F3" s="211"/>
      <c r="G3" s="211"/>
      <c r="H3" s="211"/>
      <c r="I3" s="211"/>
      <c r="J3" s="211"/>
      <c r="K3" s="11"/>
      <c r="L3" s="259" t="s">
        <v>1</v>
      </c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12"/>
      <c r="AC3" s="12"/>
      <c r="AD3" s="12"/>
      <c r="AE3" s="12"/>
      <c r="AF3" s="12"/>
      <c r="AG3" s="12"/>
      <c r="AH3" s="12"/>
      <c r="AI3" s="12"/>
      <c r="AJ3" s="13"/>
    </row>
    <row r="4" spans="1:256" s="6" customFormat="1" ht="41.25" customHeight="1" x14ac:dyDescent="0.3">
      <c r="B4" s="102" t="s">
        <v>2</v>
      </c>
      <c r="C4" s="102" t="s">
        <v>3</v>
      </c>
      <c r="D4" s="102" t="s">
        <v>4</v>
      </c>
      <c r="E4" s="102" t="s">
        <v>5</v>
      </c>
      <c r="F4" s="102" t="s">
        <v>6</v>
      </c>
      <c r="G4" s="103" t="s">
        <v>7</v>
      </c>
      <c r="H4" s="103" t="s">
        <v>8</v>
      </c>
      <c r="I4" s="103" t="s">
        <v>9</v>
      </c>
      <c r="J4" s="103" t="s">
        <v>10</v>
      </c>
      <c r="K4" s="11"/>
      <c r="L4" s="14" t="s">
        <v>11</v>
      </c>
      <c r="M4" s="15" t="s">
        <v>12</v>
      </c>
      <c r="N4" s="15" t="s">
        <v>13</v>
      </c>
      <c r="O4" s="16" t="s">
        <v>14</v>
      </c>
      <c r="P4" s="17" t="s">
        <v>15</v>
      </c>
      <c r="Q4" s="18" t="s">
        <v>16</v>
      </c>
      <c r="R4" s="18" t="s">
        <v>17</v>
      </c>
      <c r="S4" s="18" t="s">
        <v>18</v>
      </c>
      <c r="T4" s="18" t="s">
        <v>19</v>
      </c>
      <c r="U4" s="18" t="s">
        <v>20</v>
      </c>
      <c r="V4" s="19" t="s">
        <v>21</v>
      </c>
      <c r="W4" s="20" t="s">
        <v>22</v>
      </c>
      <c r="X4" s="21" t="s">
        <v>23</v>
      </c>
      <c r="Y4" s="22" t="s">
        <v>24</v>
      </c>
      <c r="Z4" s="23" t="s">
        <v>25</v>
      </c>
      <c r="AA4" s="23" t="s">
        <v>26</v>
      </c>
      <c r="AB4" s="23" t="s">
        <v>27</v>
      </c>
      <c r="AC4" s="23" t="s">
        <v>28</v>
      </c>
      <c r="AD4" s="24" t="s">
        <v>29</v>
      </c>
      <c r="AE4" s="25" t="s">
        <v>30</v>
      </c>
      <c r="AF4" s="25" t="s">
        <v>31</v>
      </c>
      <c r="AG4" s="26" t="s">
        <v>19</v>
      </c>
      <c r="AH4" s="27" t="s">
        <v>32</v>
      </c>
      <c r="AI4" s="27" t="s">
        <v>33</v>
      </c>
      <c r="AJ4" s="28" t="s">
        <v>34</v>
      </c>
    </row>
    <row r="5" spans="1:256" ht="190.5" customHeight="1" x14ac:dyDescent="0.25">
      <c r="B5" s="44">
        <v>1</v>
      </c>
      <c r="C5" s="228" t="s">
        <v>35</v>
      </c>
      <c r="D5" s="229"/>
      <c r="E5" s="45" t="s">
        <v>36</v>
      </c>
      <c r="F5" s="2">
        <v>200</v>
      </c>
      <c r="G5" s="51">
        <f t="shared" ref="G5:G19" si="0">AH5</f>
        <v>4.6879121304347837</v>
      </c>
      <c r="H5" s="8" t="s">
        <v>37</v>
      </c>
      <c r="I5" s="48" t="s">
        <v>38</v>
      </c>
      <c r="J5" s="70">
        <f t="shared" ref="J5" si="1">F5*G5</f>
        <v>937.58242608695673</v>
      </c>
      <c r="K5" s="49"/>
      <c r="L5" s="186" t="s">
        <v>39</v>
      </c>
      <c r="M5" s="242" t="s">
        <v>40</v>
      </c>
      <c r="N5" s="243"/>
      <c r="O5" s="244"/>
      <c r="P5" s="125">
        <f>2.5/1.15</f>
        <v>2.1739130434782612</v>
      </c>
      <c r="Q5" s="30">
        <v>57.5</v>
      </c>
      <c r="R5" s="31">
        <f t="shared" ref="R5:R6" si="2">P5*Q5/100</f>
        <v>1.2500000000000002</v>
      </c>
      <c r="S5" s="32">
        <f t="shared" ref="S5:S6" si="3">R5*U5</f>
        <v>250.00000000000006</v>
      </c>
      <c r="T5" s="33">
        <f t="shared" ref="T5:T6" si="4">P5+R5</f>
        <v>3.4239130434782616</v>
      </c>
      <c r="U5" s="30">
        <f>F5</f>
        <v>200</v>
      </c>
      <c r="V5" s="34">
        <f t="shared" ref="V5:V13" si="5">P5*3</f>
        <v>6.5217391304347831</v>
      </c>
      <c r="W5" s="39">
        <v>100</v>
      </c>
      <c r="X5" s="35">
        <f t="shared" ref="X5:X6" si="6">U5*T5+V5+W5</f>
        <v>791.30434782608711</v>
      </c>
      <c r="Y5" s="47" t="s">
        <v>41</v>
      </c>
      <c r="Z5" s="38">
        <v>120</v>
      </c>
      <c r="AA5" s="36">
        <v>1</v>
      </c>
      <c r="AB5" s="36">
        <v>1</v>
      </c>
      <c r="AC5" s="36">
        <v>1</v>
      </c>
      <c r="AD5" s="37">
        <f t="shared" ref="AD5:AD6" si="7">Z5*AA5*AB5*AC5</f>
        <v>120</v>
      </c>
      <c r="AE5" s="38">
        <f>U5/100*4.85</f>
        <v>9.6999999999999993</v>
      </c>
      <c r="AF5" s="39">
        <f>1.8%*(X5+AD5+AE5)</f>
        <v>16.578078260869571</v>
      </c>
      <c r="AG5" s="40">
        <f t="shared" ref="AG5:AG6" si="8">X5+AD5+AF5+AE5</f>
        <v>937.58242608695673</v>
      </c>
      <c r="AH5" s="41">
        <f t="shared" ref="AH5:AH6" si="9">AG5/U5</f>
        <v>4.6879121304347837</v>
      </c>
      <c r="AI5" s="42">
        <f t="shared" ref="AI5:AI6" si="10">AH5*18%</f>
        <v>0.84382418347826105</v>
      </c>
      <c r="AJ5" s="43">
        <f t="shared" ref="AJ5:AJ6" si="11">AH5+AI5</f>
        <v>5.5317363139130444</v>
      </c>
    </row>
    <row r="6" spans="1:256" ht="205.5" customHeight="1" x14ac:dyDescent="0.25">
      <c r="B6" s="44">
        <v>2</v>
      </c>
      <c r="C6" s="228" t="s">
        <v>42</v>
      </c>
      <c r="D6" s="229"/>
      <c r="E6" s="45" t="s">
        <v>36</v>
      </c>
      <c r="F6" s="2">
        <v>200</v>
      </c>
      <c r="G6" s="51">
        <f t="shared" si="0"/>
        <v>5.6873225652173911</v>
      </c>
      <c r="H6" s="8" t="s">
        <v>37</v>
      </c>
      <c r="I6" s="48" t="s">
        <v>43</v>
      </c>
      <c r="J6" s="70">
        <f t="shared" ref="J6:J19" si="12">F6*G6</f>
        <v>1137.4645130434783</v>
      </c>
      <c r="K6" s="10"/>
      <c r="L6" s="126" t="s">
        <v>44</v>
      </c>
      <c r="M6" s="242" t="s">
        <v>45</v>
      </c>
      <c r="N6" s="243"/>
      <c r="O6" s="244"/>
      <c r="P6" s="127">
        <f>3.2/1.15</f>
        <v>2.7826086956521743</v>
      </c>
      <c r="Q6" s="30">
        <v>58</v>
      </c>
      <c r="R6" s="31">
        <f t="shared" si="2"/>
        <v>1.6139130434782611</v>
      </c>
      <c r="S6" s="32">
        <f t="shared" si="3"/>
        <v>322.78260869565224</v>
      </c>
      <c r="T6" s="33">
        <f t="shared" si="4"/>
        <v>4.396521739130435</v>
      </c>
      <c r="U6" s="30">
        <f t="shared" ref="U6:U19" si="13">F6</f>
        <v>200</v>
      </c>
      <c r="V6" s="34">
        <f t="shared" si="5"/>
        <v>8.3478260869565233</v>
      </c>
      <c r="W6" s="39">
        <v>100</v>
      </c>
      <c r="X6" s="35">
        <f t="shared" si="6"/>
        <v>987.6521739130435</v>
      </c>
      <c r="Y6" s="47" t="s">
        <v>41</v>
      </c>
      <c r="Z6" s="38">
        <v>120</v>
      </c>
      <c r="AA6" s="36">
        <v>1</v>
      </c>
      <c r="AB6" s="36">
        <v>1</v>
      </c>
      <c r="AC6" s="36">
        <v>1</v>
      </c>
      <c r="AD6" s="37">
        <f t="shared" si="7"/>
        <v>120</v>
      </c>
      <c r="AE6" s="38">
        <f t="shared" ref="AE6:AE11" si="14">U6/100*4.85</f>
        <v>9.6999999999999993</v>
      </c>
      <c r="AF6" s="39">
        <f t="shared" ref="AF6:AF19" si="15">1.8%*(X6+AD6+AE6)</f>
        <v>20.112339130434787</v>
      </c>
      <c r="AG6" s="40">
        <f t="shared" si="8"/>
        <v>1137.4645130434783</v>
      </c>
      <c r="AH6" s="41">
        <f t="shared" si="9"/>
        <v>5.6873225652173911</v>
      </c>
      <c r="AI6" s="42">
        <f t="shared" si="10"/>
        <v>1.0237180617391304</v>
      </c>
      <c r="AJ6" s="43">
        <f t="shared" si="11"/>
        <v>6.711040626956521</v>
      </c>
    </row>
    <row r="7" spans="1:256" ht="178.5" customHeight="1" x14ac:dyDescent="0.3">
      <c r="B7" s="44">
        <v>3</v>
      </c>
      <c r="C7" s="228" t="s">
        <v>46</v>
      </c>
      <c r="D7" s="249"/>
      <c r="E7" s="69" t="s">
        <v>47</v>
      </c>
      <c r="F7" s="2">
        <v>200</v>
      </c>
      <c r="G7" s="51">
        <f t="shared" si="0"/>
        <v>7.5948907999999991</v>
      </c>
      <c r="H7" s="8" t="s">
        <v>37</v>
      </c>
      <c r="I7" s="48" t="s">
        <v>48</v>
      </c>
      <c r="J7" s="70">
        <f t="shared" si="12"/>
        <v>1518.9781599999999</v>
      </c>
      <c r="K7" s="1"/>
      <c r="L7" s="128" t="s">
        <v>49</v>
      </c>
      <c r="M7" s="242" t="s">
        <v>50</v>
      </c>
      <c r="N7" s="260"/>
      <c r="O7" s="261"/>
      <c r="P7" s="129">
        <v>4.7</v>
      </c>
      <c r="Q7" s="30">
        <v>32.799999999999997</v>
      </c>
      <c r="R7" s="31">
        <f t="shared" ref="R7:R15" si="16">P7*Q7/100</f>
        <v>1.5415999999999999</v>
      </c>
      <c r="S7" s="32">
        <f t="shared" ref="S7:S15" si="17">R7*U7</f>
        <v>308.32</v>
      </c>
      <c r="T7" s="33">
        <f t="shared" ref="T7:T15" si="18">P7+R7</f>
        <v>6.2416</v>
      </c>
      <c r="U7" s="30">
        <f t="shared" si="13"/>
        <v>200</v>
      </c>
      <c r="V7" s="34">
        <f t="shared" si="5"/>
        <v>14.100000000000001</v>
      </c>
      <c r="W7" s="39">
        <v>100</v>
      </c>
      <c r="X7" s="35">
        <f t="shared" ref="X7:X15" si="19">U7*T7+V7+W7</f>
        <v>1362.4199999999998</v>
      </c>
      <c r="Y7" s="46" t="s">
        <v>41</v>
      </c>
      <c r="Z7" s="38">
        <v>120</v>
      </c>
      <c r="AA7" s="36">
        <v>1</v>
      </c>
      <c r="AB7" s="36">
        <v>1</v>
      </c>
      <c r="AC7" s="36">
        <v>1</v>
      </c>
      <c r="AD7" s="37">
        <f t="shared" ref="AD7:AD11" si="20">Z7*AA7*AB7*AC7</f>
        <v>120</v>
      </c>
      <c r="AE7" s="38">
        <f t="shared" si="14"/>
        <v>9.6999999999999993</v>
      </c>
      <c r="AF7" s="39">
        <f t="shared" si="15"/>
        <v>26.858160000000002</v>
      </c>
      <c r="AG7" s="40">
        <f t="shared" ref="AG7:AG15" si="21">X7+AD7+AF7+AE7</f>
        <v>1518.9781599999999</v>
      </c>
      <c r="AH7" s="41">
        <f t="shared" ref="AH7:AH15" si="22">AG7/U7</f>
        <v>7.5948907999999991</v>
      </c>
      <c r="AI7" s="42">
        <f t="shared" ref="AI7:AI15" si="23">AH7*18%</f>
        <v>1.3670803439999997</v>
      </c>
      <c r="AJ7" s="43">
        <f t="shared" ref="AJ7:AJ15" si="24">AH7+AI7</f>
        <v>8.9619711439999996</v>
      </c>
    </row>
    <row r="8" spans="1:256" ht="178.5" customHeight="1" x14ac:dyDescent="0.3">
      <c r="B8" s="44">
        <v>4</v>
      </c>
      <c r="C8" s="228" t="s">
        <v>46</v>
      </c>
      <c r="D8" s="249"/>
      <c r="E8" s="69" t="s">
        <v>47</v>
      </c>
      <c r="F8" s="2">
        <v>200</v>
      </c>
      <c r="G8" s="51">
        <f t="shared" si="0"/>
        <v>5.9015451739130445</v>
      </c>
      <c r="H8" s="8" t="s">
        <v>37</v>
      </c>
      <c r="I8" s="122" t="s">
        <v>51</v>
      </c>
      <c r="J8" s="70">
        <f t="shared" si="12"/>
        <v>1180.3090347826089</v>
      </c>
      <c r="K8" s="80"/>
      <c r="L8" s="126" t="s">
        <v>52</v>
      </c>
      <c r="M8" s="242" t="s">
        <v>53</v>
      </c>
      <c r="N8" s="243"/>
      <c r="O8" s="244"/>
      <c r="P8" s="129">
        <f>3.6/1.15</f>
        <v>3.1304347826086958</v>
      </c>
      <c r="Q8" s="30">
        <v>47</v>
      </c>
      <c r="R8" s="31">
        <f t="shared" si="16"/>
        <v>1.471304347826087</v>
      </c>
      <c r="S8" s="32">
        <f t="shared" si="17"/>
        <v>294.26086956521738</v>
      </c>
      <c r="T8" s="33">
        <f t="shared" si="18"/>
        <v>4.6017391304347832</v>
      </c>
      <c r="U8" s="30">
        <f t="shared" si="13"/>
        <v>200</v>
      </c>
      <c r="V8" s="34">
        <f t="shared" si="5"/>
        <v>9.3913043478260878</v>
      </c>
      <c r="W8" s="39">
        <v>100</v>
      </c>
      <c r="X8" s="35">
        <f t="shared" si="19"/>
        <v>1029.7391304347827</v>
      </c>
      <c r="Y8" s="47" t="s">
        <v>41</v>
      </c>
      <c r="Z8" s="38">
        <v>120</v>
      </c>
      <c r="AA8" s="36">
        <v>1</v>
      </c>
      <c r="AB8" s="36">
        <v>1</v>
      </c>
      <c r="AC8" s="36">
        <v>1</v>
      </c>
      <c r="AD8" s="37">
        <f t="shared" si="20"/>
        <v>120</v>
      </c>
      <c r="AE8" s="38">
        <f t="shared" si="14"/>
        <v>9.6999999999999993</v>
      </c>
      <c r="AF8" s="39">
        <f t="shared" si="15"/>
        <v>20.869904347826093</v>
      </c>
      <c r="AG8" s="40">
        <f t="shared" si="21"/>
        <v>1180.3090347826089</v>
      </c>
      <c r="AH8" s="41">
        <f t="shared" si="22"/>
        <v>5.9015451739130445</v>
      </c>
      <c r="AI8" s="42">
        <f t="shared" si="23"/>
        <v>1.0622781313043479</v>
      </c>
      <c r="AJ8" s="43">
        <f t="shared" si="24"/>
        <v>6.9638233052173923</v>
      </c>
    </row>
    <row r="9" spans="1:256" ht="217.5" customHeight="1" x14ac:dyDescent="0.25">
      <c r="B9" s="44">
        <v>5</v>
      </c>
      <c r="C9" s="248" t="s">
        <v>54</v>
      </c>
      <c r="D9" s="248"/>
      <c r="E9" s="45" t="s">
        <v>36</v>
      </c>
      <c r="F9" s="2">
        <v>200</v>
      </c>
      <c r="G9" s="51">
        <f t="shared" si="0"/>
        <v>6.9911061478260867</v>
      </c>
      <c r="H9" s="8" t="s">
        <v>37</v>
      </c>
      <c r="I9" s="105" t="s">
        <v>55</v>
      </c>
      <c r="J9" s="70">
        <f t="shared" si="12"/>
        <v>1398.2212295652173</v>
      </c>
      <c r="K9" s="1"/>
      <c r="L9" s="130" t="s">
        <v>56</v>
      </c>
      <c r="M9" s="256" t="s">
        <v>57</v>
      </c>
      <c r="N9" s="257"/>
      <c r="O9" s="258"/>
      <c r="P9" s="131">
        <f>4.96/1.15</f>
        <v>4.3130434782608695</v>
      </c>
      <c r="Q9" s="30">
        <v>47.3</v>
      </c>
      <c r="R9" s="31">
        <f t="shared" si="16"/>
        <v>2.040069565217391</v>
      </c>
      <c r="S9" s="32">
        <f t="shared" si="17"/>
        <v>1020.0347826086955</v>
      </c>
      <c r="T9" s="33">
        <f t="shared" si="18"/>
        <v>6.3531130434782606</v>
      </c>
      <c r="U9" s="30">
        <v>500</v>
      </c>
      <c r="V9" s="34">
        <f t="shared" si="5"/>
        <v>12.939130434782609</v>
      </c>
      <c r="W9" s="39">
        <v>100</v>
      </c>
      <c r="X9" s="35">
        <f t="shared" si="19"/>
        <v>3289.4956521739132</v>
      </c>
      <c r="Y9" s="46" t="s">
        <v>58</v>
      </c>
      <c r="Z9" s="38">
        <v>120</v>
      </c>
      <c r="AA9" s="36">
        <v>1</v>
      </c>
      <c r="AB9" s="36">
        <v>1</v>
      </c>
      <c r="AC9" s="36">
        <v>1</v>
      </c>
      <c r="AD9" s="37">
        <f t="shared" si="20"/>
        <v>120</v>
      </c>
      <c r="AE9" s="38">
        <f>U9/100*4.85</f>
        <v>24.25</v>
      </c>
      <c r="AF9" s="39">
        <f t="shared" si="15"/>
        <v>61.807421739130447</v>
      </c>
      <c r="AG9" s="40">
        <f t="shared" si="21"/>
        <v>3495.5530739130436</v>
      </c>
      <c r="AH9" s="41">
        <f t="shared" si="22"/>
        <v>6.9911061478260867</v>
      </c>
      <c r="AI9" s="54">
        <f t="shared" si="23"/>
        <v>1.2583991066086955</v>
      </c>
      <c r="AJ9" s="43">
        <f t="shared" si="24"/>
        <v>8.2495052544347818</v>
      </c>
    </row>
    <row r="10" spans="1:256" ht="217.5" customHeight="1" x14ac:dyDescent="0.25">
      <c r="B10" s="44">
        <v>6</v>
      </c>
      <c r="C10" s="228" t="s">
        <v>59</v>
      </c>
      <c r="D10" s="229"/>
      <c r="E10" s="45" t="s">
        <v>36</v>
      </c>
      <c r="F10" s="2">
        <v>200</v>
      </c>
      <c r="G10" s="51">
        <f t="shared" si="0"/>
        <v>7.7897138695652179</v>
      </c>
      <c r="H10" s="8" t="s">
        <v>37</v>
      </c>
      <c r="I10" s="105" t="s">
        <v>60</v>
      </c>
      <c r="J10" s="70">
        <f t="shared" si="12"/>
        <v>1557.9427739130435</v>
      </c>
      <c r="K10" s="1"/>
      <c r="L10" s="128" t="s">
        <v>61</v>
      </c>
      <c r="M10" s="242" t="s">
        <v>62</v>
      </c>
      <c r="N10" s="243"/>
      <c r="O10" s="244"/>
      <c r="P10" s="131">
        <f>6/1.15</f>
        <v>5.2173913043478262</v>
      </c>
      <c r="Q10" s="30">
        <v>36.700000000000003</v>
      </c>
      <c r="R10" s="31">
        <f t="shared" si="16"/>
        <v>1.9147826086956525</v>
      </c>
      <c r="S10" s="32">
        <f t="shared" si="17"/>
        <v>957.39130434782624</v>
      </c>
      <c r="T10" s="33">
        <f t="shared" si="18"/>
        <v>7.1321739130434789</v>
      </c>
      <c r="U10" s="30">
        <v>500</v>
      </c>
      <c r="V10" s="34">
        <f t="shared" si="5"/>
        <v>15.652173913043478</v>
      </c>
      <c r="W10" s="39">
        <v>100</v>
      </c>
      <c r="X10" s="35">
        <f t="shared" si="19"/>
        <v>3681.739130434783</v>
      </c>
      <c r="Y10" s="46" t="s">
        <v>63</v>
      </c>
      <c r="Z10" s="38">
        <v>120</v>
      </c>
      <c r="AA10" s="36">
        <v>1</v>
      </c>
      <c r="AB10" s="36">
        <v>1</v>
      </c>
      <c r="AC10" s="36">
        <v>1</v>
      </c>
      <c r="AD10" s="37">
        <f t="shared" si="20"/>
        <v>120</v>
      </c>
      <c r="AE10" s="38">
        <f t="shared" si="14"/>
        <v>24.25</v>
      </c>
      <c r="AF10" s="39">
        <f t="shared" si="15"/>
        <v>68.867804347826095</v>
      </c>
      <c r="AG10" s="40">
        <f t="shared" si="21"/>
        <v>3894.8569347826092</v>
      </c>
      <c r="AH10" s="41">
        <f t="shared" si="22"/>
        <v>7.7897138695652179</v>
      </c>
      <c r="AI10" s="54">
        <f t="shared" si="23"/>
        <v>1.4021484965217392</v>
      </c>
      <c r="AJ10" s="43">
        <f t="shared" si="24"/>
        <v>9.1918623660869567</v>
      </c>
    </row>
    <row r="11" spans="1:256" ht="217.5" customHeight="1" x14ac:dyDescent="0.25">
      <c r="B11" s="44">
        <v>7</v>
      </c>
      <c r="C11" s="228" t="s">
        <v>64</v>
      </c>
      <c r="D11" s="229"/>
      <c r="E11" s="45" t="s">
        <v>36</v>
      </c>
      <c r="F11" s="2">
        <v>200</v>
      </c>
      <c r="G11" s="51">
        <f t="shared" si="0"/>
        <v>7.4850220434782608</v>
      </c>
      <c r="H11" s="8" t="s">
        <v>37</v>
      </c>
      <c r="I11" s="105" t="s">
        <v>65</v>
      </c>
      <c r="J11" s="70">
        <f t="shared" si="12"/>
        <v>1497.0044086956523</v>
      </c>
      <c r="K11" s="1"/>
      <c r="L11" s="128" t="s">
        <v>66</v>
      </c>
      <c r="M11" s="242" t="s">
        <v>67</v>
      </c>
      <c r="N11" s="243"/>
      <c r="O11" s="244"/>
      <c r="P11" s="129">
        <f>5.8/1.15</f>
        <v>5.0434782608695654</v>
      </c>
      <c r="Q11" s="30">
        <v>35.5</v>
      </c>
      <c r="R11" s="31">
        <f t="shared" si="16"/>
        <v>1.7904347826086957</v>
      </c>
      <c r="S11" s="32">
        <f t="shared" si="17"/>
        <v>895.21739130434787</v>
      </c>
      <c r="T11" s="33">
        <f t="shared" si="18"/>
        <v>6.8339130434782609</v>
      </c>
      <c r="U11" s="30">
        <v>500</v>
      </c>
      <c r="V11" s="34">
        <f t="shared" si="5"/>
        <v>15.130434782608695</v>
      </c>
      <c r="W11" s="39">
        <v>100</v>
      </c>
      <c r="X11" s="35">
        <f t="shared" si="19"/>
        <v>3532.086956521739</v>
      </c>
      <c r="Y11" s="46" t="s">
        <v>68</v>
      </c>
      <c r="Z11" s="38">
        <v>120</v>
      </c>
      <c r="AA11" s="36">
        <v>1</v>
      </c>
      <c r="AB11" s="36">
        <v>1</v>
      </c>
      <c r="AC11" s="36">
        <v>1</v>
      </c>
      <c r="AD11" s="37">
        <f t="shared" si="20"/>
        <v>120</v>
      </c>
      <c r="AE11" s="38">
        <f t="shared" si="14"/>
        <v>24.25</v>
      </c>
      <c r="AF11" s="39">
        <f t="shared" si="15"/>
        <v>66.174065217391316</v>
      </c>
      <c r="AG11" s="40">
        <f t="shared" si="21"/>
        <v>3742.5110217391302</v>
      </c>
      <c r="AH11" s="41">
        <f t="shared" si="22"/>
        <v>7.4850220434782608</v>
      </c>
      <c r="AI11" s="54">
        <f t="shared" si="23"/>
        <v>1.347303967826087</v>
      </c>
      <c r="AJ11" s="43">
        <f t="shared" si="24"/>
        <v>8.8323260113043478</v>
      </c>
    </row>
    <row r="12" spans="1:256" customFormat="1" ht="182.25" customHeight="1" x14ac:dyDescent="0.35">
      <c r="B12" s="99">
        <v>8</v>
      </c>
      <c r="C12" s="250" t="s">
        <v>69</v>
      </c>
      <c r="D12" s="251"/>
      <c r="E12" s="69" t="s">
        <v>47</v>
      </c>
      <c r="F12" s="50">
        <v>200</v>
      </c>
      <c r="G12" s="51">
        <f t="shared" si="0"/>
        <v>9.9934551884057985</v>
      </c>
      <c r="H12" s="52" t="s">
        <v>70</v>
      </c>
      <c r="I12" s="100" t="s">
        <v>71</v>
      </c>
      <c r="J12" s="70">
        <f t="shared" si="12"/>
        <v>1998.6910376811597</v>
      </c>
      <c r="K12" s="101"/>
      <c r="L12" s="132" t="s">
        <v>72</v>
      </c>
      <c r="M12" s="245" t="s">
        <v>73</v>
      </c>
      <c r="N12" s="246"/>
      <c r="O12" s="247"/>
      <c r="P12" s="133">
        <f>6.2/1.15</f>
        <v>5.3913043478260878</v>
      </c>
      <c r="Q12" s="30">
        <v>56.2</v>
      </c>
      <c r="R12" s="31">
        <f t="shared" si="16"/>
        <v>3.0299130434782615</v>
      </c>
      <c r="S12" s="32">
        <f t="shared" si="17"/>
        <v>605.98260869565229</v>
      </c>
      <c r="T12" s="33">
        <f t="shared" si="18"/>
        <v>8.4212173913043493</v>
      </c>
      <c r="U12" s="30">
        <f t="shared" si="13"/>
        <v>200</v>
      </c>
      <c r="V12" s="34">
        <f t="shared" si="5"/>
        <v>16.173913043478265</v>
      </c>
      <c r="W12" s="104">
        <v>100</v>
      </c>
      <c r="X12" s="53">
        <f t="shared" si="19"/>
        <v>1800.417391304348</v>
      </c>
      <c r="Y12" s="46" t="s">
        <v>74</v>
      </c>
      <c r="Z12" s="141">
        <v>150</v>
      </c>
      <c r="AA12" s="142">
        <v>1</v>
      </c>
      <c r="AB12" s="142">
        <v>1</v>
      </c>
      <c r="AC12" s="142">
        <v>1</v>
      </c>
      <c r="AD12" s="37">
        <f t="shared" ref="AD12:AD14" si="25">Z12</f>
        <v>150</v>
      </c>
      <c r="AE12" s="38">
        <f>U12/75*4.85</f>
        <v>12.933333333333332</v>
      </c>
      <c r="AF12" s="39">
        <f t="shared" si="15"/>
        <v>35.340313043478268</v>
      </c>
      <c r="AG12" s="40">
        <f t="shared" si="21"/>
        <v>1998.6910376811597</v>
      </c>
      <c r="AH12" s="41">
        <f t="shared" si="22"/>
        <v>9.9934551884057985</v>
      </c>
      <c r="AI12" s="54">
        <f t="shared" si="23"/>
        <v>1.7988219339130436</v>
      </c>
      <c r="AJ12" s="43">
        <f t="shared" si="24"/>
        <v>11.792277122318842</v>
      </c>
      <c r="AK12" s="12"/>
      <c r="AL12" s="55"/>
      <c r="AM12" s="56"/>
      <c r="AN12" s="56"/>
      <c r="AO12" s="56"/>
      <c r="AP12" s="56"/>
      <c r="AQ12" s="57"/>
      <c r="AR12" s="58"/>
      <c r="AS12" s="59"/>
      <c r="AT12" s="59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60"/>
      <c r="CE12" s="60"/>
      <c r="CF12" s="60"/>
      <c r="CG12" s="60"/>
      <c r="CH12" s="60"/>
      <c r="CI12" s="60"/>
      <c r="CJ12" s="60"/>
      <c r="CK12" s="60"/>
      <c r="CL12" s="60"/>
      <c r="CM12" s="60"/>
      <c r="CN12" s="60"/>
      <c r="CO12" s="60"/>
      <c r="CP12" s="60"/>
      <c r="CQ12" s="60"/>
      <c r="CR12" s="60"/>
      <c r="CS12" s="60"/>
      <c r="CT12" s="60"/>
      <c r="CU12" s="60"/>
      <c r="CV12" s="60"/>
      <c r="CW12" s="60"/>
      <c r="CX12" s="60"/>
      <c r="CY12" s="60"/>
      <c r="CZ12" s="60"/>
      <c r="DA12" s="60"/>
      <c r="DB12" s="60"/>
      <c r="DC12" s="60"/>
      <c r="DD12" s="60"/>
      <c r="DE12" s="60"/>
      <c r="DF12" s="60"/>
      <c r="DG12" s="60"/>
      <c r="DH12" s="60"/>
      <c r="DI12" s="60"/>
      <c r="DJ12" s="60"/>
      <c r="DK12" s="60"/>
      <c r="DL12" s="60"/>
      <c r="DM12" s="60"/>
      <c r="DN12" s="60"/>
      <c r="DO12" s="60"/>
      <c r="DP12" s="60"/>
      <c r="DQ12" s="60"/>
      <c r="DR12" s="60"/>
      <c r="DS12" s="60"/>
      <c r="DT12" s="60"/>
      <c r="DU12" s="60"/>
      <c r="DV12" s="60"/>
      <c r="DW12" s="60"/>
      <c r="DX12" s="60"/>
      <c r="DY12" s="60"/>
      <c r="DZ12" s="60"/>
      <c r="EA12" s="60"/>
      <c r="EB12" s="60"/>
      <c r="EC12" s="60"/>
      <c r="ED12" s="60"/>
      <c r="EE12" s="60"/>
      <c r="EF12" s="60"/>
      <c r="EG12" s="60"/>
      <c r="EH12" s="60"/>
      <c r="EI12" s="60"/>
      <c r="EJ12" s="60"/>
      <c r="EK12" s="60"/>
      <c r="EL12" s="60"/>
      <c r="EM12" s="60"/>
      <c r="EN12" s="60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0"/>
      <c r="FC12" s="60"/>
      <c r="FD12" s="60"/>
      <c r="FE12" s="60"/>
      <c r="FF12" s="60"/>
      <c r="FG12" s="60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60"/>
      <c r="FS12" s="60"/>
      <c r="FT12" s="60"/>
      <c r="FU12" s="60"/>
      <c r="FV12" s="60"/>
      <c r="FW12" s="60"/>
      <c r="FX12" s="60"/>
      <c r="FY12" s="60"/>
      <c r="FZ12" s="60"/>
      <c r="GA12" s="60"/>
      <c r="GB12" s="60"/>
      <c r="GC12" s="60"/>
      <c r="GD12" s="60"/>
      <c r="GE12" s="60"/>
      <c r="GF12" s="60"/>
      <c r="GG12" s="60"/>
      <c r="GH12" s="60"/>
      <c r="GI12" s="60"/>
      <c r="GJ12" s="60"/>
      <c r="GK12" s="60"/>
      <c r="GL12" s="60"/>
      <c r="GM12" s="60"/>
      <c r="GN12" s="60"/>
      <c r="GO12" s="60"/>
      <c r="GP12" s="60"/>
      <c r="GQ12" s="60"/>
      <c r="GR12" s="60"/>
      <c r="GS12" s="60"/>
      <c r="GT12" s="60"/>
      <c r="GU12" s="60"/>
      <c r="GV12" s="60"/>
      <c r="GW12" s="60"/>
      <c r="GX12" s="60"/>
      <c r="GY12" s="60"/>
      <c r="GZ12" s="60"/>
      <c r="HA12" s="60"/>
      <c r="HB12" s="60"/>
      <c r="HC12" s="60"/>
      <c r="HD12" s="60"/>
      <c r="HE12" s="60"/>
      <c r="HF12" s="60"/>
      <c r="HG12" s="60"/>
      <c r="HH12" s="60"/>
      <c r="HI12" s="60"/>
      <c r="HJ12" s="60"/>
      <c r="HK12" s="60"/>
      <c r="HL12" s="60"/>
      <c r="HM12" s="60"/>
      <c r="HN12" s="60"/>
      <c r="HO12" s="60"/>
      <c r="HP12" s="60"/>
      <c r="HQ12" s="60"/>
      <c r="HR12" s="60"/>
      <c r="HS12" s="60"/>
      <c r="HT12" s="60"/>
      <c r="HU12" s="60"/>
      <c r="HV12" s="60"/>
      <c r="HW12" s="60"/>
      <c r="HX12" s="60"/>
      <c r="HY12" s="60"/>
      <c r="HZ12" s="60"/>
      <c r="IA12" s="60"/>
      <c r="IB12" s="60"/>
      <c r="IC12" s="60"/>
      <c r="ID12" s="60"/>
      <c r="IE12" s="60"/>
      <c r="IF12" s="60"/>
      <c r="IG12" s="60"/>
      <c r="IH12" s="60"/>
      <c r="II12" s="60"/>
      <c r="IJ12" s="60"/>
      <c r="IK12" s="60"/>
      <c r="IL12" s="60"/>
      <c r="IM12" s="60"/>
      <c r="IN12" s="60"/>
      <c r="IO12" s="60"/>
      <c r="IP12" s="60"/>
      <c r="IQ12" s="60"/>
      <c r="IR12" s="60"/>
      <c r="IS12" s="60"/>
      <c r="IT12" s="60"/>
      <c r="IU12" s="60"/>
      <c r="IV12" s="60"/>
    </row>
    <row r="13" spans="1:256" customFormat="1" ht="182.25" customHeight="1" x14ac:dyDescent="0.35">
      <c r="B13" s="99">
        <v>9</v>
      </c>
      <c r="C13" s="250" t="s">
        <v>69</v>
      </c>
      <c r="D13" s="251"/>
      <c r="E13" s="69" t="s">
        <v>47</v>
      </c>
      <c r="F13" s="50">
        <v>200</v>
      </c>
      <c r="G13" s="51">
        <f t="shared" si="0"/>
        <v>10.590622840579712</v>
      </c>
      <c r="H13" s="52" t="s">
        <v>70</v>
      </c>
      <c r="I13" s="100" t="s">
        <v>75</v>
      </c>
      <c r="J13" s="70">
        <f t="shared" si="12"/>
        <v>2118.1245681159426</v>
      </c>
      <c r="K13" s="101"/>
      <c r="L13" s="132" t="s">
        <v>72</v>
      </c>
      <c r="M13" s="245" t="s">
        <v>76</v>
      </c>
      <c r="N13" s="246"/>
      <c r="O13" s="247"/>
      <c r="P13" s="133">
        <f>6.7/1.15</f>
        <v>5.8260869565217401</v>
      </c>
      <c r="Q13" s="30">
        <v>54.5</v>
      </c>
      <c r="R13" s="31">
        <f t="shared" si="16"/>
        <v>3.175217391304348</v>
      </c>
      <c r="S13" s="32">
        <f t="shared" si="17"/>
        <v>635.04347826086962</v>
      </c>
      <c r="T13" s="33">
        <f t="shared" si="18"/>
        <v>9.001304347826089</v>
      </c>
      <c r="U13" s="30">
        <f t="shared" si="13"/>
        <v>200</v>
      </c>
      <c r="V13" s="34">
        <f t="shared" si="5"/>
        <v>17.478260869565219</v>
      </c>
      <c r="W13" s="104">
        <v>100</v>
      </c>
      <c r="X13" s="53">
        <f t="shared" si="19"/>
        <v>1917.739130434783</v>
      </c>
      <c r="Y13" s="46" t="s">
        <v>74</v>
      </c>
      <c r="Z13" s="141">
        <v>150</v>
      </c>
      <c r="AA13" s="142">
        <v>1</v>
      </c>
      <c r="AB13" s="142">
        <v>1</v>
      </c>
      <c r="AC13" s="142">
        <v>1</v>
      </c>
      <c r="AD13" s="37">
        <f t="shared" si="25"/>
        <v>150</v>
      </c>
      <c r="AE13" s="38">
        <f t="shared" ref="AE13:AE14" si="26">U13/75*4.85</f>
        <v>12.933333333333332</v>
      </c>
      <c r="AF13" s="39">
        <f t="shared" si="15"/>
        <v>37.452104347826101</v>
      </c>
      <c r="AG13" s="40">
        <f t="shared" si="21"/>
        <v>2118.1245681159426</v>
      </c>
      <c r="AH13" s="41">
        <f t="shared" si="22"/>
        <v>10.590622840579712</v>
      </c>
      <c r="AI13" s="54">
        <f t="shared" si="23"/>
        <v>1.9063121113043482</v>
      </c>
      <c r="AJ13" s="43">
        <f t="shared" si="24"/>
        <v>12.496934951884061</v>
      </c>
      <c r="AK13" s="12"/>
      <c r="AL13" s="55"/>
      <c r="AM13" s="56"/>
      <c r="AN13" s="56"/>
      <c r="AO13" s="56"/>
      <c r="AP13" s="56"/>
      <c r="AQ13" s="57"/>
      <c r="AR13" s="58"/>
      <c r="AS13" s="59"/>
      <c r="AT13" s="59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60"/>
      <c r="CG13" s="60"/>
      <c r="CH13" s="60"/>
      <c r="CI13" s="60"/>
      <c r="CJ13" s="60"/>
      <c r="CK13" s="60"/>
      <c r="CL13" s="60"/>
      <c r="CM13" s="60"/>
      <c r="CN13" s="60"/>
      <c r="CO13" s="60"/>
      <c r="CP13" s="60"/>
      <c r="CQ13" s="60"/>
      <c r="CR13" s="60"/>
      <c r="CS13" s="60"/>
      <c r="CT13" s="60"/>
      <c r="CU13" s="60"/>
      <c r="CV13" s="60"/>
      <c r="CW13" s="60"/>
      <c r="CX13" s="60"/>
      <c r="CY13" s="60"/>
      <c r="CZ13" s="60"/>
      <c r="DA13" s="60"/>
      <c r="DB13" s="60"/>
      <c r="DC13" s="60"/>
      <c r="DD13" s="60"/>
      <c r="DE13" s="60"/>
      <c r="DF13" s="60"/>
      <c r="DG13" s="60"/>
      <c r="DH13" s="60"/>
      <c r="DI13" s="60"/>
      <c r="DJ13" s="60"/>
      <c r="DK13" s="60"/>
      <c r="DL13" s="60"/>
      <c r="DM13" s="60"/>
      <c r="DN13" s="60"/>
      <c r="DO13" s="60"/>
      <c r="DP13" s="60"/>
      <c r="DQ13" s="60"/>
      <c r="DR13" s="60"/>
      <c r="DS13" s="60"/>
      <c r="DT13" s="60"/>
      <c r="DU13" s="60"/>
      <c r="DV13" s="60"/>
      <c r="DW13" s="60"/>
      <c r="DX13" s="60"/>
      <c r="DY13" s="60"/>
      <c r="DZ13" s="60"/>
      <c r="EA13" s="60"/>
      <c r="EB13" s="60"/>
      <c r="EC13" s="60"/>
      <c r="ED13" s="60"/>
      <c r="EE13" s="60"/>
      <c r="EF13" s="60"/>
      <c r="EG13" s="60"/>
      <c r="EH13" s="60"/>
      <c r="EI13" s="60"/>
      <c r="EJ13" s="60"/>
      <c r="EK13" s="60"/>
      <c r="EL13" s="60"/>
      <c r="EM13" s="60"/>
      <c r="EN13" s="60"/>
      <c r="EO13" s="60"/>
      <c r="EP13" s="60"/>
      <c r="EQ13" s="60"/>
      <c r="ER13" s="60"/>
      <c r="ES13" s="60"/>
      <c r="ET13" s="60"/>
      <c r="EU13" s="60"/>
      <c r="EV13" s="60"/>
      <c r="EW13" s="60"/>
      <c r="EX13" s="60"/>
      <c r="EY13" s="60"/>
      <c r="EZ13" s="60"/>
      <c r="FA13" s="60"/>
      <c r="FB13" s="60"/>
      <c r="FC13" s="60"/>
      <c r="FD13" s="60"/>
      <c r="FE13" s="60"/>
      <c r="FF13" s="60"/>
      <c r="FG13" s="60"/>
      <c r="FH13" s="60"/>
      <c r="FI13" s="60"/>
      <c r="FJ13" s="60"/>
      <c r="FK13" s="60"/>
      <c r="FL13" s="60"/>
      <c r="FM13" s="60"/>
      <c r="FN13" s="60"/>
      <c r="FO13" s="60"/>
      <c r="FP13" s="60"/>
      <c r="FQ13" s="60"/>
      <c r="FR13" s="60"/>
      <c r="FS13" s="60"/>
      <c r="FT13" s="60"/>
      <c r="FU13" s="60"/>
      <c r="FV13" s="60"/>
      <c r="FW13" s="60"/>
      <c r="FX13" s="60"/>
      <c r="FY13" s="60"/>
      <c r="FZ13" s="60"/>
      <c r="GA13" s="60"/>
      <c r="GB13" s="60"/>
      <c r="GC13" s="60"/>
      <c r="GD13" s="60"/>
      <c r="GE13" s="60"/>
      <c r="GF13" s="60"/>
      <c r="GG13" s="60"/>
      <c r="GH13" s="60"/>
      <c r="GI13" s="60"/>
      <c r="GJ13" s="60"/>
      <c r="GK13" s="60"/>
      <c r="GL13" s="60"/>
      <c r="GM13" s="60"/>
      <c r="GN13" s="60"/>
      <c r="GO13" s="60"/>
      <c r="GP13" s="60"/>
      <c r="GQ13" s="60"/>
      <c r="GR13" s="60"/>
      <c r="GS13" s="60"/>
      <c r="GT13" s="60"/>
      <c r="GU13" s="60"/>
      <c r="GV13" s="60"/>
      <c r="GW13" s="60"/>
      <c r="GX13" s="60"/>
      <c r="GY13" s="60"/>
      <c r="GZ13" s="60"/>
      <c r="HA13" s="60"/>
      <c r="HB13" s="60"/>
      <c r="HC13" s="60"/>
      <c r="HD13" s="60"/>
      <c r="HE13" s="60"/>
      <c r="HF13" s="60"/>
      <c r="HG13" s="60"/>
      <c r="HH13" s="60"/>
      <c r="HI13" s="60"/>
      <c r="HJ13" s="60"/>
      <c r="HK13" s="60"/>
      <c r="HL13" s="60"/>
      <c r="HM13" s="60"/>
      <c r="HN13" s="60"/>
      <c r="HO13" s="60"/>
      <c r="HP13" s="60"/>
      <c r="HQ13" s="60"/>
      <c r="HR13" s="60"/>
      <c r="HS13" s="60"/>
      <c r="HT13" s="60"/>
      <c r="HU13" s="60"/>
      <c r="HV13" s="60"/>
      <c r="HW13" s="60"/>
      <c r="HX13" s="60"/>
      <c r="HY13" s="60"/>
      <c r="HZ13" s="60"/>
      <c r="IA13" s="60"/>
      <c r="IB13" s="60"/>
      <c r="IC13" s="60"/>
      <c r="ID13" s="60"/>
      <c r="IE13" s="60"/>
      <c r="IF13" s="60"/>
      <c r="IG13" s="60"/>
      <c r="IH13" s="60"/>
      <c r="II13" s="60"/>
      <c r="IJ13" s="60"/>
      <c r="IK13" s="60"/>
      <c r="IL13" s="60"/>
      <c r="IM13" s="60"/>
      <c r="IN13" s="60"/>
      <c r="IO13" s="60"/>
      <c r="IP13" s="60"/>
      <c r="IQ13" s="60"/>
      <c r="IR13" s="60"/>
      <c r="IS13" s="60"/>
      <c r="IT13" s="60"/>
      <c r="IU13" s="60"/>
      <c r="IV13" s="60"/>
    </row>
    <row r="14" spans="1:256" customFormat="1" ht="182.25" customHeight="1" x14ac:dyDescent="0.35">
      <c r="B14" s="99">
        <v>10</v>
      </c>
      <c r="C14" s="250" t="s">
        <v>69</v>
      </c>
      <c r="D14" s="251"/>
      <c r="E14" s="69" t="s">
        <v>47</v>
      </c>
      <c r="F14" s="50">
        <v>200</v>
      </c>
      <c r="G14" s="51">
        <f t="shared" si="0"/>
        <v>10.192407797101447</v>
      </c>
      <c r="H14" s="52" t="s">
        <v>70</v>
      </c>
      <c r="I14" s="100" t="s">
        <v>77</v>
      </c>
      <c r="J14" s="70">
        <f t="shared" si="12"/>
        <v>2038.4815594202894</v>
      </c>
      <c r="K14" s="101"/>
      <c r="L14" s="132" t="s">
        <v>56</v>
      </c>
      <c r="M14" s="245" t="s">
        <v>78</v>
      </c>
      <c r="N14" s="246"/>
      <c r="O14" s="247"/>
      <c r="P14" s="133">
        <f>7.17/1.15</f>
        <v>6.2347826086956522</v>
      </c>
      <c r="Q14" s="30">
        <v>38</v>
      </c>
      <c r="R14" s="31">
        <f t="shared" si="16"/>
        <v>2.3692173913043479</v>
      </c>
      <c r="S14" s="32">
        <f t="shared" si="17"/>
        <v>473.84347826086957</v>
      </c>
      <c r="T14" s="33">
        <f t="shared" si="18"/>
        <v>8.6039999999999992</v>
      </c>
      <c r="U14" s="30">
        <f t="shared" si="13"/>
        <v>200</v>
      </c>
      <c r="V14" s="34">
        <f>P14*3</f>
        <v>18.704347826086956</v>
      </c>
      <c r="W14" s="104">
        <v>100</v>
      </c>
      <c r="X14" s="53">
        <f t="shared" si="19"/>
        <v>1839.5043478260866</v>
      </c>
      <c r="Y14" s="46" t="s">
        <v>74</v>
      </c>
      <c r="Z14" s="141">
        <v>150</v>
      </c>
      <c r="AA14" s="142">
        <v>1</v>
      </c>
      <c r="AB14" s="142">
        <v>1</v>
      </c>
      <c r="AC14" s="142">
        <v>1</v>
      </c>
      <c r="AD14" s="37">
        <f t="shared" si="25"/>
        <v>150</v>
      </c>
      <c r="AE14" s="38">
        <f t="shared" si="26"/>
        <v>12.933333333333332</v>
      </c>
      <c r="AF14" s="39">
        <f t="shared" si="15"/>
        <v>36.043878260869562</v>
      </c>
      <c r="AG14" s="40">
        <f t="shared" si="21"/>
        <v>2038.4815594202896</v>
      </c>
      <c r="AH14" s="41">
        <f t="shared" si="22"/>
        <v>10.192407797101447</v>
      </c>
      <c r="AI14" s="54">
        <f t="shared" si="23"/>
        <v>1.8346334034782605</v>
      </c>
      <c r="AJ14" s="43">
        <f t="shared" si="24"/>
        <v>12.027041200579708</v>
      </c>
      <c r="AK14" s="12"/>
      <c r="AL14" s="55"/>
      <c r="AM14" s="56"/>
      <c r="AN14" s="56"/>
      <c r="AO14" s="56"/>
      <c r="AP14" s="56"/>
      <c r="AQ14" s="57"/>
      <c r="AR14" s="58"/>
      <c r="AS14" s="59"/>
      <c r="AT14" s="59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  <c r="CD14" s="60"/>
      <c r="CE14" s="60"/>
      <c r="CF14" s="60"/>
      <c r="CG14" s="60"/>
      <c r="CH14" s="60"/>
      <c r="CI14" s="60"/>
      <c r="CJ14" s="60"/>
      <c r="CK14" s="60"/>
      <c r="CL14" s="60"/>
      <c r="CM14" s="60"/>
      <c r="CN14" s="60"/>
      <c r="CO14" s="60"/>
      <c r="CP14" s="60"/>
      <c r="CQ14" s="60"/>
      <c r="CR14" s="60"/>
      <c r="CS14" s="60"/>
      <c r="CT14" s="60"/>
      <c r="CU14" s="60"/>
      <c r="CV14" s="60"/>
      <c r="CW14" s="60"/>
      <c r="CX14" s="60"/>
      <c r="CY14" s="60"/>
      <c r="CZ14" s="60"/>
      <c r="DA14" s="60"/>
      <c r="DB14" s="60"/>
      <c r="DC14" s="60"/>
      <c r="DD14" s="60"/>
      <c r="DE14" s="60"/>
      <c r="DF14" s="60"/>
      <c r="DG14" s="60"/>
      <c r="DH14" s="60"/>
      <c r="DI14" s="60"/>
      <c r="DJ14" s="60"/>
      <c r="DK14" s="60"/>
      <c r="DL14" s="60"/>
      <c r="DM14" s="60"/>
      <c r="DN14" s="60"/>
      <c r="DO14" s="60"/>
      <c r="DP14" s="60"/>
      <c r="DQ14" s="60"/>
      <c r="DR14" s="60"/>
      <c r="DS14" s="60"/>
      <c r="DT14" s="60"/>
      <c r="DU14" s="60"/>
      <c r="DV14" s="60"/>
      <c r="DW14" s="60"/>
      <c r="DX14" s="60"/>
      <c r="DY14" s="60"/>
      <c r="DZ14" s="60"/>
      <c r="EA14" s="60"/>
      <c r="EB14" s="60"/>
      <c r="EC14" s="60"/>
      <c r="ED14" s="60"/>
      <c r="EE14" s="60"/>
      <c r="EF14" s="60"/>
      <c r="EG14" s="60"/>
      <c r="EH14" s="60"/>
      <c r="EI14" s="60"/>
      <c r="EJ14" s="60"/>
      <c r="EK14" s="60"/>
      <c r="EL14" s="60"/>
      <c r="EM14" s="60"/>
      <c r="EN14" s="60"/>
      <c r="EO14" s="60"/>
      <c r="EP14" s="60"/>
      <c r="EQ14" s="60"/>
      <c r="ER14" s="60"/>
      <c r="ES14" s="60"/>
      <c r="ET14" s="60"/>
      <c r="EU14" s="60"/>
      <c r="EV14" s="60"/>
      <c r="EW14" s="60"/>
      <c r="EX14" s="60"/>
      <c r="EY14" s="60"/>
      <c r="EZ14" s="60"/>
      <c r="FA14" s="60"/>
      <c r="FB14" s="60"/>
      <c r="FC14" s="60"/>
      <c r="FD14" s="60"/>
      <c r="FE14" s="60"/>
      <c r="FF14" s="60"/>
      <c r="FG14" s="60"/>
      <c r="FH14" s="60"/>
      <c r="FI14" s="60"/>
      <c r="FJ14" s="60"/>
      <c r="FK14" s="60"/>
      <c r="FL14" s="60"/>
      <c r="FM14" s="60"/>
      <c r="FN14" s="60"/>
      <c r="FO14" s="60"/>
      <c r="FP14" s="60"/>
      <c r="FQ14" s="60"/>
      <c r="FR14" s="60"/>
      <c r="FS14" s="60"/>
      <c r="FT14" s="60"/>
      <c r="FU14" s="60"/>
      <c r="FV14" s="60"/>
      <c r="FW14" s="60"/>
      <c r="FX14" s="60"/>
      <c r="FY14" s="60"/>
      <c r="FZ14" s="60"/>
      <c r="GA14" s="60"/>
      <c r="GB14" s="60"/>
      <c r="GC14" s="60"/>
      <c r="GD14" s="60"/>
      <c r="GE14" s="60"/>
      <c r="GF14" s="60"/>
      <c r="GG14" s="60"/>
      <c r="GH14" s="60"/>
      <c r="GI14" s="60"/>
      <c r="GJ14" s="60"/>
      <c r="GK14" s="60"/>
      <c r="GL14" s="60"/>
      <c r="GM14" s="60"/>
      <c r="GN14" s="60"/>
      <c r="GO14" s="60"/>
      <c r="GP14" s="60"/>
      <c r="GQ14" s="60"/>
      <c r="GR14" s="60"/>
      <c r="GS14" s="60"/>
      <c r="GT14" s="60"/>
      <c r="GU14" s="60"/>
      <c r="GV14" s="60"/>
      <c r="GW14" s="60"/>
      <c r="GX14" s="60"/>
      <c r="GY14" s="60"/>
      <c r="GZ14" s="60"/>
      <c r="HA14" s="60"/>
      <c r="HB14" s="60"/>
      <c r="HC14" s="60"/>
      <c r="HD14" s="60"/>
      <c r="HE14" s="60"/>
      <c r="HF14" s="60"/>
      <c r="HG14" s="60"/>
      <c r="HH14" s="60"/>
      <c r="HI14" s="60"/>
      <c r="HJ14" s="60"/>
      <c r="HK14" s="60"/>
      <c r="HL14" s="60"/>
      <c r="HM14" s="60"/>
      <c r="HN14" s="60"/>
      <c r="HO14" s="60"/>
      <c r="HP14" s="60"/>
      <c r="HQ14" s="60"/>
      <c r="HR14" s="60"/>
      <c r="HS14" s="60"/>
      <c r="HT14" s="60"/>
      <c r="HU14" s="60"/>
      <c r="HV14" s="60"/>
      <c r="HW14" s="60"/>
      <c r="HX14" s="60"/>
      <c r="HY14" s="60"/>
      <c r="HZ14" s="60"/>
      <c r="IA14" s="60"/>
      <c r="IB14" s="60"/>
      <c r="IC14" s="60"/>
      <c r="ID14" s="60"/>
      <c r="IE14" s="60"/>
      <c r="IF14" s="60"/>
      <c r="IG14" s="60"/>
      <c r="IH14" s="60"/>
      <c r="II14" s="60"/>
      <c r="IJ14" s="60"/>
      <c r="IK14" s="60"/>
      <c r="IL14" s="60"/>
      <c r="IM14" s="60"/>
      <c r="IN14" s="60"/>
      <c r="IO14" s="60"/>
      <c r="IP14" s="60"/>
      <c r="IQ14" s="60"/>
      <c r="IR14" s="60"/>
      <c r="IS14" s="60"/>
      <c r="IT14" s="60"/>
      <c r="IU14" s="60"/>
      <c r="IV14" s="60"/>
    </row>
    <row r="15" spans="1:256" s="68" customFormat="1" ht="182.25" customHeight="1" x14ac:dyDescent="0.3">
      <c r="A15" s="64"/>
      <c r="B15" s="96">
        <v>11</v>
      </c>
      <c r="C15" s="252" t="s">
        <v>79</v>
      </c>
      <c r="D15" s="253"/>
      <c r="E15" s="69" t="s">
        <v>47</v>
      </c>
      <c r="F15" s="50">
        <v>200</v>
      </c>
      <c r="G15" s="51">
        <f t="shared" si="0"/>
        <v>9.8930512499999992</v>
      </c>
      <c r="H15" s="65" t="s">
        <v>80</v>
      </c>
      <c r="I15" s="97" t="s">
        <v>81</v>
      </c>
      <c r="J15" s="70">
        <f t="shared" si="12"/>
        <v>1978.6102499999997</v>
      </c>
      <c r="K15" s="123"/>
      <c r="L15" s="134" t="s">
        <v>82</v>
      </c>
      <c r="M15" s="225" t="s">
        <v>83</v>
      </c>
      <c r="N15" s="226"/>
      <c r="O15" s="227"/>
      <c r="P15" s="135">
        <v>5.5</v>
      </c>
      <c r="Q15" s="139">
        <v>64</v>
      </c>
      <c r="R15" s="31">
        <f t="shared" si="16"/>
        <v>3.52</v>
      </c>
      <c r="S15" s="32">
        <f t="shared" si="17"/>
        <v>704</v>
      </c>
      <c r="T15" s="33">
        <f t="shared" si="18"/>
        <v>9.02</v>
      </c>
      <c r="U15" s="30">
        <f t="shared" si="13"/>
        <v>200</v>
      </c>
      <c r="V15" s="34">
        <f t="shared" ref="V15" si="27">P15*5</f>
        <v>27.5</v>
      </c>
      <c r="W15" s="92">
        <v>100</v>
      </c>
      <c r="X15" s="61">
        <f t="shared" si="19"/>
        <v>1931.5</v>
      </c>
      <c r="Y15" s="98" t="s">
        <v>84</v>
      </c>
      <c r="Z15" s="141">
        <v>0</v>
      </c>
      <c r="AA15" s="142">
        <v>1</v>
      </c>
      <c r="AB15" s="142">
        <v>1</v>
      </c>
      <c r="AC15" s="142">
        <v>1</v>
      </c>
      <c r="AD15" s="62">
        <f t="shared" ref="AD15" si="28">Z15*AA15*AB15*AC15</f>
        <v>0</v>
      </c>
      <c r="AE15" s="144">
        <f>U15/80*4.85</f>
        <v>12.125</v>
      </c>
      <c r="AF15" s="39">
        <f t="shared" si="15"/>
        <v>34.985250000000001</v>
      </c>
      <c r="AG15" s="39">
        <f t="shared" si="21"/>
        <v>1978.61025</v>
      </c>
      <c r="AH15" s="41">
        <f t="shared" si="22"/>
        <v>9.8930512499999992</v>
      </c>
      <c r="AI15" s="54">
        <f t="shared" si="23"/>
        <v>1.7807492249999999</v>
      </c>
      <c r="AJ15" s="43">
        <f t="shared" si="24"/>
        <v>11.673800474999998</v>
      </c>
      <c r="AK15" s="66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7"/>
      <c r="DA15" s="67"/>
      <c r="DB15" s="67"/>
      <c r="DC15" s="67"/>
      <c r="DD15" s="67"/>
      <c r="DE15" s="67"/>
      <c r="DF15" s="67"/>
      <c r="DG15" s="67"/>
      <c r="DH15" s="67"/>
      <c r="DI15" s="67"/>
      <c r="DJ15" s="67"/>
      <c r="DK15" s="67"/>
      <c r="DL15" s="67"/>
      <c r="DM15" s="67"/>
      <c r="DN15" s="67"/>
      <c r="DO15" s="67"/>
      <c r="DP15" s="67"/>
      <c r="DQ15" s="67"/>
      <c r="DR15" s="67"/>
      <c r="DS15" s="67"/>
      <c r="DT15" s="67"/>
      <c r="DU15" s="67"/>
      <c r="DV15" s="67"/>
      <c r="DW15" s="67"/>
      <c r="DX15" s="67"/>
      <c r="DY15" s="67"/>
      <c r="DZ15" s="67"/>
      <c r="EA15" s="67"/>
      <c r="EB15" s="67"/>
      <c r="EC15" s="67"/>
      <c r="ED15" s="67"/>
      <c r="EE15" s="67"/>
      <c r="EF15" s="67"/>
      <c r="EG15" s="67"/>
      <c r="EH15" s="67"/>
      <c r="EI15" s="67"/>
      <c r="EJ15" s="67"/>
      <c r="EK15" s="67"/>
      <c r="EL15" s="67"/>
      <c r="EM15" s="67"/>
      <c r="EN15" s="67"/>
      <c r="EO15" s="67"/>
      <c r="EP15" s="67"/>
      <c r="EQ15" s="67"/>
      <c r="ER15" s="67"/>
      <c r="ES15" s="67"/>
      <c r="ET15" s="67"/>
      <c r="EU15" s="67"/>
      <c r="EV15" s="67"/>
      <c r="EW15" s="67"/>
      <c r="EX15" s="67"/>
      <c r="EY15" s="67"/>
      <c r="EZ15" s="67"/>
      <c r="FA15" s="67"/>
      <c r="FB15" s="67"/>
      <c r="FC15" s="67"/>
      <c r="FD15" s="67"/>
      <c r="FE15" s="67"/>
      <c r="FF15" s="67"/>
      <c r="FG15" s="67"/>
      <c r="FH15" s="67"/>
      <c r="FI15" s="67"/>
      <c r="FJ15" s="67"/>
      <c r="FK15" s="67"/>
      <c r="FL15" s="67"/>
      <c r="FM15" s="67"/>
      <c r="FN15" s="67"/>
      <c r="FO15" s="67"/>
      <c r="FP15" s="67"/>
      <c r="FQ15" s="67"/>
      <c r="FR15" s="67"/>
      <c r="FS15" s="67"/>
      <c r="FT15" s="67"/>
      <c r="FU15" s="67"/>
      <c r="FV15" s="67"/>
      <c r="FW15" s="67"/>
      <c r="FX15" s="67"/>
      <c r="FY15" s="67"/>
      <c r="FZ15" s="67"/>
      <c r="GA15" s="67"/>
      <c r="GB15" s="67"/>
      <c r="GC15" s="67"/>
      <c r="GD15" s="67"/>
      <c r="GE15" s="67"/>
      <c r="GF15" s="67"/>
      <c r="GG15" s="67"/>
      <c r="GH15" s="67"/>
      <c r="GI15" s="67"/>
      <c r="GJ15" s="67"/>
      <c r="GK15" s="67"/>
      <c r="GL15" s="67"/>
      <c r="GM15" s="67"/>
      <c r="GN15" s="67"/>
      <c r="GO15" s="67"/>
      <c r="GP15" s="67"/>
      <c r="GQ15" s="67"/>
      <c r="GR15" s="67"/>
      <c r="GS15" s="67"/>
      <c r="GT15" s="67"/>
      <c r="GU15" s="67"/>
      <c r="GV15" s="67"/>
      <c r="GW15" s="67"/>
      <c r="GX15" s="67"/>
      <c r="GY15" s="67"/>
      <c r="GZ15" s="67"/>
      <c r="HA15" s="67"/>
      <c r="HB15" s="67"/>
      <c r="HC15" s="67"/>
      <c r="HD15" s="67"/>
      <c r="HE15" s="67"/>
      <c r="HF15" s="67"/>
      <c r="HG15" s="67"/>
      <c r="HH15" s="67"/>
      <c r="HI15" s="67"/>
      <c r="HJ15" s="67"/>
      <c r="HK15" s="67"/>
      <c r="HL15" s="67"/>
      <c r="HM15" s="67"/>
      <c r="HN15" s="67"/>
      <c r="HO15" s="67"/>
      <c r="HP15" s="67"/>
      <c r="HQ15" s="67"/>
      <c r="HR15" s="67"/>
      <c r="HS15" s="67"/>
      <c r="HT15" s="67"/>
      <c r="HU15" s="67"/>
      <c r="HV15" s="67"/>
      <c r="HW15" s="67"/>
      <c r="HX15" s="67"/>
      <c r="HY15" s="67"/>
      <c r="HZ15" s="67"/>
      <c r="IA15" s="67"/>
      <c r="IB15" s="67"/>
      <c r="IC15" s="67"/>
      <c r="ID15" s="67"/>
      <c r="IE15" s="67"/>
      <c r="IF15" s="67"/>
      <c r="IG15" s="67"/>
      <c r="IH15" s="67"/>
      <c r="II15" s="67"/>
      <c r="IJ15" s="67"/>
      <c r="IK15" s="67"/>
    </row>
    <row r="16" spans="1:256" s="113" customFormat="1" ht="195" customHeight="1" x14ac:dyDescent="0.35">
      <c r="A16" s="117"/>
      <c r="B16" s="118">
        <v>12</v>
      </c>
      <c r="C16" s="238" t="s">
        <v>85</v>
      </c>
      <c r="D16" s="238"/>
      <c r="E16" s="119"/>
      <c r="F16" s="106">
        <v>200</v>
      </c>
      <c r="G16" s="51">
        <f t="shared" si="0"/>
        <v>12.792741260869562</v>
      </c>
      <c r="H16" s="8" t="s">
        <v>86</v>
      </c>
      <c r="I16" s="120" t="s">
        <v>87</v>
      </c>
      <c r="J16" s="70">
        <f t="shared" si="12"/>
        <v>2558.5482521739123</v>
      </c>
      <c r="K16" s="85"/>
      <c r="L16" s="126" t="s">
        <v>88</v>
      </c>
      <c r="M16" s="239" t="s">
        <v>89</v>
      </c>
      <c r="N16" s="240"/>
      <c r="O16" s="241"/>
      <c r="P16" s="136">
        <f>9.91/1.15</f>
        <v>8.6173913043478265</v>
      </c>
      <c r="Q16" s="30">
        <v>31</v>
      </c>
      <c r="R16" s="87">
        <f>P16*Q16/100</f>
        <v>2.6713913043478259</v>
      </c>
      <c r="S16" s="88">
        <f>R16*U16</f>
        <v>534.2782608695652</v>
      </c>
      <c r="T16" s="89">
        <f>P16+R16</f>
        <v>11.288782608695652</v>
      </c>
      <c r="U16" s="140">
        <f>F16</f>
        <v>200</v>
      </c>
      <c r="V16" s="34">
        <f t="shared" ref="V16:V17" si="29">P16*3</f>
        <v>25.85217391304348</v>
      </c>
      <c r="W16" s="39">
        <v>100</v>
      </c>
      <c r="X16" s="90">
        <f t="shared" ref="X16:X18" si="30">U16*T16+V16+W16</f>
        <v>2383.6086956521735</v>
      </c>
      <c r="Y16" s="46" t="s">
        <v>90</v>
      </c>
      <c r="Z16" s="143">
        <v>120</v>
      </c>
      <c r="AA16" s="142">
        <v>1</v>
      </c>
      <c r="AB16" s="142">
        <v>1</v>
      </c>
      <c r="AC16" s="142">
        <v>1</v>
      </c>
      <c r="AD16" s="107">
        <f t="shared" ref="AD16:AD18" si="31">Z16*AA16*AB16*AC16</f>
        <v>120</v>
      </c>
      <c r="AE16" s="144">
        <f>U16/100*4.85</f>
        <v>9.6999999999999993</v>
      </c>
      <c r="AF16" s="39">
        <f t="shared" si="15"/>
        <v>45.239556521739125</v>
      </c>
      <c r="AG16" s="92">
        <f t="shared" ref="AG16:AG18" si="32">X16+AD16+AF16+AE16</f>
        <v>2558.5482521739123</v>
      </c>
      <c r="AH16" s="41">
        <f t="shared" ref="AH16:AH18" si="33">AG16/U16</f>
        <v>12.792741260869562</v>
      </c>
      <c r="AI16" s="93">
        <f t="shared" ref="AI16:AI18" si="34">AH16*18%</f>
        <v>2.3026934269565209</v>
      </c>
      <c r="AJ16" s="94">
        <f t="shared" ref="AJ16:AJ18" si="35">AH16+AI16</f>
        <v>15.095434687826083</v>
      </c>
      <c r="AK16" s="108"/>
      <c r="AL16" s="109">
        <f t="shared" ref="AL16" si="36">AJ16*U16</f>
        <v>3019.0869375652164</v>
      </c>
      <c r="AM16" s="110">
        <f t="shared" ref="AM16" si="37">(AJ16-(AJ16/1.18))*U16</f>
        <v>460.53868539130428</v>
      </c>
      <c r="AN16" s="110">
        <f t="shared" ref="AN16" si="38">(AJ16-(AJ16/1.02))*U16</f>
        <v>59.197783089513933</v>
      </c>
      <c r="AO16" s="110">
        <f t="shared" ref="AO16" si="39">(AJ16-(AJ16/1.05))*U16</f>
        <v>143.76604464596278</v>
      </c>
      <c r="AP16" s="110">
        <f t="shared" ref="AP16" si="40">R16*U16</f>
        <v>534.2782608695652</v>
      </c>
      <c r="AQ16" s="111">
        <f t="shared" ref="AQ16" si="41">AP16-AO16-AN16</f>
        <v>331.31443313408852</v>
      </c>
      <c r="AR16" s="108"/>
      <c r="AS16" s="112">
        <f t="shared" ref="AS16" si="42">AP16*100/(AL16-AM16-AP16)</f>
        <v>26.393626500647805</v>
      </c>
      <c r="AT16" s="112">
        <f t="shared" ref="AT16" si="43">AQ16*100/(AL16-AM16-AP16-AN16-AO16)</f>
        <v>18.191034531222037</v>
      </c>
    </row>
    <row r="17" spans="1:130" customFormat="1" ht="195" customHeight="1" x14ac:dyDescent="0.3">
      <c r="B17" s="115">
        <v>13</v>
      </c>
      <c r="C17" s="230" t="s">
        <v>91</v>
      </c>
      <c r="D17" s="231"/>
      <c r="E17" s="116" t="s">
        <v>92</v>
      </c>
      <c r="F17" s="50">
        <v>200</v>
      </c>
      <c r="G17" s="51">
        <f t="shared" si="0"/>
        <v>15.393910960000001</v>
      </c>
      <c r="H17" s="114" t="s">
        <v>93</v>
      </c>
      <c r="I17" s="81" t="s">
        <v>94</v>
      </c>
      <c r="J17" s="70">
        <f t="shared" si="12"/>
        <v>3078.7821920000001</v>
      </c>
      <c r="K17" s="71"/>
      <c r="L17" s="137" t="s">
        <v>95</v>
      </c>
      <c r="M17" s="232" t="s">
        <v>96</v>
      </c>
      <c r="N17" s="233"/>
      <c r="O17" s="234"/>
      <c r="P17" s="138">
        <v>10.42</v>
      </c>
      <c r="Q17" s="30">
        <v>32.6</v>
      </c>
      <c r="R17" s="72">
        <f t="shared" ref="R17:R18" si="44">P17*Q17/100</f>
        <v>3.3969200000000002</v>
      </c>
      <c r="S17" s="73">
        <f t="shared" ref="S17:S18" si="45">R17*U17</f>
        <v>679.38400000000001</v>
      </c>
      <c r="T17" s="74">
        <f t="shared" ref="T17:T18" si="46">P17+R17</f>
        <v>13.81692</v>
      </c>
      <c r="U17" s="140">
        <f t="shared" ref="U17:U18" si="47">F17</f>
        <v>200</v>
      </c>
      <c r="V17" s="34">
        <f t="shared" si="29"/>
        <v>31.259999999999998</v>
      </c>
      <c r="W17" s="39">
        <v>100</v>
      </c>
      <c r="X17" s="75">
        <f t="shared" si="30"/>
        <v>2894.6440000000002</v>
      </c>
      <c r="Y17" s="47" t="s">
        <v>97</v>
      </c>
      <c r="Z17" s="143">
        <v>120</v>
      </c>
      <c r="AA17" s="142">
        <v>1</v>
      </c>
      <c r="AB17" s="142">
        <v>1</v>
      </c>
      <c r="AC17" s="142">
        <v>1</v>
      </c>
      <c r="AD17" s="76">
        <f t="shared" si="31"/>
        <v>120</v>
      </c>
      <c r="AE17" s="144">
        <f t="shared" ref="AE17:AE18" si="48">U17/100*4.85</f>
        <v>9.6999999999999993</v>
      </c>
      <c r="AF17" s="39">
        <f t="shared" si="15"/>
        <v>54.438192000000008</v>
      </c>
      <c r="AG17" s="63">
        <f t="shared" si="32"/>
        <v>3078.7821920000001</v>
      </c>
      <c r="AH17" s="77">
        <f t="shared" si="33"/>
        <v>15.393910960000001</v>
      </c>
      <c r="AI17" s="78">
        <f t="shared" si="34"/>
        <v>2.7709039728000002</v>
      </c>
      <c r="AJ17" s="79">
        <f t="shared" si="35"/>
        <v>18.164814932800002</v>
      </c>
    </row>
    <row r="18" spans="1:130" customFormat="1" ht="232.5" customHeight="1" x14ac:dyDescent="0.3">
      <c r="B18" s="115">
        <v>14</v>
      </c>
      <c r="C18" s="230" t="s">
        <v>98</v>
      </c>
      <c r="D18" s="231"/>
      <c r="E18" s="116" t="s">
        <v>92</v>
      </c>
      <c r="F18" s="50">
        <v>200</v>
      </c>
      <c r="G18" s="51">
        <f t="shared" si="0"/>
        <v>21.393717034782608</v>
      </c>
      <c r="H18" s="114" t="s">
        <v>86</v>
      </c>
      <c r="I18" s="81" t="s">
        <v>99</v>
      </c>
      <c r="J18" s="70">
        <f t="shared" si="12"/>
        <v>4278.7434069565215</v>
      </c>
      <c r="K18" s="71"/>
      <c r="L18" s="137" t="s">
        <v>100</v>
      </c>
      <c r="M18" s="232" t="s">
        <v>101</v>
      </c>
      <c r="N18" s="233"/>
      <c r="O18" s="234"/>
      <c r="P18" s="138">
        <f>17.23/1.15</f>
        <v>14.982608695652175</v>
      </c>
      <c r="Q18" s="30">
        <v>31.1</v>
      </c>
      <c r="R18" s="72">
        <f t="shared" si="44"/>
        <v>4.6595913043478268</v>
      </c>
      <c r="S18" s="73">
        <f t="shared" si="45"/>
        <v>931.9182608695653</v>
      </c>
      <c r="T18" s="74">
        <f t="shared" si="46"/>
        <v>19.642200000000003</v>
      </c>
      <c r="U18" s="140">
        <f t="shared" si="47"/>
        <v>200</v>
      </c>
      <c r="V18" s="34">
        <f>P18*3</f>
        <v>44.947826086956525</v>
      </c>
      <c r="W18" s="39">
        <v>100</v>
      </c>
      <c r="X18" s="75">
        <f t="shared" si="30"/>
        <v>4073.3878260869569</v>
      </c>
      <c r="Y18" s="47" t="s">
        <v>102</v>
      </c>
      <c r="Z18" s="143">
        <v>120</v>
      </c>
      <c r="AA18" s="142">
        <v>1</v>
      </c>
      <c r="AB18" s="142">
        <v>1</v>
      </c>
      <c r="AC18" s="142">
        <v>1</v>
      </c>
      <c r="AD18" s="76">
        <f t="shared" si="31"/>
        <v>120</v>
      </c>
      <c r="AE18" s="144">
        <f t="shared" si="48"/>
        <v>9.6999999999999993</v>
      </c>
      <c r="AF18" s="39">
        <f t="shared" si="15"/>
        <v>75.655580869565227</v>
      </c>
      <c r="AG18" s="63">
        <f t="shared" si="32"/>
        <v>4278.7434069565215</v>
      </c>
      <c r="AH18" s="77">
        <f t="shared" si="33"/>
        <v>21.393717034782608</v>
      </c>
      <c r="AI18" s="78">
        <f t="shared" si="34"/>
        <v>3.8508690662608691</v>
      </c>
      <c r="AJ18" s="79">
        <f t="shared" si="35"/>
        <v>25.244586101043478</v>
      </c>
    </row>
    <row r="19" spans="1:130" s="95" customFormat="1" ht="196.5" customHeight="1" x14ac:dyDescent="0.3">
      <c r="A19" s="6"/>
      <c r="B19" s="82">
        <v>15</v>
      </c>
      <c r="C19" s="254" t="s">
        <v>103</v>
      </c>
      <c r="D19" s="255"/>
      <c r="E19" s="83" t="s">
        <v>104</v>
      </c>
      <c r="F19" s="84">
        <v>50</v>
      </c>
      <c r="G19" s="51">
        <f t="shared" si="0"/>
        <v>22.392945999999998</v>
      </c>
      <c r="H19" s="8" t="s">
        <v>105</v>
      </c>
      <c r="I19" s="145" t="s">
        <v>106</v>
      </c>
      <c r="J19" s="124">
        <f t="shared" si="12"/>
        <v>1119.6472999999999</v>
      </c>
      <c r="K19" s="121"/>
      <c r="L19" s="126" t="s">
        <v>107</v>
      </c>
      <c r="M19" s="235" t="s">
        <v>108</v>
      </c>
      <c r="N19" s="236"/>
      <c r="O19" s="237"/>
      <c r="P19" s="136">
        <v>15</v>
      </c>
      <c r="Q19" s="30">
        <v>30</v>
      </c>
      <c r="R19" s="87">
        <f>P19*Q19/100</f>
        <v>4.5</v>
      </c>
      <c r="S19" s="88">
        <f>R19*U19</f>
        <v>225</v>
      </c>
      <c r="T19" s="89">
        <f>P19+R19</f>
        <v>19.5</v>
      </c>
      <c r="U19" s="30">
        <f t="shared" si="13"/>
        <v>50</v>
      </c>
      <c r="V19" s="34">
        <f>P19*2</f>
        <v>30</v>
      </c>
      <c r="W19" s="39">
        <v>90</v>
      </c>
      <c r="X19" s="90">
        <f>U19*T19+V19+W19</f>
        <v>1095</v>
      </c>
      <c r="Y19" s="86" t="s">
        <v>84</v>
      </c>
      <c r="Z19" s="143">
        <v>0</v>
      </c>
      <c r="AA19" s="142">
        <v>1</v>
      </c>
      <c r="AB19" s="142">
        <v>1</v>
      </c>
      <c r="AC19" s="142">
        <v>1</v>
      </c>
      <c r="AD19" s="91">
        <f>Z19*AA19*AB19*AC19</f>
        <v>0</v>
      </c>
      <c r="AE19" s="144">
        <v>4.8499999999999996</v>
      </c>
      <c r="AF19" s="39">
        <f t="shared" si="15"/>
        <v>19.7973</v>
      </c>
      <c r="AG19" s="92">
        <f>X19+AD19+AF19+AE19</f>
        <v>1119.6472999999999</v>
      </c>
      <c r="AH19" s="41">
        <f>AG19/U19</f>
        <v>22.392945999999998</v>
      </c>
      <c r="AI19" s="93">
        <f>AH19*18%</f>
        <v>4.0307302799999993</v>
      </c>
      <c r="AJ19" s="94">
        <f>AH19+AI19</f>
        <v>26.423676279999999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</row>
    <row r="24" spans="1:130" x14ac:dyDescent="0.35">
      <c r="G24" s="29"/>
    </row>
  </sheetData>
  <mergeCells count="32">
    <mergeCell ref="M9:O9"/>
    <mergeCell ref="L3:AA3"/>
    <mergeCell ref="C5:D5"/>
    <mergeCell ref="C6:D6"/>
    <mergeCell ref="C7:D7"/>
    <mergeCell ref="B3:J3"/>
    <mergeCell ref="M5:O5"/>
    <mergeCell ref="M6:O6"/>
    <mergeCell ref="M7:O7"/>
    <mergeCell ref="M19:O19"/>
    <mergeCell ref="C16:D16"/>
    <mergeCell ref="M16:O16"/>
    <mergeCell ref="M8:O8"/>
    <mergeCell ref="M12:O12"/>
    <mergeCell ref="M13:O13"/>
    <mergeCell ref="M14:O14"/>
    <mergeCell ref="C9:D9"/>
    <mergeCell ref="C8:D8"/>
    <mergeCell ref="C12:D12"/>
    <mergeCell ref="C14:D14"/>
    <mergeCell ref="C13:D13"/>
    <mergeCell ref="C15:D15"/>
    <mergeCell ref="C19:D19"/>
    <mergeCell ref="M10:O10"/>
    <mergeCell ref="M11:O11"/>
    <mergeCell ref="M15:O15"/>
    <mergeCell ref="C10:D10"/>
    <mergeCell ref="C11:D11"/>
    <mergeCell ref="C17:D17"/>
    <mergeCell ref="C18:D18"/>
    <mergeCell ref="M17:O17"/>
    <mergeCell ref="M18:O18"/>
  </mergeCells>
  <phoneticPr fontId="7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4352-5071-4EA2-B1CB-32A304B36AF4}">
  <dimension ref="B1:AJ7"/>
  <sheetViews>
    <sheetView showGridLines="0" topLeftCell="K1" zoomScale="80" zoomScaleNormal="80" workbookViewId="0">
      <selection activeCell="Q5" sqref="Q5"/>
    </sheetView>
  </sheetViews>
  <sheetFormatPr baseColWidth="10" defaultColWidth="11.42578125" defaultRowHeight="23.25" x14ac:dyDescent="0.35"/>
  <cols>
    <col min="1" max="1" width="4.85546875" style="3" customWidth="1"/>
    <col min="2" max="2" width="5.7109375" style="3" customWidth="1"/>
    <col min="3" max="3" width="14.5703125" style="3" customWidth="1"/>
    <col min="4" max="4" width="36.42578125" style="3" customWidth="1"/>
    <col min="5" max="5" width="47.7109375" style="3" customWidth="1"/>
    <col min="6" max="6" width="13.7109375" style="5" bestFit="1" customWidth="1"/>
    <col min="7" max="7" width="21.85546875" style="5" customWidth="1"/>
    <col min="8" max="8" width="16.42578125" style="6" customWidth="1"/>
    <col min="9" max="9" width="85.42578125" style="6" customWidth="1"/>
    <col min="10" max="10" width="22.85546875" style="3" customWidth="1"/>
    <col min="11" max="11" width="22.5703125" style="3" customWidth="1"/>
    <col min="12" max="12" width="25.28515625" style="7" customWidth="1"/>
    <col min="13" max="13" width="24.42578125" style="9" customWidth="1"/>
    <col min="14" max="14" width="39.140625" style="3" customWidth="1"/>
    <col min="15" max="15" width="19.28515625" style="3" customWidth="1"/>
    <col min="16" max="16" width="15.5703125" style="3" customWidth="1"/>
    <col min="17" max="17" width="11.5703125" style="3" bestFit="1" customWidth="1"/>
    <col min="18" max="18" width="15" style="3" customWidth="1"/>
    <col min="19" max="19" width="24.28515625" style="3" customWidth="1"/>
    <col min="20" max="20" width="14.140625" style="3" bestFit="1" customWidth="1"/>
    <col min="21" max="21" width="11.5703125" style="3" bestFit="1" customWidth="1"/>
    <col min="22" max="22" width="18.28515625" style="3" customWidth="1"/>
    <col min="23" max="23" width="15.85546875" style="3" bestFit="1" customWidth="1"/>
    <col min="24" max="24" width="20.28515625" style="3" customWidth="1"/>
    <col min="25" max="25" width="26" style="3" customWidth="1"/>
    <col min="26" max="26" width="22" style="3" customWidth="1"/>
    <col min="27" max="29" width="11.5703125" style="3" bestFit="1" customWidth="1"/>
    <col min="30" max="30" width="15.85546875" style="3" bestFit="1" customWidth="1"/>
    <col min="31" max="31" width="21.28515625" style="3" customWidth="1"/>
    <col min="32" max="32" width="15.85546875" style="3" bestFit="1" customWidth="1"/>
    <col min="33" max="33" width="20.42578125" style="3" bestFit="1" customWidth="1"/>
    <col min="34" max="34" width="19.140625" style="3" customWidth="1"/>
    <col min="35" max="35" width="12.5703125" style="3" bestFit="1" customWidth="1"/>
    <col min="36" max="36" width="16.5703125" style="3" bestFit="1" customWidth="1"/>
    <col min="37" max="16384" width="11.42578125" style="3"/>
  </cols>
  <sheetData>
    <row r="1" spans="2:36" ht="15.75" customHeight="1" x14ac:dyDescent="0.35"/>
    <row r="2" spans="2:36" ht="9.75" customHeight="1" x14ac:dyDescent="0.35">
      <c r="D2" s="4"/>
      <c r="I2"/>
      <c r="J2" s="6"/>
    </row>
    <row r="3" spans="2:36" s="6" customFormat="1" ht="41.25" customHeight="1" x14ac:dyDescent="0.3">
      <c r="B3" s="211" t="s">
        <v>109</v>
      </c>
      <c r="C3" s="211"/>
      <c r="D3" s="211"/>
      <c r="E3" s="211"/>
      <c r="F3" s="211"/>
      <c r="G3" s="211"/>
      <c r="H3" s="211"/>
      <c r="I3" s="211"/>
      <c r="J3" s="211"/>
      <c r="K3" s="11"/>
      <c r="L3" s="212" t="s">
        <v>1</v>
      </c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12"/>
      <c r="AC3" s="12"/>
      <c r="AD3" s="12"/>
      <c r="AE3" s="12"/>
      <c r="AF3" s="12"/>
      <c r="AG3" s="12"/>
      <c r="AH3" s="12"/>
      <c r="AI3" s="12"/>
      <c r="AJ3" s="13"/>
    </row>
    <row r="4" spans="2:36" s="6" customFormat="1" ht="41.25" customHeight="1" x14ac:dyDescent="0.3">
      <c r="B4" s="102" t="s">
        <v>2</v>
      </c>
      <c r="C4" s="102" t="s">
        <v>3</v>
      </c>
      <c r="D4" s="102" t="s">
        <v>4</v>
      </c>
      <c r="E4" s="102" t="s">
        <v>5</v>
      </c>
      <c r="F4" s="102" t="s">
        <v>6</v>
      </c>
      <c r="G4" s="103" t="s">
        <v>7</v>
      </c>
      <c r="H4" s="103" t="s">
        <v>8</v>
      </c>
      <c r="I4" s="103" t="s">
        <v>9</v>
      </c>
      <c r="J4" s="103" t="s">
        <v>10</v>
      </c>
      <c r="K4" s="11"/>
      <c r="L4" s="149" t="s">
        <v>11</v>
      </c>
      <c r="M4" s="150" t="s">
        <v>12</v>
      </c>
      <c r="N4" s="150" t="s">
        <v>13</v>
      </c>
      <c r="O4" s="150" t="s">
        <v>14</v>
      </c>
      <c r="P4" s="151" t="s">
        <v>15</v>
      </c>
      <c r="Q4" s="151" t="s">
        <v>16</v>
      </c>
      <c r="R4" s="151" t="s">
        <v>17</v>
      </c>
      <c r="S4" s="151" t="s">
        <v>18</v>
      </c>
      <c r="T4" s="151" t="s">
        <v>19</v>
      </c>
      <c r="U4" s="151" t="s">
        <v>20</v>
      </c>
      <c r="V4" s="151" t="s">
        <v>21</v>
      </c>
      <c r="W4" s="150" t="s">
        <v>110</v>
      </c>
      <c r="X4" s="150" t="s">
        <v>23</v>
      </c>
      <c r="Y4" s="152" t="s">
        <v>24</v>
      </c>
      <c r="Z4" s="152" t="s">
        <v>25</v>
      </c>
      <c r="AA4" s="152" t="s">
        <v>26</v>
      </c>
      <c r="AB4" s="152" t="s">
        <v>27</v>
      </c>
      <c r="AC4" s="152" t="s">
        <v>28</v>
      </c>
      <c r="AD4" s="152" t="s">
        <v>29</v>
      </c>
      <c r="AE4" s="150" t="s">
        <v>30</v>
      </c>
      <c r="AF4" s="150" t="s">
        <v>31</v>
      </c>
      <c r="AG4" s="153" t="s">
        <v>19</v>
      </c>
      <c r="AH4" s="154" t="s">
        <v>32</v>
      </c>
      <c r="AI4" s="154" t="s">
        <v>33</v>
      </c>
      <c r="AJ4" s="155" t="s">
        <v>34</v>
      </c>
    </row>
    <row r="5" spans="2:36" ht="261.75" customHeight="1" x14ac:dyDescent="0.25">
      <c r="B5" s="44">
        <v>1</v>
      </c>
      <c r="C5" s="264" t="s">
        <v>111</v>
      </c>
      <c r="D5" s="264"/>
      <c r="E5" s="45" t="s">
        <v>36</v>
      </c>
      <c r="F5" s="2">
        <v>100</v>
      </c>
      <c r="G5" s="146">
        <f>AH5</f>
        <v>23.190548999999997</v>
      </c>
      <c r="H5" s="8" t="s">
        <v>112</v>
      </c>
      <c r="I5" s="147" t="s">
        <v>113</v>
      </c>
      <c r="J5" s="146">
        <f t="shared" ref="J5:J6" si="0">F5*G5</f>
        <v>2319.0548999999996</v>
      </c>
      <c r="K5" s="148"/>
      <c r="L5" s="156" t="s">
        <v>114</v>
      </c>
      <c r="M5" s="262" t="s">
        <v>115</v>
      </c>
      <c r="N5" s="262"/>
      <c r="O5" s="262"/>
      <c r="P5" s="157">
        <v>16</v>
      </c>
      <c r="Q5" s="158">
        <v>35.700000000000003</v>
      </c>
      <c r="R5" s="159">
        <f t="shared" ref="R5" si="1">P5*Q5/100</f>
        <v>5.7120000000000006</v>
      </c>
      <c r="S5" s="160">
        <f t="shared" ref="S5" si="2">R5*U5</f>
        <v>571.20000000000005</v>
      </c>
      <c r="T5" s="161">
        <f t="shared" ref="T5" si="3">P5+R5</f>
        <v>21.712</v>
      </c>
      <c r="U5" s="158">
        <f>F5</f>
        <v>100</v>
      </c>
      <c r="V5" s="162">
        <f>P5*2</f>
        <v>32</v>
      </c>
      <c r="W5" s="168">
        <v>70</v>
      </c>
      <c r="X5" s="163">
        <f t="shared" ref="X5" si="4">U5*T5+V5+W5</f>
        <v>2273.1999999999998</v>
      </c>
      <c r="Y5" s="164" t="s">
        <v>116</v>
      </c>
      <c r="Z5" s="167">
        <v>0</v>
      </c>
      <c r="AA5" s="165">
        <v>1</v>
      </c>
      <c r="AB5" s="165">
        <v>1</v>
      </c>
      <c r="AC5" s="165">
        <v>1</v>
      </c>
      <c r="AD5" s="166">
        <f t="shared" ref="AD5" si="5">Z5*AA5*AB5*AC5</f>
        <v>0</v>
      </c>
      <c r="AE5" s="167">
        <v>4.8499999999999996</v>
      </c>
      <c r="AF5" s="168">
        <f>1.8%*(X5+AD5+AE5)</f>
        <v>41.004899999999999</v>
      </c>
      <c r="AG5" s="169">
        <f t="shared" ref="AG5" si="6">X5+AD5+AF5+AE5</f>
        <v>2319.0548999999996</v>
      </c>
      <c r="AH5" s="170">
        <f t="shared" ref="AH5" si="7">AG5/U5</f>
        <v>23.190548999999997</v>
      </c>
      <c r="AI5" s="171">
        <f t="shared" ref="AI5" si="8">AH5*18%</f>
        <v>4.1742988199999997</v>
      </c>
      <c r="AJ5" s="172">
        <f t="shared" ref="AJ5" si="9">AH5+AI5</f>
        <v>27.364847819999998</v>
      </c>
    </row>
    <row r="6" spans="2:36" ht="207.75" customHeight="1" x14ac:dyDescent="0.25">
      <c r="B6" s="44">
        <v>2</v>
      </c>
      <c r="C6" s="248" t="s">
        <v>117</v>
      </c>
      <c r="D6" s="248"/>
      <c r="E6" s="45" t="s">
        <v>36</v>
      </c>
      <c r="F6" s="2">
        <v>100</v>
      </c>
      <c r="G6" s="146">
        <f>AH6</f>
        <v>11.687750947826089</v>
      </c>
      <c r="H6" s="8" t="s">
        <v>37</v>
      </c>
      <c r="I6" s="147" t="s">
        <v>118</v>
      </c>
      <c r="J6" s="146">
        <f t="shared" si="0"/>
        <v>1168.7750947826089</v>
      </c>
      <c r="K6" s="1"/>
      <c r="L6" s="173" t="s">
        <v>56</v>
      </c>
      <c r="M6" s="263" t="s">
        <v>119</v>
      </c>
      <c r="N6" s="263"/>
      <c r="O6" s="263"/>
      <c r="P6" s="157">
        <f>7.49/1.15</f>
        <v>6.5130434782608706</v>
      </c>
      <c r="Q6" s="158">
        <v>40.200000000000003</v>
      </c>
      <c r="R6" s="159">
        <f t="shared" ref="R6" si="10">P6*Q6/100</f>
        <v>2.6182434782608706</v>
      </c>
      <c r="S6" s="160">
        <f t="shared" ref="S6" si="11">R6*U6</f>
        <v>261.82434782608703</v>
      </c>
      <c r="T6" s="161">
        <f t="shared" ref="T6" si="12">P6+R6</f>
        <v>9.1312869565217412</v>
      </c>
      <c r="U6" s="158">
        <f>F6</f>
        <v>100</v>
      </c>
      <c r="V6" s="162">
        <f>P6*10</f>
        <v>65.130434782608702</v>
      </c>
      <c r="W6" s="168">
        <v>70</v>
      </c>
      <c r="X6" s="163">
        <f t="shared" ref="X6" si="13">U6*T6+V6+W6</f>
        <v>1048.2591304347829</v>
      </c>
      <c r="Y6" s="164" t="s">
        <v>120</v>
      </c>
      <c r="Z6" s="167">
        <v>95</v>
      </c>
      <c r="AA6" s="165">
        <v>1</v>
      </c>
      <c r="AB6" s="165">
        <v>1</v>
      </c>
      <c r="AC6" s="165">
        <v>1</v>
      </c>
      <c r="AD6" s="166">
        <f t="shared" ref="AD6" si="14">Z6*AA6*AB6*AC6</f>
        <v>95</v>
      </c>
      <c r="AE6" s="167">
        <v>4.8499999999999996</v>
      </c>
      <c r="AF6" s="168">
        <f>1.8%*(X6+AD6+AE6)</f>
        <v>20.665964347826094</v>
      </c>
      <c r="AG6" s="169">
        <f t="shared" ref="AG6" si="15">X6+AD6+AF6+AE6</f>
        <v>1168.7750947826089</v>
      </c>
      <c r="AH6" s="170">
        <f t="shared" ref="AH6" si="16">AG6/U6</f>
        <v>11.687750947826089</v>
      </c>
      <c r="AI6" s="171">
        <f t="shared" ref="AI6" si="17">AH6*18%</f>
        <v>2.1037951706086959</v>
      </c>
      <c r="AJ6" s="172">
        <f t="shared" ref="AJ6" si="18">AH6+AI6</f>
        <v>13.791546118434784</v>
      </c>
    </row>
    <row r="7" spans="2:36" x14ac:dyDescent="0.35">
      <c r="G7" s="29"/>
    </row>
  </sheetData>
  <mergeCells count="6">
    <mergeCell ref="M5:O5"/>
    <mergeCell ref="M6:O6"/>
    <mergeCell ref="C5:D5"/>
    <mergeCell ref="C6:D6"/>
    <mergeCell ref="B3:J3"/>
    <mergeCell ref="L3:AA3"/>
  </mergeCells>
  <phoneticPr fontId="7" type="noConversion"/>
  <pageMargins left="0.7" right="0.7" top="0.75" bottom="0.75" header="0.3" footer="0.3"/>
  <pageSetup paperSize="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38E93-6DAA-4350-90A3-7FE74802DB55}">
  <dimension ref="B2:AK21"/>
  <sheetViews>
    <sheetView showGridLines="0" tabSelected="1" zoomScale="55" zoomScaleNormal="55" workbookViewId="0">
      <selection activeCell="K6" sqref="K6"/>
    </sheetView>
  </sheetViews>
  <sheetFormatPr baseColWidth="10" defaultColWidth="11.42578125" defaultRowHeight="23.25" x14ac:dyDescent="0.35"/>
  <cols>
    <col min="1" max="1" width="4.85546875" style="3" customWidth="1"/>
    <col min="2" max="2" width="5.7109375" style="3" customWidth="1"/>
    <col min="3" max="3" width="14.5703125" style="3" customWidth="1"/>
    <col min="4" max="4" width="36.42578125" style="3" customWidth="1"/>
    <col min="5" max="5" width="47.7109375" style="3" customWidth="1"/>
    <col min="6" max="6" width="13.7109375" style="5" bestFit="1" customWidth="1"/>
    <col min="7" max="7" width="21.85546875" style="5" customWidth="1"/>
    <col min="8" max="8" width="16.42578125" style="6" customWidth="1"/>
    <col min="9" max="9" width="92.7109375" style="6" customWidth="1"/>
    <col min="10" max="10" width="22.85546875" style="3" customWidth="1"/>
    <col min="11" max="12" width="22.5703125" style="3" customWidth="1"/>
    <col min="13" max="13" width="25.28515625" style="7" customWidth="1"/>
    <col min="14" max="14" width="24.42578125" style="9" customWidth="1"/>
    <col min="15" max="15" width="39.140625" style="3" customWidth="1"/>
    <col min="16" max="16" width="23.140625" style="3" customWidth="1"/>
    <col min="17" max="17" width="15.5703125" style="3" customWidth="1"/>
    <col min="18" max="18" width="11.5703125" style="3" bestFit="1" customWidth="1"/>
    <col min="19" max="19" width="15" style="3" customWidth="1"/>
    <col min="20" max="20" width="24.28515625" style="3" customWidth="1"/>
    <col min="21" max="21" width="14.140625" style="3" bestFit="1" customWidth="1"/>
    <col min="22" max="22" width="14.42578125" style="3" customWidth="1"/>
    <col min="23" max="23" width="25.7109375" style="3" customWidth="1"/>
    <col min="24" max="24" width="15.85546875" style="3" bestFit="1" customWidth="1"/>
    <col min="25" max="25" width="20.28515625" style="3" customWidth="1"/>
    <col min="26" max="26" width="26" style="3" customWidth="1"/>
    <col min="27" max="27" width="22" style="3" customWidth="1"/>
    <col min="28" max="30" width="11.5703125" style="3" bestFit="1" customWidth="1"/>
    <col min="31" max="31" width="20.85546875" style="3" customWidth="1"/>
    <col min="32" max="32" width="21.28515625" style="3" customWidth="1"/>
    <col min="33" max="33" width="15.85546875" style="3" bestFit="1" customWidth="1"/>
    <col min="34" max="34" width="20.42578125" style="3" bestFit="1" customWidth="1"/>
    <col min="35" max="35" width="19.140625" style="3" customWidth="1"/>
    <col min="36" max="36" width="18.85546875" style="3" customWidth="1"/>
    <col min="37" max="37" width="16.5703125" style="3" bestFit="1" customWidth="1"/>
    <col min="38" max="16384" width="11.42578125" style="3"/>
  </cols>
  <sheetData>
    <row r="2" spans="2:37" s="6" customFormat="1" ht="41.25" customHeight="1" x14ac:dyDescent="0.3">
      <c r="B2" s="211" t="s">
        <v>157</v>
      </c>
      <c r="C2" s="211"/>
      <c r="D2" s="211"/>
      <c r="E2" s="211"/>
      <c r="F2" s="211"/>
      <c r="G2" s="211"/>
      <c r="H2" s="211"/>
      <c r="I2" s="211"/>
      <c r="J2" s="211"/>
      <c r="K2" s="213" t="s">
        <v>121</v>
      </c>
      <c r="L2" s="11"/>
      <c r="M2" s="212" t="s">
        <v>1</v>
      </c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12"/>
      <c r="AD2" s="12"/>
      <c r="AE2" s="12"/>
      <c r="AF2" s="12"/>
      <c r="AG2" s="12"/>
      <c r="AH2" s="12"/>
      <c r="AI2" s="12"/>
      <c r="AJ2" s="12"/>
      <c r="AK2" s="13"/>
    </row>
    <row r="3" spans="2:37" s="6" customFormat="1" ht="41.25" customHeight="1" x14ac:dyDescent="0.3">
      <c r="B3" s="175" t="s">
        <v>2</v>
      </c>
      <c r="C3" s="175" t="s">
        <v>3</v>
      </c>
      <c r="D3" s="175" t="s">
        <v>4</v>
      </c>
      <c r="E3" s="175" t="s">
        <v>5</v>
      </c>
      <c r="F3" s="175" t="s">
        <v>6</v>
      </c>
      <c r="G3" s="176" t="s">
        <v>7</v>
      </c>
      <c r="H3" s="176" t="s">
        <v>8</v>
      </c>
      <c r="I3" s="176" t="s">
        <v>9</v>
      </c>
      <c r="J3" s="176" t="s">
        <v>10</v>
      </c>
      <c r="K3" s="214"/>
      <c r="L3" s="11"/>
      <c r="M3" s="181" t="s">
        <v>11</v>
      </c>
      <c r="N3" s="182" t="s">
        <v>12</v>
      </c>
      <c r="O3" s="182" t="s">
        <v>13</v>
      </c>
      <c r="P3" s="182" t="s">
        <v>14</v>
      </c>
      <c r="Q3" s="151" t="s">
        <v>15</v>
      </c>
      <c r="R3" s="151" t="s">
        <v>16</v>
      </c>
      <c r="S3" s="151" t="s">
        <v>17</v>
      </c>
      <c r="T3" s="151" t="s">
        <v>18</v>
      </c>
      <c r="U3" s="151" t="s">
        <v>19</v>
      </c>
      <c r="V3" s="151" t="s">
        <v>20</v>
      </c>
      <c r="W3" s="151" t="s">
        <v>21</v>
      </c>
      <c r="X3" s="150" t="s">
        <v>110</v>
      </c>
      <c r="Y3" s="150" t="s">
        <v>23</v>
      </c>
      <c r="Z3" s="152" t="s">
        <v>24</v>
      </c>
      <c r="AA3" s="152" t="s">
        <v>25</v>
      </c>
      <c r="AB3" s="152" t="s">
        <v>26</v>
      </c>
      <c r="AC3" s="152" t="s">
        <v>27</v>
      </c>
      <c r="AD3" s="152" t="s">
        <v>28</v>
      </c>
      <c r="AE3" s="152" t="s">
        <v>29</v>
      </c>
      <c r="AF3" s="150" t="s">
        <v>30</v>
      </c>
      <c r="AG3" s="150" t="s">
        <v>31</v>
      </c>
      <c r="AH3" s="153" t="s">
        <v>19</v>
      </c>
      <c r="AI3" s="154" t="s">
        <v>32</v>
      </c>
      <c r="AJ3" s="154" t="s">
        <v>33</v>
      </c>
      <c r="AK3" s="155" t="s">
        <v>34</v>
      </c>
    </row>
    <row r="4" spans="2:37" ht="92.25" customHeight="1" x14ac:dyDescent="0.2">
      <c r="B4" s="199">
        <v>1</v>
      </c>
      <c r="C4" s="202" t="s">
        <v>122</v>
      </c>
      <c r="D4" s="202" t="s">
        <v>123</v>
      </c>
      <c r="E4" s="205" t="s">
        <v>36</v>
      </c>
      <c r="F4" s="177">
        <v>1000</v>
      </c>
      <c r="G4" s="178">
        <f>AI4</f>
        <v>5.4539999999999997</v>
      </c>
      <c r="H4" s="179" t="s">
        <v>124</v>
      </c>
      <c r="I4" s="208" t="s">
        <v>125</v>
      </c>
      <c r="J4" s="178">
        <f t="shared" ref="J4:J6" si="0">F4*G4</f>
        <v>5454</v>
      </c>
      <c r="K4" s="174"/>
      <c r="L4" s="174"/>
      <c r="M4" s="187" t="s">
        <v>61</v>
      </c>
      <c r="N4" s="190" t="s">
        <v>126</v>
      </c>
      <c r="O4" s="193" t="s">
        <v>127</v>
      </c>
      <c r="P4" s="183"/>
      <c r="Q4" s="180">
        <f>3500/1000</f>
        <v>3.5</v>
      </c>
      <c r="R4" s="158">
        <v>35.299999999999997</v>
      </c>
      <c r="S4" s="159">
        <f t="shared" ref="S4:S6" si="1">Q4*R4/100</f>
        <v>1.2354999999999998</v>
      </c>
      <c r="T4" s="160">
        <f t="shared" ref="T4:T6" si="2">S4*V4</f>
        <v>1235.4999999999998</v>
      </c>
      <c r="U4" s="161">
        <f t="shared" ref="U4:U6" si="3">Q4+S4</f>
        <v>4.7355</v>
      </c>
      <c r="V4" s="158">
        <v>1000</v>
      </c>
      <c r="W4" s="162">
        <f t="shared" ref="W4:W9" si="4">Q4*2</f>
        <v>7</v>
      </c>
      <c r="X4" s="168">
        <v>180</v>
      </c>
      <c r="Y4" s="163">
        <f t="shared" ref="Y4:Y6" si="5">V4*U4+W4+X4</f>
        <v>4922.5</v>
      </c>
      <c r="Z4" s="196" t="s">
        <v>128</v>
      </c>
      <c r="AA4" s="167">
        <v>460</v>
      </c>
      <c r="AB4" s="165">
        <v>1</v>
      </c>
      <c r="AC4" s="165">
        <v>1</v>
      </c>
      <c r="AD4" s="165">
        <v>1</v>
      </c>
      <c r="AE4" s="166">
        <f t="shared" ref="AE4:AE6" si="6">AA4*AB4*AC4*AD4</f>
        <v>460</v>
      </c>
      <c r="AF4" s="167">
        <f>3.5*5</f>
        <v>17.5</v>
      </c>
      <c r="AG4" s="168">
        <f>1%*(Y4+AE4+AF4)</f>
        <v>54</v>
      </c>
      <c r="AH4" s="169">
        <f t="shared" ref="AH4:AH6" si="7">Y4+AE4+AG4+AF4</f>
        <v>5454</v>
      </c>
      <c r="AI4" s="170">
        <f t="shared" ref="AI4:AI6" si="8">AH4/V4</f>
        <v>5.4539999999999997</v>
      </c>
      <c r="AJ4" s="171">
        <f t="shared" ref="AJ4:AJ6" si="9">AI4*18%</f>
        <v>0.98171999999999993</v>
      </c>
      <c r="AK4" s="172">
        <f t="shared" ref="AK4:AK6" si="10">AI4+AJ4</f>
        <v>6.4357199999999999</v>
      </c>
    </row>
    <row r="5" spans="2:37" ht="75.75" customHeight="1" x14ac:dyDescent="0.2">
      <c r="B5" s="200"/>
      <c r="C5" s="203"/>
      <c r="D5" s="203"/>
      <c r="E5" s="206"/>
      <c r="F5" s="177">
        <v>500</v>
      </c>
      <c r="G5" s="178">
        <f t="shared" ref="G5:G6" si="11">AI5</f>
        <v>6.2948249999999994</v>
      </c>
      <c r="H5" s="179" t="s">
        <v>129</v>
      </c>
      <c r="I5" s="209"/>
      <c r="J5" s="178">
        <f t="shared" si="0"/>
        <v>3147.4124999999999</v>
      </c>
      <c r="K5" s="174"/>
      <c r="L5" s="174"/>
      <c r="M5" s="188"/>
      <c r="N5" s="191"/>
      <c r="O5" s="194"/>
      <c r="P5" s="184"/>
      <c r="Q5" s="180">
        <f>3500/2/500</f>
        <v>3.5</v>
      </c>
      <c r="R5" s="158">
        <v>48.5</v>
      </c>
      <c r="S5" s="159">
        <f t="shared" si="1"/>
        <v>1.6975</v>
      </c>
      <c r="T5" s="160">
        <f t="shared" si="2"/>
        <v>848.75</v>
      </c>
      <c r="U5" s="161">
        <f t="shared" si="3"/>
        <v>5.1974999999999998</v>
      </c>
      <c r="V5" s="158">
        <v>500</v>
      </c>
      <c r="W5" s="162">
        <f t="shared" si="4"/>
        <v>7</v>
      </c>
      <c r="X5" s="168">
        <v>150</v>
      </c>
      <c r="Y5" s="163">
        <f t="shared" si="5"/>
        <v>2755.75</v>
      </c>
      <c r="Z5" s="197"/>
      <c r="AA5" s="167">
        <v>350</v>
      </c>
      <c r="AB5" s="165">
        <v>1</v>
      </c>
      <c r="AC5" s="165">
        <v>1</v>
      </c>
      <c r="AD5" s="165">
        <v>1</v>
      </c>
      <c r="AE5" s="166">
        <f t="shared" si="6"/>
        <v>350</v>
      </c>
      <c r="AF5" s="167">
        <f>3.5*3</f>
        <v>10.5</v>
      </c>
      <c r="AG5" s="168">
        <f t="shared" ref="AG5:AG6" si="12">1%*(Y5+AE5+AF5)</f>
        <v>31.162500000000001</v>
      </c>
      <c r="AH5" s="169">
        <f t="shared" si="7"/>
        <v>3147.4124999999999</v>
      </c>
      <c r="AI5" s="170">
        <f t="shared" si="8"/>
        <v>6.2948249999999994</v>
      </c>
      <c r="AJ5" s="171">
        <f t="shared" si="9"/>
        <v>1.1330684999999998</v>
      </c>
      <c r="AK5" s="172">
        <f t="shared" si="10"/>
        <v>7.4278934999999997</v>
      </c>
    </row>
    <row r="6" spans="2:37" ht="114" customHeight="1" x14ac:dyDescent="0.2">
      <c r="B6" s="201"/>
      <c r="C6" s="204"/>
      <c r="D6" s="204"/>
      <c r="E6" s="207"/>
      <c r="F6" s="177">
        <v>100</v>
      </c>
      <c r="G6" s="178">
        <f t="shared" si="11"/>
        <v>7.8903220000000003</v>
      </c>
      <c r="H6" s="179" t="s">
        <v>129</v>
      </c>
      <c r="I6" s="210"/>
      <c r="J6" s="178">
        <f t="shared" si="0"/>
        <v>789.03219999999999</v>
      </c>
      <c r="K6" s="174"/>
      <c r="L6" s="174"/>
      <c r="M6" s="189"/>
      <c r="N6" s="192"/>
      <c r="O6" s="195"/>
      <c r="P6" s="185"/>
      <c r="Q6" s="180">
        <f>360/100</f>
        <v>3.6</v>
      </c>
      <c r="R6" s="158">
        <v>55.7</v>
      </c>
      <c r="S6" s="159">
        <f t="shared" si="1"/>
        <v>2.0052000000000003</v>
      </c>
      <c r="T6" s="160">
        <f t="shared" si="2"/>
        <v>200.52000000000004</v>
      </c>
      <c r="U6" s="161">
        <f t="shared" si="3"/>
        <v>5.6052</v>
      </c>
      <c r="V6" s="158">
        <v>100</v>
      </c>
      <c r="W6" s="162">
        <f t="shared" si="4"/>
        <v>7.2</v>
      </c>
      <c r="X6" s="168">
        <v>120</v>
      </c>
      <c r="Y6" s="163">
        <f t="shared" si="5"/>
        <v>687.72</v>
      </c>
      <c r="Z6" s="198"/>
      <c r="AA6" s="167">
        <v>90</v>
      </c>
      <c r="AB6" s="165">
        <v>1</v>
      </c>
      <c r="AC6" s="165">
        <v>1</v>
      </c>
      <c r="AD6" s="165">
        <v>1</v>
      </c>
      <c r="AE6" s="166">
        <f t="shared" si="6"/>
        <v>90</v>
      </c>
      <c r="AF6" s="167">
        <v>3.5</v>
      </c>
      <c r="AG6" s="168">
        <f t="shared" si="12"/>
        <v>7.8122000000000007</v>
      </c>
      <c r="AH6" s="169">
        <f t="shared" si="7"/>
        <v>789.03219999999999</v>
      </c>
      <c r="AI6" s="170">
        <f t="shared" si="8"/>
        <v>7.8903220000000003</v>
      </c>
      <c r="AJ6" s="171">
        <f t="shared" si="9"/>
        <v>1.42025796</v>
      </c>
      <c r="AK6" s="172">
        <f t="shared" si="10"/>
        <v>9.3105799600000001</v>
      </c>
    </row>
    <row r="7" spans="2:37" ht="92.25" customHeight="1" x14ac:dyDescent="0.2">
      <c r="B7" s="199">
        <v>2</v>
      </c>
      <c r="C7" s="202" t="s">
        <v>130</v>
      </c>
      <c r="D7" s="202" t="s">
        <v>131</v>
      </c>
      <c r="E7" s="205" t="s">
        <v>36</v>
      </c>
      <c r="F7" s="177">
        <v>1000</v>
      </c>
      <c r="G7" s="178">
        <f>AI7</f>
        <v>9.7545800000000007</v>
      </c>
      <c r="H7" s="179" t="s">
        <v>124</v>
      </c>
      <c r="I7" s="208" t="s">
        <v>132</v>
      </c>
      <c r="J7" s="178">
        <f t="shared" ref="J7:J9" si="13">F7*G7</f>
        <v>9754.58</v>
      </c>
      <c r="K7" s="174"/>
      <c r="L7" s="174"/>
      <c r="M7" s="187" t="s">
        <v>49</v>
      </c>
      <c r="N7" s="190" t="s">
        <v>133</v>
      </c>
      <c r="O7" s="193" t="s">
        <v>134</v>
      </c>
      <c r="P7" s="183"/>
      <c r="Q7" s="180">
        <f>6500/1000</f>
        <v>6.5</v>
      </c>
      <c r="R7" s="158">
        <v>36</v>
      </c>
      <c r="S7" s="159">
        <f t="shared" ref="S7:S9" si="14">Q7*R7/100</f>
        <v>2.34</v>
      </c>
      <c r="T7" s="160">
        <f t="shared" ref="T7:T9" si="15">S7*V7</f>
        <v>2340</v>
      </c>
      <c r="U7" s="161">
        <f t="shared" ref="U7:U9" si="16">Q7+S7</f>
        <v>8.84</v>
      </c>
      <c r="V7" s="158">
        <v>1000</v>
      </c>
      <c r="W7" s="162">
        <f t="shared" si="4"/>
        <v>13</v>
      </c>
      <c r="X7" s="168">
        <v>200</v>
      </c>
      <c r="Y7" s="163">
        <f t="shared" ref="Y7:Y9" si="17">V7*U7+W7+X7</f>
        <v>9053</v>
      </c>
      <c r="Z7" s="196" t="s">
        <v>135</v>
      </c>
      <c r="AA7" s="167">
        <v>570</v>
      </c>
      <c r="AB7" s="165">
        <v>1</v>
      </c>
      <c r="AC7" s="165">
        <v>1</v>
      </c>
      <c r="AD7" s="165">
        <v>1</v>
      </c>
      <c r="AE7" s="166">
        <f t="shared" ref="AE7:AE9" si="18">AA7*AB7*AC7*AD7</f>
        <v>570</v>
      </c>
      <c r="AF7" s="167">
        <f>3.5*10</f>
        <v>35</v>
      </c>
      <c r="AG7" s="168">
        <f>1%*(Y7+AE7+AF7)</f>
        <v>96.58</v>
      </c>
      <c r="AH7" s="169">
        <f t="shared" ref="AH7:AH9" si="19">Y7+AE7+AG7+AF7</f>
        <v>9754.58</v>
      </c>
      <c r="AI7" s="170">
        <f t="shared" ref="AI7:AI9" si="20">AH7/V7</f>
        <v>9.7545800000000007</v>
      </c>
      <c r="AJ7" s="171">
        <f t="shared" ref="AJ7:AJ9" si="21">AI7*18%</f>
        <v>1.7558244000000001</v>
      </c>
      <c r="AK7" s="172">
        <f t="shared" ref="AK7:AK9" si="22">AI7+AJ7</f>
        <v>11.510404400000001</v>
      </c>
    </row>
    <row r="8" spans="2:37" ht="75.75" customHeight="1" x14ac:dyDescent="0.2">
      <c r="B8" s="200"/>
      <c r="C8" s="203"/>
      <c r="D8" s="203"/>
      <c r="E8" s="206"/>
      <c r="F8" s="177">
        <v>500</v>
      </c>
      <c r="G8" s="178">
        <f t="shared" ref="G8:G9" si="23">AI8</f>
        <v>10.389365</v>
      </c>
      <c r="H8" s="179" t="s">
        <v>129</v>
      </c>
      <c r="I8" s="209"/>
      <c r="J8" s="178">
        <f t="shared" si="13"/>
        <v>5194.6824999999999</v>
      </c>
      <c r="K8" s="174"/>
      <c r="L8" s="174"/>
      <c r="M8" s="188"/>
      <c r="N8" s="191"/>
      <c r="O8" s="194"/>
      <c r="P8" s="184"/>
      <c r="Q8" s="180">
        <f>6500/2/500</f>
        <v>6.5</v>
      </c>
      <c r="R8" s="158">
        <v>40.700000000000003</v>
      </c>
      <c r="S8" s="159">
        <f t="shared" si="14"/>
        <v>2.6455000000000002</v>
      </c>
      <c r="T8" s="160">
        <f t="shared" si="15"/>
        <v>1322.75</v>
      </c>
      <c r="U8" s="161">
        <f t="shared" si="16"/>
        <v>9.1455000000000002</v>
      </c>
      <c r="V8" s="158">
        <v>500</v>
      </c>
      <c r="W8" s="162">
        <f t="shared" si="4"/>
        <v>13</v>
      </c>
      <c r="X8" s="168">
        <v>180</v>
      </c>
      <c r="Y8" s="163">
        <f t="shared" si="17"/>
        <v>4765.75</v>
      </c>
      <c r="Z8" s="197"/>
      <c r="AA8" s="167">
        <v>360</v>
      </c>
      <c r="AB8" s="165">
        <v>1</v>
      </c>
      <c r="AC8" s="165">
        <v>1</v>
      </c>
      <c r="AD8" s="165">
        <v>1</v>
      </c>
      <c r="AE8" s="166">
        <f t="shared" si="18"/>
        <v>360</v>
      </c>
      <c r="AF8" s="167">
        <f>3.5*5</f>
        <v>17.5</v>
      </c>
      <c r="AG8" s="168">
        <f t="shared" ref="AG8:AG9" si="24">1%*(Y8+AE8+AF8)</f>
        <v>51.432500000000005</v>
      </c>
      <c r="AH8" s="169">
        <f t="shared" si="19"/>
        <v>5194.6824999999999</v>
      </c>
      <c r="AI8" s="170">
        <f t="shared" si="20"/>
        <v>10.389365</v>
      </c>
      <c r="AJ8" s="171">
        <f t="shared" si="21"/>
        <v>1.8700857</v>
      </c>
      <c r="AK8" s="172">
        <f t="shared" si="22"/>
        <v>12.2594507</v>
      </c>
    </row>
    <row r="9" spans="2:37" ht="114" customHeight="1" x14ac:dyDescent="0.2">
      <c r="B9" s="201"/>
      <c r="C9" s="204"/>
      <c r="D9" s="204"/>
      <c r="E9" s="207"/>
      <c r="F9" s="177">
        <v>100</v>
      </c>
      <c r="G9" s="178">
        <f t="shared" si="23"/>
        <v>12.294830999999999</v>
      </c>
      <c r="H9" s="179" t="s">
        <v>129</v>
      </c>
      <c r="I9" s="210"/>
      <c r="J9" s="178">
        <f t="shared" si="13"/>
        <v>1229.4830999999999</v>
      </c>
      <c r="K9" s="174"/>
      <c r="L9" s="174"/>
      <c r="M9" s="189"/>
      <c r="N9" s="192"/>
      <c r="O9" s="195"/>
      <c r="P9" s="185"/>
      <c r="Q9" s="180">
        <f>670/100</f>
        <v>6.7</v>
      </c>
      <c r="R9" s="158">
        <v>42.3</v>
      </c>
      <c r="S9" s="159">
        <f t="shared" si="14"/>
        <v>2.8340999999999998</v>
      </c>
      <c r="T9" s="160">
        <f t="shared" si="15"/>
        <v>283.40999999999997</v>
      </c>
      <c r="U9" s="161">
        <f t="shared" si="16"/>
        <v>9.5341000000000005</v>
      </c>
      <c r="V9" s="158">
        <v>100</v>
      </c>
      <c r="W9" s="162">
        <f t="shared" si="4"/>
        <v>13.4</v>
      </c>
      <c r="X9" s="168">
        <v>150</v>
      </c>
      <c r="Y9" s="163">
        <f t="shared" si="17"/>
        <v>1116.81</v>
      </c>
      <c r="Z9" s="198"/>
      <c r="AA9" s="167">
        <v>90</v>
      </c>
      <c r="AB9" s="165">
        <v>1</v>
      </c>
      <c r="AC9" s="165">
        <v>1</v>
      </c>
      <c r="AD9" s="165">
        <v>1</v>
      </c>
      <c r="AE9" s="166">
        <f t="shared" si="18"/>
        <v>90</v>
      </c>
      <c r="AF9" s="167">
        <f>3.5*3</f>
        <v>10.5</v>
      </c>
      <c r="AG9" s="168">
        <f t="shared" si="24"/>
        <v>12.1731</v>
      </c>
      <c r="AH9" s="169">
        <f t="shared" si="19"/>
        <v>1229.4830999999999</v>
      </c>
      <c r="AI9" s="170">
        <f t="shared" si="20"/>
        <v>12.294830999999999</v>
      </c>
      <c r="AJ9" s="171">
        <f t="shared" si="21"/>
        <v>2.2130695799999995</v>
      </c>
      <c r="AK9" s="172">
        <f t="shared" si="22"/>
        <v>14.507900579999998</v>
      </c>
    </row>
    <row r="10" spans="2:37" ht="92.25" customHeight="1" x14ac:dyDescent="0.2">
      <c r="B10" s="199">
        <v>3</v>
      </c>
      <c r="C10" s="202" t="s">
        <v>136</v>
      </c>
      <c r="D10" s="202" t="s">
        <v>137</v>
      </c>
      <c r="E10" s="205" t="s">
        <v>36</v>
      </c>
      <c r="F10" s="177">
        <v>1000</v>
      </c>
      <c r="G10" s="178">
        <f>AI10</f>
        <v>10.695697999999998</v>
      </c>
      <c r="H10" s="179" t="s">
        <v>124</v>
      </c>
      <c r="I10" s="208" t="s">
        <v>138</v>
      </c>
      <c r="J10" s="178">
        <f t="shared" ref="J10:J12" si="25">F10*G10</f>
        <v>10695.697999999999</v>
      </c>
      <c r="K10" s="174"/>
      <c r="L10" s="174"/>
      <c r="M10" s="187" t="s">
        <v>49</v>
      </c>
      <c r="N10" s="190" t="s">
        <v>139</v>
      </c>
      <c r="O10" s="193" t="s">
        <v>140</v>
      </c>
      <c r="P10" s="183"/>
      <c r="Q10" s="180">
        <f>7200/1000</f>
        <v>7.2</v>
      </c>
      <c r="R10" s="158">
        <v>35.700000000000003</v>
      </c>
      <c r="S10" s="159">
        <f t="shared" ref="S10:S12" si="26">Q10*R10/100</f>
        <v>2.5704000000000002</v>
      </c>
      <c r="T10" s="160">
        <f t="shared" ref="T10:T12" si="27">S10*V10</f>
        <v>2570.4</v>
      </c>
      <c r="U10" s="161">
        <f t="shared" ref="U10:U12" si="28">Q10+S10</f>
        <v>9.7704000000000004</v>
      </c>
      <c r="V10" s="158">
        <v>1000</v>
      </c>
      <c r="W10" s="162">
        <f t="shared" ref="W10:W12" si="29">Q10*2</f>
        <v>14.4</v>
      </c>
      <c r="X10" s="168">
        <v>200</v>
      </c>
      <c r="Y10" s="163">
        <f t="shared" ref="Y10:Y12" si="30">V10*U10+W10+X10</f>
        <v>9984.7999999999993</v>
      </c>
      <c r="Z10" s="196" t="s">
        <v>141</v>
      </c>
      <c r="AA10" s="167">
        <v>570</v>
      </c>
      <c r="AB10" s="165">
        <v>1</v>
      </c>
      <c r="AC10" s="165">
        <v>1</v>
      </c>
      <c r="AD10" s="165">
        <v>1</v>
      </c>
      <c r="AE10" s="166">
        <f t="shared" ref="AE10:AE12" si="31">AA10*AB10*AC10*AD10</f>
        <v>570</v>
      </c>
      <c r="AF10" s="167">
        <f>3.5*10</f>
        <v>35</v>
      </c>
      <c r="AG10" s="168">
        <f>1%*(Y10+AE10+AF10)</f>
        <v>105.898</v>
      </c>
      <c r="AH10" s="169">
        <f t="shared" ref="AH10:AH12" si="32">Y10+AE10+AG10+AF10</f>
        <v>10695.697999999999</v>
      </c>
      <c r="AI10" s="170">
        <f t="shared" ref="AI10:AI12" si="33">AH10/V10</f>
        <v>10.695697999999998</v>
      </c>
      <c r="AJ10" s="171">
        <f t="shared" ref="AJ10:AJ12" si="34">AI10*18%</f>
        <v>1.9252256399999996</v>
      </c>
      <c r="AK10" s="172">
        <f t="shared" ref="AK10:AK12" si="35">AI10+AJ10</f>
        <v>12.620923639999997</v>
      </c>
    </row>
    <row r="11" spans="2:37" ht="75.75" customHeight="1" x14ac:dyDescent="0.2">
      <c r="B11" s="200"/>
      <c r="C11" s="203"/>
      <c r="D11" s="203"/>
      <c r="E11" s="206"/>
      <c r="F11" s="177">
        <v>500</v>
      </c>
      <c r="G11" s="178">
        <f t="shared" ref="G11:G12" si="36">AI11</f>
        <v>11.350581999999999</v>
      </c>
      <c r="H11" s="179" t="s">
        <v>129</v>
      </c>
      <c r="I11" s="209"/>
      <c r="J11" s="178">
        <f t="shared" si="25"/>
        <v>5675.2909999999993</v>
      </c>
      <c r="K11" s="174"/>
      <c r="L11" s="174"/>
      <c r="M11" s="188"/>
      <c r="N11" s="191"/>
      <c r="O11" s="194"/>
      <c r="P11" s="184"/>
      <c r="Q11" s="180">
        <f>7200/2/500</f>
        <v>7.2</v>
      </c>
      <c r="R11" s="158">
        <v>40.200000000000003</v>
      </c>
      <c r="S11" s="159">
        <f t="shared" si="26"/>
        <v>2.8944000000000005</v>
      </c>
      <c r="T11" s="160">
        <f t="shared" si="27"/>
        <v>1447.2000000000003</v>
      </c>
      <c r="U11" s="161">
        <f t="shared" si="28"/>
        <v>10.0944</v>
      </c>
      <c r="V11" s="158">
        <v>500</v>
      </c>
      <c r="W11" s="162">
        <f t="shared" si="29"/>
        <v>14.4</v>
      </c>
      <c r="X11" s="168">
        <v>180</v>
      </c>
      <c r="Y11" s="163">
        <f t="shared" si="30"/>
        <v>5241.5999999999995</v>
      </c>
      <c r="Z11" s="197"/>
      <c r="AA11" s="167">
        <v>360</v>
      </c>
      <c r="AB11" s="165">
        <v>1</v>
      </c>
      <c r="AC11" s="165">
        <v>1</v>
      </c>
      <c r="AD11" s="165">
        <v>1</v>
      </c>
      <c r="AE11" s="166">
        <f t="shared" si="31"/>
        <v>360</v>
      </c>
      <c r="AF11" s="167">
        <f>3.5*5</f>
        <v>17.5</v>
      </c>
      <c r="AG11" s="168">
        <f t="shared" ref="AG11:AG12" si="37">1%*(Y11+AE11+AF11)</f>
        <v>56.190999999999995</v>
      </c>
      <c r="AH11" s="169">
        <f t="shared" si="32"/>
        <v>5675.2909999999993</v>
      </c>
      <c r="AI11" s="170">
        <f t="shared" si="33"/>
        <v>11.350581999999999</v>
      </c>
      <c r="AJ11" s="171">
        <f t="shared" si="34"/>
        <v>2.0431047599999999</v>
      </c>
      <c r="AK11" s="172">
        <f t="shared" si="35"/>
        <v>13.39368676</v>
      </c>
    </row>
    <row r="12" spans="2:37" ht="114" customHeight="1" x14ac:dyDescent="0.2">
      <c r="B12" s="201"/>
      <c r="C12" s="204"/>
      <c r="D12" s="204"/>
      <c r="E12" s="207"/>
      <c r="F12" s="177">
        <v>100</v>
      </c>
      <c r="G12" s="178">
        <f t="shared" si="36"/>
        <v>13.491075</v>
      </c>
      <c r="H12" s="179" t="s">
        <v>129</v>
      </c>
      <c r="I12" s="210"/>
      <c r="J12" s="178">
        <f t="shared" si="25"/>
        <v>1349.1075000000001</v>
      </c>
      <c r="K12" s="174"/>
      <c r="L12" s="174"/>
      <c r="M12" s="189"/>
      <c r="N12" s="192"/>
      <c r="O12" s="195"/>
      <c r="P12" s="185"/>
      <c r="Q12" s="180">
        <f>750/100</f>
        <v>7.5</v>
      </c>
      <c r="R12" s="158">
        <v>42.7</v>
      </c>
      <c r="S12" s="159">
        <f t="shared" si="26"/>
        <v>3.2025000000000001</v>
      </c>
      <c r="T12" s="160">
        <f t="shared" si="27"/>
        <v>320.25</v>
      </c>
      <c r="U12" s="161">
        <f t="shared" si="28"/>
        <v>10.702500000000001</v>
      </c>
      <c r="V12" s="158">
        <v>100</v>
      </c>
      <c r="W12" s="162">
        <f t="shared" si="29"/>
        <v>15</v>
      </c>
      <c r="X12" s="168">
        <v>150</v>
      </c>
      <c r="Y12" s="163">
        <f t="shared" si="30"/>
        <v>1235.25</v>
      </c>
      <c r="Z12" s="198"/>
      <c r="AA12" s="167">
        <v>90</v>
      </c>
      <c r="AB12" s="165">
        <v>1</v>
      </c>
      <c r="AC12" s="165">
        <v>1</v>
      </c>
      <c r="AD12" s="165">
        <v>1</v>
      </c>
      <c r="AE12" s="166">
        <f t="shared" si="31"/>
        <v>90</v>
      </c>
      <c r="AF12" s="167">
        <f>3.5*3</f>
        <v>10.5</v>
      </c>
      <c r="AG12" s="168">
        <f t="shared" si="37"/>
        <v>13.3575</v>
      </c>
      <c r="AH12" s="169">
        <f t="shared" si="32"/>
        <v>1349.1075000000001</v>
      </c>
      <c r="AI12" s="170">
        <f t="shared" si="33"/>
        <v>13.491075</v>
      </c>
      <c r="AJ12" s="171">
        <f t="shared" si="34"/>
        <v>2.4283934999999999</v>
      </c>
      <c r="AK12" s="172">
        <f t="shared" si="35"/>
        <v>15.919468500000001</v>
      </c>
    </row>
    <row r="13" spans="2:37" ht="92.25" customHeight="1" x14ac:dyDescent="0.2">
      <c r="B13" s="199">
        <v>4</v>
      </c>
      <c r="C13" s="202" t="s">
        <v>142</v>
      </c>
      <c r="D13" s="202" t="s">
        <v>137</v>
      </c>
      <c r="E13" s="205" t="s">
        <v>36</v>
      </c>
      <c r="F13" s="177">
        <v>1000</v>
      </c>
      <c r="G13" s="178">
        <f>AI13</f>
        <v>12.093133999999999</v>
      </c>
      <c r="H13" s="179" t="s">
        <v>124</v>
      </c>
      <c r="I13" s="208" t="s">
        <v>143</v>
      </c>
      <c r="J13" s="178">
        <f t="shared" ref="J13:J15" si="38">F13*G13</f>
        <v>12093.134</v>
      </c>
      <c r="K13" s="174"/>
      <c r="L13" s="174"/>
      <c r="M13" s="187" t="s">
        <v>144</v>
      </c>
      <c r="N13" s="215" t="s">
        <v>145</v>
      </c>
      <c r="O13" s="193" t="s">
        <v>146</v>
      </c>
      <c r="P13" s="183"/>
      <c r="Q13" s="180">
        <v>8.1999999999999993</v>
      </c>
      <c r="R13" s="158">
        <v>36</v>
      </c>
      <c r="S13" s="159">
        <f t="shared" ref="S13:S15" si="39">Q13*R13/100</f>
        <v>2.952</v>
      </c>
      <c r="T13" s="160">
        <f t="shared" ref="T13:T15" si="40">S13*V13</f>
        <v>2952</v>
      </c>
      <c r="U13" s="161">
        <f t="shared" ref="U13:U15" si="41">Q13+S13</f>
        <v>11.151999999999999</v>
      </c>
      <c r="V13" s="158">
        <v>1000</v>
      </c>
      <c r="W13" s="162">
        <f t="shared" ref="W13:W15" si="42">Q13*2</f>
        <v>16.399999999999999</v>
      </c>
      <c r="X13" s="168">
        <v>200</v>
      </c>
      <c r="Y13" s="163">
        <f t="shared" ref="Y13:Y15" si="43">V13*U13+W13+X13</f>
        <v>11368.4</v>
      </c>
      <c r="Z13" s="196" t="s">
        <v>141</v>
      </c>
      <c r="AA13" s="167">
        <v>570</v>
      </c>
      <c r="AB13" s="165">
        <v>1</v>
      </c>
      <c r="AC13" s="165">
        <v>1</v>
      </c>
      <c r="AD13" s="165">
        <v>1</v>
      </c>
      <c r="AE13" s="166">
        <f t="shared" ref="AE13:AE15" si="44">AA13*AB13*AC13*AD13</f>
        <v>570</v>
      </c>
      <c r="AF13" s="167">
        <f>3.5*10</f>
        <v>35</v>
      </c>
      <c r="AG13" s="168">
        <f>1%*(Y13+AE13+AF13)</f>
        <v>119.73399999999999</v>
      </c>
      <c r="AH13" s="169">
        <f t="shared" ref="AH13:AH15" si="45">Y13+AE13+AG13+AF13</f>
        <v>12093.134</v>
      </c>
      <c r="AI13" s="170">
        <f t="shared" ref="AI13:AI15" si="46">AH13/V13</f>
        <v>12.093133999999999</v>
      </c>
      <c r="AJ13" s="171">
        <f t="shared" ref="AJ13:AJ15" si="47">AI13*18%</f>
        <v>2.1767641199999996</v>
      </c>
      <c r="AK13" s="172">
        <f t="shared" ref="AK13:AK15" si="48">AI13+AJ13</f>
        <v>14.269898119999999</v>
      </c>
    </row>
    <row r="14" spans="2:37" ht="75.75" customHeight="1" x14ac:dyDescent="0.2">
      <c r="B14" s="200"/>
      <c r="C14" s="203"/>
      <c r="D14" s="203"/>
      <c r="E14" s="206"/>
      <c r="F14" s="177">
        <v>500</v>
      </c>
      <c r="G14" s="178">
        <f t="shared" ref="G14:G15" si="49">AI14</f>
        <v>12.588437999999998</v>
      </c>
      <c r="H14" s="179" t="s">
        <v>129</v>
      </c>
      <c r="I14" s="209"/>
      <c r="J14" s="178">
        <f t="shared" si="38"/>
        <v>6294.2189999999991</v>
      </c>
      <c r="K14" s="174"/>
      <c r="L14" s="174"/>
      <c r="M14" s="188"/>
      <c r="N14" s="191"/>
      <c r="O14" s="194"/>
      <c r="P14" s="184"/>
      <c r="Q14" s="180">
        <v>8.1999999999999993</v>
      </c>
      <c r="R14" s="158">
        <v>38</v>
      </c>
      <c r="S14" s="159">
        <f t="shared" si="39"/>
        <v>3.1159999999999997</v>
      </c>
      <c r="T14" s="160">
        <f t="shared" si="40"/>
        <v>1557.9999999999998</v>
      </c>
      <c r="U14" s="161">
        <f t="shared" si="41"/>
        <v>11.315999999999999</v>
      </c>
      <c r="V14" s="158">
        <v>500</v>
      </c>
      <c r="W14" s="162">
        <f t="shared" si="42"/>
        <v>16.399999999999999</v>
      </c>
      <c r="X14" s="168">
        <v>180</v>
      </c>
      <c r="Y14" s="163">
        <f t="shared" si="43"/>
        <v>5854.3999999999987</v>
      </c>
      <c r="Z14" s="197"/>
      <c r="AA14" s="167">
        <v>360</v>
      </c>
      <c r="AB14" s="165">
        <v>1</v>
      </c>
      <c r="AC14" s="165">
        <v>1</v>
      </c>
      <c r="AD14" s="165">
        <v>1</v>
      </c>
      <c r="AE14" s="166">
        <f t="shared" si="44"/>
        <v>360</v>
      </c>
      <c r="AF14" s="167">
        <f>3.5*5</f>
        <v>17.5</v>
      </c>
      <c r="AG14" s="168">
        <f t="shared" ref="AG14:AG15" si="50">1%*(Y14+AE14+AF14)</f>
        <v>62.318999999999988</v>
      </c>
      <c r="AH14" s="169">
        <f t="shared" si="45"/>
        <v>6294.2189999999991</v>
      </c>
      <c r="AI14" s="170">
        <f t="shared" si="46"/>
        <v>12.588437999999998</v>
      </c>
      <c r="AJ14" s="171">
        <f t="shared" si="47"/>
        <v>2.2659188399999994</v>
      </c>
      <c r="AK14" s="172">
        <f t="shared" si="48"/>
        <v>14.854356839999998</v>
      </c>
    </row>
    <row r="15" spans="2:37" ht="114" customHeight="1" x14ac:dyDescent="0.2">
      <c r="B15" s="201"/>
      <c r="C15" s="204"/>
      <c r="D15" s="204"/>
      <c r="E15" s="207"/>
      <c r="F15" s="177">
        <v>100</v>
      </c>
      <c r="G15" s="178">
        <f t="shared" si="49"/>
        <v>14.747010000000003</v>
      </c>
      <c r="H15" s="179" t="s">
        <v>129</v>
      </c>
      <c r="I15" s="210"/>
      <c r="J15" s="178">
        <f t="shared" si="38"/>
        <v>1474.7010000000002</v>
      </c>
      <c r="K15" s="174"/>
      <c r="L15" s="174"/>
      <c r="M15" s="189"/>
      <c r="N15" s="192"/>
      <c r="O15" s="195"/>
      <c r="P15" s="185"/>
      <c r="Q15" s="180">
        <v>8.4</v>
      </c>
      <c r="R15" s="158">
        <v>42</v>
      </c>
      <c r="S15" s="159">
        <f t="shared" si="39"/>
        <v>3.528</v>
      </c>
      <c r="T15" s="160">
        <f t="shared" si="40"/>
        <v>352.8</v>
      </c>
      <c r="U15" s="161">
        <f t="shared" si="41"/>
        <v>11.928000000000001</v>
      </c>
      <c r="V15" s="158">
        <v>100</v>
      </c>
      <c r="W15" s="162">
        <f t="shared" si="42"/>
        <v>16.8</v>
      </c>
      <c r="X15" s="168">
        <v>150</v>
      </c>
      <c r="Y15" s="163">
        <f t="shared" si="43"/>
        <v>1359.6000000000001</v>
      </c>
      <c r="Z15" s="198"/>
      <c r="AA15" s="167">
        <v>90</v>
      </c>
      <c r="AB15" s="165">
        <v>1</v>
      </c>
      <c r="AC15" s="165">
        <v>1</v>
      </c>
      <c r="AD15" s="165">
        <v>1</v>
      </c>
      <c r="AE15" s="166">
        <f t="shared" si="44"/>
        <v>90</v>
      </c>
      <c r="AF15" s="167">
        <f>3.5*3</f>
        <v>10.5</v>
      </c>
      <c r="AG15" s="168">
        <f t="shared" si="50"/>
        <v>14.601000000000001</v>
      </c>
      <c r="AH15" s="169">
        <f t="shared" si="45"/>
        <v>1474.7010000000002</v>
      </c>
      <c r="AI15" s="170">
        <f t="shared" si="46"/>
        <v>14.747010000000003</v>
      </c>
      <c r="AJ15" s="171">
        <f t="shared" si="47"/>
        <v>2.6544618000000004</v>
      </c>
      <c r="AK15" s="172">
        <f t="shared" si="48"/>
        <v>17.401471800000003</v>
      </c>
    </row>
    <row r="16" spans="2:37" ht="92.25" customHeight="1" x14ac:dyDescent="0.2">
      <c r="B16" s="199">
        <v>5</v>
      </c>
      <c r="C16" s="216" t="s">
        <v>147</v>
      </c>
      <c r="D16" s="217"/>
      <c r="E16" s="205" t="s">
        <v>36</v>
      </c>
      <c r="F16" s="177">
        <v>1000</v>
      </c>
      <c r="G16" s="178">
        <f>AI16</f>
        <v>7.8891099999999996</v>
      </c>
      <c r="H16" s="179" t="s">
        <v>148</v>
      </c>
      <c r="I16" s="208" t="s">
        <v>149</v>
      </c>
      <c r="J16" s="178">
        <f t="shared" ref="J16:J18" si="51">F16*G16</f>
        <v>7889.11</v>
      </c>
      <c r="K16" s="174"/>
      <c r="L16" s="174"/>
      <c r="M16" s="187" t="s">
        <v>150</v>
      </c>
      <c r="N16" s="215" t="s">
        <v>151</v>
      </c>
      <c r="O16" s="193" t="s">
        <v>152</v>
      </c>
      <c r="P16" s="222" t="s">
        <v>153</v>
      </c>
      <c r="Q16" s="180">
        <f>5+0.5</f>
        <v>5.5</v>
      </c>
      <c r="R16" s="158">
        <v>38</v>
      </c>
      <c r="S16" s="159">
        <f t="shared" ref="S16:S18" si="52">Q16*R16/100</f>
        <v>2.09</v>
      </c>
      <c r="T16" s="160">
        <f t="shared" ref="T16:T18" si="53">S16*V16</f>
        <v>2090</v>
      </c>
      <c r="U16" s="161">
        <f t="shared" ref="U16:U18" si="54">Q16+S16</f>
        <v>7.59</v>
      </c>
      <c r="V16" s="158">
        <v>1000</v>
      </c>
      <c r="W16" s="162">
        <f t="shared" ref="W16:W18" si="55">Q16*2</f>
        <v>11</v>
      </c>
      <c r="X16" s="168">
        <v>180</v>
      </c>
      <c r="Y16" s="163">
        <f t="shared" ref="Y16:Y18" si="56">V16*U16+W16+X16</f>
        <v>7781</v>
      </c>
      <c r="Z16" s="196" t="s">
        <v>154</v>
      </c>
      <c r="AA16" s="167">
        <v>0</v>
      </c>
      <c r="AB16" s="165">
        <v>1</v>
      </c>
      <c r="AC16" s="165">
        <v>1</v>
      </c>
      <c r="AD16" s="165">
        <v>1</v>
      </c>
      <c r="AE16" s="166">
        <f t="shared" ref="AE16:AE18" si="57">AA16*AB16*AC16*AD16</f>
        <v>0</v>
      </c>
      <c r="AF16" s="167">
        <v>30</v>
      </c>
      <c r="AG16" s="168">
        <f>1%*(Y16+AE16+AF16)</f>
        <v>78.11</v>
      </c>
      <c r="AH16" s="169">
        <f t="shared" ref="AH16:AH18" si="58">Y16+AE16+AG16+AF16</f>
        <v>7889.11</v>
      </c>
      <c r="AI16" s="170">
        <f t="shared" ref="AI16:AI18" si="59">AH16/V16</f>
        <v>7.8891099999999996</v>
      </c>
      <c r="AJ16" s="171">
        <f t="shared" ref="AJ16:AJ18" si="60">AI16*18%</f>
        <v>1.4200397999999999</v>
      </c>
      <c r="AK16" s="172">
        <f t="shared" ref="AK16:AK18" si="61">AI16+AJ16</f>
        <v>9.3091498000000001</v>
      </c>
    </row>
    <row r="17" spans="2:37" ht="75.75" customHeight="1" x14ac:dyDescent="0.2">
      <c r="B17" s="200"/>
      <c r="C17" s="218"/>
      <c r="D17" s="219"/>
      <c r="E17" s="206"/>
      <c r="F17" s="177">
        <v>500</v>
      </c>
      <c r="G17" s="178">
        <f t="shared" ref="G17:G18" si="62">AI17</f>
        <v>9.0536399999999997</v>
      </c>
      <c r="H17" s="179" t="s">
        <v>155</v>
      </c>
      <c r="I17" s="209"/>
      <c r="J17" s="178">
        <f t="shared" si="51"/>
        <v>4526.82</v>
      </c>
      <c r="K17" s="174"/>
      <c r="L17" s="174"/>
      <c r="M17" s="188"/>
      <c r="N17" s="191"/>
      <c r="O17" s="194"/>
      <c r="P17" s="223"/>
      <c r="Q17" s="180">
        <f>5.5+0.5</f>
        <v>6</v>
      </c>
      <c r="R17" s="158">
        <v>43.5</v>
      </c>
      <c r="S17" s="159">
        <f t="shared" si="52"/>
        <v>2.61</v>
      </c>
      <c r="T17" s="160">
        <f t="shared" si="53"/>
        <v>1305</v>
      </c>
      <c r="U17" s="161">
        <f t="shared" si="54"/>
        <v>8.61</v>
      </c>
      <c r="V17" s="158">
        <v>500</v>
      </c>
      <c r="W17" s="162">
        <f t="shared" si="55"/>
        <v>12</v>
      </c>
      <c r="X17" s="168">
        <v>150</v>
      </c>
      <c r="Y17" s="163">
        <f t="shared" si="56"/>
        <v>4467</v>
      </c>
      <c r="Z17" s="197"/>
      <c r="AA17" s="167">
        <v>0</v>
      </c>
      <c r="AB17" s="165">
        <v>1</v>
      </c>
      <c r="AC17" s="165">
        <v>1</v>
      </c>
      <c r="AD17" s="165">
        <v>1</v>
      </c>
      <c r="AE17" s="166">
        <f t="shared" si="57"/>
        <v>0</v>
      </c>
      <c r="AF17" s="167">
        <v>15</v>
      </c>
      <c r="AG17" s="168">
        <f t="shared" ref="AG17:AG18" si="63">1%*(Y17+AE17+AF17)</f>
        <v>44.82</v>
      </c>
      <c r="AH17" s="169">
        <f t="shared" si="58"/>
        <v>4526.82</v>
      </c>
      <c r="AI17" s="170">
        <f t="shared" si="59"/>
        <v>9.0536399999999997</v>
      </c>
      <c r="AJ17" s="171">
        <f t="shared" si="60"/>
        <v>1.6296552</v>
      </c>
      <c r="AK17" s="172">
        <f t="shared" si="61"/>
        <v>10.6832952</v>
      </c>
    </row>
    <row r="18" spans="2:37" ht="114" customHeight="1" x14ac:dyDescent="0.2">
      <c r="B18" s="201"/>
      <c r="C18" s="220"/>
      <c r="D18" s="221"/>
      <c r="E18" s="207"/>
      <c r="F18" s="177">
        <v>100</v>
      </c>
      <c r="G18" s="178">
        <f t="shared" si="62"/>
        <v>12.501275</v>
      </c>
      <c r="H18" s="179" t="s">
        <v>156</v>
      </c>
      <c r="I18" s="210"/>
      <c r="J18" s="178">
        <f t="shared" si="51"/>
        <v>1250.1275000000001</v>
      </c>
      <c r="K18" s="174"/>
      <c r="L18" s="174"/>
      <c r="M18" s="189"/>
      <c r="N18" s="192"/>
      <c r="O18" s="195"/>
      <c r="P18" s="224"/>
      <c r="Q18" s="180">
        <f>6+1.5</f>
        <v>7.5</v>
      </c>
      <c r="R18" s="158">
        <v>45.7</v>
      </c>
      <c r="S18" s="159">
        <f t="shared" si="52"/>
        <v>3.4275000000000002</v>
      </c>
      <c r="T18" s="160">
        <f t="shared" si="53"/>
        <v>342.75</v>
      </c>
      <c r="U18" s="161">
        <f t="shared" si="54"/>
        <v>10.9275</v>
      </c>
      <c r="V18" s="158">
        <v>100</v>
      </c>
      <c r="W18" s="162">
        <f t="shared" si="55"/>
        <v>15</v>
      </c>
      <c r="X18" s="168">
        <v>120</v>
      </c>
      <c r="Y18" s="163">
        <f t="shared" si="56"/>
        <v>1227.75</v>
      </c>
      <c r="Z18" s="198"/>
      <c r="AA18" s="167">
        <v>0</v>
      </c>
      <c r="AB18" s="165">
        <v>1</v>
      </c>
      <c r="AC18" s="165">
        <v>1</v>
      </c>
      <c r="AD18" s="165">
        <v>1</v>
      </c>
      <c r="AE18" s="166">
        <f t="shared" si="57"/>
        <v>0</v>
      </c>
      <c r="AF18" s="167">
        <v>10</v>
      </c>
      <c r="AG18" s="168">
        <f t="shared" si="63"/>
        <v>12.3775</v>
      </c>
      <c r="AH18" s="169">
        <f t="shared" si="58"/>
        <v>1250.1275000000001</v>
      </c>
      <c r="AI18" s="170">
        <f t="shared" si="59"/>
        <v>12.501275</v>
      </c>
      <c r="AJ18" s="171">
        <f t="shared" si="60"/>
        <v>2.2502294999999997</v>
      </c>
      <c r="AK18" s="172">
        <f t="shared" si="61"/>
        <v>14.751504499999999</v>
      </c>
    </row>
    <row r="20" spans="2:37" ht="15.75" customHeight="1" x14ac:dyDescent="0.35"/>
    <row r="21" spans="2:37" ht="9.75" customHeight="1" x14ac:dyDescent="0.35">
      <c r="D21" s="4"/>
      <c r="I21"/>
      <c r="J21" s="6"/>
    </row>
  </sheetData>
  <mergeCells count="48">
    <mergeCell ref="M16:M18"/>
    <mergeCell ref="N16:N18"/>
    <mergeCell ref="O16:O18"/>
    <mergeCell ref="Z16:Z18"/>
    <mergeCell ref="B16:B18"/>
    <mergeCell ref="E16:E18"/>
    <mergeCell ref="I16:I18"/>
    <mergeCell ref="C16:D18"/>
    <mergeCell ref="P16:P18"/>
    <mergeCell ref="M13:M15"/>
    <mergeCell ref="N13:N15"/>
    <mergeCell ref="O13:O15"/>
    <mergeCell ref="Z13:Z15"/>
    <mergeCell ref="B13:B15"/>
    <mergeCell ref="C13:C15"/>
    <mergeCell ref="D13:D15"/>
    <mergeCell ref="E13:E15"/>
    <mergeCell ref="I13:I15"/>
    <mergeCell ref="M10:M12"/>
    <mergeCell ref="N10:N12"/>
    <mergeCell ref="O10:O12"/>
    <mergeCell ref="Z10:Z12"/>
    <mergeCell ref="B10:B12"/>
    <mergeCell ref="C10:C12"/>
    <mergeCell ref="D10:D12"/>
    <mergeCell ref="E10:E12"/>
    <mergeCell ref="I10:I12"/>
    <mergeCell ref="B2:J2"/>
    <mergeCell ref="M2:AB2"/>
    <mergeCell ref="B4:B6"/>
    <mergeCell ref="C4:C6"/>
    <mergeCell ref="D4:D6"/>
    <mergeCell ref="E4:E6"/>
    <mergeCell ref="I4:I6"/>
    <mergeCell ref="M4:M6"/>
    <mergeCell ref="N4:N6"/>
    <mergeCell ref="O4:O6"/>
    <mergeCell ref="Z4:Z6"/>
    <mergeCell ref="K2:K3"/>
    <mergeCell ref="M7:M9"/>
    <mergeCell ref="N7:N9"/>
    <mergeCell ref="O7:O9"/>
    <mergeCell ref="Z7:Z9"/>
    <mergeCell ref="B7:B9"/>
    <mergeCell ref="C7:C9"/>
    <mergeCell ref="D7:D9"/>
    <mergeCell ref="E7:E9"/>
    <mergeCell ref="I7:I9"/>
  </mergeCells>
  <phoneticPr fontId="7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FEBRERO</vt:lpstr>
      <vt:lpstr>ABRIL</vt:lpstr>
      <vt:lpstr>MAYO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Admin-001</dc:creator>
  <cp:keywords/>
  <dc:description/>
  <cp:lastModifiedBy>Yenyser Meza</cp:lastModifiedBy>
  <cp:revision/>
  <dcterms:created xsi:type="dcterms:W3CDTF">2020-12-17T14:52:18Z</dcterms:created>
  <dcterms:modified xsi:type="dcterms:W3CDTF">2026-05-26T14:30:12Z</dcterms:modified>
  <cp:category/>
  <cp:contentStatus/>
</cp:coreProperties>
</file>