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HIDROCENTRO LIMA/BD Cotizaciones/"/>
    </mc:Choice>
  </mc:AlternateContent>
  <xr:revisionPtr revIDLastSave="6" documentId="13_ncr:1_{A56546EF-B9AF-4A2F-8107-E2FB8142755D}" xr6:coauthVersionLast="47" xr6:coauthVersionMax="47" xr10:uidLastSave="{7A09BC64-C6E4-493C-9234-EA5473171C8D}"/>
  <bookViews>
    <workbookView xWindow="-120" yWindow="-120" windowWidth="29040" windowHeight="15720" xr2:uid="{453357D9-42B8-40B0-95B1-A098777BE681}"/>
  </bookViews>
  <sheets>
    <sheet name="MAY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W10" i="1"/>
  <c r="W9" i="1"/>
  <c r="AG8" i="1"/>
  <c r="Q9" i="1"/>
  <c r="AG5" i="1"/>
  <c r="AG4" i="1"/>
  <c r="AE10" i="1"/>
  <c r="AE9" i="1"/>
  <c r="W8" i="1"/>
  <c r="S10" i="1" l="1"/>
  <c r="T10" i="1" s="1"/>
  <c r="S9" i="1"/>
  <c r="U9" i="1" s="1"/>
  <c r="Y9" i="1" s="1"/>
  <c r="V8" i="1"/>
  <c r="AE8" i="1"/>
  <c r="S8" i="1"/>
  <c r="AG9" i="1" l="1"/>
  <c r="AH9" i="1" s="1"/>
  <c r="AI9" i="1" s="1"/>
  <c r="U10" i="1"/>
  <c r="Y10" i="1"/>
  <c r="AG10" i="1" s="1"/>
  <c r="T9" i="1"/>
  <c r="T8" i="1"/>
  <c r="U8" i="1"/>
  <c r="Y8" i="1" s="1"/>
  <c r="AH8" i="1" s="1"/>
  <c r="AI8" i="1" s="1"/>
  <c r="J8" i="1" s="1"/>
  <c r="AJ9" i="1" l="1"/>
  <c r="AK9" i="1" s="1"/>
  <c r="J9" i="1"/>
  <c r="AH10" i="1"/>
  <c r="AI10" i="1" s="1"/>
  <c r="AJ8" i="1"/>
  <c r="AK8" i="1" s="1"/>
  <c r="AJ10" i="1" l="1"/>
  <c r="AK10" i="1" s="1"/>
  <c r="J10" i="1"/>
  <c r="Q7" i="1"/>
  <c r="Q6" i="1"/>
  <c r="AF7" i="1"/>
  <c r="AE7" i="1"/>
  <c r="V7" i="1"/>
  <c r="AF6" i="1"/>
  <c r="AE6" i="1"/>
  <c r="V6" i="1"/>
  <c r="AF5" i="1"/>
  <c r="AF4" i="1"/>
  <c r="Q4" i="1"/>
  <c r="Q5" i="1"/>
  <c r="S6" i="1" l="1"/>
  <c r="U6" i="1" s="1"/>
  <c r="W6" i="1" s="1"/>
  <c r="S7" i="1"/>
  <c r="Y6" i="1" l="1"/>
  <c r="AR6" i="1"/>
  <c r="T6" i="1"/>
  <c r="AR7" i="1"/>
  <c r="T7" i="1"/>
  <c r="U7" i="1"/>
  <c r="W7" i="1" s="1"/>
  <c r="AG6" i="1" l="1"/>
  <c r="AH6" i="1" s="1"/>
  <c r="AI6" i="1" s="1"/>
  <c r="Y7" i="1"/>
  <c r="AG7" i="1" s="1"/>
  <c r="AJ6" i="1" l="1"/>
  <c r="AK6" i="1" s="1"/>
  <c r="J6" i="1"/>
  <c r="AO6" i="1"/>
  <c r="AQ6" i="1"/>
  <c r="AP6" i="1"/>
  <c r="AN6" i="1"/>
  <c r="AH7" i="1"/>
  <c r="AI7" i="1" s="1"/>
  <c r="AS6" i="1" l="1"/>
  <c r="AV6" i="1" s="1"/>
  <c r="AJ7" i="1"/>
  <c r="AK7" i="1" s="1"/>
  <c r="J7" i="1"/>
  <c r="AU6" i="1"/>
  <c r="AQ7" i="1" l="1"/>
  <c r="AP7" i="1"/>
  <c r="AO7" i="1"/>
  <c r="AN7" i="1"/>
  <c r="AU7" i="1" l="1"/>
  <c r="AS7" i="1"/>
  <c r="AV7" i="1" s="1"/>
  <c r="V5" i="1" l="1"/>
  <c r="V4" i="1"/>
  <c r="AE5" i="1"/>
  <c r="AE4" i="1"/>
  <c r="S5" i="1" l="1"/>
  <c r="S4" i="1"/>
  <c r="U4" i="1" s="1"/>
  <c r="W4" i="1" s="1"/>
  <c r="Y4" i="1" l="1"/>
  <c r="T4" i="1"/>
  <c r="AR4" i="1"/>
  <c r="T5" i="1"/>
  <c r="AR5" i="1"/>
  <c r="U5" i="1"/>
  <c r="W5" i="1" s="1"/>
  <c r="AH4" i="1" l="1"/>
  <c r="AI4" i="1" s="1"/>
  <c r="Y5" i="1"/>
  <c r="AJ4" i="1" l="1"/>
  <c r="AK4" i="1" s="1"/>
  <c r="J4" i="1"/>
  <c r="AH5" i="1"/>
  <c r="AI5" i="1" s="1"/>
  <c r="AJ5" i="1" l="1"/>
  <c r="AK5" i="1" s="1"/>
  <c r="J5" i="1"/>
  <c r="AN4" i="1"/>
  <c r="AP4" i="1"/>
  <c r="AO4" i="1"/>
  <c r="AQ4" i="1"/>
  <c r="AS4" i="1" l="1"/>
  <c r="AV4" i="1" s="1"/>
  <c r="AQ5" i="1"/>
  <c r="AP5" i="1"/>
  <c r="AO5" i="1"/>
  <c r="AN5" i="1"/>
  <c r="AU4" i="1"/>
  <c r="AU5" i="1" l="1"/>
  <c r="AS5" i="1"/>
  <c r="AV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3" authorId="0" shapeId="0" xr:uid="{DBCB2E3E-672D-4CCE-A169-D5CA6120F152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3" authorId="0" shapeId="0" xr:uid="{377413B2-0D8D-481D-BF08-D69FF24E21A7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<sst xmlns="http://schemas.openxmlformats.org/spreadsheetml/2006/main" count="85" uniqueCount="74">
  <si>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</si>
  <si>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</si>
  <si>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</si>
  <si>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</si>
  <si>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</si>
  <si>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</si>
  <si>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No IGV (S/.)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</si>
  <si>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</si>
  <si>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</si>
  <si>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</si>
  <si>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</si>
  <si>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</si>
  <si>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</si>
  <si>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</si>
  <si>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</si>
  <si>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</si>
  <si>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</si>
  <si>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</si>
  <si>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</si>
  <si>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</si>
  <si>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</si>
  <si>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</si>
  <si>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</si>
  <si>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</si>
  <si>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</si>
  <si>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</si>
  <si>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</si>
  <si>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</si>
  <si>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</si>
  <si>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</si>
  <si>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</si>
  <si>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</si>
  <si>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</si>
  <si>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</si>
  <si>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</si>
  <si>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</si>
  <si>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</si>
  <si>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</si>
  <si>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</si>
  <si>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</si>
  <si>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</si>
  <si>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5 a 7 
días útiles</t>
  </si>
  <si>
    <t xml:space="preserve">Imagen referencial </t>
  </si>
  <si>
    <t>FB-8008-AM
/
5500
/
7783-LH</t>
  </si>
  <si>
    <t>LLAVERO CASCO CON LINTERNA</t>
  </si>
  <si>
    <t>COHP-7783-LH</t>
  </si>
  <si>
    <t>IMPORTACIONES FACUNDO
500 a S/. 1600
100 a S/. 180
Incluido IGV
/
CKI
S/. 2.25 C/U
Incluido IGV
/
H&amp;PM
500 a S/. 1800
100 a S/. 200
+IGV</t>
  </si>
  <si>
    <t>CKI</t>
  </si>
  <si>
    <t>LLAVERO RECTANGULAR 3 en 1</t>
  </si>
  <si>
    <t>COCK-1775</t>
  </si>
  <si>
    <t>1775</t>
  </si>
  <si>
    <t>S/. 2.95 C/U
Incluido IGV</t>
  </si>
  <si>
    <t>YA INCLUYE</t>
  </si>
  <si>
    <t>SERV. APLICACIÓN NONBRE</t>
  </si>
  <si>
    <t>TALLER LUIS HERNANDEZ
Cel. 958 013 819</t>
  </si>
  <si>
    <t xml:space="preserve">TALLER LUIS
S/. 3.5 C/U
+IGV
Tiempo 3 días </t>
  </si>
  <si>
    <r>
      <rPr>
        <b/>
        <u/>
        <sz val="16"/>
        <color rgb="FF000000"/>
        <rFont val="Arial"/>
        <family val="2"/>
      </rPr>
      <t>SERV. APLICACIÓN NONBRE</t>
    </r>
    <r>
      <rPr>
        <sz val="16"/>
        <color rgb="FF000000"/>
        <rFont val="Arial"/>
        <family val="2"/>
      </rPr>
      <t xml:space="preserve">
Aplicación en serigrafia horneable de 1 nombre 
</t>
    </r>
    <r>
      <rPr>
        <sz val="16"/>
        <color rgb="FFFF0000"/>
        <rFont val="Arial"/>
        <family val="2"/>
      </rPr>
      <t>*Impresión a 1 color por 1 lado</t>
    </r>
    <r>
      <rPr>
        <sz val="16"/>
        <color rgb="FF000000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*Arte y diseño facilitado por el cliente.
**CLIENTE DEBE ENVIAR TAZAS A COMPIPRO</t>
    </r>
    <r>
      <rPr>
        <sz val="16"/>
        <color rgb="FF000000"/>
        <rFont val="Arial"/>
        <family val="2"/>
      </rPr>
      <t xml:space="preserve">
</t>
    </r>
    <r>
      <rPr>
        <b/>
        <i/>
        <sz val="16"/>
        <color rgb="FF000000"/>
        <rFont val="Arial"/>
        <family val="2"/>
      </rPr>
      <t>**Se recomienda facilitar 2 o 3 unid adicionales, ya que hay posibilidad se quiebren por calor</t>
    </r>
  </si>
  <si>
    <t>POLOS PUBLICITARIOS</t>
  </si>
  <si>
    <t>TEXTIL LA CENTRAL
David
Cel.953 106 889</t>
  </si>
  <si>
    <t xml:space="preserve">TEXTIL LA CENTRAL
Polo 30/1
Incluye 3 logos bordados
 1 cambiara como 7 veces (en pecho y Brazo)
Incluye reactivo
42 a S/.20 +IGV
Tiempo 5 dias
Muestra S/.25
Costo adicional talla XL S/.4.00
</t>
  </si>
  <si>
    <t>PORTA HERRAMIENTAS</t>
  </si>
  <si>
    <t>GUSTAVO
Cel.999 272 675</t>
  </si>
  <si>
    <t>100 a S/.35 +IGV
1 logo a 1 color
+S/.5.00 logo variado
Tiempo 15 dias
Muestra S/.100 
Costo adicional por color en el logo S/.1.00</t>
  </si>
  <si>
    <t>7 a 10
días útiles</t>
  </si>
  <si>
    <t>WE CREATE
Cel. 963 258 869
500 a S/.350
100 a S/.140
1 logo 1 color
logos distinto
/
IMPRESIONES UV
Cel.936512939
Precio ref.
500 a S/. 230
100 a S/. 70
+IGV
1 logo full color
Logo distinto</t>
  </si>
  <si>
    <r>
      <rPr>
        <b/>
        <u/>
        <sz val="16"/>
        <rFont val="Arial"/>
        <family val="2"/>
      </rPr>
      <t>LLAVERO CASCO CON LINTERNA</t>
    </r>
    <r>
      <rPr>
        <sz val="16"/>
        <rFont val="Arial"/>
        <family val="2"/>
      </rPr>
      <t xml:space="preserve">
Material: Plástico
Medida: 4.8 x 3.4 cm
Color: Azul, rojo, amarillo, blanco y verde
Presentación: Bolsita individual 
</t>
    </r>
    <r>
      <rPr>
        <sz val="16"/>
        <color rgb="FFFF0000"/>
        <rFont val="Arial"/>
        <family val="2"/>
      </rPr>
      <t xml:space="preserve">*Incluye 1 logo a 1 color por 1 lado ( Hasta 2 logos distinto)
*Arte y diseño facilitado por el cliente.
</t>
    </r>
    <r>
      <rPr>
        <sz val="16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+S/.0.90 +IGV costo adicional por logo full color</t>
    </r>
  </si>
  <si>
    <t>WE CREATE
Cel. 963 258 869
500 a S/.350
100 a S/.140
1 logo 1 color
logos distinto
/
IMPRESIONES UV
Cel.936512939
500 a S/. 230
100 a S/. 70
+IGV
1 logo full color
Logo distinto</t>
  </si>
  <si>
    <t>IMPORTACIONES FACUNDO
/
CKI
/
H&amp;PM</t>
  </si>
  <si>
    <t>50/50, LIMA</t>
  </si>
  <si>
    <r>
      <rPr>
        <b/>
        <u/>
        <sz val="16"/>
        <color rgb="FF000000"/>
        <rFont val="Arial"/>
        <family val="2"/>
      </rPr>
      <t>POLOS PUBLICITARIOS</t>
    </r>
    <r>
      <rPr>
        <sz val="16"/>
        <color rgb="FF000000"/>
        <rFont val="Arial"/>
        <family val="2"/>
      </rPr>
      <t xml:space="preserve">
Material: Algodón Jersey 30/1
Modelo: Clásico (manga corta, cuello redondo)
Color: Negro
Talla: M,L,XL
Presentación: Bolsita individual
</t>
    </r>
    <r>
      <rPr>
        <sz val="16"/>
        <color rgb="FFFF0000"/>
        <rFont val="Arial"/>
        <family val="2"/>
      </rPr>
      <t>*Incluye 1 logo jacuzzi + logo pool system + logo de cliente  tipo insignia pecho y brazo bordados
*Diseño debe ser facilitado por el cliente.</t>
    </r>
    <r>
      <rPr>
        <sz val="16"/>
        <color rgb="FF000000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+S/.60 por desarrollo de muestra fisica</t>
    </r>
  </si>
  <si>
    <r>
      <rPr>
        <b/>
        <u/>
        <sz val="16"/>
        <color rgb="FF000000"/>
        <rFont val="Arial"/>
        <family val="2"/>
      </rPr>
      <t xml:space="preserve">PORTA HERRAMIENTAS </t>
    </r>
    <r>
      <rPr>
        <sz val="16"/>
        <color rgb="FF000000"/>
        <rFont val="Arial"/>
        <family val="2"/>
      </rPr>
      <t xml:space="preserve">
Material: Nylon 1000 (Deniers)
Color: Negro
4 bolsillos para herramientas de trabajo
1 bolsillo frontal
1 bolsillo lateral 
Mosquetón o pasador o clip metálico para engancharse la correa del usuario
Presentacion: Grupal
</t>
    </r>
    <r>
      <rPr>
        <sz val="16"/>
        <color rgb="FFFF0000"/>
        <rFont val="Arial"/>
        <family val="2"/>
      </rPr>
      <t xml:space="preserve">*Incluye 1 logo a 1 color por lado
*Diseño debe ser facilitado por el cliente.
</t>
    </r>
    <r>
      <rPr>
        <sz val="16"/>
        <color rgb="FF000000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+S/.110 por desarrollo de muestra fisica</t>
    </r>
  </si>
  <si>
    <t>18 a 20  
días útiles</t>
  </si>
  <si>
    <r>
      <rPr>
        <b/>
        <u/>
        <sz val="16"/>
        <rFont val="Arial"/>
        <family val="2"/>
      </rPr>
      <t>LLAVERO FUNCIONAL RECTANGULAR 3 en 1</t>
    </r>
    <r>
      <rPr>
        <sz val="16"/>
        <rFont val="Arial"/>
        <family val="2"/>
      </rPr>
      <t xml:space="preserve">
Material: Plástico
Medida: 7.9 x 3.5 x 1 cm
Incluye: Linterna, destapador y wincha
Color: Negro, rojo y verde
Presentación: Empaque grupal
</t>
    </r>
    <r>
      <rPr>
        <sz val="16"/>
        <color rgb="FFFF0000"/>
        <rFont val="Arial"/>
        <family val="2"/>
      </rPr>
      <t xml:space="preserve">*Incluye 1 logo a 1 color por 1 lado ( Hasta 2 logos distinto)
*Arte y diseño facilitado por el cliente.
</t>
    </r>
    <r>
      <rPr>
        <sz val="16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+S/.0.90 +IGV costo adicional por logo full color</t>
    </r>
  </si>
  <si>
    <t>COTIZACIÓN PROPUESTA_HIDROCENTRO LIMA_Llaveros casco, Funcional, Serv impresiíon tasas, Polos, Porta Herramientas_15.05.26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</si>
</sst>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409]* #,##0.00_ ;_-[$$-409]* \-#,##0.00\ ;_-[$$-409]* &quot;-&quot;??_ ;_-@_ "/>
    <numFmt numFmtId="165" formatCode="_(* #,##0_);_(* \(#,##0\);_(* &quot;-&quot;??_);_(@_)"/>
    <numFmt numFmtId="166" formatCode="&quot;S/.&quot;\ #,##0.00"/>
    <numFmt numFmtId="167" formatCode="_ &quot;S/.&quot;\ * #,##0.00_ ;_ &quot;S/.&quot;\ * \-#,##0.00_ ;_ &quot;S/.&quot;\ * &quot;-&quot;??_ ;_ @_ "/>
    <numFmt numFmtId="168" formatCode="[$S/.-280A]\ #,##0.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Arial"/>
      <family val="2"/>
    </font>
    <font>
      <sz val="11"/>
      <color indexed="8"/>
      <name val="Calibri"/>
      <family val="2"/>
    </font>
    <font>
      <sz val="16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b/>
      <u/>
      <sz val="16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color rgb="FFFF0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16"/>
      <color rgb="FFFF0000"/>
      <name val="Arial"/>
      <family val="2"/>
    </font>
    <font>
      <sz val="12"/>
      <color rgb="FFFF000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u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i/>
      <sz val="16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sz val="16"/>
      <color rgb="FFFFFFFF"/>
      <name val="Arial"/>
      <family val="2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164" fontId="13" fillId="0" borderId="0" applyFont="0" applyFill="0" applyBorder="0" applyAlignment="0" applyProtection="0"/>
    <xf numFmtId="0" fontId="1" fillId="0" borderId="0"/>
  </cellStyleXfs>
  <cellXfs count="137">
    <xf numFmtId="0" fontId="0" fillId="0" borderId="0" xfId="0"/>
    <xf numFmtId="0" fontId="3" fillId="0" borderId="0" xfId="1"/>
    <xf numFmtId="0" fontId="3" fillId="4" borderId="0" xfId="1" applyFill="1"/>
    <xf numFmtId="0" fontId="7" fillId="5" borderId="8" xfId="1" applyFont="1" applyFill="1" applyBorder="1" applyAlignment="1">
      <alignment horizontal="center" vertical="center" wrapText="1"/>
    </xf>
    <xf numFmtId="0" fontId="7" fillId="5" borderId="9" xfId="1" applyFont="1" applyFill="1" applyBorder="1" applyAlignment="1">
      <alignment horizontal="center" vertical="center" wrapText="1"/>
    </xf>
    <xf numFmtId="0" fontId="7" fillId="5" borderId="10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8" fillId="5" borderId="8" xfId="1" applyFont="1" applyFill="1" applyBorder="1" applyAlignment="1">
      <alignment horizontal="center" vertical="center" wrapText="1"/>
    </xf>
    <xf numFmtId="0" fontId="7" fillId="7" borderId="8" xfId="1" applyFont="1" applyFill="1" applyBorder="1" applyAlignment="1">
      <alignment horizontal="center" vertical="center" wrapText="1"/>
    </xf>
    <xf numFmtId="0" fontId="9" fillId="7" borderId="9" xfId="1" applyFont="1" applyFill="1" applyBorder="1" applyAlignment="1">
      <alignment horizontal="center" vertical="center" wrapText="1"/>
    </xf>
    <xf numFmtId="9" fontId="9" fillId="7" borderId="10" xfId="1" applyNumberFormat="1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wrapText="1"/>
    </xf>
    <xf numFmtId="0" fontId="10" fillId="0" borderId="0" xfId="0" applyFont="1"/>
    <xf numFmtId="0" fontId="11" fillId="8" borderId="11" xfId="0" applyFont="1" applyFill="1" applyBorder="1" applyAlignment="1">
      <alignment horizontal="center" wrapText="1"/>
    </xf>
    <xf numFmtId="0" fontId="15" fillId="0" borderId="2" xfId="1" applyFont="1" applyBorder="1" applyAlignment="1">
      <alignment horizontal="center" vertical="center" wrapText="1"/>
    </xf>
    <xf numFmtId="0" fontId="16" fillId="4" borderId="2" xfId="1" applyFont="1" applyFill="1" applyBorder="1" applyAlignment="1">
      <alignment horizontal="center" vertical="center" wrapText="1"/>
    </xf>
    <xf numFmtId="168" fontId="21" fillId="9" borderId="2" xfId="1" applyNumberFormat="1" applyFont="1" applyFill="1" applyBorder="1" applyAlignment="1">
      <alignment horizontal="center" vertical="center"/>
    </xf>
    <xf numFmtId="0" fontId="22" fillId="10" borderId="2" xfId="1" applyFont="1" applyFill="1" applyBorder="1" applyAlignment="1">
      <alignment horizontal="center" vertical="center"/>
    </xf>
    <xf numFmtId="168" fontId="23" fillId="11" borderId="2" xfId="1" applyNumberFormat="1" applyFont="1" applyFill="1" applyBorder="1" applyAlignment="1">
      <alignment horizontal="center" vertical="center"/>
    </xf>
    <xf numFmtId="166" fontId="24" fillId="11" borderId="2" xfId="1" applyNumberFormat="1" applyFont="1" applyFill="1" applyBorder="1" applyAlignment="1">
      <alignment horizontal="center" vertical="center"/>
    </xf>
    <xf numFmtId="166" fontId="25" fillId="11" borderId="2" xfId="1" applyNumberFormat="1" applyFont="1" applyFill="1" applyBorder="1" applyAlignment="1">
      <alignment horizontal="center" vertical="center"/>
    </xf>
    <xf numFmtId="166" fontId="23" fillId="11" borderId="2" xfId="1" applyNumberFormat="1" applyFont="1" applyFill="1" applyBorder="1" applyAlignment="1">
      <alignment horizontal="center" vertical="center"/>
    </xf>
    <xf numFmtId="166" fontId="21" fillId="12" borderId="2" xfId="1" applyNumberFormat="1" applyFont="1" applyFill="1" applyBorder="1" applyAlignment="1">
      <alignment horizontal="center" vertical="center"/>
    </xf>
    <xf numFmtId="166" fontId="26" fillId="2" borderId="2" xfId="1" applyNumberFormat="1" applyFont="1" applyFill="1" applyBorder="1" applyAlignment="1">
      <alignment horizontal="center" vertical="center"/>
    </xf>
    <xf numFmtId="0" fontId="23" fillId="10" borderId="2" xfId="1" applyFont="1" applyFill="1" applyBorder="1" applyAlignment="1">
      <alignment horizontal="center" vertical="center"/>
    </xf>
    <xf numFmtId="166" fontId="27" fillId="2" borderId="2" xfId="1" applyNumberFormat="1" applyFont="1" applyFill="1" applyBorder="1" applyAlignment="1">
      <alignment horizontal="center" vertical="center"/>
    </xf>
    <xf numFmtId="166" fontId="23" fillId="10" borderId="2" xfId="1" applyNumberFormat="1" applyFont="1" applyFill="1" applyBorder="1" applyAlignment="1">
      <alignment horizontal="center" vertical="center"/>
    </xf>
    <xf numFmtId="166" fontId="23" fillId="0" borderId="2" xfId="1" applyNumberFormat="1" applyFont="1" applyBorder="1" applyAlignment="1">
      <alignment horizontal="center" vertical="center"/>
    </xf>
    <xf numFmtId="166" fontId="28" fillId="13" borderId="2" xfId="1" applyNumberFormat="1" applyFont="1" applyFill="1" applyBorder="1" applyAlignment="1">
      <alignment horizontal="center" vertical="center"/>
    </xf>
    <xf numFmtId="168" fontId="23" fillId="2" borderId="2" xfId="2" applyNumberFormat="1" applyFont="1" applyFill="1" applyBorder="1" applyAlignment="1">
      <alignment horizontal="center" vertical="center"/>
    </xf>
    <xf numFmtId="168" fontId="26" fillId="2" borderId="3" xfId="1" applyNumberFormat="1" applyFont="1" applyFill="1" applyBorder="1" applyAlignment="1">
      <alignment horizontal="center" vertical="center"/>
    </xf>
    <xf numFmtId="166" fontId="29" fillId="0" borderId="0" xfId="0" applyNumberFormat="1" applyFont="1"/>
    <xf numFmtId="168" fontId="30" fillId="0" borderId="12" xfId="4" applyNumberFormat="1" applyFont="1" applyBorder="1" applyAlignment="1">
      <alignment horizontal="center" vertical="center"/>
    </xf>
    <xf numFmtId="168" fontId="29" fillId="0" borderId="12" xfId="0" applyNumberFormat="1" applyFont="1" applyBorder="1" applyAlignment="1">
      <alignment horizontal="center" vertical="center"/>
    </xf>
    <xf numFmtId="168" fontId="30" fillId="0" borderId="12" xfId="0" applyNumberFormat="1" applyFont="1" applyBorder="1" applyAlignment="1">
      <alignment horizontal="center" vertical="center"/>
    </xf>
    <xf numFmtId="0" fontId="29" fillId="0" borderId="0" xfId="0" applyFont="1"/>
    <xf numFmtId="2" fontId="31" fillId="0" borderId="12" xfId="0" applyNumberFormat="1" applyFont="1" applyBorder="1" applyAlignment="1">
      <alignment horizontal="center" vertical="center"/>
    </xf>
    <xf numFmtId="168" fontId="21" fillId="9" borderId="6" xfId="1" applyNumberFormat="1" applyFont="1" applyFill="1" applyBorder="1" applyAlignment="1">
      <alignment horizontal="center" vertical="center"/>
    </xf>
    <xf numFmtId="0" fontId="22" fillId="10" borderId="6" xfId="1" applyFont="1" applyFill="1" applyBorder="1" applyAlignment="1">
      <alignment horizontal="center" vertical="center"/>
    </xf>
    <xf numFmtId="168" fontId="23" fillId="11" borderId="6" xfId="1" applyNumberFormat="1" applyFont="1" applyFill="1" applyBorder="1" applyAlignment="1">
      <alignment horizontal="center" vertical="center"/>
    </xf>
    <xf numFmtId="166" fontId="24" fillId="11" borderId="6" xfId="1" applyNumberFormat="1" applyFont="1" applyFill="1" applyBorder="1" applyAlignment="1">
      <alignment horizontal="center" vertical="center"/>
    </xf>
    <xf numFmtId="166" fontId="25" fillId="11" borderId="6" xfId="1" applyNumberFormat="1" applyFont="1" applyFill="1" applyBorder="1" applyAlignment="1">
      <alignment horizontal="center" vertical="center"/>
    </xf>
    <xf numFmtId="166" fontId="23" fillId="11" borderId="6" xfId="1" applyNumberFormat="1" applyFont="1" applyFill="1" applyBorder="1" applyAlignment="1">
      <alignment horizontal="center" vertical="center"/>
    </xf>
    <xf numFmtId="166" fontId="21" fillId="12" borderId="11" xfId="1" applyNumberFormat="1" applyFont="1" applyFill="1" applyBorder="1" applyAlignment="1">
      <alignment horizontal="center" vertical="center"/>
    </xf>
    <xf numFmtId="166" fontId="26" fillId="2" borderId="6" xfId="1" applyNumberFormat="1" applyFont="1" applyFill="1" applyBorder="1" applyAlignment="1">
      <alignment horizontal="center" vertical="center"/>
    </xf>
    <xf numFmtId="166" fontId="21" fillId="12" borderId="6" xfId="1" applyNumberFormat="1" applyFont="1" applyFill="1" applyBorder="1" applyAlignment="1">
      <alignment horizontal="center" vertical="center"/>
    </xf>
    <xf numFmtId="0" fontId="23" fillId="10" borderId="6" xfId="1" applyFont="1" applyFill="1" applyBorder="1" applyAlignment="1">
      <alignment horizontal="center" vertical="center"/>
    </xf>
    <xf numFmtId="166" fontId="27" fillId="2" borderId="6" xfId="1" applyNumberFormat="1" applyFont="1" applyFill="1" applyBorder="1" applyAlignment="1">
      <alignment horizontal="center" vertical="center"/>
    </xf>
    <xf numFmtId="166" fontId="23" fillId="10" borderId="6" xfId="1" applyNumberFormat="1" applyFont="1" applyFill="1" applyBorder="1" applyAlignment="1">
      <alignment horizontal="center" vertical="center"/>
    </xf>
    <xf numFmtId="166" fontId="23" fillId="0" borderId="6" xfId="1" applyNumberFormat="1" applyFont="1" applyBorder="1" applyAlignment="1">
      <alignment horizontal="center" vertical="center"/>
    </xf>
    <xf numFmtId="166" fontId="28" fillId="13" borderId="6" xfId="1" applyNumberFormat="1" applyFont="1" applyFill="1" applyBorder="1" applyAlignment="1">
      <alignment horizontal="center" vertical="center"/>
    </xf>
    <xf numFmtId="168" fontId="23" fillId="2" borderId="6" xfId="2" applyNumberFormat="1" applyFont="1" applyFill="1" applyBorder="1" applyAlignment="1">
      <alignment horizontal="center" vertical="center"/>
    </xf>
    <xf numFmtId="168" fontId="26" fillId="2" borderId="7" xfId="1" applyNumberFormat="1" applyFont="1" applyFill="1" applyBorder="1" applyAlignment="1">
      <alignment horizontal="center" vertical="center"/>
    </xf>
    <xf numFmtId="0" fontId="3" fillId="0" borderId="0" xfId="0" applyFont="1"/>
    <xf numFmtId="0" fontId="37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66" fontId="15" fillId="0" borderId="6" xfId="0" applyNumberFormat="1" applyFont="1" applyBorder="1" applyAlignment="1">
      <alignment horizontal="center" vertical="center"/>
    </xf>
    <xf numFmtId="0" fontId="38" fillId="2" borderId="6" xfId="1" applyFont="1" applyFill="1" applyBorder="1" applyAlignment="1">
      <alignment horizontal="center" vertical="center" wrapText="1"/>
    </xf>
    <xf numFmtId="166" fontId="15" fillId="0" borderId="7" xfId="1" applyNumberFormat="1" applyFont="1" applyBorder="1" applyAlignment="1">
      <alignment horizontal="center" vertical="center" wrapText="1"/>
    </xf>
    <xf numFmtId="0" fontId="37" fillId="0" borderId="0" xfId="0" applyFont="1"/>
    <xf numFmtId="166" fontId="15" fillId="0" borderId="0" xfId="1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3" fillId="10" borderId="12" xfId="1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 wrapText="1"/>
    </xf>
    <xf numFmtId="49" fontId="14" fillId="14" borderId="19" xfId="0" applyNumberFormat="1" applyFont="1" applyFill="1" applyBorder="1" applyAlignment="1">
      <alignment horizontal="center" vertical="center" wrapText="1"/>
    </xf>
    <xf numFmtId="49" fontId="14" fillId="14" borderId="20" xfId="0" applyNumberFormat="1" applyFont="1" applyFill="1" applyBorder="1" applyAlignment="1">
      <alignment horizontal="center" vertical="center" wrapText="1"/>
    </xf>
    <xf numFmtId="168" fontId="21" fillId="9" borderId="20" xfId="1" applyNumberFormat="1" applyFont="1" applyFill="1" applyBorder="1" applyAlignment="1">
      <alignment horizontal="center" vertical="center"/>
    </xf>
    <xf numFmtId="0" fontId="35" fillId="15" borderId="21" xfId="0" applyFont="1" applyFill="1" applyBorder="1" applyAlignment="1">
      <alignment horizontal="center" vertical="center"/>
    </xf>
    <xf numFmtId="168" fontId="14" fillId="16" borderId="22" xfId="0" applyNumberFormat="1" applyFont="1" applyFill="1" applyBorder="1" applyAlignment="1">
      <alignment horizontal="center" vertical="center"/>
    </xf>
    <xf numFmtId="166" fontId="42" fillId="16" borderId="22" xfId="0" applyNumberFormat="1" applyFont="1" applyFill="1" applyBorder="1" applyAlignment="1">
      <alignment horizontal="center" vertical="center"/>
    </xf>
    <xf numFmtId="166" fontId="43" fillId="16" borderId="22" xfId="0" applyNumberFormat="1" applyFont="1" applyFill="1" applyBorder="1" applyAlignment="1">
      <alignment horizontal="center" vertical="center"/>
    </xf>
    <xf numFmtId="0" fontId="35" fillId="15" borderId="22" xfId="0" applyFont="1" applyFill="1" applyBorder="1" applyAlignment="1">
      <alignment horizontal="center" vertical="center"/>
    </xf>
    <xf numFmtId="166" fontId="14" fillId="16" borderId="22" xfId="0" applyNumberFormat="1" applyFont="1" applyFill="1" applyBorder="1" applyAlignment="1">
      <alignment horizontal="center" vertical="center"/>
    </xf>
    <xf numFmtId="166" fontId="21" fillId="12" borderId="20" xfId="1" applyNumberFormat="1" applyFont="1" applyFill="1" applyBorder="1" applyAlignment="1">
      <alignment horizontal="center" vertical="center"/>
    </xf>
    <xf numFmtId="166" fontId="40" fillId="0" borderId="22" xfId="0" applyNumberFormat="1" applyFont="1" applyBorder="1" applyAlignment="1">
      <alignment horizontal="center" vertical="center"/>
    </xf>
    <xf numFmtId="166" fontId="14" fillId="17" borderId="22" xfId="0" applyNumberFormat="1" applyFont="1" applyFill="1" applyBorder="1" applyAlignment="1">
      <alignment horizontal="center" vertical="center"/>
    </xf>
    <xf numFmtId="0" fontId="14" fillId="15" borderId="22" xfId="0" applyFont="1" applyFill="1" applyBorder="1" applyAlignment="1">
      <alignment horizontal="center" vertical="center"/>
    </xf>
    <xf numFmtId="166" fontId="33" fillId="0" borderId="22" xfId="0" applyNumberFormat="1" applyFont="1" applyBorder="1" applyAlignment="1">
      <alignment horizontal="center" vertical="center"/>
    </xf>
    <xf numFmtId="166" fontId="14" fillId="15" borderId="22" xfId="0" applyNumberFormat="1" applyFont="1" applyFill="1" applyBorder="1" applyAlignment="1">
      <alignment horizontal="center" vertical="center"/>
    </xf>
    <xf numFmtId="166" fontId="33" fillId="4" borderId="20" xfId="1" applyNumberFormat="1" applyFont="1" applyFill="1" applyBorder="1" applyAlignment="1">
      <alignment horizontal="center" vertical="center"/>
    </xf>
    <xf numFmtId="166" fontId="14" fillId="0" borderId="22" xfId="0" applyNumberFormat="1" applyFont="1" applyBorder="1" applyAlignment="1">
      <alignment horizontal="center" vertical="center"/>
    </xf>
    <xf numFmtId="166" fontId="44" fillId="18" borderId="22" xfId="0" applyNumberFormat="1" applyFont="1" applyFill="1" applyBorder="1" applyAlignment="1">
      <alignment horizontal="center" vertical="center"/>
    </xf>
    <xf numFmtId="168" fontId="38" fillId="14" borderId="22" xfId="0" applyNumberFormat="1" applyFont="1" applyFill="1" applyBorder="1" applyAlignment="1">
      <alignment horizontal="center" vertical="center"/>
    </xf>
    <xf numFmtId="168" fontId="40" fillId="14" borderId="23" xfId="0" applyNumberFormat="1" applyFont="1" applyFill="1" applyBorder="1" applyAlignment="1">
      <alignment horizontal="center" vertical="center"/>
    </xf>
    <xf numFmtId="49" fontId="18" fillId="14" borderId="20" xfId="0" applyNumberFormat="1" applyFont="1" applyFill="1" applyBorder="1" applyAlignment="1">
      <alignment horizontal="center" vertical="center" wrapText="1"/>
    </xf>
    <xf numFmtId="0" fontId="23" fillId="10" borderId="24" xfId="1" applyFont="1" applyFill="1" applyBorder="1" applyAlignment="1">
      <alignment horizontal="center" vertical="center"/>
    </xf>
    <xf numFmtId="0" fontId="45" fillId="0" borderId="0" xfId="0" applyFont="1"/>
    <xf numFmtId="0" fontId="36" fillId="3" borderId="8" xfId="1" applyFont="1" applyFill="1" applyBorder="1" applyAlignment="1">
      <alignment horizontal="center" vertical="center" wrapText="1"/>
    </xf>
    <xf numFmtId="166" fontId="12" fillId="0" borderId="22" xfId="0" applyNumberFormat="1" applyFont="1" applyBorder="1" applyAlignment="1">
      <alignment horizontal="center" vertical="center" wrapText="1"/>
    </xf>
    <xf numFmtId="166" fontId="15" fillId="4" borderId="2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36" fillId="0" borderId="2" xfId="3" applyNumberFormat="1" applyFont="1" applyFill="1" applyBorder="1" applyAlignment="1">
      <alignment horizontal="center" vertical="center" wrapText="1"/>
    </xf>
    <xf numFmtId="167" fontId="20" fillId="2" borderId="13" xfId="1" applyNumberFormat="1" applyFont="1" applyFill="1" applyBorder="1" applyAlignment="1">
      <alignment horizontal="center" vertical="center" wrapText="1"/>
    </xf>
    <xf numFmtId="167" fontId="20" fillId="2" borderId="14" xfId="1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18" fillId="4" borderId="1" xfId="1" applyNumberFormat="1" applyFont="1" applyFill="1" applyBorder="1" applyAlignment="1">
      <alignment horizontal="center" vertical="center" wrapText="1"/>
    </xf>
    <xf numFmtId="49" fontId="18" fillId="4" borderId="5" xfId="1" applyNumberFormat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49" fontId="18" fillId="2" borderId="13" xfId="1" applyNumberFormat="1" applyFont="1" applyFill="1" applyBorder="1" applyAlignment="1">
      <alignment horizontal="center" vertical="center" wrapText="1"/>
    </xf>
    <xf numFmtId="49" fontId="18" fillId="2" borderId="14" xfId="1" applyNumberFormat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34" fillId="0" borderId="2" xfId="0" applyFont="1" applyBorder="1" applyAlignment="1">
      <alignment horizontal="center" wrapText="1"/>
    </xf>
    <xf numFmtId="166" fontId="12" fillId="4" borderId="13" xfId="1" applyNumberFormat="1" applyFont="1" applyFill="1" applyBorder="1" applyAlignment="1">
      <alignment horizontal="center" vertical="center" wrapText="1"/>
    </xf>
    <xf numFmtId="166" fontId="12" fillId="4" borderId="14" xfId="1" applyNumberFormat="1" applyFont="1" applyFill="1" applyBorder="1" applyAlignment="1">
      <alignment horizontal="center" vertical="center" wrapText="1"/>
    </xf>
    <xf numFmtId="166" fontId="27" fillId="2" borderId="25" xfId="1" applyNumberFormat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 wrapText="1"/>
    </xf>
    <xf numFmtId="0" fontId="6" fillId="3" borderId="27" xfId="1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6" fillId="3" borderId="28" xfId="2" applyFont="1" applyFill="1" applyBorder="1" applyAlignment="1">
      <alignment horizontal="center" vertical="center" wrapText="1"/>
    </xf>
    <xf numFmtId="165" fontId="36" fillId="0" borderId="11" xfId="3" applyNumberFormat="1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wrapText="1"/>
    </xf>
    <xf numFmtId="0" fontId="15" fillId="0" borderId="11" xfId="1" applyFont="1" applyBorder="1" applyAlignment="1">
      <alignment horizontal="center" vertical="center" wrapText="1"/>
    </xf>
    <xf numFmtId="166" fontId="15" fillId="4" borderId="11" xfId="1" applyNumberFormat="1" applyFont="1" applyFill="1" applyBorder="1" applyAlignment="1">
      <alignment horizontal="center" vertical="center" wrapText="1"/>
    </xf>
    <xf numFmtId="0" fontId="16" fillId="4" borderId="11" xfId="1" applyFont="1" applyFill="1" applyBorder="1" applyAlignment="1">
      <alignment horizontal="center" vertical="center" wrapText="1"/>
    </xf>
    <xf numFmtId="0" fontId="14" fillId="0" borderId="11" xfId="1" applyFont="1" applyBorder="1" applyAlignment="1">
      <alignment horizontal="left" vertical="center" wrapText="1"/>
    </xf>
    <xf numFmtId="166" fontId="15" fillId="0" borderId="11" xfId="1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166" fontId="15" fillId="0" borderId="11" xfId="0" applyNumberFormat="1" applyFont="1" applyBorder="1" applyAlignment="1">
      <alignment horizontal="center" vertical="center"/>
    </xf>
    <xf numFmtId="0" fontId="38" fillId="2" borderId="11" xfId="1" applyFont="1" applyFill="1" applyBorder="1" applyAlignment="1">
      <alignment horizontal="center" vertical="center" wrapText="1"/>
    </xf>
    <xf numFmtId="0" fontId="38" fillId="0" borderId="11" xfId="0" applyFont="1" applyBorder="1" applyAlignment="1">
      <alignment horizontal="left" vertical="center" wrapText="1"/>
    </xf>
    <xf numFmtId="0" fontId="14" fillId="0" borderId="2" xfId="1" applyFont="1" applyBorder="1" applyAlignment="1">
      <alignment horizontal="left" vertical="center" wrapText="1"/>
    </xf>
    <xf numFmtId="166" fontId="15" fillId="0" borderId="3" xfId="1" applyNumberFormat="1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166" fontId="15" fillId="0" borderId="30" xfId="1" applyNumberFormat="1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/>
    </xf>
    <xf numFmtId="0" fontId="38" fillId="0" borderId="6" xfId="0" applyFont="1" applyBorder="1" applyAlignment="1">
      <alignment horizontal="left" vertical="center" wrapText="1"/>
    </xf>
    <xf numFmtId="0" fontId="26" fillId="0" borderId="0" xfId="1" applyFont="1"/>
  </cellXfs>
  <cellStyles count="5">
    <cellStyle name="Millares 2 2 3 2 2 2 2" xfId="3" xr:uid="{366524C1-5468-42BA-9CEB-B00BAB473D80}"/>
    <cellStyle name="Normal" xfId="0" builtinId="0"/>
    <cellStyle name="Normal 2 2" xfId="1" xr:uid="{EF9C867C-C1BF-4F75-A5D5-76619CFBC61E}"/>
    <cellStyle name="Normal 2 3 2 2" xfId="4" xr:uid="{5A906D7D-358D-4A94-8CC1-AF5A76DD9D2C}"/>
    <cellStyle name="Normal 3 4 2" xfId="2" xr:uid="{0B6E6955-5526-411F-B720-8C200AE573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3</xdr:row>
      <xdr:rowOff>485775</xdr:rowOff>
    </xdr:from>
    <xdr:to>
      <xdr:col>4</xdr:col>
      <xdr:colOff>2095725</xdr:colOff>
      <xdr:row>4</xdr:row>
      <xdr:rowOff>809847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B18512-2B83-9D27-0410-D96CB70B4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1514475"/>
          <a:ext cx="1609950" cy="1590897"/>
        </a:xfrm>
        <a:prstGeom prst="rect">
          <a:avLst/>
        </a:prstGeom>
      </xdr:spPr>
    </xdr:pic>
    <xdr:clientData/>
  </xdr:twoCellAnchor>
  <xdr:twoCellAnchor editAs="oneCell">
    <xdr:from>
      <xdr:col>4</xdr:col>
      <xdr:colOff>102395</xdr:colOff>
      <xdr:row>5</xdr:row>
      <xdr:rowOff>428625</xdr:rowOff>
    </xdr:from>
    <xdr:to>
      <xdr:col>4</xdr:col>
      <xdr:colOff>2623209</xdr:colOff>
      <xdr:row>6</xdr:row>
      <xdr:rowOff>1160577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983D825-B47C-5517-003F-F87E10CFB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9426" y="6512719"/>
          <a:ext cx="2520814" cy="2327389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7</xdr:row>
      <xdr:rowOff>412750</xdr:rowOff>
    </xdr:from>
    <xdr:to>
      <xdr:col>4</xdr:col>
      <xdr:colOff>2095500</xdr:colOff>
      <xdr:row>7</xdr:row>
      <xdr:rowOff>2444749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72872DE-261D-4688-B7B9-26635A1DF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8531" y="9009063"/>
          <a:ext cx="1524000" cy="2031999"/>
        </a:xfrm>
        <a:prstGeom prst="rect">
          <a:avLst/>
        </a:prstGeom>
      </xdr:spPr>
    </xdr:pic>
    <xdr:clientData/>
  </xdr:twoCellAnchor>
  <xdr:twoCellAnchor editAs="oneCell">
    <xdr:from>
      <xdr:col>4</xdr:col>
      <xdr:colOff>452437</xdr:colOff>
      <xdr:row>8</xdr:row>
      <xdr:rowOff>273844</xdr:rowOff>
    </xdr:from>
    <xdr:to>
      <xdr:col>4</xdr:col>
      <xdr:colOff>2214561</xdr:colOff>
      <xdr:row>8</xdr:row>
      <xdr:rowOff>2623343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E81941-DC73-48A4-9E5B-A1A1C172A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9468" y="11799094"/>
          <a:ext cx="1762124" cy="2349499"/>
        </a:xfrm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9</xdr:row>
      <xdr:rowOff>881061</xdr:rowOff>
    </xdr:from>
    <xdr:to>
      <xdr:col>4</xdr:col>
      <xdr:colOff>2595563</xdr:colOff>
      <xdr:row>9</xdr:row>
      <xdr:rowOff>2390926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2D9A4B5-23CB-4B64-B55C-3927C7F25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40844" y="15335249"/>
          <a:ext cx="2571750" cy="1509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660C-A451-4EC2-A5E0-42342CD7551A}">
  <dimension ref="A1:AV10"/>
  <sheetViews>
    <sheetView tabSelected="1" zoomScale="70" zoomScaleNormal="70" workbookViewId="0">
      <selection activeCell="K2" sqref="K2"/>
    </sheetView>
  </sheetViews>
  <sheetFormatPr baseColWidth="10" defaultRowHeight="15.75" x14ac:dyDescent="0.25"/>
  <cols>
    <col min="1" max="1" width="3.28515625" customWidth="1"/>
    <col min="2" max="2" width="7.85546875" customWidth="1"/>
    <col min="3" max="3" width="13" customWidth="1"/>
    <col min="4" max="4" width="19.5703125" customWidth="1"/>
    <col min="5" max="5" width="39.5703125" customWidth="1"/>
    <col min="6" max="6" width="19.5703125" customWidth="1"/>
    <col min="7" max="7" width="19" customWidth="1"/>
    <col min="8" max="8" width="19.28515625" customWidth="1"/>
    <col min="9" max="9" width="81.140625" customWidth="1"/>
    <col min="10" max="10" width="23.85546875" customWidth="1"/>
    <col min="13" max="13" width="23" customWidth="1"/>
    <col min="14" max="14" width="15" customWidth="1"/>
    <col min="15" max="15" width="30.28515625" customWidth="1"/>
    <col min="17" max="17" width="18.28515625" customWidth="1"/>
    <col min="19" max="19" width="15.85546875" customWidth="1"/>
    <col min="20" max="20" width="20.5703125" customWidth="1"/>
    <col min="21" max="21" width="17.28515625" customWidth="1"/>
    <col min="23" max="23" width="18.28515625" customWidth="1"/>
    <col min="24" max="25" width="21" customWidth="1"/>
    <col min="26" max="26" width="35" style="90" customWidth="1"/>
    <col min="27" max="27" width="19" customWidth="1"/>
    <col min="31" max="31" width="18.5703125" customWidth="1"/>
    <col min="32" max="32" width="14.42578125" customWidth="1"/>
    <col min="33" max="33" width="14" customWidth="1"/>
    <col min="34" max="34" width="18.42578125" customWidth="1"/>
    <col min="35" max="35" width="14.5703125" customWidth="1"/>
    <col min="36" max="36" width="17.140625" customWidth="1"/>
    <col min="37" max="37" width="20.140625" customWidth="1"/>
  </cols>
  <sheetData>
    <row r="1" spans="1:48" ht="16.5" thickBot="1" x14ac:dyDescent="0.3"/>
    <row r="2" spans="1:48" ht="29.45" customHeight="1" thickBot="1" x14ac:dyDescent="0.3">
      <c r="B2" s="101" t="s">
        <v>73</v>
      </c>
      <c r="C2" s="102"/>
      <c r="D2" s="102"/>
      <c r="E2" s="102"/>
      <c r="F2" s="102"/>
      <c r="G2" s="102"/>
      <c r="H2" s="102"/>
      <c r="I2" s="102"/>
      <c r="J2" s="103"/>
      <c r="K2" s="136" t="s">
        <v>68</v>
      </c>
      <c r="L2" s="1"/>
      <c r="M2" s="108" t="s">
        <v>0</v>
      </c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"/>
      <c r="AE2" s="1"/>
      <c r="AF2" s="1"/>
      <c r="AG2" s="1"/>
      <c r="AH2" s="1"/>
      <c r="AI2" s="1"/>
      <c r="AJ2" s="1"/>
      <c r="AK2" s="1"/>
    </row>
    <row r="3" spans="1:48" ht="36" customHeight="1" thickBot="1" x14ac:dyDescent="0.3">
      <c r="B3" s="113" t="s">
        <v>1</v>
      </c>
      <c r="C3" s="114" t="s">
        <v>2</v>
      </c>
      <c r="D3" s="114" t="s">
        <v>3</v>
      </c>
      <c r="E3" s="114" t="s">
        <v>4</v>
      </c>
      <c r="F3" s="114" t="s">
        <v>5</v>
      </c>
      <c r="G3" s="115" t="s">
        <v>6</v>
      </c>
      <c r="H3" s="115" t="s">
        <v>7</v>
      </c>
      <c r="I3" s="116" t="s">
        <v>8</v>
      </c>
      <c r="J3" s="116"/>
      <c r="K3" s="2"/>
      <c r="L3" s="2"/>
      <c r="M3" s="3" t="s">
        <v>9</v>
      </c>
      <c r="N3" s="4" t="s">
        <v>10</v>
      </c>
      <c r="O3" s="4" t="s">
        <v>11</v>
      </c>
      <c r="P3" s="5" t="s">
        <v>12</v>
      </c>
      <c r="Q3" s="6" t="s">
        <v>13</v>
      </c>
      <c r="R3" s="7" t="s">
        <v>14</v>
      </c>
      <c r="S3" s="7" t="s">
        <v>15</v>
      </c>
      <c r="T3" s="7" t="s">
        <v>16</v>
      </c>
      <c r="U3" s="7" t="s">
        <v>17</v>
      </c>
      <c r="V3" s="7" t="s">
        <v>18</v>
      </c>
      <c r="W3" s="8" t="s">
        <v>19</v>
      </c>
      <c r="X3" s="3" t="s">
        <v>20</v>
      </c>
      <c r="Y3" s="5" t="s">
        <v>21</v>
      </c>
      <c r="Z3" s="91" t="s">
        <v>22</v>
      </c>
      <c r="AA3" s="9" t="s">
        <v>23</v>
      </c>
      <c r="AB3" s="9" t="s">
        <v>24</v>
      </c>
      <c r="AC3" s="9" t="s">
        <v>25</v>
      </c>
      <c r="AD3" s="9" t="s">
        <v>26</v>
      </c>
      <c r="AE3" s="10" t="s">
        <v>27</v>
      </c>
      <c r="AF3" s="11" t="s">
        <v>28</v>
      </c>
      <c r="AG3" s="11" t="s">
        <v>29</v>
      </c>
      <c r="AH3" s="12" t="s">
        <v>17</v>
      </c>
      <c r="AI3" s="13" t="s">
        <v>30</v>
      </c>
      <c r="AJ3" s="13" t="s">
        <v>31</v>
      </c>
      <c r="AK3" s="14" t="s">
        <v>32</v>
      </c>
      <c r="AN3" s="15" t="s">
        <v>33</v>
      </c>
      <c r="AO3" s="15" t="s">
        <v>34</v>
      </c>
      <c r="AP3" s="15" t="s">
        <v>35</v>
      </c>
      <c r="AQ3" s="15" t="s">
        <v>36</v>
      </c>
      <c r="AR3" s="15" t="s">
        <v>37</v>
      </c>
      <c r="AS3" s="15" t="s">
        <v>38</v>
      </c>
      <c r="AT3" s="16"/>
      <c r="AU3" s="17" t="s">
        <v>39</v>
      </c>
      <c r="AV3" s="17" t="s">
        <v>40</v>
      </c>
    </row>
    <row r="4" spans="1:48" s="1" customFormat="1" ht="99.95" customHeight="1" x14ac:dyDescent="0.25">
      <c r="B4" s="94">
        <v>1</v>
      </c>
      <c r="C4" s="95" t="s">
        <v>45</v>
      </c>
      <c r="D4" s="95" t="s">
        <v>44</v>
      </c>
      <c r="E4" s="109" t="s">
        <v>42</v>
      </c>
      <c r="F4" s="18">
        <v>500</v>
      </c>
      <c r="G4" s="93">
        <v>3.49</v>
      </c>
      <c r="H4" s="19" t="s">
        <v>41</v>
      </c>
      <c r="I4" s="130" t="s">
        <v>65</v>
      </c>
      <c r="J4" s="131">
        <f t="shared" ref="J4:J7" si="0">F4*G4</f>
        <v>1745</v>
      </c>
      <c r="K4"/>
      <c r="L4"/>
      <c r="M4" s="99" t="s">
        <v>67</v>
      </c>
      <c r="N4" s="106" t="s">
        <v>43</v>
      </c>
      <c r="O4" s="104" t="s">
        <v>46</v>
      </c>
      <c r="P4" s="96"/>
      <c r="Q4" s="20">
        <f>1800/500/2</f>
        <v>1.8</v>
      </c>
      <c r="R4" s="21">
        <v>40</v>
      </c>
      <c r="S4" s="22">
        <f t="shared" ref="S4:S5" si="1">Q4*R4/100</f>
        <v>0.72</v>
      </c>
      <c r="T4" s="23">
        <f t="shared" ref="T4:T5" si="2">S4*V4</f>
        <v>360</v>
      </c>
      <c r="U4" s="24">
        <f t="shared" ref="U4:U5" si="3">Q4+S4</f>
        <v>2.52</v>
      </c>
      <c r="V4" s="21">
        <f t="shared" ref="V4:V8" si="4">F4</f>
        <v>500</v>
      </c>
      <c r="W4" s="25">
        <f>U4*3</f>
        <v>7.5600000000000005</v>
      </c>
      <c r="X4" s="26">
        <v>100</v>
      </c>
      <c r="Y4" s="27">
        <f t="shared" ref="Y4:Y5" si="5">V4*U4+W4+X4</f>
        <v>1367.56</v>
      </c>
      <c r="Z4" s="110" t="s">
        <v>66</v>
      </c>
      <c r="AA4" s="26">
        <v>350</v>
      </c>
      <c r="AB4" s="28">
        <v>1</v>
      </c>
      <c r="AC4" s="28">
        <v>1</v>
      </c>
      <c r="AD4" s="28">
        <v>1</v>
      </c>
      <c r="AE4" s="29">
        <f t="shared" ref="AE4:AE5" si="6">AA4*AB4*AC4*AD4</f>
        <v>350</v>
      </c>
      <c r="AF4" s="30">
        <f>3.5*2</f>
        <v>7</v>
      </c>
      <c r="AG4" s="29">
        <f>0.5%*(Y4+AE4+AF4)</f>
        <v>8.6227999999999998</v>
      </c>
      <c r="AH4" s="31">
        <f t="shared" ref="AH4:AH5" si="7">Y4+AE4+AG4+AF4</f>
        <v>1733.1828</v>
      </c>
      <c r="AI4" s="32">
        <f t="shared" ref="AI4:AI5" si="8">AH4/V4</f>
        <v>3.4663656</v>
      </c>
      <c r="AJ4" s="33">
        <f t="shared" ref="AJ4:AJ5" si="9">AI4*18%</f>
        <v>0.62394580799999999</v>
      </c>
      <c r="AK4" s="34">
        <f t="shared" ref="AK4:AK5" si="10">AI4+AJ4</f>
        <v>4.0903114079999998</v>
      </c>
      <c r="AL4"/>
      <c r="AM4" s="35"/>
      <c r="AN4" s="36">
        <f t="shared" ref="AN4:AN5" si="11">AK4*V4</f>
        <v>2045.155704</v>
      </c>
      <c r="AO4" s="37">
        <f t="shared" ref="AO4:AO5" si="12">(AK4-(AK4/1.18))*V4</f>
        <v>311.97290399999986</v>
      </c>
      <c r="AP4" s="37">
        <f t="shared" ref="AP4:AP5" si="13">(AK4-(AK4/1.02))*V4</f>
        <v>40.101092235294011</v>
      </c>
      <c r="AQ4" s="37">
        <f t="shared" ref="AQ4:AQ5" si="14">(AK4-(AK4/1.05))*V4</f>
        <v>97.388366857142913</v>
      </c>
      <c r="AR4" s="37">
        <f t="shared" ref="AR4:AR5" si="15">S4*V4</f>
        <v>360</v>
      </c>
      <c r="AS4" s="38">
        <f t="shared" ref="AS4:AS5" si="16">AR4-AQ4-AP4</f>
        <v>222.5105409075631</v>
      </c>
      <c r="AT4" s="39"/>
      <c r="AU4" s="40">
        <f>AR4*100/(AN4-AO4-AR4)</f>
        <v>26.216465863102858</v>
      </c>
      <c r="AV4" s="40">
        <f t="shared" ref="AV4:AV5" si="17">AS4*100/(AN4-AO4-AR4-AP4-AQ4)</f>
        <v>18.006938577830223</v>
      </c>
    </row>
    <row r="5" spans="1:48" s="1" customFormat="1" ht="99.95" customHeight="1" thickBot="1" x14ac:dyDescent="0.3">
      <c r="B5" s="132"/>
      <c r="C5" s="117"/>
      <c r="D5" s="117"/>
      <c r="E5" s="118"/>
      <c r="F5" s="119">
        <v>100</v>
      </c>
      <c r="G5" s="120">
        <v>5.75</v>
      </c>
      <c r="H5" s="121" t="s">
        <v>41</v>
      </c>
      <c r="I5" s="122"/>
      <c r="J5" s="133">
        <f t="shared" si="0"/>
        <v>575</v>
      </c>
      <c r="K5"/>
      <c r="L5"/>
      <c r="M5" s="100"/>
      <c r="N5" s="107"/>
      <c r="O5" s="105"/>
      <c r="P5" s="97"/>
      <c r="Q5" s="41">
        <f>200/100</f>
        <v>2</v>
      </c>
      <c r="R5" s="42">
        <v>75</v>
      </c>
      <c r="S5" s="43">
        <f t="shared" si="1"/>
        <v>1.5</v>
      </c>
      <c r="T5" s="44">
        <f t="shared" si="2"/>
        <v>150</v>
      </c>
      <c r="U5" s="45">
        <f t="shared" si="3"/>
        <v>3.5</v>
      </c>
      <c r="V5" s="42">
        <f t="shared" si="4"/>
        <v>100</v>
      </c>
      <c r="W5" s="46">
        <f>U5*2</f>
        <v>7</v>
      </c>
      <c r="X5" s="47">
        <v>60</v>
      </c>
      <c r="Y5" s="48">
        <f t="shared" si="5"/>
        <v>417</v>
      </c>
      <c r="Z5" s="111"/>
      <c r="AA5" s="49">
        <v>150</v>
      </c>
      <c r="AB5" s="50">
        <v>1</v>
      </c>
      <c r="AC5" s="50">
        <v>1</v>
      </c>
      <c r="AD5" s="50">
        <v>1</v>
      </c>
      <c r="AE5" s="51">
        <f t="shared" si="6"/>
        <v>150</v>
      </c>
      <c r="AF5" s="52">
        <f>3.5</f>
        <v>3.5</v>
      </c>
      <c r="AG5" s="112">
        <f>0.5%*(Y5+AE5+AF5)</f>
        <v>2.8525</v>
      </c>
      <c r="AH5" s="53">
        <f t="shared" si="7"/>
        <v>573.35249999999996</v>
      </c>
      <c r="AI5" s="54">
        <f t="shared" si="8"/>
        <v>5.7335249999999993</v>
      </c>
      <c r="AJ5" s="55">
        <f t="shared" si="9"/>
        <v>1.0320344999999997</v>
      </c>
      <c r="AK5" s="56">
        <f t="shared" si="10"/>
        <v>6.7655594999999993</v>
      </c>
      <c r="AL5"/>
      <c r="AM5" s="35"/>
      <c r="AN5" s="36">
        <f t="shared" si="11"/>
        <v>676.55594999999994</v>
      </c>
      <c r="AO5" s="37">
        <f t="shared" si="12"/>
        <v>103.20345</v>
      </c>
      <c r="AP5" s="37">
        <f t="shared" si="13"/>
        <v>13.265802941176474</v>
      </c>
      <c r="AQ5" s="37">
        <f t="shared" si="14"/>
        <v>32.216950000000026</v>
      </c>
      <c r="AR5" s="37">
        <f t="shared" si="15"/>
        <v>150</v>
      </c>
      <c r="AS5" s="38">
        <f t="shared" si="16"/>
        <v>104.5172470588235</v>
      </c>
      <c r="AT5" s="39"/>
      <c r="AU5" s="40">
        <f t="shared" ref="AU5" si="18">AR5*100/(AN5-AO5-AR5)</f>
        <v>35.43146668556345</v>
      </c>
      <c r="AV5" s="40">
        <f t="shared" si="17"/>
        <v>27.659596427695273</v>
      </c>
    </row>
    <row r="6" spans="1:48" s="1" customFormat="1" ht="125.25" customHeight="1" x14ac:dyDescent="0.25">
      <c r="B6" s="132">
        <v>2</v>
      </c>
      <c r="C6" s="117" t="s">
        <v>49</v>
      </c>
      <c r="D6" s="117" t="s">
        <v>48</v>
      </c>
      <c r="E6" s="118" t="s">
        <v>42</v>
      </c>
      <c r="F6" s="119">
        <v>500</v>
      </c>
      <c r="G6" s="123">
        <v>4.59</v>
      </c>
      <c r="H6" s="121" t="s">
        <v>41</v>
      </c>
      <c r="I6" s="122" t="s">
        <v>72</v>
      </c>
      <c r="J6" s="133">
        <f t="shared" si="0"/>
        <v>2295</v>
      </c>
      <c r="K6"/>
      <c r="L6"/>
      <c r="M6" s="99" t="s">
        <v>47</v>
      </c>
      <c r="N6" s="106" t="s">
        <v>50</v>
      </c>
      <c r="O6" s="104" t="s">
        <v>51</v>
      </c>
      <c r="P6" s="96"/>
      <c r="Q6" s="20">
        <f>2.95/1.15</f>
        <v>2.5652173913043481</v>
      </c>
      <c r="R6" s="21">
        <v>40</v>
      </c>
      <c r="S6" s="22">
        <f t="shared" ref="S6:S7" si="19">Q6*R6/100</f>
        <v>1.0260869565217392</v>
      </c>
      <c r="T6" s="23">
        <f t="shared" ref="T6:T7" si="20">S6*V6</f>
        <v>513.04347826086962</v>
      </c>
      <c r="U6" s="24">
        <f t="shared" ref="U6:U7" si="21">Q6+S6</f>
        <v>3.5913043478260871</v>
      </c>
      <c r="V6" s="21">
        <f t="shared" si="4"/>
        <v>500</v>
      </c>
      <c r="W6" s="25">
        <f>U6*3</f>
        <v>10.773913043478261</v>
      </c>
      <c r="X6" s="26">
        <v>100</v>
      </c>
      <c r="Y6" s="27">
        <f t="shared" ref="Y6:Y7" si="22">V6*U6+W6+X6</f>
        <v>1906.4260869565217</v>
      </c>
      <c r="Z6" s="110" t="s">
        <v>64</v>
      </c>
      <c r="AA6" s="26">
        <v>350</v>
      </c>
      <c r="AB6" s="28">
        <v>1</v>
      </c>
      <c r="AC6" s="28">
        <v>1</v>
      </c>
      <c r="AD6" s="28">
        <v>1</v>
      </c>
      <c r="AE6" s="29">
        <f t="shared" ref="AE6:AE7" si="23">AA6*AB6*AC6*AD6</f>
        <v>350</v>
      </c>
      <c r="AF6" s="30">
        <f>3.5*2</f>
        <v>7</v>
      </c>
      <c r="AG6" s="29">
        <f>0.5%*(Y6+AE6+AF6)</f>
        <v>11.317130434782607</v>
      </c>
      <c r="AH6" s="31">
        <f t="shared" ref="AH6:AH7" si="24">Y6+AE6+AG6+AF6</f>
        <v>2274.7432173913039</v>
      </c>
      <c r="AI6" s="32">
        <f t="shared" ref="AI6:AI7" si="25">AH6/V6</f>
        <v>4.5494864347826081</v>
      </c>
      <c r="AJ6" s="33">
        <f t="shared" ref="AJ6:AJ7" si="26">AI6*18%</f>
        <v>0.81890755826086947</v>
      </c>
      <c r="AK6" s="34">
        <f t="shared" ref="AK6:AK7" si="27">AI6+AJ6</f>
        <v>5.3683939930434779</v>
      </c>
      <c r="AL6"/>
      <c r="AM6" s="35"/>
      <c r="AN6" s="36">
        <f t="shared" ref="AN6:AN7" si="28">AK6*V6</f>
        <v>2684.196996521739</v>
      </c>
      <c r="AO6" s="37">
        <f t="shared" ref="AO6:AO7" si="29">(AK6-(AK6/1.18))*V6</f>
        <v>409.45377913043444</v>
      </c>
      <c r="AP6" s="37">
        <f t="shared" ref="AP6:AP7" si="30">(AK6-(AK6/1.02))*V6</f>
        <v>52.631313657288899</v>
      </c>
      <c r="AQ6" s="37">
        <f t="shared" ref="AQ6:AQ7" si="31">(AK6-(AK6/1.05))*V6</f>
        <v>127.81890459627343</v>
      </c>
      <c r="AR6" s="37">
        <f t="shared" ref="AR6:AR7" si="32">S6*V6</f>
        <v>513.04347826086962</v>
      </c>
      <c r="AS6" s="38">
        <f t="shared" ref="AS6:AS7" si="33">AR6-AQ6-AP6</f>
        <v>332.59326000730726</v>
      </c>
      <c r="AT6" s="39"/>
      <c r="AU6" s="40">
        <f>AR6*100/(AN6-AO6-AR6)</f>
        <v>29.122072670232946</v>
      </c>
      <c r="AV6" s="40">
        <f t="shared" ref="AV6:AV7" si="34">AS6*100/(AN6-AO6-AR6-AP6-AQ6)</f>
        <v>21.033572223495096</v>
      </c>
    </row>
    <row r="7" spans="1:48" s="1" customFormat="1" ht="126.75" customHeight="1" thickBot="1" x14ac:dyDescent="0.3">
      <c r="B7" s="132"/>
      <c r="C7" s="117"/>
      <c r="D7" s="117"/>
      <c r="E7" s="118"/>
      <c r="F7" s="119">
        <v>100</v>
      </c>
      <c r="G7" s="120">
        <v>6.49</v>
      </c>
      <c r="H7" s="121" t="s">
        <v>41</v>
      </c>
      <c r="I7" s="122"/>
      <c r="J7" s="133">
        <f t="shared" si="0"/>
        <v>649</v>
      </c>
      <c r="K7"/>
      <c r="L7"/>
      <c r="M7" s="100"/>
      <c r="N7" s="107"/>
      <c r="O7" s="105"/>
      <c r="P7" s="97"/>
      <c r="Q7" s="41">
        <f>2.95/1.15</f>
        <v>2.5652173913043481</v>
      </c>
      <c r="R7" s="42">
        <v>65</v>
      </c>
      <c r="S7" s="43">
        <f t="shared" si="19"/>
        <v>1.6673913043478263</v>
      </c>
      <c r="T7" s="44">
        <f t="shared" si="20"/>
        <v>166.73913043478262</v>
      </c>
      <c r="U7" s="45">
        <f t="shared" si="21"/>
        <v>4.2326086956521749</v>
      </c>
      <c r="V7" s="42">
        <f t="shared" si="4"/>
        <v>100</v>
      </c>
      <c r="W7" s="46">
        <f>U7*2</f>
        <v>8.4652173913043498</v>
      </c>
      <c r="X7" s="47">
        <v>60</v>
      </c>
      <c r="Y7" s="48">
        <f t="shared" si="22"/>
        <v>491.72608695652184</v>
      </c>
      <c r="Z7" s="111"/>
      <c r="AA7" s="49">
        <v>150</v>
      </c>
      <c r="AB7" s="50">
        <v>1</v>
      </c>
      <c r="AC7" s="50">
        <v>1</v>
      </c>
      <c r="AD7" s="50">
        <v>1</v>
      </c>
      <c r="AE7" s="51">
        <f t="shared" si="23"/>
        <v>150</v>
      </c>
      <c r="AF7" s="52">
        <f>3.5</f>
        <v>3.5</v>
      </c>
      <c r="AG7" s="112">
        <f>0.5%*(Y7+AE7+AF7)</f>
        <v>3.2261304347826094</v>
      </c>
      <c r="AH7" s="53">
        <f t="shared" si="24"/>
        <v>648.45221739130443</v>
      </c>
      <c r="AI7" s="54">
        <f t="shared" si="25"/>
        <v>6.4845221739130441</v>
      </c>
      <c r="AJ7" s="55">
        <f t="shared" si="26"/>
        <v>1.167213991304348</v>
      </c>
      <c r="AK7" s="56">
        <f t="shared" si="27"/>
        <v>7.6517361652173923</v>
      </c>
      <c r="AL7"/>
      <c r="AM7" s="35"/>
      <c r="AN7" s="36">
        <f t="shared" si="28"/>
        <v>765.17361652173918</v>
      </c>
      <c r="AO7" s="37">
        <f t="shared" si="29"/>
        <v>116.72139913043473</v>
      </c>
      <c r="AP7" s="37">
        <f t="shared" si="30"/>
        <v>15.003404245524354</v>
      </c>
      <c r="AQ7" s="37">
        <f t="shared" si="31"/>
        <v>36.436838881987654</v>
      </c>
      <c r="AR7" s="37">
        <f t="shared" si="32"/>
        <v>166.73913043478262</v>
      </c>
      <c r="AS7" s="38">
        <f t="shared" si="33"/>
        <v>115.29888730727062</v>
      </c>
      <c r="AT7" s="39"/>
      <c r="AU7" s="40">
        <f t="shared" ref="AU7" si="35">AR7*100/(AN7-AO7-AR7)</f>
        <v>34.613784626082222</v>
      </c>
      <c r="AV7" s="40">
        <f t="shared" si="34"/>
        <v>26.796691671550231</v>
      </c>
    </row>
    <row r="8" spans="1:48" ht="231" customHeight="1" thickBot="1" x14ac:dyDescent="0.35">
      <c r="A8" s="57"/>
      <c r="B8" s="134">
        <v>3</v>
      </c>
      <c r="C8" s="124" t="s">
        <v>53</v>
      </c>
      <c r="D8" s="124"/>
      <c r="E8" s="125" t="s">
        <v>42</v>
      </c>
      <c r="F8" s="126">
        <v>21</v>
      </c>
      <c r="G8" s="127">
        <v>11.19</v>
      </c>
      <c r="H8" s="128" t="s">
        <v>41</v>
      </c>
      <c r="I8" s="129" t="s">
        <v>56</v>
      </c>
      <c r="J8" s="133">
        <f t="shared" ref="J8" si="36">F8*G8</f>
        <v>234.98999999999998</v>
      </c>
      <c r="K8" s="64"/>
      <c r="M8" s="67" t="s">
        <v>54</v>
      </c>
      <c r="N8" s="68"/>
      <c r="O8" s="88" t="s">
        <v>55</v>
      </c>
      <c r="P8" s="69"/>
      <c r="Q8" s="70">
        <v>4</v>
      </c>
      <c r="R8" s="71">
        <v>100</v>
      </c>
      <c r="S8" s="72">
        <f t="shared" ref="S8" si="37">Q8*R8/100</f>
        <v>4</v>
      </c>
      <c r="T8" s="73">
        <f t="shared" ref="T8" si="38">S8*V8</f>
        <v>84</v>
      </c>
      <c r="U8" s="74">
        <f t="shared" ref="U8" si="39">Q8+S8</f>
        <v>8</v>
      </c>
      <c r="V8" s="75">
        <f t="shared" si="4"/>
        <v>21</v>
      </c>
      <c r="W8" s="76">
        <f>Q8*0</f>
        <v>0</v>
      </c>
      <c r="X8" s="77">
        <v>65</v>
      </c>
      <c r="Y8" s="78">
        <f t="shared" ref="Y8" si="40">V8*U8+W8+X8</f>
        <v>233</v>
      </c>
      <c r="Z8" s="92" t="s">
        <v>52</v>
      </c>
      <c r="AA8" s="79">
        <v>0</v>
      </c>
      <c r="AB8" s="80">
        <v>1</v>
      </c>
      <c r="AC8" s="66">
        <v>1</v>
      </c>
      <c r="AD8" s="80">
        <v>1</v>
      </c>
      <c r="AE8" s="81">
        <f t="shared" ref="AE8" si="41">AA8*AB8*AC8*AD8</f>
        <v>0</v>
      </c>
      <c r="AF8" s="82">
        <v>0</v>
      </c>
      <c r="AG8" s="83">
        <f>0.5%*(Y8+AE8+AF8)</f>
        <v>1.165</v>
      </c>
      <c r="AH8" s="84">
        <f t="shared" ref="AH8" si="42">Y8+AE8+AG8+AF8</f>
        <v>234.16499999999999</v>
      </c>
      <c r="AI8" s="85">
        <f t="shared" ref="AI8" si="43">AH8/V8</f>
        <v>11.150714285714285</v>
      </c>
      <c r="AJ8" s="86">
        <f t="shared" ref="AJ8" si="44">AI8*18%</f>
        <v>2.0071285714285714</v>
      </c>
      <c r="AK8" s="87">
        <f t="shared" ref="AK8" si="45">AI8+AJ8</f>
        <v>13.157842857142857</v>
      </c>
      <c r="AL8" s="63"/>
    </row>
    <row r="9" spans="1:48" ht="231" customHeight="1" thickBot="1" x14ac:dyDescent="0.35">
      <c r="A9" s="57"/>
      <c r="B9" s="134">
        <v>4</v>
      </c>
      <c r="C9" s="124" t="s">
        <v>57</v>
      </c>
      <c r="D9" s="124"/>
      <c r="E9" s="125" t="s">
        <v>42</v>
      </c>
      <c r="F9" s="126">
        <v>42</v>
      </c>
      <c r="G9" s="127">
        <v>32.590000000000003</v>
      </c>
      <c r="H9" s="128" t="s">
        <v>63</v>
      </c>
      <c r="I9" s="129" t="s">
        <v>69</v>
      </c>
      <c r="J9" s="133">
        <f t="shared" ref="J9" si="46">F9*G9</f>
        <v>1368.7800000000002</v>
      </c>
      <c r="K9" s="64"/>
      <c r="M9" s="67" t="s">
        <v>58</v>
      </c>
      <c r="N9" s="68"/>
      <c r="O9" s="88" t="s">
        <v>59</v>
      </c>
      <c r="P9" s="69"/>
      <c r="Q9" s="70">
        <f>((28*20+14*24)/40)</f>
        <v>22.4</v>
      </c>
      <c r="R9" s="71">
        <v>30</v>
      </c>
      <c r="S9" s="72">
        <f t="shared" ref="S9" si="47">Q9*R9/100</f>
        <v>6.72</v>
      </c>
      <c r="T9" s="73">
        <f t="shared" ref="T9" si="48">S9*V9</f>
        <v>282.24</v>
      </c>
      <c r="U9" s="74">
        <f t="shared" ref="U9" si="49">Q9+S9</f>
        <v>29.119999999999997</v>
      </c>
      <c r="V9" s="75">
        <v>42</v>
      </c>
      <c r="W9" s="76">
        <f>Q9*2</f>
        <v>44.8</v>
      </c>
      <c r="X9" s="77">
        <v>80</v>
      </c>
      <c r="Y9" s="78">
        <f t="shared" ref="Y9" si="50">V9*U9+W9+X9</f>
        <v>1347.84</v>
      </c>
      <c r="Z9" s="92" t="s">
        <v>52</v>
      </c>
      <c r="AA9" s="79">
        <v>0</v>
      </c>
      <c r="AB9" s="80">
        <v>1</v>
      </c>
      <c r="AC9" s="89">
        <v>1</v>
      </c>
      <c r="AD9" s="80">
        <v>1</v>
      </c>
      <c r="AE9" s="81">
        <f t="shared" ref="AE9" si="51">AA9*AB9*AC9*AD9</f>
        <v>0</v>
      </c>
      <c r="AF9" s="82">
        <v>12</v>
      </c>
      <c r="AG9" s="83">
        <f t="shared" ref="AG9:AG10" si="52">0.5%*(Y9+AE9+AF9)</f>
        <v>6.7991999999999999</v>
      </c>
      <c r="AH9" s="84">
        <f t="shared" ref="AH9" si="53">Y9+AE9+AG9+AF9</f>
        <v>1366.6391999999998</v>
      </c>
      <c r="AI9" s="85">
        <f t="shared" ref="AI9" si="54">AH9/V9</f>
        <v>32.539028571428567</v>
      </c>
      <c r="AJ9" s="86">
        <f t="shared" ref="AJ9" si="55">AI9*18%</f>
        <v>5.8570251428571414</v>
      </c>
      <c r="AK9" s="87">
        <f t="shared" ref="AK9" si="56">AI9+AJ9</f>
        <v>38.396053714285706</v>
      </c>
      <c r="AL9" s="63"/>
    </row>
    <row r="10" spans="1:48" ht="275.25" customHeight="1" thickBot="1" x14ac:dyDescent="0.35">
      <c r="A10" s="57"/>
      <c r="B10" s="58">
        <v>5</v>
      </c>
      <c r="C10" s="98" t="s">
        <v>60</v>
      </c>
      <c r="D10" s="98"/>
      <c r="E10" s="65" t="s">
        <v>42</v>
      </c>
      <c r="F10" s="59">
        <v>100</v>
      </c>
      <c r="G10" s="60">
        <v>55.9</v>
      </c>
      <c r="H10" s="61" t="s">
        <v>71</v>
      </c>
      <c r="I10" s="135" t="s">
        <v>70</v>
      </c>
      <c r="J10" s="62">
        <f t="shared" ref="J10" si="57">F10*G10</f>
        <v>5590</v>
      </c>
      <c r="K10" s="64"/>
      <c r="M10" s="67" t="s">
        <v>61</v>
      </c>
      <c r="N10" s="68"/>
      <c r="O10" s="88" t="s">
        <v>62</v>
      </c>
      <c r="P10" s="69"/>
      <c r="Q10" s="70">
        <f>35+1+5</f>
        <v>41</v>
      </c>
      <c r="R10" s="71">
        <v>30</v>
      </c>
      <c r="S10" s="72">
        <f t="shared" ref="S10" si="58">Q10*R10/100</f>
        <v>12.3</v>
      </c>
      <c r="T10" s="73">
        <f>S10*V10</f>
        <v>1230</v>
      </c>
      <c r="U10" s="74">
        <f t="shared" ref="U10" si="59">Q10+S10</f>
        <v>53.3</v>
      </c>
      <c r="V10" s="75">
        <v>100</v>
      </c>
      <c r="W10" s="76">
        <f>Q10*1</f>
        <v>41</v>
      </c>
      <c r="X10" s="77">
        <v>160</v>
      </c>
      <c r="Y10" s="78">
        <f t="shared" ref="Y10" si="60">V10*U10+W10+X10</f>
        <v>5531</v>
      </c>
      <c r="Z10" s="92" t="s">
        <v>52</v>
      </c>
      <c r="AA10" s="79">
        <v>0</v>
      </c>
      <c r="AB10" s="80">
        <v>1</v>
      </c>
      <c r="AC10" s="89">
        <v>1</v>
      </c>
      <c r="AD10" s="80">
        <v>1</v>
      </c>
      <c r="AE10" s="81">
        <f t="shared" ref="AE10" si="61">AA10*AB10*AC10*AD10</f>
        <v>0</v>
      </c>
      <c r="AF10" s="82">
        <v>30</v>
      </c>
      <c r="AG10" s="83">
        <f t="shared" si="52"/>
        <v>27.805</v>
      </c>
      <c r="AH10" s="84">
        <f t="shared" ref="AH10" si="62">Y10+AE10+AG10+AF10</f>
        <v>5588.8050000000003</v>
      </c>
      <c r="AI10" s="85">
        <f t="shared" ref="AI10" si="63">AH10/V10</f>
        <v>55.88805</v>
      </c>
      <c r="AJ10" s="86">
        <f t="shared" ref="AJ10" si="64">AI10*18%</f>
        <v>10.059849</v>
      </c>
      <c r="AK10" s="87">
        <f t="shared" ref="AK10" si="65">AI10+AJ10</f>
        <v>65.947899000000007</v>
      </c>
      <c r="AL10" s="63"/>
    </row>
  </sheetData>
  <mergeCells count="25">
    <mergeCell ref="B2:J2"/>
    <mergeCell ref="O4:O5"/>
    <mergeCell ref="N6:N7"/>
    <mergeCell ref="O6:O7"/>
    <mergeCell ref="M2:AC2"/>
    <mergeCell ref="B4:B5"/>
    <mergeCell ref="C4:C5"/>
    <mergeCell ref="D4:D5"/>
    <mergeCell ref="E4:E5"/>
    <mergeCell ref="I4:I5"/>
    <mergeCell ref="M4:M5"/>
    <mergeCell ref="Z4:Z5"/>
    <mergeCell ref="Z6:Z7"/>
    <mergeCell ref="D6:D7"/>
    <mergeCell ref="E6:E7"/>
    <mergeCell ref="N4:N5"/>
    <mergeCell ref="B6:B7"/>
    <mergeCell ref="C6:C7"/>
    <mergeCell ref="P6:P7"/>
    <mergeCell ref="P4:P5"/>
    <mergeCell ref="C10:D10"/>
    <mergeCell ref="C9:D9"/>
    <mergeCell ref="C8:D8"/>
    <mergeCell ref="I6:I7"/>
    <mergeCell ref="M6:M7"/>
  </mergeCells>
  <pageMargins left="0.7" right="0.7" top="0.75" bottom="0.75" header="0.3" footer="0.3"/>
  <ignoredErrors>
    <ignoredError sqref="N6" numberStoredAsText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Juarez</dc:creator>
  <cp:lastModifiedBy>Área Comercial</cp:lastModifiedBy>
  <dcterms:created xsi:type="dcterms:W3CDTF">2026-05-11T18:05:50Z</dcterms:created>
  <dcterms:modified xsi:type="dcterms:W3CDTF">2026-05-15T18:31:08Z</dcterms:modified>
</cp:coreProperties>
</file>