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Nueva carpeta\"/>
    </mc:Choice>
  </mc:AlternateContent>
  <xr:revisionPtr revIDLastSave="0" documentId="13_ncr:1_{54314F9D-139C-4737-A645-506C29F09529}" xr6:coauthVersionLast="47" xr6:coauthVersionMax="47" xr10:uidLastSave="{00000000-0000-0000-0000-000000000000}"/>
  <bookViews>
    <workbookView xWindow="-120" yWindow="-120" windowWidth="29040" windowHeight="15720" xr2:uid="{C71F0211-A8BA-4D5F-9E85-206E103219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8" i="1" l="1"/>
  <c r="AE7" i="1"/>
  <c r="P8" i="1"/>
  <c r="P7" i="1"/>
  <c r="P6" i="1"/>
  <c r="AE4" i="1"/>
  <c r="AD8" i="1"/>
  <c r="U8" i="1"/>
  <c r="AD7" i="1"/>
  <c r="U7" i="1"/>
  <c r="R7" i="1"/>
  <c r="AE5" i="1"/>
  <c r="AD4" i="1"/>
  <c r="U4" i="1"/>
  <c r="P4" i="1"/>
  <c r="S7" i="1" l="1"/>
  <c r="AQ7" i="1"/>
  <c r="T7" i="1"/>
  <c r="V7" i="1" s="1"/>
  <c r="R8" i="1"/>
  <c r="T8" i="1" s="1"/>
  <c r="V8" i="1" s="1"/>
  <c r="R4" i="1"/>
  <c r="T4" i="1" s="1"/>
  <c r="V4" i="1" s="1"/>
  <c r="X8" i="1" l="1"/>
  <c r="S8" i="1"/>
  <c r="AQ8" i="1"/>
  <c r="X7" i="1"/>
  <c r="S4" i="1"/>
  <c r="AQ4" i="1"/>
  <c r="X4" i="1"/>
  <c r="AF8" i="1" l="1"/>
  <c r="AG8" i="1" s="1"/>
  <c r="AH8" i="1" s="1"/>
  <c r="AF7" i="1"/>
  <c r="AG7" i="1" s="1"/>
  <c r="AH7" i="1" s="1"/>
  <c r="AF4" i="1"/>
  <c r="AG4" i="1" s="1"/>
  <c r="AH4" i="1" s="1"/>
  <c r="AI7" i="1" l="1"/>
  <c r="AJ7" i="1" s="1"/>
  <c r="G7" i="1"/>
  <c r="AI8" i="1"/>
  <c r="AJ8" i="1" s="1"/>
  <c r="G8" i="1"/>
  <c r="AI4" i="1"/>
  <c r="AJ4" i="1" s="1"/>
  <c r="G4" i="1"/>
  <c r="AM8" i="1" l="1"/>
  <c r="AP8" i="1"/>
  <c r="AN8" i="1"/>
  <c r="AO8" i="1"/>
  <c r="AP7" i="1"/>
  <c r="AO7" i="1"/>
  <c r="AM7" i="1"/>
  <c r="AN7" i="1"/>
  <c r="AP4" i="1"/>
  <c r="AO4" i="1"/>
  <c r="AN4" i="1"/>
  <c r="AM4" i="1"/>
  <c r="AR7" i="1" l="1"/>
  <c r="AU7" i="1" s="1"/>
  <c r="AR8" i="1"/>
  <c r="AU8" i="1" s="1"/>
  <c r="AT7" i="1"/>
  <c r="AT8" i="1"/>
  <c r="AT4" i="1"/>
  <c r="AR4" i="1"/>
  <c r="AU4" i="1" s="1"/>
  <c r="R6" i="1" l="1"/>
  <c r="T6" i="1" s="1"/>
  <c r="V6" i="1" s="1"/>
  <c r="AD6" i="1"/>
  <c r="U6" i="1"/>
  <c r="U5" i="1"/>
  <c r="AD5" i="1"/>
  <c r="X6" i="1" l="1"/>
  <c r="S6" i="1"/>
  <c r="AQ6" i="1"/>
  <c r="R5" i="1"/>
  <c r="T5" i="1" s="1"/>
  <c r="V5" i="1" s="1"/>
  <c r="AF6" i="1" l="1"/>
  <c r="AG6" i="1" s="1"/>
  <c r="AH6" i="1" s="1"/>
  <c r="X5" i="1"/>
  <c r="S5" i="1"/>
  <c r="AQ5" i="1"/>
  <c r="AI6" i="1" l="1"/>
  <c r="AJ6" i="1" s="1"/>
  <c r="G6" i="1"/>
  <c r="AF5" i="1"/>
  <c r="AG5" i="1" s="1"/>
  <c r="AH5" i="1" s="1"/>
  <c r="AO6" i="1" l="1"/>
  <c r="AM6" i="1"/>
  <c r="AP6" i="1"/>
  <c r="AN6" i="1"/>
  <c r="AI5" i="1"/>
  <c r="AJ5" i="1" s="1"/>
  <c r="G5" i="1"/>
  <c r="AR6" i="1" l="1"/>
  <c r="AU6" i="1" s="1"/>
  <c r="AT6" i="1"/>
  <c r="AP5" i="1"/>
  <c r="AO5" i="1"/>
  <c r="AN5" i="1"/>
  <c r="AM5" i="1"/>
  <c r="AT5" i="1" l="1"/>
  <c r="AR5" i="1"/>
  <c r="AU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E3" authorId="0" shapeId="0" xr:uid="{5CD557D2-4DC0-48E5-BF6B-3F1F73F4D906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F3" authorId="0" shapeId="0" xr:uid="{267435FE-3407-4EAD-90B8-1CC20428114E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</commentList>
</comments>
</file>

<file path=xl/sharedStrings.xml><?xml version="1.0" encoding="utf-8"?>
<sst xmlns="http://schemas.openxmlformats.org/spreadsheetml/2006/main" count="73" uniqueCount="63">
  <si>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</si>
  <si>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Nº</t>
  </si>
  <si>
    <t>Cód. Artíc.</t>
  </si>
  <si>
    <t>Artículo</t>
  </si>
  <si>
    <t>Foto</t>
  </si>
  <si>
    <t>Cant.</t>
  </si>
  <si>
    <t xml:space="preserve">Costo uni. No IGV (S/.) </t>
  </si>
  <si>
    <t>Tiempo Entrega</t>
  </si>
  <si>
    <t>Detalles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</si>
  <si>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</si>
  <si>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</si>
  <si>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</si>
  <si>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</si>
  <si>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</si>
  <si>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</si>
  <si>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</si>
  <si>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</si>
  <si>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</si>
  <si>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</si>
  <si>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</si>
  <si>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</si>
  <si>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</si>
  <si>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</si>
  <si>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</si>
  <si>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</si>
  <si>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</si>
  <si>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</si>
  <si>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</si>
  <si>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</si>
  <si>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</si>
  <si>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</si>
  <si>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</si>
  <si>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</si>
  <si>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Total Factura</t>
  </si>
  <si>
    <t>impuesto 18%</t>
  </si>
  <si>
    <t>impuesto 2%</t>
  </si>
  <si>
    <t>Gastos Administracion 5%</t>
  </si>
  <si>
    <t>Utilidad bruta</t>
  </si>
  <si>
    <t>Utilidad</t>
  </si>
  <si>
    <t>% Bruto</t>
  </si>
  <si>
    <t>% utilidad</t>
  </si>
  <si>
    <r>
      <rPr>
        <sz val="11"/>
        <color rgb="FFFF0000"/>
        <rFont val="Calibri"/>
        <family val="2"/>
        <scheme val="minor"/>
      </rPr>
      <t>Imagen referencial</t>
    </r>
    <r>
      <rPr>
        <sz val="11"/>
        <color theme="1"/>
        <rFont val="Calibri"/>
        <family val="2"/>
        <scheme val="minor"/>
      </rPr>
      <t xml:space="preserve"> </t>
    </r>
  </si>
  <si>
    <t>BOLSA</t>
  </si>
  <si>
    <r>
      <rPr>
        <b/>
        <u/>
        <sz val="14"/>
        <color theme="1"/>
        <rFont val="Calibri"/>
        <family val="2"/>
        <scheme val="minor"/>
      </rPr>
      <t>BOLSA</t>
    </r>
    <r>
      <rPr>
        <sz val="14"/>
        <color theme="1"/>
        <rFont val="Calibri"/>
        <family val="2"/>
        <scheme val="minor"/>
      </rPr>
      <t xml:space="preserve">
Materal: Couche 200 gr. 
Medida: 24 cm x 20 cm | Fuelle 10 cm x 10 cm base
Impresion full color en toda la bolsa
Con asa driza
Acabado: Plastificado mate
</t>
    </r>
    <r>
      <rPr>
        <sz val="14"/>
        <color rgb="FFFF0000"/>
        <rFont val="Calibri"/>
        <family val="2"/>
        <scheme val="minor"/>
      </rPr>
      <t xml:space="preserve">*Arte y diseño facilitado por el cliente </t>
    </r>
  </si>
  <si>
    <t>NECESER</t>
  </si>
  <si>
    <t>BOLSA PLANA</t>
  </si>
  <si>
    <t>JANPAX
Cel. 977 236 129</t>
  </si>
  <si>
    <t>INCLUYE</t>
  </si>
  <si>
    <t>50/50
MIRAFLORES</t>
  </si>
  <si>
    <t>COTIZACIÓN PROPUESTA_MARY KAY_VARIOS ITEMS_02.06.26</t>
  </si>
  <si>
    <r>
      <rPr>
        <b/>
        <u/>
        <sz val="14"/>
        <color theme="1"/>
        <rFont val="Calibri"/>
        <family val="2"/>
        <scheme val="minor"/>
      </rPr>
      <t>BOLSA PLANA</t>
    </r>
    <r>
      <rPr>
        <sz val="14"/>
        <color theme="1"/>
        <rFont val="Calibri"/>
        <family val="2"/>
        <scheme val="minor"/>
      </rPr>
      <t xml:space="preserve">
Material: Plastico 2 micras
Medida: 20 x 30 cm
Color: Blanco
</t>
    </r>
    <r>
      <rPr>
        <sz val="14"/>
        <color rgb="FFFF0000"/>
        <rFont val="Calibri"/>
        <family val="2"/>
        <scheme val="minor"/>
      </rPr>
      <t>*Incluye 1 logo a 1 color por 1 lado
*Arte y diseño facilitado por el cliente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>+ S/.0.50 +IGV costo adicional por otro logo a 1 color</t>
    </r>
  </si>
  <si>
    <t>10 a 12
días útiles</t>
  </si>
  <si>
    <t>1000 a S/. 470
+IGV 
Costo adicional por logo en otro lado 
 S/. 200
+IGV 
Tiempo 7 dias
Stock color blanco
la impresión solo trabaja a 1 color y logo centrado
Muestra S/.100</t>
  </si>
  <si>
    <t>INNOVAGRAF
Couche 200 gr.
1000 a S/.1200 +IGV
Tiempo 5 dias
+IGV
/
IMPRESIONES GRAFICA GENERALES
Couche 200 o 250 gr. 
1000 a S/. 2.30 Incluido IGV C/U
Tiempo 12 dias</t>
  </si>
  <si>
    <t>15 a 17
días útiles</t>
  </si>
  <si>
    <r>
      <t xml:space="preserve">INNOVAGRAF
Cel. 966760501
/
</t>
    </r>
    <r>
      <rPr>
        <b/>
        <sz val="11"/>
        <color theme="1"/>
        <rFont val="Calibri"/>
        <family val="2"/>
        <scheme val="minor"/>
      </rPr>
      <t xml:space="preserve">IMPRESIONES GRAFICA GENERALES
Fredy
Cel.925 609 686
</t>
    </r>
  </si>
  <si>
    <r>
      <rPr>
        <b/>
        <u/>
        <sz val="14"/>
        <color theme="1"/>
        <rFont val="Calibri"/>
        <family val="2"/>
        <scheme val="minor"/>
      </rPr>
      <t>NECESER</t>
    </r>
    <r>
      <rPr>
        <sz val="14"/>
        <color theme="1"/>
        <rFont val="Calibri"/>
        <family val="2"/>
        <scheme val="minor"/>
      </rPr>
      <t xml:space="preserve">
Material: Cationic
Incluye forro tafeta
Medida: 20 cm de ancho x 15 cm alto x 10 cm fuelle
1 compartimiento principal cierre rey
Color : 2 colores (A elegir) segun imagen modelo
Presentación: Empaque grupal 
</t>
    </r>
    <r>
      <rPr>
        <sz val="14"/>
        <color rgb="FFFF0000"/>
        <rFont val="Calibri"/>
        <family val="2"/>
        <scheme val="minor"/>
      </rPr>
      <t xml:space="preserve">*Incluye 1 logo a 3 colores por 1 lado estampado
*Arte y diseño facilitado por el cliente </t>
    </r>
  </si>
  <si>
    <t>INVERSIONE IGOE 
1000 a S/. 8.90
500 a S/. 9.30
Incluye IGV 
Logo en Serigrafia
1000 a S/. 8.50
500 a S/. 9.00
Incluye IGV 
Logo en DTF 
/
GUSTAVO
500 a S/. 8.80 
+IGV 
Tiempo 15 días 
Logo estampado</t>
  </si>
  <si>
    <r>
      <t xml:space="preserve">INVERSIONES IGOE
Cel. 972 055 180
/
</t>
    </r>
    <r>
      <rPr>
        <b/>
        <sz val="11"/>
        <color theme="1"/>
        <rFont val="Calibri"/>
        <family val="2"/>
        <scheme val="minor"/>
      </rPr>
      <t>GUSTAVO
Cel. 999 272 675</t>
    </r>
  </si>
  <si>
    <t>17 a 20
días útiles</t>
  </si>
  <si>
    <r>
      <rPr>
        <b/>
        <u/>
        <sz val="14"/>
        <color theme="1"/>
        <rFont val="Calibri"/>
        <family val="2"/>
        <scheme val="minor"/>
      </rPr>
      <t xml:space="preserve">BOLSA </t>
    </r>
    <r>
      <rPr>
        <sz val="14"/>
        <color theme="1"/>
        <rFont val="Calibri"/>
        <family val="2"/>
        <scheme val="minor"/>
      </rPr>
      <t xml:space="preserve">
Material: Couche 200 gr.
Medida: 24 cm x 20 cm | Fuelle 10 cm x 10 cm base
Impresion full color en toda la bolsa
Asa en cinta satinada
Acabado: Plastificado mate
</t>
    </r>
    <r>
      <rPr>
        <sz val="14"/>
        <color rgb="FFFF0000"/>
        <rFont val="Calibri"/>
        <family val="2"/>
        <scheme val="minor"/>
      </rPr>
      <t xml:space="preserve">*Arte y diseño facilitado por el cliente </t>
    </r>
  </si>
  <si>
    <t>IMPRESIONES GRAFICA GENERALES
Fredy
Cel.925 609 686
/
SERVICIOS PUBLICITARIOS
Gianina
Cel.992454160</t>
  </si>
  <si>
    <t>IMPRESIONES GRAFICA GENERALES
1000 und a S/.2.30
Incluido IGV C/U
Tiempo 15 dias
/
SERVICIOS PUBLICITARIOS GYL
1000 und a S/.2800 +IGV
Tiempo 10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</si>
</sst>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/.&quot;\ #,##0.00"/>
    <numFmt numFmtId="165" formatCode="_ &quot;S/.&quot;\ * #,##0.00_ ;_ &quot;S/.&quot;\ * \-#,##0.00_ ;_ &quot;S/.&quot;\ * &quot;-&quot;??_ ;_ @_ "/>
    <numFmt numFmtId="166" formatCode="[$S/.-280A]\ #,##0.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00000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name val="Arial"/>
      <family val="2"/>
    </font>
    <font>
      <sz val="16"/>
      <color indexed="8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color rgb="FFFF0000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sz val="14"/>
      <color rgb="FF000000"/>
      <name val="Arial"/>
      <family val="2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sz val="14"/>
      <color rgb="FFFF0000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rgb="FFC00000"/>
      <name val="Calibri"/>
      <family val="2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rgb="FF000000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0" fontId="1" fillId="0" borderId="0"/>
  </cellStyleXfs>
  <cellXfs count="128">
    <xf numFmtId="0" fontId="0" fillId="0" borderId="0" xfId="0"/>
    <xf numFmtId="0" fontId="4" fillId="0" borderId="0" xfId="1"/>
    <xf numFmtId="0" fontId="4" fillId="4" borderId="0" xfId="1" applyFill="1"/>
    <xf numFmtId="0" fontId="8" fillId="5" borderId="5" xfId="1" applyFont="1" applyFill="1" applyBorder="1" applyAlignment="1">
      <alignment horizontal="center" vertical="center" wrapText="1"/>
    </xf>
    <xf numFmtId="0" fontId="8" fillId="5" borderId="6" xfId="1" applyFont="1" applyFill="1" applyBorder="1" applyAlignment="1">
      <alignment horizontal="center" vertical="center" wrapText="1"/>
    </xf>
    <xf numFmtId="0" fontId="8" fillId="5" borderId="7" xfId="1" applyFont="1" applyFill="1" applyBorder="1" applyAlignment="1">
      <alignment horizontal="center" vertical="center" wrapText="1"/>
    </xf>
    <xf numFmtId="0" fontId="6" fillId="6" borderId="5" xfId="1" applyFont="1" applyFill="1" applyBorder="1" applyAlignment="1">
      <alignment horizontal="center" vertical="center" wrapText="1"/>
    </xf>
    <xf numFmtId="0" fontId="6" fillId="6" borderId="6" xfId="1" applyFont="1" applyFill="1" applyBorder="1" applyAlignment="1">
      <alignment horizontal="center" vertical="center" wrapText="1"/>
    </xf>
    <xf numFmtId="0" fontId="6" fillId="6" borderId="7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9" fillId="5" borderId="5" xfId="1" applyFont="1" applyFill="1" applyBorder="1" applyAlignment="1">
      <alignment horizontal="center" vertical="center" wrapText="1"/>
    </xf>
    <xf numFmtId="0" fontId="8" fillId="7" borderId="5" xfId="1" applyFont="1" applyFill="1" applyBorder="1" applyAlignment="1">
      <alignment horizontal="center" vertical="center" wrapText="1"/>
    </xf>
    <xf numFmtId="0" fontId="10" fillId="7" borderId="6" xfId="1" applyFont="1" applyFill="1" applyBorder="1" applyAlignment="1">
      <alignment horizontal="center" vertical="center" wrapText="1"/>
    </xf>
    <xf numFmtId="9" fontId="10" fillId="7" borderId="7" xfId="1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wrapText="1"/>
    </xf>
    <xf numFmtId="0" fontId="11" fillId="0" borderId="0" xfId="0" applyFont="1"/>
    <xf numFmtId="0" fontId="12" fillId="8" borderId="8" xfId="0" applyFont="1" applyFill="1" applyBorder="1" applyAlignment="1">
      <alignment horizontal="center" wrapText="1"/>
    </xf>
    <xf numFmtId="0" fontId="13" fillId="0" borderId="2" xfId="1" applyFont="1" applyBorder="1" applyAlignment="1">
      <alignment horizontal="center" vertical="center" wrapText="1"/>
    </xf>
    <xf numFmtId="164" fontId="13" fillId="0" borderId="2" xfId="1" applyNumberFormat="1" applyFont="1" applyBorder="1" applyAlignment="1">
      <alignment horizontal="center" vertical="center" wrapText="1"/>
    </xf>
    <xf numFmtId="0" fontId="14" fillId="4" borderId="2" xfId="1" applyFont="1" applyFill="1" applyBorder="1" applyAlignment="1">
      <alignment horizontal="center" vertical="center" wrapText="1"/>
    </xf>
    <xf numFmtId="166" fontId="18" fillId="9" borderId="2" xfId="1" applyNumberFormat="1" applyFont="1" applyFill="1" applyBorder="1" applyAlignment="1">
      <alignment horizontal="center" vertical="center"/>
    </xf>
    <xf numFmtId="0" fontId="19" fillId="10" borderId="2" xfId="1" applyFont="1" applyFill="1" applyBorder="1" applyAlignment="1">
      <alignment horizontal="center" vertical="center"/>
    </xf>
    <xf numFmtId="166" fontId="20" fillId="11" borderId="2" xfId="1" applyNumberFormat="1" applyFont="1" applyFill="1" applyBorder="1" applyAlignment="1">
      <alignment horizontal="center" vertical="center"/>
    </xf>
    <xf numFmtId="164" fontId="21" fillId="11" borderId="2" xfId="1" applyNumberFormat="1" applyFont="1" applyFill="1" applyBorder="1" applyAlignment="1">
      <alignment horizontal="center" vertical="center"/>
    </xf>
    <xf numFmtId="164" fontId="22" fillId="11" borderId="2" xfId="1" applyNumberFormat="1" applyFont="1" applyFill="1" applyBorder="1" applyAlignment="1">
      <alignment horizontal="center" vertical="center"/>
    </xf>
    <xf numFmtId="164" fontId="20" fillId="11" borderId="2" xfId="1" applyNumberFormat="1" applyFont="1" applyFill="1" applyBorder="1" applyAlignment="1">
      <alignment horizontal="center" vertical="center"/>
    </xf>
    <xf numFmtId="164" fontId="18" fillId="12" borderId="2" xfId="1" applyNumberFormat="1" applyFont="1" applyFill="1" applyBorder="1" applyAlignment="1">
      <alignment horizontal="center" vertical="center"/>
    </xf>
    <xf numFmtId="164" fontId="23" fillId="2" borderId="2" xfId="1" applyNumberFormat="1" applyFont="1" applyFill="1" applyBorder="1" applyAlignment="1">
      <alignment horizontal="center" vertical="center"/>
    </xf>
    <xf numFmtId="0" fontId="20" fillId="10" borderId="2" xfId="1" applyFont="1" applyFill="1" applyBorder="1" applyAlignment="1">
      <alignment horizontal="center" vertical="center"/>
    </xf>
    <xf numFmtId="164" fontId="25" fillId="2" borderId="2" xfId="1" applyNumberFormat="1" applyFont="1" applyFill="1" applyBorder="1" applyAlignment="1">
      <alignment horizontal="center" vertical="center"/>
    </xf>
    <xf numFmtId="164" fontId="20" fillId="10" borderId="2" xfId="1" applyNumberFormat="1" applyFont="1" applyFill="1" applyBorder="1" applyAlignment="1">
      <alignment horizontal="center" vertical="center"/>
    </xf>
    <xf numFmtId="164" fontId="20" fillId="2" borderId="2" xfId="1" applyNumberFormat="1" applyFont="1" applyFill="1" applyBorder="1" applyAlignment="1">
      <alignment horizontal="center" vertical="center"/>
    </xf>
    <xf numFmtId="164" fontId="20" fillId="0" borderId="2" xfId="1" applyNumberFormat="1" applyFont="1" applyBorder="1" applyAlignment="1">
      <alignment horizontal="center" vertical="center"/>
    </xf>
    <xf numFmtId="164" fontId="26" fillId="13" borderId="2" xfId="1" applyNumberFormat="1" applyFont="1" applyFill="1" applyBorder="1" applyAlignment="1">
      <alignment horizontal="center" vertical="center"/>
    </xf>
    <xf numFmtId="166" fontId="20" fillId="2" borderId="2" xfId="2" applyNumberFormat="1" applyFont="1" applyFill="1" applyBorder="1" applyAlignment="1">
      <alignment horizontal="center" vertical="center"/>
    </xf>
    <xf numFmtId="166" fontId="23" fillId="2" borderId="3" xfId="1" applyNumberFormat="1" applyFont="1" applyFill="1" applyBorder="1" applyAlignment="1">
      <alignment horizontal="center" vertical="center"/>
    </xf>
    <xf numFmtId="164" fontId="27" fillId="0" borderId="0" xfId="0" applyNumberFormat="1" applyFont="1"/>
    <xf numFmtId="166" fontId="28" fillId="0" borderId="9" xfId="3" applyNumberFormat="1" applyFont="1" applyBorder="1" applyAlignment="1">
      <alignment horizontal="center" vertical="center"/>
    </xf>
    <xf numFmtId="166" fontId="27" fillId="0" borderId="9" xfId="0" applyNumberFormat="1" applyFont="1" applyBorder="1" applyAlignment="1">
      <alignment horizontal="center" vertical="center"/>
    </xf>
    <xf numFmtId="166" fontId="28" fillId="0" borderId="9" xfId="0" applyNumberFormat="1" applyFont="1" applyBorder="1" applyAlignment="1">
      <alignment horizontal="center" vertical="center"/>
    </xf>
    <xf numFmtId="0" fontId="27" fillId="0" borderId="0" xfId="0" applyFont="1"/>
    <xf numFmtId="2" fontId="29" fillId="0" borderId="9" xfId="0" applyNumberFormat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 wrapText="1"/>
    </xf>
    <xf numFmtId="164" fontId="13" fillId="0" borderId="10" xfId="1" applyNumberFormat="1" applyFont="1" applyBorder="1" applyAlignment="1">
      <alignment horizontal="center" vertical="center" wrapText="1"/>
    </xf>
    <xf numFmtId="0" fontId="14" fillId="4" borderId="10" xfId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 wrapText="1"/>
    </xf>
    <xf numFmtId="0" fontId="7" fillId="3" borderId="9" xfId="1" applyFont="1" applyFill="1" applyBorder="1" applyAlignment="1">
      <alignment horizontal="center" vertical="center" wrapText="1"/>
    </xf>
    <xf numFmtId="0" fontId="7" fillId="3" borderId="9" xfId="2" applyFont="1" applyFill="1" applyBorder="1" applyAlignment="1">
      <alignment horizontal="center" vertical="center" wrapText="1"/>
    </xf>
    <xf numFmtId="0" fontId="7" fillId="3" borderId="12" xfId="2" applyFont="1" applyFill="1" applyBorder="1" applyAlignment="1">
      <alignment horizontal="center" vertical="center" wrapText="1"/>
    </xf>
    <xf numFmtId="49" fontId="15" fillId="2" borderId="10" xfId="1" applyNumberFormat="1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65" fontId="17" fillId="2" borderId="10" xfId="1" applyNumberFormat="1" applyFont="1" applyFill="1" applyBorder="1" applyAlignment="1">
      <alignment horizontal="center" vertical="center" wrapText="1"/>
    </xf>
    <xf numFmtId="166" fontId="18" fillId="9" borderId="10" xfId="1" applyNumberFormat="1" applyFont="1" applyFill="1" applyBorder="1" applyAlignment="1">
      <alignment horizontal="center" vertical="center"/>
    </xf>
    <xf numFmtId="0" fontId="19" fillId="10" borderId="10" xfId="1" applyFont="1" applyFill="1" applyBorder="1" applyAlignment="1">
      <alignment horizontal="center" vertical="center"/>
    </xf>
    <xf numFmtId="166" fontId="20" fillId="11" borderId="10" xfId="1" applyNumberFormat="1" applyFont="1" applyFill="1" applyBorder="1" applyAlignment="1">
      <alignment horizontal="center" vertical="center"/>
    </xf>
    <xf numFmtId="164" fontId="21" fillId="11" borderId="10" xfId="1" applyNumberFormat="1" applyFont="1" applyFill="1" applyBorder="1" applyAlignment="1">
      <alignment horizontal="center" vertical="center"/>
    </xf>
    <xf numFmtId="164" fontId="22" fillId="11" borderId="10" xfId="1" applyNumberFormat="1" applyFont="1" applyFill="1" applyBorder="1" applyAlignment="1">
      <alignment horizontal="center" vertical="center"/>
    </xf>
    <xf numFmtId="164" fontId="20" fillId="11" borderId="10" xfId="1" applyNumberFormat="1" applyFont="1" applyFill="1" applyBorder="1" applyAlignment="1">
      <alignment horizontal="center" vertical="center"/>
    </xf>
    <xf numFmtId="164" fontId="18" fillId="12" borderId="10" xfId="1" applyNumberFormat="1" applyFont="1" applyFill="1" applyBorder="1" applyAlignment="1">
      <alignment horizontal="center" vertical="center"/>
    </xf>
    <xf numFmtId="164" fontId="23" fillId="2" borderId="10" xfId="1" applyNumberFormat="1" applyFont="1" applyFill="1" applyBorder="1" applyAlignment="1">
      <alignment horizontal="center" vertical="center"/>
    </xf>
    <xf numFmtId="164" fontId="24" fillId="4" borderId="10" xfId="1" applyNumberFormat="1" applyFont="1" applyFill="1" applyBorder="1" applyAlignment="1">
      <alignment horizontal="center" vertical="center" wrapText="1"/>
    </xf>
    <xf numFmtId="0" fontId="20" fillId="10" borderId="10" xfId="1" applyFont="1" applyFill="1" applyBorder="1" applyAlignment="1">
      <alignment horizontal="center" vertical="center"/>
    </xf>
    <xf numFmtId="164" fontId="25" fillId="2" borderId="10" xfId="1" applyNumberFormat="1" applyFont="1" applyFill="1" applyBorder="1" applyAlignment="1">
      <alignment horizontal="center" vertical="center"/>
    </xf>
    <xf numFmtId="164" fontId="20" fillId="10" borderId="10" xfId="1" applyNumberFormat="1" applyFont="1" applyFill="1" applyBorder="1" applyAlignment="1">
      <alignment horizontal="center" vertical="center"/>
    </xf>
    <xf numFmtId="164" fontId="20" fillId="2" borderId="10" xfId="1" applyNumberFormat="1" applyFont="1" applyFill="1" applyBorder="1" applyAlignment="1">
      <alignment horizontal="center" vertical="center"/>
    </xf>
    <xf numFmtId="164" fontId="20" fillId="0" borderId="10" xfId="1" applyNumberFormat="1" applyFont="1" applyBorder="1" applyAlignment="1">
      <alignment horizontal="center" vertical="center"/>
    </xf>
    <xf numFmtId="164" fontId="26" fillId="13" borderId="10" xfId="1" applyNumberFormat="1" applyFont="1" applyFill="1" applyBorder="1" applyAlignment="1">
      <alignment horizontal="center" vertical="center"/>
    </xf>
    <xf numFmtId="166" fontId="20" fillId="2" borderId="10" xfId="2" applyNumberFormat="1" applyFont="1" applyFill="1" applyBorder="1" applyAlignment="1">
      <alignment horizontal="center" vertical="center"/>
    </xf>
    <xf numFmtId="166" fontId="23" fillId="2" borderId="14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31" fillId="0" borderId="14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49" fontId="15" fillId="2" borderId="19" xfId="1" applyNumberFormat="1" applyFont="1" applyFill="1" applyBorder="1" applyAlignment="1">
      <alignment horizontal="center" vertical="center" wrapText="1"/>
    </xf>
    <xf numFmtId="165" fontId="17" fillId="2" borderId="19" xfId="1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1" fillId="0" borderId="21" xfId="0" applyFont="1" applyBorder="1" applyAlignment="1">
      <alignment horizontal="left" vertical="center" wrapText="1"/>
    </xf>
    <xf numFmtId="164" fontId="24" fillId="4" borderId="19" xfId="1" applyNumberFormat="1" applyFont="1" applyFill="1" applyBorder="1" applyAlignment="1">
      <alignment horizontal="center" vertical="center" wrapText="1"/>
    </xf>
    <xf numFmtId="166" fontId="18" fillId="9" borderId="20" xfId="1" applyNumberFormat="1" applyFont="1" applyFill="1" applyBorder="1" applyAlignment="1">
      <alignment horizontal="center" vertical="center"/>
    </xf>
    <xf numFmtId="0" fontId="19" fillId="10" borderId="20" xfId="1" applyFont="1" applyFill="1" applyBorder="1" applyAlignment="1">
      <alignment horizontal="center" vertical="center"/>
    </xf>
    <xf numFmtId="166" fontId="20" fillId="11" borderId="20" xfId="1" applyNumberFormat="1" applyFont="1" applyFill="1" applyBorder="1" applyAlignment="1">
      <alignment horizontal="center" vertical="center"/>
    </xf>
    <xf numFmtId="164" fontId="21" fillId="11" borderId="20" xfId="1" applyNumberFormat="1" applyFont="1" applyFill="1" applyBorder="1" applyAlignment="1">
      <alignment horizontal="center" vertical="center"/>
    </xf>
    <xf numFmtId="164" fontId="22" fillId="11" borderId="20" xfId="1" applyNumberFormat="1" applyFont="1" applyFill="1" applyBorder="1" applyAlignment="1">
      <alignment horizontal="center" vertical="center"/>
    </xf>
    <xf numFmtId="164" fontId="20" fillId="11" borderId="20" xfId="1" applyNumberFormat="1" applyFont="1" applyFill="1" applyBorder="1" applyAlignment="1">
      <alignment horizontal="center" vertical="center"/>
    </xf>
    <xf numFmtId="164" fontId="18" fillId="12" borderId="20" xfId="1" applyNumberFormat="1" applyFont="1" applyFill="1" applyBorder="1" applyAlignment="1">
      <alignment horizontal="center" vertical="center"/>
    </xf>
    <xf numFmtId="164" fontId="23" fillId="2" borderId="20" xfId="1" applyNumberFormat="1" applyFont="1" applyFill="1" applyBorder="1" applyAlignment="1">
      <alignment horizontal="center" vertical="center"/>
    </xf>
    <xf numFmtId="0" fontId="20" fillId="10" borderId="20" xfId="1" applyFont="1" applyFill="1" applyBorder="1" applyAlignment="1">
      <alignment horizontal="center" vertical="center"/>
    </xf>
    <xf numFmtId="164" fontId="25" fillId="2" borderId="20" xfId="1" applyNumberFormat="1" applyFont="1" applyFill="1" applyBorder="1" applyAlignment="1">
      <alignment horizontal="center" vertical="center"/>
    </xf>
    <xf numFmtId="164" fontId="20" fillId="2" borderId="20" xfId="1" applyNumberFormat="1" applyFont="1" applyFill="1" applyBorder="1" applyAlignment="1">
      <alignment horizontal="center" vertical="center"/>
    </xf>
    <xf numFmtId="164" fontId="20" fillId="0" borderId="20" xfId="1" applyNumberFormat="1" applyFont="1" applyBorder="1" applyAlignment="1">
      <alignment horizontal="center" vertical="center"/>
    </xf>
    <xf numFmtId="164" fontId="26" fillId="13" borderId="20" xfId="1" applyNumberFormat="1" applyFont="1" applyFill="1" applyBorder="1" applyAlignment="1">
      <alignment horizontal="center" vertical="center"/>
    </xf>
    <xf numFmtId="166" fontId="20" fillId="2" borderId="20" xfId="2" applyNumberFormat="1" applyFont="1" applyFill="1" applyBorder="1" applyAlignment="1">
      <alignment horizontal="center" vertical="center"/>
    </xf>
    <xf numFmtId="166" fontId="23" fillId="2" borderId="22" xfId="1" applyNumberFormat="1" applyFont="1" applyFill="1" applyBorder="1" applyAlignment="1">
      <alignment horizontal="center" vertical="center"/>
    </xf>
    <xf numFmtId="0" fontId="13" fillId="0" borderId="20" xfId="1" applyFont="1" applyBorder="1" applyAlignment="1">
      <alignment horizontal="center" vertical="center" wrapText="1"/>
    </xf>
    <xf numFmtId="164" fontId="13" fillId="0" borderId="20" xfId="1" applyNumberFormat="1" applyFont="1" applyBorder="1" applyAlignment="1">
      <alignment horizontal="center" vertical="center" wrapText="1"/>
    </xf>
    <xf numFmtId="0" fontId="14" fillId="4" borderId="20" xfId="1" applyFont="1" applyFill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center" wrapText="1"/>
    </xf>
    <xf numFmtId="0" fontId="35" fillId="4" borderId="27" xfId="1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165" fontId="17" fillId="2" borderId="19" xfId="1" applyNumberFormat="1" applyFont="1" applyFill="1" applyBorder="1" applyAlignment="1">
      <alignment horizontal="center" vertical="center" wrapText="1"/>
    </xf>
    <xf numFmtId="165" fontId="17" fillId="2" borderId="20" xfId="1" applyNumberFormat="1" applyFont="1" applyFill="1" applyBorder="1" applyAlignment="1">
      <alignment horizontal="center" vertical="center" wrapText="1"/>
    </xf>
    <xf numFmtId="164" fontId="24" fillId="4" borderId="19" xfId="1" applyNumberFormat="1" applyFont="1" applyFill="1" applyBorder="1" applyAlignment="1">
      <alignment horizontal="center" vertical="center" wrapText="1"/>
    </xf>
    <xf numFmtId="164" fontId="24" fillId="4" borderId="20" xfId="1" applyNumberFormat="1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1" fillId="0" borderId="21" xfId="0" applyFont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49" fontId="15" fillId="2" borderId="19" xfId="1" applyNumberFormat="1" applyFont="1" applyFill="1" applyBorder="1" applyAlignment="1">
      <alignment horizontal="center" vertical="center" wrapText="1"/>
    </xf>
    <xf numFmtId="49" fontId="15" fillId="2" borderId="20" xfId="1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 2" xfId="1" xr:uid="{1589BCBE-8FA8-48AD-ABF3-0777AE200EA4}"/>
    <cellStyle name="Normal 2 3 2 2" xfId="3" xr:uid="{4E381347-A270-47A6-906E-41350EDA9AF9}"/>
    <cellStyle name="Normal 3 4 2" xfId="2" xr:uid="{C83326C8-8409-4EFE-8994-8067159AA6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152401</xdr:colOff>
      <xdr:row>4</xdr:row>
      <xdr:rowOff>289781</xdr:rowOff>
    </xdr:from>
    <xdr:to>
      <xdr:col>4</xdr:col>
      <xdr:colOff>1409700</xdr:colOff>
      <xdr:row>4</xdr:row>
      <xdr:rowOff>1804987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7387BD2-3BF6-F6C9-3A10-1296C2B93A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54" t="13411" r="14512" b="15629"/>
        <a:stretch>
          <a:fillRect/>
        </a:stretch>
      </xdr:blipFill>
      <xdr:spPr>
        <a:xfrm>
          <a:off x="3486151" y="3599719"/>
          <a:ext cx="1257299" cy="1515206"/>
        </a:xfrm>
        <a:prstGeom prst="rect">
          <a:avLst/>
        </a:prstGeom>
      </xdr:spPr>
    </xdr:pic>
    <xdr:clientData/>
  </xdr:twoCellAnchor>
  <xdr:twoCellAnchor editAs="oneCell">
    <xdr:from>
      <xdr:col>4</xdr:col>
      <xdr:colOff>1514475</xdr:colOff>
      <xdr:row>4</xdr:row>
      <xdr:rowOff>164025</xdr:rowOff>
    </xdr:from>
    <xdr:to>
      <xdr:col>4</xdr:col>
      <xdr:colOff>2495550</xdr:colOff>
      <xdr:row>4</xdr:row>
      <xdr:rowOff>2048925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5E5889B-59A8-1FED-7706-0A37C99A43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90" t="1587" r="4890" b="1587"/>
        <a:stretch>
          <a:fillRect/>
        </a:stretch>
      </xdr:blipFill>
      <xdr:spPr>
        <a:xfrm>
          <a:off x="4848225" y="1192725"/>
          <a:ext cx="981075" cy="1884900"/>
        </a:xfrm>
        <a:prstGeom prst="rect">
          <a:avLst/>
        </a:prstGeom>
      </xdr:spPr>
    </xdr:pic>
    <xdr:clientData/>
  </xdr:twoCellAnchor>
  <xdr:oneCellAnchor>
    <xdr:from>
      <xdr:col>4</xdr:col>
      <xdr:colOff>207169</xdr:colOff>
      <xdr:row>5</xdr:row>
      <xdr:rowOff>208176</xdr:rowOff>
    </xdr:from>
    <xdr:ext cx="1553382" cy="1082462"/>
    <xdr:pic>
      <xdr:nvPicPr>
        <xdr:cNvPr id="24" name="Imagen 23">
          <a:extLst>
            <a:ext uri="{FF2B5EF4-FFF2-40B4-BE49-F238E27FC236}">
              <a16:creationId xmlns:a16="http://schemas.microsoft.com/office/drawing/2014/main" id="{E18D94FE-39B4-4920-95B2-4E13D6DA45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25" t="20273" r="15395" b="18498"/>
        <a:stretch>
          <a:fillRect/>
        </a:stretch>
      </xdr:blipFill>
      <xdr:spPr>
        <a:xfrm>
          <a:off x="3540919" y="5804114"/>
          <a:ext cx="1553382" cy="1082462"/>
        </a:xfrm>
        <a:prstGeom prst="rect">
          <a:avLst/>
        </a:prstGeom>
      </xdr:spPr>
    </xdr:pic>
    <xdr:clientData/>
  </xdr:oneCellAnchor>
  <xdr:oneCellAnchor>
    <xdr:from>
      <xdr:col>4</xdr:col>
      <xdr:colOff>1785938</xdr:colOff>
      <xdr:row>5</xdr:row>
      <xdr:rowOff>749216</xdr:rowOff>
    </xdr:from>
    <xdr:ext cx="942975" cy="1344153"/>
    <xdr:pic>
      <xdr:nvPicPr>
        <xdr:cNvPr id="25" name="Imagen 24">
          <a:extLst>
            <a:ext uri="{FF2B5EF4-FFF2-40B4-BE49-F238E27FC236}">
              <a16:creationId xmlns:a16="http://schemas.microsoft.com/office/drawing/2014/main" id="{A22579A5-3A87-44E6-9867-7393289292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11" t="20809" r="33781" b="19670"/>
        <a:stretch>
          <a:fillRect/>
        </a:stretch>
      </xdr:blipFill>
      <xdr:spPr>
        <a:xfrm>
          <a:off x="5119688" y="6345154"/>
          <a:ext cx="942975" cy="1344153"/>
        </a:xfrm>
        <a:prstGeom prst="rect">
          <a:avLst/>
        </a:prstGeom>
      </xdr:spPr>
    </xdr:pic>
    <xdr:clientData/>
  </xdr:oneCellAnchor>
  <xdr:twoCellAnchor editAs="oneCell">
    <xdr:from>
      <xdr:col>4</xdr:col>
      <xdr:colOff>297658</xdr:colOff>
      <xdr:row>5</xdr:row>
      <xdr:rowOff>1393031</xdr:rowOff>
    </xdr:from>
    <xdr:to>
      <xdr:col>4</xdr:col>
      <xdr:colOff>1735932</xdr:colOff>
      <xdr:row>5</xdr:row>
      <xdr:rowOff>2449620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123F5C9B-3E62-BADE-7430-7EAC02350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31408" y="6988969"/>
          <a:ext cx="1438274" cy="1056589"/>
        </a:xfrm>
        <a:prstGeom prst="rect">
          <a:avLst/>
        </a:prstGeom>
      </xdr:spPr>
    </xdr:pic>
    <xdr:clientData/>
  </xdr:twoCellAnchor>
  <xdr:oneCellAnchor>
    <xdr:from>
      <xdr:col>4</xdr:col>
      <xdr:colOff>742950</xdr:colOff>
      <xdr:row>3</xdr:row>
      <xdr:rowOff>116898</xdr:rowOff>
    </xdr:from>
    <xdr:ext cx="1381125" cy="1883352"/>
    <xdr:pic>
      <xdr:nvPicPr>
        <xdr:cNvPr id="31" name="Imagen 30">
          <a:extLst>
            <a:ext uri="{FF2B5EF4-FFF2-40B4-BE49-F238E27FC236}">
              <a16:creationId xmlns:a16="http://schemas.microsoft.com/office/drawing/2014/main" id="{4334F28A-C067-4EB8-B8C9-FF26910F30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22" t="4918" r="10306" b="5632"/>
        <a:stretch>
          <a:fillRect/>
        </a:stretch>
      </xdr:blipFill>
      <xdr:spPr>
        <a:xfrm>
          <a:off x="4076700" y="6927273"/>
          <a:ext cx="1381125" cy="1883352"/>
        </a:xfrm>
        <a:prstGeom prst="rect">
          <a:avLst/>
        </a:prstGeom>
      </xdr:spPr>
    </xdr:pic>
    <xdr:clientData/>
  </xdr:oneCellAnchor>
  <xdr:twoCellAnchor editAs="oneCell">
    <xdr:from>
      <xdr:col>4</xdr:col>
      <xdr:colOff>440531</xdr:colOff>
      <xdr:row>6</xdr:row>
      <xdr:rowOff>428625</xdr:rowOff>
    </xdr:from>
    <xdr:to>
      <xdr:col>4</xdr:col>
      <xdr:colOff>2226814</xdr:colOff>
      <xdr:row>7</xdr:row>
      <xdr:rowOff>998676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741995-3808-C703-B2AB-D4F027750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4281" y="8810625"/>
          <a:ext cx="1786283" cy="1963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E80E-2696-4B03-8A4E-E10CC8D33FE3}">
  <dimension ref="B1:AU8"/>
  <sheetViews>
    <sheetView tabSelected="1" zoomScale="80" zoomScaleNormal="80" workbookViewId="0">
      <selection activeCell="B2" sqref="B2:I2"/>
    </sheetView>
  </sheetViews>
  <sheetFormatPr baseColWidth="10" defaultRowHeight="15" x14ac:dyDescent="0.25"/>
  <cols>
    <col min="1" max="1" width="3.85546875" customWidth="1"/>
    <col min="3" max="3" width="13.42578125" customWidth="1"/>
    <col min="4" max="4" width="21.28515625" customWidth="1"/>
    <col min="5" max="5" width="42" customWidth="1"/>
    <col min="6" max="6" width="13.5703125" customWidth="1"/>
    <col min="7" max="7" width="16.7109375" customWidth="1"/>
    <col min="8" max="8" width="19.42578125" customWidth="1"/>
    <col min="9" max="9" width="64" customWidth="1"/>
    <col min="10" max="10" width="15.28515625" customWidth="1"/>
    <col min="11" max="11" width="8.85546875" customWidth="1"/>
    <col min="12" max="12" width="25.42578125" customWidth="1"/>
    <col min="14" max="14" width="39.140625" customWidth="1"/>
    <col min="16" max="16" width="14.85546875" customWidth="1"/>
    <col min="17" max="17" width="13" customWidth="1"/>
    <col min="18" max="18" width="15.7109375" customWidth="1"/>
    <col min="19" max="19" width="23" customWidth="1"/>
    <col min="20" max="20" width="17.140625" customWidth="1"/>
    <col min="22" max="22" width="15" customWidth="1"/>
    <col min="23" max="23" width="18.42578125" customWidth="1"/>
    <col min="24" max="24" width="24.5703125" customWidth="1"/>
    <col min="25" max="25" width="25.140625" customWidth="1"/>
    <col min="26" max="26" width="16" customWidth="1"/>
    <col min="30" max="30" width="16.85546875" customWidth="1"/>
    <col min="31" max="31" width="17.85546875" customWidth="1"/>
    <col min="32" max="32" width="19" customWidth="1"/>
    <col min="33" max="33" width="24.42578125" customWidth="1"/>
    <col min="34" max="34" width="17.5703125" customWidth="1"/>
    <col min="35" max="35" width="17.42578125" customWidth="1"/>
    <col min="36" max="36" width="16.85546875" customWidth="1"/>
  </cols>
  <sheetData>
    <row r="1" spans="2:47" ht="15.75" thickBot="1" x14ac:dyDescent="0.3"/>
    <row r="2" spans="2:47" ht="29.45" customHeight="1" thickBot="1" x14ac:dyDescent="0.3">
      <c r="B2" s="105" t="s">
        <v>49</v>
      </c>
      <c r="C2" s="106"/>
      <c r="D2" s="106"/>
      <c r="E2" s="106"/>
      <c r="F2" s="106"/>
      <c r="G2" s="106"/>
      <c r="H2" s="106"/>
      <c r="I2" s="107"/>
      <c r="J2" s="109" t="s">
        <v>48</v>
      </c>
      <c r="K2" s="1"/>
      <c r="L2" s="108" t="s">
        <v>0</v>
      </c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"/>
      <c r="AD2" s="1"/>
      <c r="AE2" s="1"/>
      <c r="AF2" s="1"/>
      <c r="AG2" s="1"/>
      <c r="AH2" s="1"/>
      <c r="AI2" s="1"/>
      <c r="AJ2" s="1"/>
    </row>
    <row r="3" spans="2:47" ht="36" customHeight="1" thickBot="1" x14ac:dyDescent="0.3">
      <c r="B3" s="47" t="s">
        <v>1</v>
      </c>
      <c r="C3" s="48" t="s">
        <v>2</v>
      </c>
      <c r="D3" s="48" t="s">
        <v>3</v>
      </c>
      <c r="E3" s="48" t="s">
        <v>4</v>
      </c>
      <c r="F3" s="48" t="s">
        <v>5</v>
      </c>
      <c r="G3" s="49" t="s">
        <v>6</v>
      </c>
      <c r="H3" s="49" t="s">
        <v>7</v>
      </c>
      <c r="I3" s="50" t="s">
        <v>8</v>
      </c>
      <c r="J3" s="109"/>
      <c r="K3" s="2"/>
      <c r="L3" s="3" t="s">
        <v>9</v>
      </c>
      <c r="M3" s="4" t="s">
        <v>10</v>
      </c>
      <c r="N3" s="4" t="s">
        <v>11</v>
      </c>
      <c r="O3" s="5" t="s">
        <v>12</v>
      </c>
      <c r="P3" s="6" t="s">
        <v>13</v>
      </c>
      <c r="Q3" s="7" t="s">
        <v>14</v>
      </c>
      <c r="R3" s="7" t="s">
        <v>15</v>
      </c>
      <c r="S3" s="7" t="s">
        <v>16</v>
      </c>
      <c r="T3" s="7" t="s">
        <v>17</v>
      </c>
      <c r="U3" s="7" t="s">
        <v>18</v>
      </c>
      <c r="V3" s="8" t="s">
        <v>19</v>
      </c>
      <c r="W3" s="3" t="s">
        <v>20</v>
      </c>
      <c r="X3" s="5" t="s">
        <v>21</v>
      </c>
      <c r="Y3" s="9" t="s">
        <v>22</v>
      </c>
      <c r="Z3" s="10" t="s">
        <v>23</v>
      </c>
      <c r="AA3" s="10" t="s">
        <v>24</v>
      </c>
      <c r="AB3" s="10" t="s">
        <v>25</v>
      </c>
      <c r="AC3" s="10" t="s">
        <v>26</v>
      </c>
      <c r="AD3" s="11" t="s">
        <v>27</v>
      </c>
      <c r="AE3" s="12" t="s">
        <v>28</v>
      </c>
      <c r="AF3" s="12" t="s">
        <v>29</v>
      </c>
      <c r="AG3" s="13" t="s">
        <v>17</v>
      </c>
      <c r="AH3" s="14" t="s">
        <v>30</v>
      </c>
      <c r="AI3" s="14" t="s">
        <v>31</v>
      </c>
      <c r="AJ3" s="15" t="s">
        <v>32</v>
      </c>
      <c r="AM3" s="16" t="s">
        <v>33</v>
      </c>
      <c r="AN3" s="16" t="s">
        <v>34</v>
      </c>
      <c r="AO3" s="16" t="s">
        <v>35</v>
      </c>
      <c r="AP3" s="16" t="s">
        <v>36</v>
      </c>
      <c r="AQ3" s="16" t="s">
        <v>37</v>
      </c>
      <c r="AR3" s="16" t="s">
        <v>38</v>
      </c>
      <c r="AS3" s="17"/>
      <c r="AT3" s="18" t="s">
        <v>39</v>
      </c>
      <c r="AU3" s="18" t="s">
        <v>40</v>
      </c>
    </row>
    <row r="4" spans="2:47" s="1" customFormat="1" ht="180" customHeight="1" thickBot="1" x14ac:dyDescent="0.3">
      <c r="B4" s="74">
        <v>1</v>
      </c>
      <c r="C4" s="103" t="s">
        <v>45</v>
      </c>
      <c r="D4" s="104"/>
      <c r="E4" s="71" t="s">
        <v>41</v>
      </c>
      <c r="F4" s="44">
        <v>1000</v>
      </c>
      <c r="G4" s="45">
        <f>AH4</f>
        <v>0.78697331500000001</v>
      </c>
      <c r="H4" s="46" t="s">
        <v>51</v>
      </c>
      <c r="I4" s="72" t="s">
        <v>50</v>
      </c>
      <c r="J4"/>
      <c r="K4"/>
      <c r="L4" s="73" t="s">
        <v>46</v>
      </c>
      <c r="M4" s="51"/>
      <c r="N4" s="52" t="s">
        <v>52</v>
      </c>
      <c r="O4" s="53"/>
      <c r="P4" s="54">
        <f>470/1000</f>
        <v>0.47</v>
      </c>
      <c r="Q4" s="55">
        <v>43</v>
      </c>
      <c r="R4" s="56">
        <f t="shared" ref="R4" si="0">P4*Q4/100</f>
        <v>0.20209999999999997</v>
      </c>
      <c r="S4" s="57">
        <f t="shared" ref="S4" si="1">R4*U4</f>
        <v>202.09999999999997</v>
      </c>
      <c r="T4" s="58">
        <f t="shared" ref="T4" si="2">P4+R4</f>
        <v>0.67209999999999992</v>
      </c>
      <c r="U4" s="55">
        <f>F4</f>
        <v>1000</v>
      </c>
      <c r="V4" s="59">
        <f>T4*15</f>
        <v>10.081499999999998</v>
      </c>
      <c r="W4" s="60">
        <v>90</v>
      </c>
      <c r="X4" s="61">
        <f t="shared" ref="X4" si="3">U4*T4+V4+W4</f>
        <v>772.18149999999991</v>
      </c>
      <c r="Y4" s="62" t="s">
        <v>47</v>
      </c>
      <c r="Z4" s="60">
        <v>0</v>
      </c>
      <c r="AA4" s="63">
        <v>1</v>
      </c>
      <c r="AB4" s="63">
        <v>1</v>
      </c>
      <c r="AC4" s="63">
        <v>1</v>
      </c>
      <c r="AD4" s="64">
        <f t="shared" ref="AD4" si="4">Z4*AA4*AB4*AC4</f>
        <v>0</v>
      </c>
      <c r="AE4" s="65">
        <f>3.5*2</f>
        <v>7</v>
      </c>
      <c r="AF4" s="66">
        <f t="shared" ref="AF4" si="5">1%*(X4+AD4+AE4)</f>
        <v>7.7918149999999997</v>
      </c>
      <c r="AG4" s="67">
        <f t="shared" ref="AG4" si="6">X4+AD4+AF4+AE4</f>
        <v>786.97331499999996</v>
      </c>
      <c r="AH4" s="68">
        <f t="shared" ref="AH4" si="7">AG4/U4</f>
        <v>0.78697331500000001</v>
      </c>
      <c r="AI4" s="69">
        <f t="shared" ref="AI4" si="8">AH4*18%</f>
        <v>0.14165519669999999</v>
      </c>
      <c r="AJ4" s="70">
        <f t="shared" ref="AJ4" si="9">AH4+AI4</f>
        <v>0.92862851169999994</v>
      </c>
      <c r="AK4"/>
      <c r="AL4" s="38"/>
      <c r="AM4" s="39">
        <f t="shared" ref="AM4" si="10">AJ4*U4</f>
        <v>928.62851169999999</v>
      </c>
      <c r="AN4" s="40">
        <f t="shared" ref="AN4" si="11">(AJ4-(AJ4/1.18))*U4</f>
        <v>141.65519669999992</v>
      </c>
      <c r="AO4" s="40">
        <f t="shared" ref="AO4" si="12">(AJ4-(AJ4/1.02))*U4</f>
        <v>18.20840219019604</v>
      </c>
      <c r="AP4" s="40">
        <f t="shared" ref="AP4" si="13">(AJ4-(AJ4/1.05))*U4</f>
        <v>44.220405319047693</v>
      </c>
      <c r="AQ4" s="40">
        <f t="shared" ref="AQ4" si="14">R4*U4</f>
        <v>202.09999999999997</v>
      </c>
      <c r="AR4" s="41">
        <f t="shared" ref="AR4" si="15">AQ4-AP4-AO4</f>
        <v>139.67119249075623</v>
      </c>
      <c r="AS4" s="42"/>
      <c r="AT4" s="43">
        <f>AQ4*100/(AM4-AN4-AQ4)</f>
        <v>34.55449151411532</v>
      </c>
      <c r="AU4" s="43">
        <f t="shared" ref="AU4" si="16">AR4*100/(AM4-AN4-AQ4-AO4-AP4)</f>
        <v>26.734168028980079</v>
      </c>
    </row>
    <row r="5" spans="2:47" s="1" customFormat="1" ht="180" customHeight="1" thickBot="1" x14ac:dyDescent="0.3">
      <c r="B5" s="74">
        <v>2</v>
      </c>
      <c r="C5" s="103" t="s">
        <v>42</v>
      </c>
      <c r="D5" s="104"/>
      <c r="E5" s="71" t="s">
        <v>41</v>
      </c>
      <c r="F5" s="44">
        <v>1000</v>
      </c>
      <c r="G5" s="45">
        <f>AH5</f>
        <v>3.2497002500000001</v>
      </c>
      <c r="H5" s="46" t="s">
        <v>54</v>
      </c>
      <c r="I5" s="72" t="s">
        <v>43</v>
      </c>
      <c r="J5"/>
      <c r="K5"/>
      <c r="L5" s="73" t="s">
        <v>55</v>
      </c>
      <c r="M5" s="51"/>
      <c r="N5" s="52" t="s">
        <v>53</v>
      </c>
      <c r="O5" s="53"/>
      <c r="P5" s="54">
        <v>2.2999999999999998</v>
      </c>
      <c r="Q5" s="55">
        <v>35</v>
      </c>
      <c r="R5" s="56">
        <f t="shared" ref="R5:R6" si="17">P5*Q5/100</f>
        <v>0.80500000000000005</v>
      </c>
      <c r="S5" s="57">
        <f t="shared" ref="S5:S6" si="18">R5*U5</f>
        <v>805</v>
      </c>
      <c r="T5" s="58">
        <f t="shared" ref="T5:T6" si="19">P5+R5</f>
        <v>3.105</v>
      </c>
      <c r="U5" s="55">
        <f>F5</f>
        <v>1000</v>
      </c>
      <c r="V5" s="59">
        <f>T5*5</f>
        <v>15.525</v>
      </c>
      <c r="W5" s="60">
        <v>90</v>
      </c>
      <c r="X5" s="61">
        <f t="shared" ref="X5:X6" si="20">U5*T5+V5+W5</f>
        <v>3210.5250000000001</v>
      </c>
      <c r="Y5" s="62" t="s">
        <v>47</v>
      </c>
      <c r="Z5" s="60">
        <v>0</v>
      </c>
      <c r="AA5" s="63">
        <v>1</v>
      </c>
      <c r="AB5" s="63">
        <v>1</v>
      </c>
      <c r="AC5" s="63">
        <v>1</v>
      </c>
      <c r="AD5" s="64">
        <f t="shared" ref="AD5:AD6" si="21">Z5*AA5*AB5*AC5</f>
        <v>0</v>
      </c>
      <c r="AE5" s="65">
        <f>3.5*2</f>
        <v>7</v>
      </c>
      <c r="AF5" s="66">
        <f t="shared" ref="AF5:AF6" si="22">1%*(X5+AD5+AE5)</f>
        <v>32.175249999999998</v>
      </c>
      <c r="AG5" s="67">
        <f t="shared" ref="AG5:AG6" si="23">X5+AD5+AF5+AE5</f>
        <v>3249.7002499999999</v>
      </c>
      <c r="AH5" s="68">
        <f t="shared" ref="AH5:AH6" si="24">AG5/U5</f>
        <v>3.2497002500000001</v>
      </c>
      <c r="AI5" s="69">
        <f t="shared" ref="AI5:AI6" si="25">AH5*18%</f>
        <v>0.58494604500000003</v>
      </c>
      <c r="AJ5" s="70">
        <f t="shared" ref="AJ5:AJ6" si="26">AH5+AI5</f>
        <v>3.8346462950000002</v>
      </c>
      <c r="AK5"/>
      <c r="AL5" s="38"/>
      <c r="AM5" s="39">
        <f t="shared" ref="AM5:AM6" si="27">AJ5*U5</f>
        <v>3834.646295</v>
      </c>
      <c r="AN5" s="40">
        <f t="shared" ref="AN5:AN6" si="28">(AJ5-(AJ5/1.18))*U5</f>
        <v>584.94604499999969</v>
      </c>
      <c r="AO5" s="40">
        <f t="shared" ref="AO5:AO6" si="29">(AJ5-(AJ5/1.02))*U5</f>
        <v>75.189143039215978</v>
      </c>
      <c r="AP5" s="40">
        <f t="shared" ref="AP5:AP6" si="30">(AJ5-(AJ5/1.05))*U5</f>
        <v>182.6022045238096</v>
      </c>
      <c r="AQ5" s="40">
        <f t="shared" ref="AQ5:AQ6" si="31">R5*U5</f>
        <v>805</v>
      </c>
      <c r="AR5" s="41">
        <f t="shared" ref="AR5:AR6" si="32">AQ5-AP5-AO5</f>
        <v>547.20865243697438</v>
      </c>
      <c r="AS5" s="42"/>
      <c r="AT5" s="43">
        <f>AQ5*100/(AM5-AN5-AQ5)</f>
        <v>32.928372302493933</v>
      </c>
      <c r="AU5" s="43">
        <f t="shared" ref="AU5:AU6" si="33">AR5*100/(AM5-AN5-AQ5-AO5-AP5)</f>
        <v>25.022014032097736</v>
      </c>
    </row>
    <row r="6" spans="2:47" s="1" customFormat="1" ht="219.95" customHeight="1" thickBot="1" x14ac:dyDescent="0.3">
      <c r="B6" s="80">
        <v>3</v>
      </c>
      <c r="C6" s="101" t="s">
        <v>44</v>
      </c>
      <c r="D6" s="102"/>
      <c r="E6" s="79" t="s">
        <v>41</v>
      </c>
      <c r="F6" s="19">
        <v>500</v>
      </c>
      <c r="G6" s="20">
        <f>AH6</f>
        <v>12.702804744000002</v>
      </c>
      <c r="H6" s="21" t="s">
        <v>59</v>
      </c>
      <c r="I6" s="81" t="s">
        <v>56</v>
      </c>
      <c r="J6"/>
      <c r="K6"/>
      <c r="L6" s="75" t="s">
        <v>58</v>
      </c>
      <c r="M6" s="77"/>
      <c r="N6" s="76" t="s">
        <v>57</v>
      </c>
      <c r="O6" s="78"/>
      <c r="P6" s="22">
        <f>8.8+0.5</f>
        <v>9.3000000000000007</v>
      </c>
      <c r="Q6" s="23">
        <v>30.2</v>
      </c>
      <c r="R6" s="24">
        <f t="shared" si="17"/>
        <v>2.8086000000000002</v>
      </c>
      <c r="S6" s="25">
        <f t="shared" si="18"/>
        <v>1404.3000000000002</v>
      </c>
      <c r="T6" s="26">
        <f t="shared" si="19"/>
        <v>12.108600000000001</v>
      </c>
      <c r="U6" s="23">
        <f>F6</f>
        <v>500</v>
      </c>
      <c r="V6" s="27">
        <f>T6*2</f>
        <v>24.217200000000002</v>
      </c>
      <c r="W6" s="28">
        <v>180</v>
      </c>
      <c r="X6" s="29">
        <f t="shared" si="20"/>
        <v>6258.5172000000002</v>
      </c>
      <c r="Y6" s="82" t="s">
        <v>47</v>
      </c>
      <c r="Z6" s="28">
        <v>0</v>
      </c>
      <c r="AA6" s="30">
        <v>1</v>
      </c>
      <c r="AB6" s="30">
        <v>1</v>
      </c>
      <c r="AC6" s="30">
        <v>1</v>
      </c>
      <c r="AD6" s="31">
        <f t="shared" si="21"/>
        <v>0</v>
      </c>
      <c r="AE6" s="32">
        <v>30</v>
      </c>
      <c r="AF6" s="33">
        <f t="shared" si="22"/>
        <v>62.885172000000004</v>
      </c>
      <c r="AG6" s="34">
        <f t="shared" si="23"/>
        <v>6351.4023720000005</v>
      </c>
      <c r="AH6" s="35">
        <f t="shared" si="24"/>
        <v>12.702804744000002</v>
      </c>
      <c r="AI6" s="36">
        <f t="shared" si="25"/>
        <v>2.2865048539200004</v>
      </c>
      <c r="AJ6" s="37">
        <f t="shared" si="26"/>
        <v>14.989309597920002</v>
      </c>
      <c r="AK6"/>
      <c r="AL6" s="38"/>
      <c r="AM6" s="39">
        <f t="shared" si="27"/>
        <v>7494.6547989600012</v>
      </c>
      <c r="AN6" s="40">
        <f t="shared" si="28"/>
        <v>1143.2524269600001</v>
      </c>
      <c r="AO6" s="40">
        <f t="shared" si="29"/>
        <v>146.95401566588285</v>
      </c>
      <c r="AP6" s="40">
        <f t="shared" si="30"/>
        <v>356.88832376000067</v>
      </c>
      <c r="AQ6" s="40">
        <f t="shared" si="31"/>
        <v>1404.3000000000002</v>
      </c>
      <c r="AR6" s="41">
        <f t="shared" si="32"/>
        <v>900.45766057411663</v>
      </c>
      <c r="AS6" s="42"/>
      <c r="AT6" s="43">
        <f>AQ6*100/(AM6-AN6-AQ6)</f>
        <v>28.386313732826064</v>
      </c>
      <c r="AU6" s="43">
        <f t="shared" si="33"/>
        <v>20.265698022909852</v>
      </c>
    </row>
    <row r="7" spans="2:47" s="1" customFormat="1" ht="110.1" customHeight="1" thickBot="1" x14ac:dyDescent="0.3">
      <c r="B7" s="116">
        <v>4</v>
      </c>
      <c r="C7" s="101" t="s">
        <v>42</v>
      </c>
      <c r="D7" s="102"/>
      <c r="E7" s="120" t="s">
        <v>41</v>
      </c>
      <c r="F7" s="19">
        <v>2000</v>
      </c>
      <c r="G7" s="20">
        <f>AH7</f>
        <v>3.9037307999999999</v>
      </c>
      <c r="H7" s="21" t="s">
        <v>59</v>
      </c>
      <c r="I7" s="122" t="s">
        <v>60</v>
      </c>
      <c r="J7"/>
      <c r="K7"/>
      <c r="L7" s="124" t="s">
        <v>61</v>
      </c>
      <c r="M7" s="126"/>
      <c r="N7" s="110" t="s">
        <v>62</v>
      </c>
      <c r="O7" s="112"/>
      <c r="P7" s="22">
        <f>2800/1000</f>
        <v>2.8</v>
      </c>
      <c r="Q7" s="23">
        <v>34.5</v>
      </c>
      <c r="R7" s="24">
        <f t="shared" ref="R7" si="34">P7*Q7/100</f>
        <v>0.96599999999999997</v>
      </c>
      <c r="S7" s="25">
        <f t="shared" ref="S7" si="35">R7*U7</f>
        <v>1932</v>
      </c>
      <c r="T7" s="26">
        <f t="shared" ref="T7" si="36">P7+R7</f>
        <v>3.766</v>
      </c>
      <c r="U7" s="23">
        <f>F7</f>
        <v>2000</v>
      </c>
      <c r="V7" s="27">
        <f>T7*10</f>
        <v>37.659999999999997</v>
      </c>
      <c r="W7" s="28">
        <v>150</v>
      </c>
      <c r="X7" s="29">
        <f t="shared" ref="X7" si="37">U7*T7+V7+W7</f>
        <v>7719.66</v>
      </c>
      <c r="Y7" s="114" t="s">
        <v>47</v>
      </c>
      <c r="Z7" s="28">
        <v>0</v>
      </c>
      <c r="AA7" s="30">
        <v>1</v>
      </c>
      <c r="AB7" s="30">
        <v>1</v>
      </c>
      <c r="AC7" s="30">
        <v>1</v>
      </c>
      <c r="AD7" s="31">
        <f t="shared" ref="AD7" si="38">Z7*AA7*AB7*AC7</f>
        <v>0</v>
      </c>
      <c r="AE7" s="32">
        <f>3.5*3</f>
        <v>10.5</v>
      </c>
      <c r="AF7" s="33">
        <f t="shared" ref="AF7" si="39">1%*(X7+AD7+AE7)</f>
        <v>77.301599999999993</v>
      </c>
      <c r="AG7" s="34">
        <f t="shared" ref="AG7" si="40">X7+AD7+AF7+AE7</f>
        <v>7807.4615999999996</v>
      </c>
      <c r="AH7" s="35">
        <f t="shared" ref="AH7" si="41">AG7/U7</f>
        <v>3.9037307999999999</v>
      </c>
      <c r="AI7" s="36">
        <f t="shared" ref="AI7" si="42">AH7*18%</f>
        <v>0.70267154399999998</v>
      </c>
      <c r="AJ7" s="37">
        <f t="shared" ref="AJ7" si="43">AH7+AI7</f>
        <v>4.6064023440000001</v>
      </c>
      <c r="AK7"/>
      <c r="AL7" s="38"/>
      <c r="AM7" s="39">
        <f t="shared" ref="AM7" si="44">AJ7*U7</f>
        <v>9212.8046880000002</v>
      </c>
      <c r="AN7" s="40">
        <f t="shared" ref="AN7" si="45">(AJ7-(AJ7/1.18))*U7</f>
        <v>1405.3430879999996</v>
      </c>
      <c r="AO7" s="40">
        <f t="shared" ref="AO7" si="46">(AJ7-(AJ7/1.02))*U7</f>
        <v>180.64322917647146</v>
      </c>
      <c r="AP7" s="40">
        <f t="shared" ref="AP7" si="47">(AJ7-(AJ7/1.05))*U7</f>
        <v>438.70498514285748</v>
      </c>
      <c r="AQ7" s="40">
        <f t="shared" ref="AQ7" si="48">R7*U7</f>
        <v>1932</v>
      </c>
      <c r="AR7" s="41">
        <f t="shared" ref="AR7" si="49">AQ7-AP7-AO7</f>
        <v>1312.6517856806711</v>
      </c>
      <c r="AS7" s="42"/>
      <c r="AT7" s="43">
        <f>AQ7*100/(AM7-AN7-AQ7)</f>
        <v>32.882522796166342</v>
      </c>
      <c r="AU7" s="43">
        <f t="shared" ref="AU7" si="50">AR7*100/(AM7-AN7-AQ7-AO7-AP7)</f>
        <v>24.97381029215909</v>
      </c>
    </row>
    <row r="8" spans="2:47" s="1" customFormat="1" ht="110.1" customHeight="1" thickBot="1" x14ac:dyDescent="0.3">
      <c r="B8" s="117"/>
      <c r="C8" s="118"/>
      <c r="D8" s="119"/>
      <c r="E8" s="121"/>
      <c r="F8" s="98">
        <v>1000</v>
      </c>
      <c r="G8" s="99">
        <f>AH8</f>
        <v>4.0854924200000005</v>
      </c>
      <c r="H8" s="100" t="s">
        <v>54</v>
      </c>
      <c r="I8" s="123"/>
      <c r="J8"/>
      <c r="K8"/>
      <c r="L8" s="125"/>
      <c r="M8" s="127"/>
      <c r="N8" s="111"/>
      <c r="O8" s="113"/>
      <c r="P8" s="83">
        <f>2800/1000</f>
        <v>2.8</v>
      </c>
      <c r="Q8" s="84">
        <v>40.299999999999997</v>
      </c>
      <c r="R8" s="85">
        <f t="shared" ref="R8" si="51">P8*Q8/100</f>
        <v>1.1283999999999998</v>
      </c>
      <c r="S8" s="86">
        <f t="shared" ref="S8" si="52">R8*U8</f>
        <v>1128.3999999999999</v>
      </c>
      <c r="T8" s="87">
        <f t="shared" ref="T8" si="53">P8+R8</f>
        <v>3.9283999999999999</v>
      </c>
      <c r="U8" s="84">
        <f>F8</f>
        <v>1000</v>
      </c>
      <c r="V8" s="88">
        <f>T8*5</f>
        <v>19.641999999999999</v>
      </c>
      <c r="W8" s="89">
        <v>90</v>
      </c>
      <c r="X8" s="90">
        <f t="shared" ref="X8" si="54">U8*T8+V8+W8</f>
        <v>4038.0419999999999</v>
      </c>
      <c r="Y8" s="115"/>
      <c r="Z8" s="89">
        <v>0</v>
      </c>
      <c r="AA8" s="91">
        <v>1</v>
      </c>
      <c r="AB8" s="91">
        <v>1</v>
      </c>
      <c r="AC8" s="91">
        <v>1</v>
      </c>
      <c r="AD8" s="92">
        <f t="shared" ref="AD8" si="55">Z8*AA8*AB8*AC8</f>
        <v>0</v>
      </c>
      <c r="AE8" s="32">
        <f>3.5*2</f>
        <v>7</v>
      </c>
      <c r="AF8" s="93">
        <f t="shared" ref="AF8" si="56">1%*(X8+AD8+AE8)</f>
        <v>40.450420000000001</v>
      </c>
      <c r="AG8" s="94">
        <f t="shared" ref="AG8" si="57">X8+AD8+AF8+AE8</f>
        <v>4085.49242</v>
      </c>
      <c r="AH8" s="95">
        <f t="shared" ref="AH8" si="58">AG8/U8</f>
        <v>4.0854924200000005</v>
      </c>
      <c r="AI8" s="96">
        <f t="shared" ref="AI8" si="59">AH8*18%</f>
        <v>0.73538863560000001</v>
      </c>
      <c r="AJ8" s="97">
        <f t="shared" ref="AJ8" si="60">AH8+AI8</f>
        <v>4.8208810556000001</v>
      </c>
      <c r="AK8"/>
      <c r="AL8" s="38"/>
      <c r="AM8" s="39">
        <f t="shared" ref="AM8" si="61">AJ8*U8</f>
        <v>4820.8810555999999</v>
      </c>
      <c r="AN8" s="40">
        <f t="shared" ref="AN8" si="62">(AJ8-(AJ8/1.18))*U8</f>
        <v>735.3886355999997</v>
      </c>
      <c r="AO8" s="40">
        <f t="shared" ref="AO8" si="63">(AJ8-(AJ8/1.02))*U8</f>
        <v>94.527079521569135</v>
      </c>
      <c r="AP8" s="40">
        <f t="shared" ref="AP8" si="64">(AJ8-(AJ8/1.05))*U8</f>
        <v>229.56576455238144</v>
      </c>
      <c r="AQ8" s="40">
        <f t="shared" ref="AQ8" si="65">R8*U8</f>
        <v>1128.3999999999999</v>
      </c>
      <c r="AR8" s="41">
        <f t="shared" ref="AR8" si="66">AQ8-AP8-AO8</f>
        <v>804.30715592604929</v>
      </c>
      <c r="AS8" s="42"/>
      <c r="AT8" s="43">
        <f>AQ8*100/(AM8-AN8-AQ8)</f>
        <v>38.159104949448952</v>
      </c>
      <c r="AU8" s="43">
        <f t="shared" ref="AU8" si="67">AR8*100/(AM8-AN8-AQ8-AO8-AP8)</f>
        <v>30.547181369870422</v>
      </c>
    </row>
  </sheetData>
  <mergeCells count="15">
    <mergeCell ref="N7:N8"/>
    <mergeCell ref="O7:O8"/>
    <mergeCell ref="Y7:Y8"/>
    <mergeCell ref="B7:B8"/>
    <mergeCell ref="C7:D8"/>
    <mergeCell ref="E7:E8"/>
    <mergeCell ref="I7:I8"/>
    <mergeCell ref="L7:L8"/>
    <mergeCell ref="M7:M8"/>
    <mergeCell ref="C6:D6"/>
    <mergeCell ref="C4:D4"/>
    <mergeCell ref="B2:I2"/>
    <mergeCell ref="L2:AB2"/>
    <mergeCell ref="C5:D5"/>
    <mergeCell ref="J2:J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Juarez</dc:creator>
  <cp:lastModifiedBy>Karla Huamaccto</cp:lastModifiedBy>
  <dcterms:created xsi:type="dcterms:W3CDTF">2026-06-02T14:52:09Z</dcterms:created>
  <dcterms:modified xsi:type="dcterms:W3CDTF">2026-06-02T23:31:30Z</dcterms:modified>
</cp:coreProperties>
</file>